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ЭтаКнига" defaultThemeVersion="124226"/>
  <bookViews>
    <workbookView xWindow="120" yWindow="105" windowWidth="15120" windowHeight="8010" tabRatio="827"/>
  </bookViews>
  <sheets>
    <sheet name="Останов" sheetId="1" r:id="rId1"/>
    <sheet name="БДМ№1" sheetId="21" r:id="rId2"/>
    <sheet name="БДМ№2" sheetId="22" r:id="rId3"/>
    <sheet name="Всего по сменам" sheetId="4" r:id="rId4"/>
    <sheet name="Формулы" sheetId="5" state="hidden" r:id="rId5"/>
    <sheet name="Список" sheetId="12" state="hidden" r:id="rId6"/>
  </sheets>
  <definedNames>
    <definedName name="_xlnm._FilterDatabase" localSheetId="5" hidden="1">Список!$K$2:$K$25</definedName>
    <definedName name="№">Список!$A$2:$A$151</definedName>
    <definedName name="Z_1957AC80_412C_4030_B807_A599A7F9C8EF_.wvu.FilterData" localSheetId="5" hidden="1">Список!$K$2:$K$25</definedName>
    <definedName name="Z_1957AC80_412C_4030_B807_A599A7F9C8EF_.wvu.PrintArea" localSheetId="1" hidden="1">БДМ№1!$A$1:$AJ$48</definedName>
    <definedName name="Z_1957AC80_412C_4030_B807_A599A7F9C8EF_.wvu.PrintArea" localSheetId="2" hidden="1">БДМ№2!$A$1:$AJ$48</definedName>
    <definedName name="Z_1957AC80_412C_4030_B807_A599A7F9C8EF_.wvu.PrintArea" localSheetId="0" hidden="1">Останов!$A$1:$AJ$48</definedName>
    <definedName name="а">IF(ROW(#REF!)&lt;=86,T(OFFSET(БДМ№1!$C$5,MOD(ROW(#REF!)-1,86),)),T(OFFSET(БДМ№2!$C$5,MOD(ROW(#REF!)-1,86),)))</definedName>
    <definedName name="б">IF(ROW(#REF!)&lt;=86,T(OFFSET(БДМ№1!$D$5,MOD(ROW(#REF!)-1,86),)),T(OFFSET(БДМ№2!$D$5,MOD(ROW(#REF!)-1,86),)))</definedName>
    <definedName name="Ед.изм">Список!$N$26:$N$28</definedName>
    <definedName name="Знаки">Список!$M$2:$M$37</definedName>
    <definedName name="Мастера">Список!$O$2:$O$6</definedName>
    <definedName name="Месяц">Список!$N$2:$N$13</definedName>
    <definedName name="Наряды">Список!$P$2:$P$38</definedName>
    <definedName name="Профессия">Список!$K$2:$K$30</definedName>
    <definedName name="Прочее">Список!$N$15:$N$18</definedName>
    <definedName name="Таб.№">Список!$C$2:$C$150</definedName>
    <definedName name="ФИО">Список!$B$2:$B$105</definedName>
  </definedNames>
  <calcPr calcId="125725"/>
  <customWorkbookViews>
    <customWorkbookView name="1" guid="{1957AC80-412C-4030-B807-A599A7F9C8EF}" maximized="1" xWindow="1" yWindow="1" windowWidth="1276" windowHeight="808" tabRatio="698" activeSheetId="6" showFormulaBar="0"/>
  </customWorkbookViews>
</workbook>
</file>

<file path=xl/calcChain.xml><?xml version="1.0" encoding="utf-8"?>
<calcChain xmlns="http://schemas.openxmlformats.org/spreadsheetml/2006/main">
  <c r="C37" i="1"/>
  <c r="C38"/>
  <c r="C39"/>
  <c r="C40"/>
  <c r="C41"/>
  <c r="C42"/>
  <c r="C43"/>
  <c r="C36"/>
  <c r="C31"/>
  <c r="B31"/>
  <c r="B32"/>
  <c r="B33"/>
  <c r="B34"/>
  <c r="B35"/>
  <c r="B36"/>
  <c r="B37"/>
  <c r="B38"/>
  <c r="B39"/>
  <c r="B40"/>
  <c r="B41"/>
  <c r="B42"/>
  <c r="B43"/>
  <c r="E8" i="4" a="1"/>
  <c r="E9" a="1"/>
  <c r="E10" a="1"/>
  <c r="E11" a="1"/>
  <c r="E12" a="1"/>
  <c r="E13" a="1"/>
  <c r="E14" a="1"/>
  <c r="E15" a="1"/>
  <c r="E16" a="1"/>
  <c r="E17" a="1"/>
  <c r="C5"/>
  <c r="C6"/>
  <c r="C7"/>
  <c r="C8"/>
  <c r="C9"/>
  <c r="C10"/>
  <c r="D6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D5"/>
  <c r="C5"/>
  <c r="D6" i="4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5"/>
  <c r="C23"/>
  <c r="C24"/>
  <c r="C25"/>
  <c r="C26"/>
  <c r="C27"/>
  <c r="C30"/>
  <c r="C31"/>
  <c r="C32"/>
  <c r="C33"/>
  <c r="C34"/>
  <c r="C11"/>
  <c r="C12"/>
  <c r="C13"/>
  <c r="C14"/>
  <c r="C15"/>
  <c r="C16"/>
  <c r="C17"/>
  <c r="C18"/>
  <c r="C19"/>
  <c r="C20"/>
  <c r="C21"/>
  <c r="C22"/>
  <c r="C28"/>
  <c r="C29"/>
  <c r="B27"/>
  <c r="B28"/>
  <c r="B29"/>
  <c r="AJ54" i="21" a="1"/>
  <c r="AJ54"/>
  <c r="AJ55" a="1"/>
  <c r="AJ55"/>
  <c r="AJ56" a="1"/>
  <c r="AJ56"/>
  <c r="AJ57" a="1"/>
  <c r="AJ57"/>
  <c r="AJ58" a="1"/>
  <c r="AJ58"/>
  <c r="AJ59" a="1"/>
  <c r="AJ59"/>
  <c r="AJ60" a="1"/>
  <c r="AJ60"/>
  <c r="AJ61" a="1"/>
  <c r="AJ61"/>
  <c r="AJ62" a="1"/>
  <c r="AJ62"/>
  <c r="AJ63" a="1"/>
  <c r="AJ63"/>
  <c r="AJ64" a="1"/>
  <c r="AJ64"/>
  <c r="AJ65" a="1"/>
  <c r="AJ65"/>
  <c r="AJ66" a="1"/>
  <c r="AJ66"/>
  <c r="AJ67" a="1"/>
  <c r="AJ67"/>
  <c r="AJ68" a="1"/>
  <c r="AJ68"/>
  <c r="AJ69" a="1"/>
  <c r="AJ69"/>
  <c r="AJ70" a="1"/>
  <c r="AJ70"/>
  <c r="AJ71" a="1"/>
  <c r="AJ71"/>
  <c r="AJ72" a="1"/>
  <c r="AJ72"/>
  <c r="AJ73" a="1"/>
  <c r="AJ73"/>
  <c r="AJ74" a="1"/>
  <c r="AJ74"/>
  <c r="AJ75" a="1"/>
  <c r="AJ75"/>
  <c r="AJ76" a="1"/>
  <c r="AJ76"/>
  <c r="AJ77" a="1"/>
  <c r="AJ77"/>
  <c r="AJ78" a="1"/>
  <c r="AJ78"/>
  <c r="AJ79" a="1"/>
  <c r="AJ79"/>
  <c r="AJ80" a="1"/>
  <c r="AJ80"/>
  <c r="AJ81" a="1"/>
  <c r="AJ81"/>
  <c r="AJ82" a="1"/>
  <c r="AJ82"/>
  <c r="AJ83" a="1"/>
  <c r="AJ83"/>
  <c r="AJ84" a="1"/>
  <c r="AJ84"/>
  <c r="AJ85" a="1"/>
  <c r="AJ85"/>
  <c r="AJ86" a="1"/>
  <c r="AJ86"/>
  <c r="AJ87" a="1"/>
  <c r="AJ87"/>
  <c r="AJ88" a="1"/>
  <c r="AJ88"/>
  <c r="AJ89" a="1"/>
  <c r="AJ89"/>
  <c r="AJ90" a="1"/>
  <c r="AJ90"/>
  <c r="AJ91" a="1"/>
  <c r="AJ91"/>
  <c r="AJ53" a="1"/>
  <c r="AJ53"/>
  <c r="AJ33" i="5" a="1"/>
  <c r="AJ33"/>
  <c r="AJ34" a="1"/>
  <c r="AJ34"/>
  <c r="AJ35" a="1"/>
  <c r="AJ35"/>
  <c r="AJ36" a="1"/>
  <c r="AJ36"/>
  <c r="AJ32" a="1"/>
  <c r="AJ32"/>
  <c r="B36"/>
  <c r="AJ6" i="22" a="1"/>
  <c r="AJ6"/>
  <c r="AJ7" a="1"/>
  <c r="AJ7"/>
  <c r="AJ8" a="1"/>
  <c r="AJ8"/>
  <c r="AJ9" a="1"/>
  <c r="AJ9"/>
  <c r="AJ10" a="1"/>
  <c r="AJ10"/>
  <c r="AJ11" a="1"/>
  <c r="AJ11"/>
  <c r="AJ12" a="1"/>
  <c r="AJ12"/>
  <c r="AJ13" a="1"/>
  <c r="AJ13"/>
  <c r="AJ14" a="1"/>
  <c r="AJ14"/>
  <c r="AJ15" a="1"/>
  <c r="AJ15"/>
  <c r="AJ16" a="1"/>
  <c r="AJ16"/>
  <c r="AJ17" a="1"/>
  <c r="AJ17"/>
  <c r="AJ18" a="1"/>
  <c r="AJ18"/>
  <c r="AJ19" a="1"/>
  <c r="AJ19"/>
  <c r="AJ20" a="1"/>
  <c r="AJ20"/>
  <c r="AJ21" a="1"/>
  <c r="AJ21"/>
  <c r="AJ22" a="1"/>
  <c r="AJ22"/>
  <c r="AJ23" a="1"/>
  <c r="AJ23"/>
  <c r="AJ24" a="1"/>
  <c r="AJ24"/>
  <c r="AJ25" a="1"/>
  <c r="AJ25"/>
  <c r="AJ26" a="1"/>
  <c r="AJ26"/>
  <c r="AJ27" a="1"/>
  <c r="AJ27"/>
  <c r="AJ28" a="1"/>
  <c r="AJ28"/>
  <c r="AJ29" a="1"/>
  <c r="AJ29"/>
  <c r="AJ30" a="1"/>
  <c r="AJ30"/>
  <c r="AJ31" a="1"/>
  <c r="AJ31"/>
  <c r="AJ32" a="1"/>
  <c r="AJ32"/>
  <c r="AJ33" a="1"/>
  <c r="AJ33"/>
  <c r="AJ34" a="1"/>
  <c r="AJ34"/>
  <c r="AJ35" a="1"/>
  <c r="AJ35"/>
  <c r="AJ36" a="1"/>
  <c r="AJ36"/>
  <c r="AJ37" a="1"/>
  <c r="AJ37"/>
  <c r="AJ38" a="1"/>
  <c r="AJ38"/>
  <c r="AJ39" a="1"/>
  <c r="AJ39"/>
  <c r="AJ40" a="1"/>
  <c r="AJ40"/>
  <c r="AJ41" a="1"/>
  <c r="AJ41"/>
  <c r="AJ42" a="1"/>
  <c r="AJ42"/>
  <c r="AJ43" a="1"/>
  <c r="AJ43"/>
  <c r="AJ5" a="1"/>
  <c r="AJ5"/>
  <c r="AJ6" i="1" a="1"/>
  <c r="AJ6"/>
  <c r="AJ7" a="1"/>
  <c r="AJ7"/>
  <c r="AJ8" a="1"/>
  <c r="AJ8"/>
  <c r="AJ9" a="1"/>
  <c r="AJ9"/>
  <c r="AJ10" a="1"/>
  <c r="AJ10"/>
  <c r="AJ11" a="1"/>
  <c r="AJ11"/>
  <c r="AJ12" a="1"/>
  <c r="AJ12"/>
  <c r="AJ13" a="1"/>
  <c r="AJ13"/>
  <c r="AJ14" a="1"/>
  <c r="AJ14"/>
  <c r="AJ15" a="1"/>
  <c r="AJ15"/>
  <c r="AJ16" a="1"/>
  <c r="AJ16"/>
  <c r="AJ17" a="1"/>
  <c r="AJ17"/>
  <c r="AJ18" a="1"/>
  <c r="AJ18"/>
  <c r="AJ19" a="1"/>
  <c r="AJ19"/>
  <c r="AJ20" a="1"/>
  <c r="AJ20"/>
  <c r="AJ21" a="1"/>
  <c r="AJ21"/>
  <c r="AJ22" a="1"/>
  <c r="AJ22"/>
  <c r="AJ23" a="1"/>
  <c r="AJ23"/>
  <c r="AJ24" a="1"/>
  <c r="AJ24"/>
  <c r="AJ25" a="1"/>
  <c r="AJ25"/>
  <c r="AJ26" a="1"/>
  <c r="AJ26"/>
  <c r="AJ27" a="1"/>
  <c r="AJ27"/>
  <c r="AJ28" a="1"/>
  <c r="AJ28"/>
  <c r="AJ29" a="1"/>
  <c r="AJ29"/>
  <c r="AJ30" a="1"/>
  <c r="AJ30"/>
  <c r="AJ31" a="1"/>
  <c r="AJ31"/>
  <c r="AJ32" a="1"/>
  <c r="AJ32"/>
  <c r="AJ38" a="1"/>
  <c r="AJ38"/>
  <c r="AJ39" a="1"/>
  <c r="AJ39"/>
  <c r="AJ40" a="1"/>
  <c r="AJ40"/>
  <c r="AJ41" a="1"/>
  <c r="AJ41"/>
  <c r="AJ42" a="1"/>
  <c r="AJ42"/>
  <c r="AJ43" a="1"/>
  <c r="AJ43"/>
  <c r="AJ5" a="1"/>
  <c r="AJ5"/>
  <c r="AJ6" i="21" a="1"/>
  <c r="AJ6"/>
  <c r="AJ7" a="1"/>
  <c r="AJ7"/>
  <c r="AJ8" a="1"/>
  <c r="AJ8"/>
  <c r="AJ9" a="1"/>
  <c r="AJ9"/>
  <c r="AJ10" a="1"/>
  <c r="AJ10"/>
  <c r="AJ11" a="1"/>
  <c r="AJ11"/>
  <c r="AJ12" a="1"/>
  <c r="AJ12"/>
  <c r="AJ13" a="1"/>
  <c r="AJ13"/>
  <c r="AJ14" a="1"/>
  <c r="AJ14"/>
  <c r="AJ15" a="1"/>
  <c r="AJ15"/>
  <c r="AJ16" a="1"/>
  <c r="AJ16"/>
  <c r="AJ17" a="1"/>
  <c r="AJ17"/>
  <c r="AJ18" a="1"/>
  <c r="AJ18"/>
  <c r="AJ19" a="1"/>
  <c r="AJ19"/>
  <c r="AJ20" a="1"/>
  <c r="AJ20"/>
  <c r="AJ21" a="1"/>
  <c r="AJ21"/>
  <c r="AJ22" a="1"/>
  <c r="AJ22"/>
  <c r="AJ23" a="1"/>
  <c r="AJ23"/>
  <c r="AJ24" a="1"/>
  <c r="AJ24"/>
  <c r="AJ25" a="1"/>
  <c r="AJ25"/>
  <c r="AJ26" a="1"/>
  <c r="AJ26"/>
  <c r="AJ27" a="1"/>
  <c r="AJ27"/>
  <c r="AJ28" a="1"/>
  <c r="AJ28"/>
  <c r="AJ29" a="1"/>
  <c r="AJ29"/>
  <c r="AJ30" a="1"/>
  <c r="AJ30"/>
  <c r="AJ31" a="1"/>
  <c r="AJ31"/>
  <c r="AJ32" a="1"/>
  <c r="AJ32"/>
  <c r="AJ33" a="1"/>
  <c r="AJ33"/>
  <c r="AJ34" a="1"/>
  <c r="AJ34"/>
  <c r="AJ35" a="1"/>
  <c r="AJ35"/>
  <c r="AJ36" a="1"/>
  <c r="AJ36"/>
  <c r="AJ37" a="1"/>
  <c r="AJ37"/>
  <c r="AJ38" a="1"/>
  <c r="AJ38"/>
  <c r="AJ39" a="1"/>
  <c r="AJ39"/>
  <c r="AJ40" a="1"/>
  <c r="AJ40"/>
  <c r="AJ41" a="1"/>
  <c r="AJ41"/>
  <c r="AJ42" a="1"/>
  <c r="AJ42"/>
  <c r="AJ43" a="1"/>
  <c r="AJ43"/>
  <c r="AJ5" a="1"/>
  <c r="AJ5"/>
  <c r="E18" i="4" l="1" a="1"/>
  <c r="E24" a="1"/>
  <c r="E23" a="1"/>
  <c r="E22" a="1"/>
  <c r="E21" a="1"/>
  <c r="E20" a="1"/>
  <c r="E19" a="1"/>
  <c r="E22"/>
  <c r="J22" s="1"/>
  <c r="E21"/>
  <c r="J21" s="1"/>
  <c r="E20"/>
  <c r="J20" s="1"/>
  <c r="E19"/>
  <c r="J19" s="1"/>
  <c r="E18"/>
  <c r="J18" s="1"/>
  <c r="E17"/>
  <c r="J17" s="1"/>
  <c r="E16"/>
  <c r="J16" s="1"/>
  <c r="E15"/>
  <c r="J15" s="1"/>
  <c r="E14"/>
  <c r="J14" s="1"/>
  <c r="E13"/>
  <c r="J13" s="1"/>
  <c r="E12"/>
  <c r="J12" s="1"/>
  <c r="E11"/>
  <c r="J11" s="1"/>
  <c r="E24"/>
  <c r="J24" s="1"/>
  <c r="E23"/>
  <c r="J23" s="1"/>
  <c r="E10"/>
  <c r="J10" s="1"/>
  <c r="E9"/>
  <c r="J9" s="1"/>
  <c r="E8"/>
  <c r="J8" s="1"/>
  <c r="Q10" i="12"/>
  <c r="B9" i="22" l="1"/>
  <c r="B17"/>
  <c r="B18"/>
  <c r="B21"/>
  <c r="B22" i="4" l="1"/>
  <c r="J151" i="12" l="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4"/>
  <c r="C103"/>
  <c r="J103"/>
  <c r="C102"/>
  <c r="J102"/>
  <c r="C101"/>
  <c r="J101"/>
  <c r="B20" i="4"/>
  <c r="J100" i="12"/>
  <c r="C100"/>
  <c r="J99"/>
  <c r="C99"/>
  <c r="J98"/>
  <c r="C98"/>
  <c r="J97"/>
  <c r="C97"/>
  <c r="J96"/>
  <c r="C96"/>
  <c r="J95"/>
  <c r="C95"/>
  <c r="J94"/>
  <c r="C94"/>
  <c r="J93"/>
  <c r="C93"/>
  <c r="J92"/>
  <c r="C92"/>
  <c r="J91"/>
  <c r="C91"/>
  <c r="J90"/>
  <c r="C90"/>
  <c r="J89"/>
  <c r="C89"/>
  <c r="J88"/>
  <c r="C88"/>
  <c r="J87"/>
  <c r="C87"/>
  <c r="J86"/>
  <c r="C86"/>
  <c r="J85"/>
  <c r="C85"/>
  <c r="J84"/>
  <c r="C84"/>
  <c r="J83"/>
  <c r="C83"/>
  <c r="J82"/>
  <c r="C82"/>
  <c r="J81"/>
  <c r="C81"/>
  <c r="J80"/>
  <c r="C80"/>
  <c r="J79"/>
  <c r="C79"/>
  <c r="J78"/>
  <c r="C78"/>
  <c r="J77"/>
  <c r="C77"/>
  <c r="J76"/>
  <c r="C76"/>
  <c r="J75"/>
  <c r="C75"/>
  <c r="B22" i="22" s="1"/>
  <c r="J74" i="12"/>
  <c r="C74"/>
  <c r="B8" i="22" s="1"/>
  <c r="J73" i="12"/>
  <c r="C73"/>
  <c r="J72"/>
  <c r="C72"/>
  <c r="J71"/>
  <c r="C71"/>
  <c r="J70"/>
  <c r="J69"/>
  <c r="C70"/>
  <c r="J68"/>
  <c r="C69"/>
  <c r="J67"/>
  <c r="C68"/>
  <c r="B13" i="22" s="1"/>
  <c r="J66" i="12"/>
  <c r="C67"/>
  <c r="J65"/>
  <c r="C66"/>
  <c r="J64"/>
  <c r="C65"/>
  <c r="J63"/>
  <c r="C64"/>
  <c r="J62"/>
  <c r="C63"/>
  <c r="J61"/>
  <c r="C62"/>
  <c r="J60"/>
  <c r="C61"/>
  <c r="J59"/>
  <c r="C60"/>
  <c r="J58"/>
  <c r="C59"/>
  <c r="B13" i="4" s="1"/>
  <c r="J57" i="12"/>
  <c r="C58"/>
  <c r="J56"/>
  <c r="C57"/>
  <c r="J55"/>
  <c r="C56"/>
  <c r="J54"/>
  <c r="C55"/>
  <c r="B21" i="4" s="1"/>
  <c r="J53" i="12"/>
  <c r="C54"/>
  <c r="J52"/>
  <c r="C53"/>
  <c r="J51"/>
  <c r="C52"/>
  <c r="J50"/>
  <c r="C51"/>
  <c r="J49"/>
  <c r="C50"/>
  <c r="J48"/>
  <c r="C49"/>
  <c r="J47"/>
  <c r="C48"/>
  <c r="J46"/>
  <c r="C47"/>
  <c r="J45"/>
  <c r="C46"/>
  <c r="J44"/>
  <c r="C45"/>
  <c r="J43"/>
  <c r="C44"/>
  <c r="J42"/>
  <c r="C43"/>
  <c r="J41"/>
  <c r="C42"/>
  <c r="J40"/>
  <c r="C41"/>
  <c r="J39"/>
  <c r="C40"/>
  <c r="J38"/>
  <c r="C39"/>
  <c r="Q38"/>
  <c r="J37"/>
  <c r="C38"/>
  <c r="Q37"/>
  <c r="J36"/>
  <c r="C37"/>
  <c r="Q36"/>
  <c r="J35"/>
  <c r="C36"/>
  <c r="Q35"/>
  <c r="J34"/>
  <c r="C35"/>
  <c r="Q34"/>
  <c r="J33"/>
  <c r="C34"/>
  <c r="Q33"/>
  <c r="J32"/>
  <c r="C33"/>
  <c r="Q32"/>
  <c r="J31"/>
  <c r="C32"/>
  <c r="Q31"/>
  <c r="J30"/>
  <c r="C31"/>
  <c r="Q30"/>
  <c r="J29"/>
  <c r="C30"/>
  <c r="Q29"/>
  <c r="J28"/>
  <c r="C29"/>
  <c r="B12" i="4" s="1"/>
  <c r="Q28" i="12"/>
  <c r="J27"/>
  <c r="C28"/>
  <c r="Q27"/>
  <c r="L28"/>
  <c r="J26"/>
  <c r="C27"/>
  <c r="Q26"/>
  <c r="L27"/>
  <c r="J25"/>
  <c r="C26"/>
  <c r="Q25"/>
  <c r="L26"/>
  <c r="J24"/>
  <c r="C25"/>
  <c r="B19" i="4" s="1"/>
  <c r="Q24" i="12"/>
  <c r="L25"/>
  <c r="J23"/>
  <c r="C24"/>
  <c r="Q23"/>
  <c r="L24"/>
  <c r="J22"/>
  <c r="C23"/>
  <c r="Q22"/>
  <c r="L23"/>
  <c r="J21"/>
  <c r="C22"/>
  <c r="Q21"/>
  <c r="L17"/>
  <c r="J20"/>
  <c r="C21"/>
  <c r="Q20"/>
  <c r="L16"/>
  <c r="J19"/>
  <c r="C20"/>
  <c r="Q19"/>
  <c r="L15"/>
  <c r="J18"/>
  <c r="C19"/>
  <c r="Q18"/>
  <c r="L14"/>
  <c r="J17"/>
  <c r="C18"/>
  <c r="Q17"/>
  <c r="L13"/>
  <c r="J16"/>
  <c r="C17"/>
  <c r="Q16"/>
  <c r="L22"/>
  <c r="J15"/>
  <c r="C16"/>
  <c r="Q15"/>
  <c r="L21"/>
  <c r="J14"/>
  <c r="C15"/>
  <c r="Q14"/>
  <c r="L20"/>
  <c r="J13"/>
  <c r="C14"/>
  <c r="Q13"/>
  <c r="L19"/>
  <c r="J12"/>
  <c r="C13"/>
  <c r="Q12"/>
  <c r="L18"/>
  <c r="J11"/>
  <c r="C12"/>
  <c r="Q11"/>
  <c r="L12"/>
  <c r="J10"/>
  <c r="C11"/>
  <c r="Q9"/>
  <c r="L11"/>
  <c r="J9"/>
  <c r="C10"/>
  <c r="Q8"/>
  <c r="L9"/>
  <c r="J8"/>
  <c r="C9"/>
  <c r="Q7"/>
  <c r="L8"/>
  <c r="J7"/>
  <c r="C8"/>
  <c r="Q6"/>
  <c r="L6"/>
  <c r="J6"/>
  <c r="C7"/>
  <c r="Q5"/>
  <c r="L5"/>
  <c r="J5"/>
  <c r="C6"/>
  <c r="Q4"/>
  <c r="L3"/>
  <c r="J4"/>
  <c r="C5"/>
  <c r="Q3"/>
  <c r="L2"/>
  <c r="J3"/>
  <c r="C4"/>
  <c r="Q2"/>
  <c r="L7"/>
  <c r="J2"/>
  <c r="C2"/>
  <c r="B16" i="4" s="1"/>
  <c r="B35" i="5" l="1"/>
  <c r="B34"/>
  <c r="B33"/>
  <c r="B32"/>
  <c r="B16" i="22"/>
  <c r="B20"/>
  <c r="B14"/>
  <c r="B15"/>
  <c r="B11" i="4"/>
  <c r="B14"/>
  <c r="B15"/>
  <c r="B17"/>
  <c r="B19" i="22"/>
  <c r="B18" i="4"/>
  <c r="B10" i="22"/>
  <c r="B11"/>
  <c r="B12"/>
  <c r="B26" i="4"/>
  <c r="B12" i="1" l="1"/>
  <c r="B13"/>
  <c r="I45" i="22" l="1"/>
  <c r="E25" i="4" l="1" a="1"/>
  <c r="E25" s="1"/>
  <c r="J25" s="1"/>
  <c r="E26" a="1"/>
  <c r="E26" s="1"/>
  <c r="J26" s="1"/>
  <c r="E27" a="1"/>
  <c r="E27" s="1"/>
  <c r="J27" s="1"/>
  <c r="E32" a="1"/>
  <c r="E32" s="1"/>
  <c r="J32" s="1"/>
  <c r="E28" a="1"/>
  <c r="E28" s="1"/>
  <c r="J28" s="1"/>
  <c r="E34" a="1"/>
  <c r="E34" s="1"/>
  <c r="J34" s="1"/>
  <c r="E33" a="1"/>
  <c r="E33" s="1"/>
  <c r="J33" s="1"/>
  <c r="E31" a="1"/>
  <c r="E31" s="1"/>
  <c r="J31" s="1"/>
  <c r="E30" a="1"/>
  <c r="E30" s="1"/>
  <c r="E29" a="1"/>
  <c r="E29" s="1"/>
  <c r="J29" s="1"/>
  <c r="B10" i="21"/>
  <c r="S45" i="1"/>
  <c r="J30" i="4" l="1"/>
  <c r="B23" l="1"/>
  <c r="B24"/>
  <c r="B25"/>
  <c r="B54" i="21"/>
  <c r="B55"/>
  <c r="B57"/>
  <c r="B58"/>
  <c r="B60"/>
  <c r="B61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6" i="22"/>
  <c r="B7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9" i="21"/>
  <c r="B12"/>
  <c r="B13"/>
  <c r="B18"/>
  <c r="B19"/>
  <c r="B21"/>
  <c r="B22"/>
  <c r="B24"/>
  <c r="B25"/>
  <c r="B27"/>
  <c r="B28"/>
  <c r="B30"/>
  <c r="B31"/>
  <c r="B33"/>
  <c r="B34"/>
  <c r="B36"/>
  <c r="B37"/>
  <c r="B39"/>
  <c r="B40"/>
  <c r="B42"/>
  <c r="B43"/>
  <c r="B6" i="1"/>
  <c r="B7"/>
  <c r="B8"/>
  <c r="B9"/>
  <c r="B10"/>
  <c r="B14"/>
  <c r="B15"/>
  <c r="B16"/>
  <c r="B17"/>
  <c r="B18"/>
  <c r="B19"/>
  <c r="B20"/>
  <c r="B21"/>
  <c r="B22"/>
  <c r="B23"/>
  <c r="B24"/>
  <c r="B25"/>
  <c r="B26"/>
  <c r="B27"/>
  <c r="B28"/>
  <c r="B29"/>
  <c r="B30"/>
  <c r="B33" i="4"/>
  <c r="S93" i="21"/>
  <c r="S45" i="22"/>
  <c r="S45" i="21"/>
  <c r="B6"/>
  <c r="B30" i="4" l="1"/>
  <c r="B11" i="1"/>
  <c r="B16" i="21"/>
  <c r="B15"/>
  <c r="B7"/>
  <c r="B11"/>
  <c r="B5" i="22"/>
  <c r="B5" i="1"/>
  <c r="B5" i="21"/>
  <c r="B41"/>
  <c r="B38"/>
  <c r="B35"/>
  <c r="B32"/>
  <c r="B29"/>
  <c r="B26"/>
  <c r="B23"/>
  <c r="B20"/>
  <c r="B17"/>
  <c r="B14"/>
  <c r="B8"/>
  <c r="B53"/>
  <c r="B62"/>
  <c r="B59"/>
  <c r="B56"/>
  <c r="B34" i="4"/>
  <c r="B32"/>
  <c r="B31"/>
  <c r="E6" l="1" a="1"/>
  <c r="E7" a="1"/>
  <c r="AJ24" i="5"/>
  <c r="AJ19"/>
  <c r="AJ15"/>
  <c r="AJ14"/>
  <c r="AJ13"/>
  <c r="AJ9"/>
  <c r="AJ8"/>
  <c r="E5" i="4" l="1" a="1"/>
  <c r="T26" i="5" l="1"/>
  <c r="B6" i="4" l="1"/>
  <c r="E6"/>
  <c r="J6"/>
  <c r="B7"/>
  <c r="E7"/>
  <c r="J7"/>
  <c r="B8"/>
  <c r="B9"/>
  <c r="B10"/>
  <c r="B5"/>
  <c r="E5"/>
  <c r="J5"/>
</calcChain>
</file>

<file path=xl/sharedStrings.xml><?xml version="1.0" encoding="utf-8"?>
<sst xmlns="http://schemas.openxmlformats.org/spreadsheetml/2006/main" count="375" uniqueCount="264">
  <si>
    <t>Для бригадного расчёта</t>
  </si>
  <si>
    <t>Отработано часов по числам месяца</t>
  </si>
  <si>
    <t>Таб№</t>
  </si>
  <si>
    <t>бумажный цех</t>
  </si>
  <si>
    <t>Макрицкий Ю.В. Машинист 6 р.</t>
  </si>
  <si>
    <t>Макрицкий Ю.В. Размольщик 4 р.%</t>
  </si>
  <si>
    <t>Часы</t>
  </si>
  <si>
    <t>Фамилия, Имя, Отчество</t>
  </si>
  <si>
    <t>Петровых В.В. Резчик 4 р. %</t>
  </si>
  <si>
    <t>Рудницкий С.Н. Машинист 6 р.</t>
  </si>
  <si>
    <t>Мишук Р.В. Машинист 6 р.</t>
  </si>
  <si>
    <t>Мишук Р.В. Сушильщик 4 р.</t>
  </si>
  <si>
    <t>Наряд,час</t>
  </si>
  <si>
    <t>СЛА</t>
  </si>
  <si>
    <t>БАВ</t>
  </si>
  <si>
    <t>ХНН</t>
  </si>
  <si>
    <t xml:space="preserve">Образец формул для копирования: </t>
  </si>
  <si>
    <t>3. Совмещение при резке рулонов другой смены. Выглядит так : общая сумма/сто процентов*12.</t>
  </si>
  <si>
    <t>2. Два совмещения . (т.е. формула считает две строки совмещения).</t>
  </si>
  <si>
    <t>Макрицкий Ю.В. Сушильщик 4 р.%</t>
  </si>
  <si>
    <t>№</t>
  </si>
  <si>
    <t>Таб.№</t>
  </si>
  <si>
    <t>Рудницкий С.Н.</t>
  </si>
  <si>
    <t>Залан А.В.</t>
  </si>
  <si>
    <t>Орловский А.М.</t>
  </si>
  <si>
    <t>Буракова Т.А.</t>
  </si>
  <si>
    <t>Мишук А.В.</t>
  </si>
  <si>
    <t>А</t>
  </si>
  <si>
    <t>К</t>
  </si>
  <si>
    <t>Б</t>
  </si>
  <si>
    <t>Всего по сменам</t>
  </si>
  <si>
    <t xml:space="preserve">Общий табель </t>
  </si>
  <si>
    <t>Ковалёв Д.А.</t>
  </si>
  <si>
    <t>Ф.И.О.</t>
  </si>
  <si>
    <t>Профессия</t>
  </si>
  <si>
    <t xml:space="preserve">Всего по отраслевым нормам выдано: </t>
  </si>
  <si>
    <t>ФИО</t>
  </si>
  <si>
    <t>Сацук А.Л.</t>
  </si>
  <si>
    <t>Брикун М.А.</t>
  </si>
  <si>
    <t>Лысковец А.Н.</t>
  </si>
  <si>
    <t>Грузд Н.Н.</t>
  </si>
  <si>
    <t>Кудревич О.М.</t>
  </si>
  <si>
    <t>Заяц Т.Л.</t>
  </si>
  <si>
    <t>Кадевич О.В.</t>
  </si>
  <si>
    <t>Амосова Т.Ф.</t>
  </si>
  <si>
    <t>Цедрик Т.Н.</t>
  </si>
  <si>
    <t>Гендик Н.В.</t>
  </si>
  <si>
    <t>Комадей Д.В.</t>
  </si>
  <si>
    <t>Машинист 6 р.</t>
  </si>
  <si>
    <t>Сушильщик 4 р.</t>
  </si>
  <si>
    <t>Накатчик 3 р.</t>
  </si>
  <si>
    <t>Разм. РПО 4 р.</t>
  </si>
  <si>
    <t>Разм. РПО 3 р.</t>
  </si>
  <si>
    <t>Ап.пр.хим.р-в 3 р.</t>
  </si>
  <si>
    <t>Резчик ПРС 4 р.</t>
  </si>
  <si>
    <t>Резчик ПРС 3 р.</t>
  </si>
  <si>
    <t>Маш.уп. маш. 2 р.</t>
  </si>
  <si>
    <t>Разм. РПО 5 р.</t>
  </si>
  <si>
    <t>Мишук Р.В.</t>
  </si>
  <si>
    <t>Макрицкий Ю.В.</t>
  </si>
  <si>
    <t>Бушкин В.Д.</t>
  </si>
  <si>
    <t>Романчук В.В.</t>
  </si>
  <si>
    <t>Сушильщик 4 р. %</t>
  </si>
  <si>
    <t>Накатчик 3 р. %</t>
  </si>
  <si>
    <t>Разм. РПО 4 р. %</t>
  </si>
  <si>
    <t>Разм. РПО 3 р. %</t>
  </si>
  <si>
    <t>Ап.пр.хим.р-в 3 р. %</t>
  </si>
  <si>
    <t>Резчик ПРС 4 р. %</t>
  </si>
  <si>
    <t>Резчик ПРС 3 р. %</t>
  </si>
  <si>
    <t>Маш.уп. маш. 2 р. %</t>
  </si>
  <si>
    <t>Перссовщик 3 р.</t>
  </si>
  <si>
    <t>Перссовщик 3 р. %</t>
  </si>
  <si>
    <t>Знаки</t>
  </si>
  <si>
    <t>12'</t>
  </si>
  <si>
    <t>В</t>
  </si>
  <si>
    <t>О</t>
  </si>
  <si>
    <t>Оу</t>
  </si>
  <si>
    <t>Пр</t>
  </si>
  <si>
    <t>Разм. брака 2 р. %</t>
  </si>
  <si>
    <t>Разм. ГРВ 3 р.</t>
  </si>
  <si>
    <t>Разм. ПО 3 р.</t>
  </si>
  <si>
    <t>Разм. ПО 3 р. %</t>
  </si>
  <si>
    <t>Разм. брака 2 р.</t>
  </si>
  <si>
    <t>Мороз А.П.</t>
  </si>
  <si>
    <t>Уб.быт.пом-й</t>
  </si>
  <si>
    <t>Тран.мат-ов</t>
  </si>
  <si>
    <t>4. Формула переводит числовое значение в сумму прописью (ячейки под числами дня доступны для редактирования)</t>
  </si>
  <si>
    <t>Г</t>
  </si>
  <si>
    <t>Ос</t>
  </si>
  <si>
    <t>1'</t>
  </si>
  <si>
    <t>2'</t>
  </si>
  <si>
    <t>10'</t>
  </si>
  <si>
    <t>3'</t>
  </si>
  <si>
    <t>4'</t>
  </si>
  <si>
    <t>5'</t>
  </si>
  <si>
    <t>6'</t>
  </si>
  <si>
    <t>7'</t>
  </si>
  <si>
    <t>8'</t>
  </si>
  <si>
    <t>Захаров С.А.</t>
  </si>
  <si>
    <t>Драгун В.В.</t>
  </si>
  <si>
    <t>Лебедев О.Л.</t>
  </si>
  <si>
    <t>Гончарук А.В.</t>
  </si>
  <si>
    <t>Гвоздь М.П.</t>
  </si>
  <si>
    <t>Кучинская Е.М.</t>
  </si>
  <si>
    <t>Дворянкина Е.Л.</t>
  </si>
  <si>
    <t>Ванькова Л.Е.</t>
  </si>
  <si>
    <t>Жердочкина А.М.</t>
  </si>
  <si>
    <t>Мисник Ю.А.</t>
  </si>
  <si>
    <t>Карась А.Н.</t>
  </si>
  <si>
    <t>Раловец Л.П.</t>
  </si>
  <si>
    <t>Симонова Т.В.</t>
  </si>
  <si>
    <t>Гончарук Т.И.</t>
  </si>
  <si>
    <t>Пантелей А.В.</t>
  </si>
  <si>
    <t>Курносова О.Ф.</t>
  </si>
  <si>
    <t>Савельева Н.И.</t>
  </si>
  <si>
    <t>Волегов А.Г.</t>
  </si>
  <si>
    <t>Бурдыко Е.А.</t>
  </si>
  <si>
    <t>Ливанович С.В.</t>
  </si>
  <si>
    <t>Мишук О.В.</t>
  </si>
  <si>
    <t>Ротченкова С.С.</t>
  </si>
  <si>
    <t>Хомодеев В.В.</t>
  </si>
  <si>
    <t>Ясинский В.С.</t>
  </si>
  <si>
    <t>Дроздецкий В.С.</t>
  </si>
  <si>
    <t>Воронцевич М.П.</t>
  </si>
  <si>
    <t>Буяновская В.П.</t>
  </si>
  <si>
    <t>Короленко А.В.</t>
  </si>
  <si>
    <t>Жудрак Л.В.</t>
  </si>
  <si>
    <t>Макатерчик А.Н.</t>
  </si>
  <si>
    <t>Дик А.С.</t>
  </si>
  <si>
    <t>Маркелов Д.Н.</t>
  </si>
  <si>
    <t>Каляпина К.А.</t>
  </si>
  <si>
    <t>Шаповалов В.А.</t>
  </si>
  <si>
    <t>Дорц Д.В.</t>
  </si>
  <si>
    <t>Петров В.А.</t>
  </si>
  <si>
    <t>Скачек А.В.</t>
  </si>
  <si>
    <t>Зеленко В.Л.</t>
  </si>
  <si>
    <t>Пресняков Г.В.</t>
  </si>
  <si>
    <t>Драч М.В.</t>
  </si>
  <si>
    <t>Богодяж Т.А.</t>
  </si>
  <si>
    <t>Зеленкевич  Ник.В.</t>
  </si>
  <si>
    <t>Месяц</t>
  </si>
  <si>
    <t>Мастера смен</t>
  </si>
  <si>
    <t>см. Буйко В.Г.</t>
  </si>
  <si>
    <t>см. Кузьбар И.Н.</t>
  </si>
  <si>
    <t>см. Сандульская Л.А.</t>
  </si>
  <si>
    <t>см. Хомич Н.Н.</t>
  </si>
  <si>
    <t>Май, 2015 г.</t>
  </si>
  <si>
    <t>Июнь, 2015 г.</t>
  </si>
  <si>
    <t>Июль, 2015 г.</t>
  </si>
  <si>
    <t>Август, 2015 г.</t>
  </si>
  <si>
    <t>Сентябрь, 2015 г.</t>
  </si>
  <si>
    <t>Октябрь, 2015 г.</t>
  </si>
  <si>
    <t>Ноябрь, 2015 г.</t>
  </si>
  <si>
    <t>Декабрь, 2015 г.</t>
  </si>
  <si>
    <t>БДМ № 1</t>
  </si>
  <si>
    <t>БДМ № 2</t>
  </si>
  <si>
    <t>Прочее</t>
  </si>
  <si>
    <t>Останов БДМ</t>
  </si>
  <si>
    <t>Мастер смены:</t>
  </si>
  <si>
    <t>___________</t>
  </si>
  <si>
    <t>см. Булавский А.В.</t>
  </si>
  <si>
    <t>Жизневская Т.Ф.</t>
  </si>
  <si>
    <t>Бушкина Т.П.</t>
  </si>
  <si>
    <t>Хомич Н.Н.</t>
  </si>
  <si>
    <t>Буйко В.Г.</t>
  </si>
  <si>
    <t>Булавский А.В.</t>
  </si>
  <si>
    <t>Кузьбар И.Н.</t>
  </si>
  <si>
    <t>Сандульская Л.А.</t>
  </si>
  <si>
    <t>Мастер смены</t>
  </si>
  <si>
    <t>Январь, 2016 г.</t>
  </si>
  <si>
    <t>Февраль, 2016 г.</t>
  </si>
  <si>
    <t>Март, 2016 г.</t>
  </si>
  <si>
    <t>9'</t>
  </si>
  <si>
    <t>11'</t>
  </si>
  <si>
    <t>Романов В.В.</t>
  </si>
  <si>
    <t>Бумажный цех</t>
  </si>
  <si>
    <t>Ед.изм</t>
  </si>
  <si>
    <t>Т</t>
  </si>
  <si>
    <t>Шт</t>
  </si>
  <si>
    <t>Кг</t>
  </si>
  <si>
    <t>Наряды</t>
  </si>
  <si>
    <t>Упаковка ролевой бумаги</t>
  </si>
  <si>
    <t>Переупаковка ролевой бумаги</t>
  </si>
  <si>
    <t>Упаковка ролевой документной бумаги</t>
  </si>
  <si>
    <t>Смена сетки БДМ</t>
  </si>
  <si>
    <t>Смена канатика</t>
  </si>
  <si>
    <t>Снятие сетки БДМ вручную</t>
  </si>
  <si>
    <t>Установка иглопробивного сукна</t>
  </si>
  <si>
    <t>Промывка и чистка сгустителя</t>
  </si>
  <si>
    <t>Промывка и чистка флотоловушки</t>
  </si>
  <si>
    <t>1. Одно совмещение . (т.е. формула считает только одну строку совмещение). Выглядит так : часы/сто процентов*совмещение в процентах + следующий день повторяется аналогично.</t>
  </si>
  <si>
    <t>Смена прессовых сукон БДМ№2</t>
  </si>
  <si>
    <t>Смена сушильных сеток БДМ№2</t>
  </si>
  <si>
    <t>Смена сетки БДМ№2</t>
  </si>
  <si>
    <t>Волегова Г.И.</t>
  </si>
  <si>
    <t>Лысковец О.И.</t>
  </si>
  <si>
    <t>Свидрицкая В.С.</t>
  </si>
  <si>
    <t>Серий В.А.</t>
  </si>
  <si>
    <t>Гарбузов Г.Л.</t>
  </si>
  <si>
    <t>Ваньков С.П.</t>
  </si>
  <si>
    <t>Рощупкина Л.И.</t>
  </si>
  <si>
    <t>Жавранок И.Г.</t>
  </si>
  <si>
    <t>Конон Н.В.</t>
  </si>
  <si>
    <t>Петровых В.В.</t>
  </si>
  <si>
    <t>Поплавский В.И.</t>
  </si>
  <si>
    <t>Новоселов А.В.</t>
  </si>
  <si>
    <t>Сацукевич С.П.</t>
  </si>
  <si>
    <t>Шерий Д.В.</t>
  </si>
  <si>
    <t>Драпезо Ю.Н.</t>
  </si>
  <si>
    <t>Гридюшко П.А.</t>
  </si>
  <si>
    <t>Васильева О.А.</t>
  </si>
  <si>
    <t>Апет И.В.</t>
  </si>
  <si>
    <t>Аниськович А.П.</t>
  </si>
  <si>
    <t>Бурыхин С.А.</t>
  </si>
  <si>
    <t>Дунаев С.Е.</t>
  </si>
  <si>
    <t>Коваль О.Г.</t>
  </si>
  <si>
    <t>Козаков С.Л.</t>
  </si>
  <si>
    <t>Костин А.М.</t>
  </si>
  <si>
    <t>Рябов О.С.</t>
  </si>
  <si>
    <t>Зеленкевич  Нат.В.</t>
  </si>
  <si>
    <t>Буслов А.А.</t>
  </si>
  <si>
    <t>Мишук В.В.</t>
  </si>
  <si>
    <t>Кирилуша С.В.</t>
  </si>
  <si>
    <t>Оклад</t>
  </si>
  <si>
    <t>Чистка ГРВ и ГРГ</t>
  </si>
  <si>
    <t>Смена верхних сушильных сеток 1-5-й сушильных групп</t>
  </si>
  <si>
    <t>Смена нижних сушильных сеток 1-5-й сушильных групп</t>
  </si>
  <si>
    <t>Чистка скребками и промывка бассейнов:избыт. и регистр.воды</t>
  </si>
  <si>
    <t>Расценка за ед.</t>
  </si>
  <si>
    <t>в том числе связывание канатика</t>
  </si>
  <si>
    <t>композиционного, оборотного брака, сгущеной целлюлозы</t>
  </si>
  <si>
    <t>Резка и упаковка ленты бумажной для плоттеров 70 г/м2, ф. 1000 мм</t>
  </si>
  <si>
    <t>Резка и упаковка ленты бумажной для плоттеров 70 г/м2, ф. 1500 мм</t>
  </si>
  <si>
    <t>Резка и упаковка ленты бумажной для плоттеров 70 г/м2, ф. 1510 мм</t>
  </si>
  <si>
    <t>Резка и упаковка ленты бумажной для плоттеров 70 г/м2, ф. 1680 мм</t>
  </si>
  <si>
    <t>Резка и упаковка ленты бумажной для плоттеров 70 г/м2, ф. 1800 мм</t>
  </si>
  <si>
    <t>Резка и упаковка ленты бумажной для плоттеров 70 г/м2, ф. 1900 мм</t>
  </si>
  <si>
    <t>Резка и упаковка ленты бумажной для плоттеров 70 г/м2, ф. 2000 мм</t>
  </si>
  <si>
    <t>Резка и упаковка ленты бумажной для плоттеров 80 г/м2, ф. 1000 мм</t>
  </si>
  <si>
    <t>Резка и упаковка ленты бумажной для плоттеров 80 г/м2, ф. 1500 мм</t>
  </si>
  <si>
    <t>Резка и упаковка ленты бумажной для плоттеров 80 г/м2, ф. 1510 мм</t>
  </si>
  <si>
    <t>Резка и упаковка ленты бумажной для плоттеров 80 г/м2, ф. 1680 мм</t>
  </si>
  <si>
    <t>Резка и упаковка ленты бумажной для плоттеров 80 г/м2, ф. 1800 мм</t>
  </si>
  <si>
    <t>Резка и упаковка ленты бумажной для плоттеров 80 г/м2, ф. 1900 мм</t>
  </si>
  <si>
    <t>Резка и упаковка ленты бумажной для плоттеров 80 г/м2, ф. 2000 мм</t>
  </si>
  <si>
    <t>Смена прессовых сукон марки Гешмай со снятием сукна вруч-ю</t>
  </si>
  <si>
    <t>Снятие сукна марки Гешмай</t>
  </si>
  <si>
    <t>Чистка скребками и промывка бассейнов: машинного,массного</t>
  </si>
  <si>
    <t>Чистка скребками и промывка бассейнов: приёмный, размольный</t>
  </si>
  <si>
    <t>Час.т.ставка</t>
  </si>
  <si>
    <t>Кол.дог.</t>
  </si>
  <si>
    <t>Конт-т</t>
  </si>
  <si>
    <t>Проф.м.</t>
  </si>
  <si>
    <t>За рук.бриг.</t>
  </si>
  <si>
    <t>За сложн.</t>
  </si>
  <si>
    <t>Вр.зач.БФГ</t>
  </si>
  <si>
    <t>Стаж</t>
  </si>
  <si>
    <t>Апрель, 2016 г.</t>
  </si>
  <si>
    <t>Резка и упаковка ленты бумажной для плоттеров 70 г/м2, ф. 1600 мм</t>
  </si>
  <si>
    <t>Адамюк Е.В.</t>
  </si>
  <si>
    <t>5. Данная формула совмещает в себе все первые три формулы.</t>
  </si>
  <si>
    <t>БВГ</t>
  </si>
  <si>
    <t>Здравствуйте! Подскажите как исправить или дополнить. В столбец C и D с листа БДМ№1 и БДМ№2 копируются все фамилии с профессиями кроме тех фамилий с профессиями у которых есть знак "%". Для примера: красной строки не должно быть. Таким же образом формируется список на лист "Останов" с небольшим произвольным разрывом  (12-15 строк). Не получается: 1. связать все три таблицы ("БДМ№1"-2 шт. и "БДМ№2"-1 шт.) одной формулой. 2. В листе "Всего по сменам"убрать из списка строку со знаком "%" не сместив фамилии. 3. Продолжить список фамилий с листа "БДМ№2" в листе Останов.</t>
  </si>
  <si>
    <t>Здесь нужно продолжить список аналогично БДМ№1. Должно быть так.</t>
  </si>
</sst>
</file>

<file path=xl/styles.xml><?xml version="1.0" encoding="utf-8"?>
<styleSheet xmlns="http://schemas.openxmlformats.org/spreadsheetml/2006/main">
  <numFmts count="6">
    <numFmt numFmtId="164" formatCode="0.0"/>
    <numFmt numFmtId="165" formatCode="[$-F800]dddd\,\ mmmm\ dd\,\ yyyy"/>
    <numFmt numFmtId="166" formatCode="[$-409]dd/mm/yy\ h:mm\ AM/PM;@"/>
    <numFmt numFmtId="167" formatCode="_-* #,##0.0_р_._-;\-* #,##0.0_р_._-;_-* &quot;-&quot;?_р_._-;_-@_-"/>
    <numFmt numFmtId="168" formatCode="#,##0_р_."/>
    <numFmt numFmtId="169" formatCode="dd/mm/yy;@"/>
  </numFmts>
  <fonts count="15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6"/>
      <color theme="0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20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2" borderId="0">
      <alignment horizontal="left"/>
    </xf>
    <xf numFmtId="0" fontId="7" fillId="2" borderId="0" applyFont="0" applyBorder="0" applyAlignment="0" applyProtection="0">
      <alignment horizontal="left"/>
    </xf>
  </cellStyleXfs>
  <cellXfs count="190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/>
      <protection hidden="1"/>
    </xf>
    <xf numFmtId="1" fontId="2" fillId="4" borderId="1" xfId="0" applyNumberFormat="1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Protection="1">
      <protection hidden="1"/>
    </xf>
    <xf numFmtId="0" fontId="2" fillId="5" borderId="8" xfId="0" applyFont="1" applyFill="1" applyBorder="1" applyAlignment="1" applyProtection="1">
      <alignment horizontal="center"/>
      <protection hidden="1"/>
    </xf>
    <xf numFmtId="0" fontId="2" fillId="5" borderId="7" xfId="0" applyFont="1" applyFill="1" applyBorder="1" applyAlignment="1" applyProtection="1">
      <alignment horizontal="center"/>
      <protection hidden="1"/>
    </xf>
    <xf numFmtId="0" fontId="2" fillId="5" borderId="9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4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1" fillId="3" borderId="2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14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7" fontId="1" fillId="0" borderId="1" xfId="0" applyNumberFormat="1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wrapText="1"/>
      <protection hidden="1"/>
    </xf>
    <xf numFmtId="0" fontId="1" fillId="0" borderId="1" xfId="0" applyNumberFormat="1" applyFont="1" applyBorder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0" xfId="0" applyFont="1" applyBorder="1" applyProtection="1">
      <protection hidden="1"/>
    </xf>
    <xf numFmtId="0" fontId="1" fillId="0" borderId="4" xfId="0" applyFont="1" applyFill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1" fillId="0" borderId="4" xfId="0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12" fontId="1" fillId="0" borderId="1" xfId="0" applyNumberFormat="1" applyFont="1" applyBorder="1" applyAlignment="1" applyProtection="1">
      <alignment horizontal="center" vertical="center"/>
      <protection hidden="1"/>
    </xf>
    <xf numFmtId="2" fontId="2" fillId="4" borderId="1" xfId="0" applyNumberFormat="1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Protection="1">
      <protection hidden="1"/>
    </xf>
    <xf numFmtId="2" fontId="2" fillId="4" borderId="6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1" fontId="2" fillId="4" borderId="3" xfId="0" applyNumberFormat="1" applyFont="1" applyFill="1" applyBorder="1" applyAlignment="1" applyProtection="1">
      <alignment horizontal="center" vertical="center"/>
      <protection hidden="1"/>
    </xf>
    <xf numFmtId="1" fontId="2" fillId="4" borderId="4" xfId="0" applyNumberFormat="1" applyFont="1" applyFill="1" applyBorder="1" applyAlignment="1" applyProtection="1">
      <alignment horizontal="center" vertical="center"/>
      <protection hidden="1"/>
    </xf>
    <xf numFmtId="2" fontId="2" fillId="4" borderId="10" xfId="0" applyNumberFormat="1" applyFont="1" applyFill="1" applyBorder="1" applyAlignment="1" applyProtection="1">
      <alignment horizontal="center" vertical="center"/>
      <protection hidden="1"/>
    </xf>
    <xf numFmtId="1" fontId="2" fillId="4" borderId="0" xfId="0" applyNumberFormat="1" applyFont="1" applyFill="1" applyBorder="1" applyAlignment="1" applyProtection="1">
      <alignment horizontal="center" vertical="center"/>
      <protection hidden="1"/>
    </xf>
    <xf numFmtId="1" fontId="2" fillId="4" borderId="6" xfId="0" applyNumberFormat="1" applyFont="1" applyFill="1" applyBorder="1" applyAlignment="1" applyProtection="1">
      <alignment horizontal="center" vertical="center"/>
      <protection hidden="1"/>
    </xf>
    <xf numFmtId="1" fontId="2" fillId="4" borderId="5" xfId="0" applyNumberFormat="1" applyFont="1" applyFill="1" applyBorder="1" applyAlignment="1" applyProtection="1">
      <alignment horizontal="center" vertical="center"/>
      <protection hidden="1"/>
    </xf>
    <xf numFmtId="0" fontId="2" fillId="3" borderId="13" xfId="0" applyFont="1" applyFill="1" applyBorder="1" applyAlignment="1" applyProtection="1">
      <alignment horizontal="center"/>
      <protection hidden="1"/>
    </xf>
    <xf numFmtId="1" fontId="2" fillId="4" borderId="2" xfId="0" applyNumberFormat="1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5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vertic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left" vertical="center" wrapText="1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/>
      <protection hidden="1"/>
    </xf>
    <xf numFmtId="168" fontId="1" fillId="3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1" xfId="0" applyNumberFormat="1" applyFont="1" applyBorder="1" applyAlignment="1" applyProtection="1">
      <alignment horizontal="center" vertical="center"/>
      <protection hidden="1"/>
    </xf>
    <xf numFmtId="168" fontId="1" fillId="3" borderId="9" xfId="0" applyNumberFormat="1" applyFont="1" applyFill="1" applyBorder="1" applyAlignment="1" applyProtection="1">
      <alignment horizontal="center" vertical="center"/>
      <protection hidden="1"/>
    </xf>
    <xf numFmtId="168" fontId="1" fillId="0" borderId="4" xfId="0" applyNumberFormat="1" applyFont="1" applyBorder="1" applyAlignment="1" applyProtection="1">
      <alignment horizontal="center" vertical="center"/>
      <protection hidden="1"/>
    </xf>
    <xf numFmtId="168" fontId="1" fillId="0" borderId="0" xfId="0" applyNumberFormat="1" applyFont="1" applyAlignment="1" applyProtection="1">
      <alignment horizontal="center"/>
      <protection hidden="1"/>
    </xf>
    <xf numFmtId="168" fontId="1" fillId="0" borderId="4" xfId="0" applyNumberFormat="1" applyFont="1" applyBorder="1" applyAlignment="1" applyProtection="1">
      <alignment horizontal="center"/>
      <protection hidden="1"/>
    </xf>
    <xf numFmtId="168" fontId="1" fillId="0" borderId="1" xfId="0" applyNumberFormat="1" applyFont="1" applyBorder="1" applyAlignment="1" applyProtection="1">
      <alignment horizontal="center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169" fontId="1" fillId="3" borderId="9" xfId="0" applyNumberFormat="1" applyFont="1" applyFill="1" applyBorder="1" applyAlignment="1" applyProtection="1">
      <alignment horizontal="center" vertical="center"/>
      <protection hidden="1"/>
    </xf>
    <xf numFmtId="169" fontId="1" fillId="0" borderId="4" xfId="0" applyNumberFormat="1" applyFont="1" applyBorder="1" applyAlignment="1" applyProtection="1">
      <alignment horizontal="center" vertical="center" wrapText="1"/>
      <protection hidden="1"/>
    </xf>
    <xf numFmtId="169" fontId="1" fillId="0" borderId="4" xfId="0" applyNumberFormat="1" applyFont="1" applyBorder="1" applyAlignment="1" applyProtection="1">
      <alignment horizontal="center" vertical="center"/>
      <protection hidden="1"/>
    </xf>
    <xf numFmtId="169" fontId="1" fillId="0" borderId="5" xfId="0" applyNumberFormat="1" applyFont="1" applyBorder="1" applyAlignment="1" applyProtection="1">
      <alignment horizontal="center" vertical="center" wrapText="1"/>
      <protection hidden="1"/>
    </xf>
    <xf numFmtId="169" fontId="1" fillId="0" borderId="1" xfId="0" applyNumberFormat="1" applyFont="1" applyBorder="1" applyAlignment="1" applyProtection="1">
      <alignment horizontal="center" vertical="center" wrapText="1"/>
      <protection hidden="1"/>
    </xf>
    <xf numFmtId="169" fontId="1" fillId="0" borderId="1" xfId="0" applyNumberFormat="1" applyFont="1" applyBorder="1" applyAlignment="1" applyProtection="1">
      <alignment horizontal="center" vertical="center"/>
      <protection hidden="1"/>
    </xf>
    <xf numFmtId="169" fontId="1" fillId="0" borderId="1" xfId="0" applyNumberFormat="1" applyFont="1" applyBorder="1" applyProtection="1">
      <protection hidden="1"/>
    </xf>
    <xf numFmtId="169" fontId="1" fillId="0" borderId="0" xfId="0" applyNumberFormat="1" applyFont="1" applyBorder="1" applyAlignment="1" applyProtection="1">
      <alignment horizontal="center" vertical="center"/>
      <protection hidden="1"/>
    </xf>
    <xf numFmtId="1" fontId="1" fillId="0" borderId="4" xfId="0" applyNumberFormat="1" applyFont="1" applyBorder="1" applyAlignment="1" applyProtection="1">
      <alignment horizontal="center" vertical="center" wrapText="1"/>
      <protection hidden="1"/>
    </xf>
    <xf numFmtId="0" fontId="2" fillId="4" borderId="2" xfId="0" applyFont="1" applyFill="1" applyBorder="1" applyAlignment="1" applyProtection="1">
      <alignment horizontal="left" vertical="center"/>
      <protection locked="0" hidden="1"/>
    </xf>
    <xf numFmtId="0" fontId="2" fillId="4" borderId="8" xfId="0" applyFont="1" applyFill="1" applyBorder="1" applyAlignment="1" applyProtection="1">
      <alignment horizontal="left"/>
      <protection locked="0" hidden="1"/>
    </xf>
    <xf numFmtId="0" fontId="2" fillId="4" borderId="3" xfId="0" applyFont="1" applyFill="1" applyBorder="1" applyAlignment="1" applyProtection="1">
      <alignment horizontal="left"/>
      <protection locked="0" hidden="1"/>
    </xf>
    <xf numFmtId="0" fontId="2" fillId="4" borderId="11" xfId="0" applyFont="1" applyFill="1" applyBorder="1" applyAlignment="1" applyProtection="1">
      <alignment horizontal="left" vertical="center"/>
      <protection locked="0" hidden="1"/>
    </xf>
    <xf numFmtId="0" fontId="9" fillId="4" borderId="0" xfId="0" applyFont="1" applyFill="1" applyAlignment="1" applyProtection="1">
      <protection hidden="1"/>
    </xf>
    <xf numFmtId="0" fontId="2" fillId="4" borderId="0" xfId="0" applyFont="1" applyFill="1" applyBorder="1" applyAlignment="1" applyProtection="1">
      <alignment horizontal="left"/>
      <protection hidden="1"/>
    </xf>
    <xf numFmtId="0" fontId="2" fillId="4" borderId="0" xfId="0" applyFont="1" applyFill="1" applyBorder="1" applyAlignment="1" applyProtection="1">
      <alignment horizontal="left" vertical="center"/>
      <protection hidden="1"/>
    </xf>
    <xf numFmtId="0" fontId="13" fillId="4" borderId="0" xfId="0" applyFont="1" applyFill="1" applyAlignment="1" applyProtection="1">
      <protection hidden="1"/>
    </xf>
    <xf numFmtId="164" fontId="2" fillId="4" borderId="1" xfId="0" applyNumberFormat="1" applyFont="1" applyFill="1" applyBorder="1" applyAlignment="1" applyProtection="1">
      <alignment horizontal="center" vertical="center"/>
      <protection locked="0" hidden="1"/>
    </xf>
    <xf numFmtId="0" fontId="3" fillId="4" borderId="0" xfId="0" applyFont="1" applyFill="1" applyBorder="1" applyProtection="1">
      <protection hidden="1"/>
    </xf>
    <xf numFmtId="0" fontId="2" fillId="4" borderId="4" xfId="0" applyFont="1" applyFill="1" applyBorder="1" applyAlignment="1" applyProtection="1">
      <alignment horizontal="left"/>
      <protection locked="0" hidden="1"/>
    </xf>
    <xf numFmtId="2" fontId="2" fillId="4" borderId="0" xfId="0" applyNumberFormat="1" applyFont="1" applyFill="1" applyBorder="1" applyAlignment="1" applyProtection="1">
      <alignment horizontal="center"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3" borderId="10" xfId="0" applyFont="1" applyFill="1" applyBorder="1" applyAlignment="1" applyProtection="1">
      <alignment horizontal="center" vertical="center" wrapText="1"/>
      <protection hidden="1"/>
    </xf>
    <xf numFmtId="168" fontId="1" fillId="0" borderId="0" xfId="0" applyNumberFormat="1" applyFont="1" applyBorder="1" applyAlignment="1" applyProtection="1">
      <alignment horizontal="center" vertical="center"/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49" fontId="9" fillId="4" borderId="0" xfId="0" applyNumberFormat="1" applyFont="1" applyFill="1" applyAlignment="1" applyProtection="1">
      <alignment horizontal="left" vertical="center"/>
      <protection hidden="1"/>
    </xf>
    <xf numFmtId="0" fontId="9" fillId="4" borderId="0" xfId="0" applyNumberFormat="1" applyFont="1" applyFill="1" applyAlignment="1" applyProtection="1">
      <alignment horizontal="center" vertical="center"/>
      <protection hidden="1"/>
    </xf>
    <xf numFmtId="49" fontId="9" fillId="4" borderId="0" xfId="0" applyNumberFormat="1" applyFont="1" applyFill="1" applyAlignment="1" applyProtection="1">
      <alignment horizontal="center" vertical="center"/>
      <protection hidden="1"/>
    </xf>
    <xf numFmtId="49" fontId="9" fillId="4" borderId="0" xfId="0" applyNumberFormat="1" applyFont="1" applyFill="1" applyAlignment="1" applyProtection="1">
      <protection hidden="1"/>
    </xf>
    <xf numFmtId="0" fontId="10" fillId="4" borderId="0" xfId="0" applyFont="1" applyFill="1" applyProtection="1">
      <protection hidden="1"/>
    </xf>
    <xf numFmtId="0" fontId="11" fillId="4" borderId="0" xfId="0" applyFont="1" applyFill="1" applyProtection="1">
      <protection hidden="1"/>
    </xf>
    <xf numFmtId="0" fontId="10" fillId="4" borderId="0" xfId="0" applyNumberFormat="1" applyFont="1" applyFill="1" applyProtection="1">
      <protection hidden="1"/>
    </xf>
    <xf numFmtId="0" fontId="2" fillId="4" borderId="1" xfId="0" applyFont="1" applyFill="1" applyBorder="1" applyAlignment="1" applyProtection="1">
      <alignment horizontal="center"/>
      <protection hidden="1"/>
    </xf>
    <xf numFmtId="1" fontId="2" fillId="4" borderId="1" xfId="0" applyNumberFormat="1" applyFont="1" applyFill="1" applyBorder="1" applyAlignment="1" applyProtection="1">
      <alignment horizontal="center" vertical="center"/>
      <protection locked="0" hidden="1"/>
    </xf>
    <xf numFmtId="1" fontId="2" fillId="4" borderId="3" xfId="0" applyNumberFormat="1" applyFont="1" applyFill="1" applyBorder="1" applyAlignment="1" applyProtection="1">
      <alignment horizontal="center" vertical="center"/>
      <protection locked="0" hidden="1"/>
    </xf>
    <xf numFmtId="1" fontId="2" fillId="4" borderId="4" xfId="0" applyNumberFormat="1" applyFont="1" applyFill="1" applyBorder="1" applyAlignment="1" applyProtection="1">
      <alignment horizontal="center" vertical="center"/>
      <protection locked="0" hidden="1"/>
    </xf>
    <xf numFmtId="1" fontId="2" fillId="4" borderId="6" xfId="0" applyNumberFormat="1" applyFont="1" applyFill="1" applyBorder="1" applyAlignment="1" applyProtection="1">
      <alignment horizontal="center" vertical="center"/>
      <protection locked="0" hidden="1"/>
    </xf>
    <xf numFmtId="1" fontId="2" fillId="4" borderId="0" xfId="0" applyNumberFormat="1" applyFont="1" applyFill="1" applyBorder="1" applyAlignment="1" applyProtection="1">
      <alignment horizontal="center" vertical="center"/>
      <protection locked="0" hidden="1"/>
    </xf>
    <xf numFmtId="1" fontId="2" fillId="4" borderId="5" xfId="0" applyNumberFormat="1" applyFont="1" applyFill="1" applyBorder="1" applyAlignment="1" applyProtection="1">
      <alignment horizontal="center" vertical="center"/>
      <protection locked="0" hidden="1"/>
    </xf>
    <xf numFmtId="1" fontId="2" fillId="4" borderId="1" xfId="0" applyNumberFormat="1" applyFont="1" applyFill="1" applyBorder="1" applyAlignment="1" applyProtection="1">
      <alignment horizontal="center"/>
      <protection locked="0" hidden="1"/>
    </xf>
    <xf numFmtId="167" fontId="2" fillId="4" borderId="1" xfId="0" applyNumberFormat="1" applyFont="1" applyFill="1" applyBorder="1" applyAlignment="1" applyProtection="1">
      <alignment horizontal="center" vertical="center"/>
      <protection locked="0" hidden="1"/>
    </xf>
    <xf numFmtId="0" fontId="2" fillId="4" borderId="3" xfId="0" applyFont="1" applyFill="1" applyBorder="1" applyProtection="1">
      <protection locked="0" hidden="1"/>
    </xf>
    <xf numFmtId="0" fontId="2" fillId="4" borderId="12" xfId="0" applyFont="1" applyFill="1" applyBorder="1" applyAlignment="1" applyProtection="1">
      <protection hidden="1"/>
    </xf>
    <xf numFmtId="0" fontId="2" fillId="4" borderId="0" xfId="0" applyFont="1" applyFill="1" applyBorder="1" applyAlignment="1" applyProtection="1">
      <protection hidden="1"/>
    </xf>
    <xf numFmtId="0" fontId="4" fillId="4" borderId="0" xfId="0" applyFont="1" applyFill="1" applyBorder="1" applyProtection="1">
      <protection hidden="1"/>
    </xf>
    <xf numFmtId="0" fontId="9" fillId="4" borderId="0" xfId="0" applyNumberFormat="1" applyFont="1" applyFill="1" applyAlignment="1" applyProtection="1">
      <protection hidden="1"/>
    </xf>
    <xf numFmtId="0" fontId="9" fillId="4" borderId="0" xfId="0" applyNumberFormat="1" applyFont="1" applyFill="1" applyAlignment="1" applyProtection="1">
      <alignment horizontal="left" vertical="center"/>
      <protection hidden="1"/>
    </xf>
    <xf numFmtId="49" fontId="10" fillId="4" borderId="0" xfId="0" applyNumberFormat="1" applyFont="1" applyFill="1" applyProtection="1">
      <protection hidden="1"/>
    </xf>
    <xf numFmtId="0" fontId="2" fillId="4" borderId="13" xfId="0" applyFont="1" applyFill="1" applyBorder="1" applyAlignment="1" applyProtection="1">
      <alignment horizontal="left" vertical="center"/>
      <protection locked="0" hidden="1"/>
    </xf>
    <xf numFmtId="0" fontId="12" fillId="4" borderId="0" xfId="0" applyFont="1" applyFill="1" applyBorder="1" applyAlignment="1" applyProtection="1">
      <protection locked="0" hidden="1"/>
    </xf>
    <xf numFmtId="1" fontId="2" fillId="4" borderId="2" xfId="0" applyNumberFormat="1" applyFont="1" applyFill="1" applyBorder="1" applyAlignment="1" applyProtection="1">
      <alignment horizontal="center"/>
      <protection locked="0" hidden="1"/>
    </xf>
    <xf numFmtId="1" fontId="2" fillId="4" borderId="2" xfId="0" applyNumberFormat="1" applyFont="1" applyFill="1" applyBorder="1" applyAlignment="1" applyProtection="1">
      <alignment horizontal="center" vertical="center"/>
      <protection locked="0" hidden="1"/>
    </xf>
    <xf numFmtId="0" fontId="2" fillId="4" borderId="0" xfId="0" applyFont="1" applyFill="1" applyAlignment="1" applyProtection="1">
      <alignment horizontal="right"/>
      <protection hidden="1"/>
    </xf>
    <xf numFmtId="0" fontId="2" fillId="4" borderId="8" xfId="0" applyFont="1" applyFill="1" applyBorder="1" applyAlignment="1" applyProtection="1">
      <alignment horizontal="left" vertical="center"/>
      <protection locked="0" hidden="1"/>
    </xf>
    <xf numFmtId="0" fontId="2" fillId="4" borderId="1" xfId="0" applyFont="1" applyFill="1" applyBorder="1" applyAlignment="1" applyProtection="1">
      <alignment horizontal="left"/>
      <protection locked="0"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Alignment="1" applyProtection="1">
      <protection locked="0" hidden="1"/>
    </xf>
    <xf numFmtId="0" fontId="12" fillId="4" borderId="0" xfId="0" applyFont="1" applyFill="1" applyBorder="1" applyAlignment="1" applyProtection="1">
      <protection hidden="1"/>
    </xf>
    <xf numFmtId="0" fontId="2" fillId="4" borderId="9" xfId="0" applyFont="1" applyFill="1" applyBorder="1" applyAlignment="1" applyProtection="1">
      <alignment horizontal="left" vertical="center"/>
      <protection locked="0" hidden="1"/>
    </xf>
    <xf numFmtId="0" fontId="2" fillId="6" borderId="13" xfId="0" applyFont="1" applyFill="1" applyBorder="1" applyAlignment="1" applyProtection="1">
      <alignment horizontal="left" vertical="center"/>
      <protection locked="0" hidden="1"/>
    </xf>
    <xf numFmtId="0" fontId="2" fillId="6" borderId="9" xfId="0" applyFont="1" applyFill="1" applyBorder="1" applyAlignment="1" applyProtection="1">
      <alignment horizontal="left" vertical="center"/>
      <protection locked="0" hidden="1"/>
    </xf>
    <xf numFmtId="164" fontId="8" fillId="4" borderId="1" xfId="0" applyNumberFormat="1" applyFont="1" applyFill="1" applyBorder="1" applyAlignment="1" applyProtection="1">
      <alignment vertical="top" wrapText="1"/>
      <protection hidden="1"/>
    </xf>
    <xf numFmtId="0" fontId="2" fillId="4" borderId="0" xfId="0" applyFont="1" applyFill="1" applyBorder="1" applyAlignment="1" applyProtection="1">
      <alignment horizontal="left" vertical="center"/>
      <protection locked="0" hidden="1"/>
    </xf>
    <xf numFmtId="0" fontId="2" fillId="4" borderId="0" xfId="0" applyFont="1" applyFill="1" applyBorder="1" applyAlignment="1" applyProtection="1">
      <alignment horizontal="left"/>
      <protection locked="0" hidden="1"/>
    </xf>
    <xf numFmtId="0" fontId="3" fillId="4" borderId="1" xfId="0" applyFont="1" applyFill="1" applyBorder="1" applyProtection="1">
      <protection hidden="1"/>
    </xf>
    <xf numFmtId="1" fontId="8" fillId="4" borderId="1" xfId="0" applyNumberFormat="1" applyFont="1" applyFill="1" applyBorder="1" applyAlignment="1" applyProtection="1">
      <alignment vertical="center"/>
      <protection locked="0"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14" fillId="4" borderId="0" xfId="0" applyFont="1" applyFill="1" applyProtection="1">
      <protection hidden="1"/>
    </xf>
    <xf numFmtId="0" fontId="2" fillId="3" borderId="10" xfId="0" applyFont="1" applyFill="1" applyBorder="1" applyAlignment="1" applyProtection="1">
      <alignment vertical="center"/>
      <protection hidden="1"/>
    </xf>
    <xf numFmtId="0" fontId="2" fillId="3" borderId="7" xfId="0" applyFont="1" applyFill="1" applyBorder="1" applyAlignment="1" applyProtection="1">
      <alignment vertical="center"/>
      <protection hidden="1"/>
    </xf>
    <xf numFmtId="0" fontId="4" fillId="3" borderId="3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165" fontId="2" fillId="4" borderId="0" xfId="0" applyNumberFormat="1" applyFont="1" applyFill="1" applyAlignment="1" applyProtection="1">
      <alignment horizontal="center"/>
      <protection hidden="1"/>
    </xf>
    <xf numFmtId="166" fontId="4" fillId="4" borderId="0" xfId="0" applyNumberFormat="1" applyFont="1" applyFill="1" applyAlignment="1" applyProtection="1">
      <alignment horizontal="center"/>
      <protection hidden="1"/>
    </xf>
    <xf numFmtId="0" fontId="2" fillId="3" borderId="15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49" fontId="12" fillId="4" borderId="0" xfId="0" applyNumberFormat="1" applyFont="1" applyFill="1" applyBorder="1" applyAlignment="1" applyProtection="1">
      <protection hidden="1"/>
    </xf>
    <xf numFmtId="0" fontId="12" fillId="4" borderId="0" xfId="0" applyNumberFormat="1" applyFont="1" applyFill="1" applyBorder="1" applyAlignment="1" applyProtection="1">
      <protection hidden="1"/>
    </xf>
    <xf numFmtId="0" fontId="9" fillId="4" borderId="0" xfId="0" applyFont="1" applyFill="1" applyAlignment="1" applyProtection="1">
      <protection locked="0" hidden="1"/>
    </xf>
    <xf numFmtId="0" fontId="9" fillId="4" borderId="0" xfId="0" applyNumberFormat="1" applyFont="1" applyFill="1" applyAlignment="1" applyProtection="1">
      <alignment horizontal="left"/>
      <protection hidden="1"/>
    </xf>
    <xf numFmtId="0" fontId="12" fillId="4" borderId="0" xfId="0" applyFont="1" applyFill="1" applyBorder="1" applyAlignment="1" applyProtection="1"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9" fillId="4" borderId="0" xfId="0" applyNumberFormat="1" applyFont="1" applyFill="1" applyAlignment="1" applyProtection="1">
      <alignment horizontal="center"/>
      <protection hidden="1"/>
    </xf>
    <xf numFmtId="164" fontId="8" fillId="2" borderId="15" xfId="0" applyNumberFormat="1" applyFont="1" applyFill="1" applyBorder="1" applyAlignment="1" applyProtection="1">
      <alignment horizontal="left" vertical="top" wrapText="1"/>
      <protection hidden="1"/>
    </xf>
    <xf numFmtId="164" fontId="8" fillId="2" borderId="12" xfId="0" applyNumberFormat="1" applyFont="1" applyFill="1" applyBorder="1" applyAlignment="1" applyProtection="1">
      <alignment horizontal="left" vertical="top" wrapText="1"/>
      <protection hidden="1"/>
    </xf>
    <xf numFmtId="164" fontId="8" fillId="2" borderId="11" xfId="0" applyNumberFormat="1" applyFont="1" applyFill="1" applyBorder="1" applyAlignment="1" applyProtection="1">
      <alignment horizontal="left" vertical="top" wrapText="1"/>
      <protection hidden="1"/>
    </xf>
    <xf numFmtId="164" fontId="8" fillId="2" borderId="0" xfId="0" applyNumberFormat="1" applyFont="1" applyFill="1" applyBorder="1" applyAlignment="1" applyProtection="1">
      <alignment horizontal="left" vertical="top" wrapText="1"/>
      <protection hidden="1"/>
    </xf>
    <xf numFmtId="49" fontId="9" fillId="4" borderId="0" xfId="0" applyNumberFormat="1" applyFont="1" applyFill="1" applyAlignment="1" applyProtection="1">
      <alignment horizontal="center"/>
      <protection locked="0" hidden="1"/>
    </xf>
    <xf numFmtId="0" fontId="9" fillId="4" borderId="0" xfId="0" applyFont="1" applyFill="1" applyAlignment="1" applyProtection="1">
      <alignment horizontal="center"/>
      <protection locked="0" hidden="1"/>
    </xf>
    <xf numFmtId="0" fontId="9" fillId="4" borderId="0" xfId="0" applyFont="1" applyFill="1" applyAlignment="1" applyProtection="1">
      <alignment horizontal="center"/>
      <protection hidden="1"/>
    </xf>
    <xf numFmtId="49" fontId="9" fillId="4" borderId="0" xfId="0" applyNumberFormat="1" applyFont="1" applyFill="1" applyAlignment="1" applyProtection="1">
      <protection locked="0" hidden="1"/>
    </xf>
    <xf numFmtId="0" fontId="13" fillId="4" borderId="0" xfId="0" applyFont="1" applyFill="1" applyAlignment="1" applyProtection="1">
      <alignment horizontal="center"/>
      <protection hidden="1"/>
    </xf>
    <xf numFmtId="0" fontId="6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right"/>
      <protection hidden="1"/>
    </xf>
    <xf numFmtId="0" fontId="4" fillId="3" borderId="10" xfId="0" applyFont="1" applyFill="1" applyBorder="1" applyAlignment="1" applyProtection="1">
      <alignment vertical="center"/>
      <protection hidden="1"/>
    </xf>
    <xf numFmtId="0" fontId="4" fillId="3" borderId="7" xfId="0" applyFont="1" applyFill="1" applyBorder="1" applyAlignment="1" applyProtection="1">
      <alignment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13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left"/>
      <protection hidden="1"/>
    </xf>
    <xf numFmtId="0" fontId="2" fillId="3" borderId="3" xfId="0" applyFont="1" applyFill="1" applyBorder="1" applyAlignment="1" applyProtection="1">
      <alignment horizontal="left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164" fontId="8" fillId="4" borderId="0" xfId="0" applyNumberFormat="1" applyFont="1" applyFill="1" applyBorder="1" applyAlignment="1" applyProtection="1">
      <alignment vertical="top" wrapText="1"/>
      <protection hidden="1"/>
    </xf>
    <xf numFmtId="1" fontId="8" fillId="2" borderId="15" xfId="0" applyNumberFormat="1" applyFont="1" applyFill="1" applyBorder="1" applyAlignment="1" applyProtection="1">
      <alignment horizontal="left" vertical="center" wrapText="1"/>
      <protection locked="0" hidden="1"/>
    </xf>
    <xf numFmtId="1" fontId="8" fillId="2" borderId="12" xfId="0" applyNumberFormat="1" applyFont="1" applyFill="1" applyBorder="1" applyAlignment="1" applyProtection="1">
      <alignment horizontal="left" vertical="center" wrapText="1"/>
      <protection locked="0" hidden="1"/>
    </xf>
    <xf numFmtId="1" fontId="8" fillId="2" borderId="16" xfId="0" applyNumberFormat="1" applyFont="1" applyFill="1" applyBorder="1" applyAlignment="1" applyProtection="1">
      <alignment horizontal="left" vertical="center" wrapText="1"/>
      <protection locked="0" hidden="1"/>
    </xf>
    <xf numFmtId="1" fontId="8" fillId="2" borderId="11" xfId="0" applyNumberFormat="1" applyFont="1" applyFill="1" applyBorder="1" applyAlignment="1" applyProtection="1">
      <alignment horizontal="left" vertical="center" wrapText="1"/>
      <protection locked="0" hidden="1"/>
    </xf>
    <xf numFmtId="1" fontId="8" fillId="2" borderId="0" xfId="0" applyNumberFormat="1" applyFont="1" applyFill="1" applyBorder="1" applyAlignment="1" applyProtection="1">
      <alignment horizontal="left" vertical="center" wrapText="1"/>
      <protection locked="0" hidden="1"/>
    </xf>
    <xf numFmtId="1" fontId="8" fillId="2" borderId="5" xfId="0" applyNumberFormat="1" applyFont="1" applyFill="1" applyBorder="1" applyAlignment="1" applyProtection="1">
      <alignment horizontal="left" vertical="center" wrapText="1"/>
      <protection locked="0" hidden="1"/>
    </xf>
    <xf numFmtId="1" fontId="8" fillId="2" borderId="13" xfId="0" applyNumberFormat="1" applyFont="1" applyFill="1" applyBorder="1" applyAlignment="1" applyProtection="1">
      <alignment horizontal="left" vertical="center" wrapText="1"/>
      <protection locked="0" hidden="1"/>
    </xf>
    <xf numFmtId="1" fontId="8" fillId="2" borderId="8" xfId="0" applyNumberFormat="1" applyFont="1" applyFill="1" applyBorder="1" applyAlignment="1" applyProtection="1">
      <alignment horizontal="left" vertical="center" wrapText="1"/>
      <protection locked="0" hidden="1"/>
    </xf>
    <xf numFmtId="1" fontId="8" fillId="2" borderId="9" xfId="0" applyNumberFormat="1" applyFont="1" applyFill="1" applyBorder="1" applyAlignment="1" applyProtection="1">
      <alignment horizontal="left" vertical="center" wrapText="1"/>
      <protection locked="0" hidden="1"/>
    </xf>
    <xf numFmtId="0" fontId="2" fillId="4" borderId="15" xfId="0" applyFont="1" applyFill="1" applyBorder="1" applyAlignment="1" applyProtection="1">
      <alignment horizontal="left" vertical="center"/>
      <protection locked="0" hidden="1"/>
    </xf>
    <xf numFmtId="0" fontId="2" fillId="4" borderId="12" xfId="0" applyFont="1" applyFill="1" applyBorder="1" applyAlignment="1" applyProtection="1">
      <alignment horizontal="left"/>
      <protection locked="0" hidden="1"/>
    </xf>
    <xf numFmtId="0" fontId="3" fillId="4" borderId="3" xfId="0" applyFont="1" applyFill="1" applyBorder="1" applyProtection="1">
      <protection hidden="1"/>
    </xf>
  </cellXfs>
  <cellStyles count="3">
    <cellStyle name="Обычный" xfId="0" builtinId="0"/>
    <cellStyle name="Стиль 1" xfId="1"/>
    <cellStyle name="Стиль 2" xfId="2"/>
  </cellStyles>
  <dxfs count="21"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1" defaultTableStyle="TableStyleMedium9" defaultPivotStyle="PivotStyleLight16">
    <tableStyle name="Стиль таблицы 1" pivot="0" count="0"/>
  </tableStyles>
  <colors>
    <mruColors>
      <color rgb="FF11930E"/>
      <color rgb="FF00B050"/>
      <color rgb="FF009900"/>
      <color rgb="FFFF9999"/>
      <color rgb="FF31FFFF"/>
      <color rgb="FFABE3FF"/>
      <color rgb="FFFFFFCC"/>
      <color rgb="FFFFFFB9"/>
      <color rgb="FFCBCBCB"/>
      <color rgb="FF5F912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F0"/>
    <pageSetUpPr autoPageBreaks="0"/>
  </sheetPr>
  <dimension ref="B1:AJ48"/>
  <sheetViews>
    <sheetView showGridLines="0" showRowColHeaders="0" showZeros="0" tabSelected="1" zoomScale="90" zoomScaleNormal="90" zoomScalePageLayoutView="50" workbookViewId="0">
      <pane ySplit="4" topLeftCell="A17" activePane="bottomLeft" state="frozen"/>
      <selection pane="bottomLeft" activeCell="T30" sqref="T30"/>
    </sheetView>
  </sheetViews>
  <sheetFormatPr defaultRowHeight="15"/>
  <cols>
    <col min="1" max="1" width="5.28515625" style="4" customWidth="1"/>
    <col min="2" max="2" width="6" style="4" customWidth="1"/>
    <col min="3" max="3" width="19.28515625" style="4" customWidth="1"/>
    <col min="4" max="4" width="19.7109375" style="4" customWidth="1"/>
    <col min="5" max="35" width="4.28515625" style="4" customWidth="1"/>
    <col min="36" max="36" width="11.5703125" style="4" customWidth="1"/>
    <col min="37" max="16384" width="9.140625" style="4"/>
  </cols>
  <sheetData>
    <row r="1" spans="2:36" ht="22.5">
      <c r="B1" s="148"/>
      <c r="C1" s="148"/>
      <c r="D1" s="91"/>
      <c r="E1" s="92"/>
      <c r="F1" s="93"/>
      <c r="G1" s="94"/>
      <c r="H1" s="122"/>
      <c r="I1" s="147" t="s">
        <v>157</v>
      </c>
      <c r="J1" s="147"/>
      <c r="K1" s="147"/>
      <c r="L1" s="147"/>
      <c r="M1" s="147"/>
      <c r="N1" s="147"/>
      <c r="O1" s="134" t="s">
        <v>0</v>
      </c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95"/>
      <c r="AG1" s="96" t="s">
        <v>3</v>
      </c>
      <c r="AH1" s="96"/>
      <c r="AI1" s="96"/>
      <c r="AJ1" s="96"/>
    </row>
    <row r="2" spans="2:36">
      <c r="B2" s="97"/>
      <c r="C2" s="97"/>
      <c r="D2" s="97"/>
      <c r="E2" s="97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2:36" ht="15.75">
      <c r="B3" s="135" t="s">
        <v>2</v>
      </c>
      <c r="C3" s="141" t="s">
        <v>7</v>
      </c>
      <c r="D3" s="142"/>
      <c r="E3" s="137" t="s">
        <v>1</v>
      </c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8"/>
      <c r="AJ3" s="132" t="s">
        <v>6</v>
      </c>
    </row>
    <row r="4" spans="2:36" ht="15.75">
      <c r="B4" s="136"/>
      <c r="C4" s="143"/>
      <c r="D4" s="144"/>
      <c r="E4" s="5">
        <v>1</v>
      </c>
      <c r="F4" s="6">
        <v>2</v>
      </c>
      <c r="G4" s="5">
        <v>3</v>
      </c>
      <c r="H4" s="6">
        <v>4</v>
      </c>
      <c r="I4" s="5">
        <v>5</v>
      </c>
      <c r="J4" s="6">
        <v>6</v>
      </c>
      <c r="K4" s="5">
        <v>7</v>
      </c>
      <c r="L4" s="6">
        <v>8</v>
      </c>
      <c r="M4" s="5">
        <v>9</v>
      </c>
      <c r="N4" s="6">
        <v>10</v>
      </c>
      <c r="O4" s="5">
        <v>11</v>
      </c>
      <c r="P4" s="6">
        <v>12</v>
      </c>
      <c r="Q4" s="5">
        <v>13</v>
      </c>
      <c r="R4" s="6">
        <v>14</v>
      </c>
      <c r="S4" s="5">
        <v>15</v>
      </c>
      <c r="T4" s="6">
        <v>16</v>
      </c>
      <c r="U4" s="5">
        <v>17</v>
      </c>
      <c r="V4" s="6">
        <v>18</v>
      </c>
      <c r="W4" s="5">
        <v>19</v>
      </c>
      <c r="X4" s="6">
        <v>20</v>
      </c>
      <c r="Y4" s="5">
        <v>21</v>
      </c>
      <c r="Z4" s="6">
        <v>22</v>
      </c>
      <c r="AA4" s="5">
        <v>23</v>
      </c>
      <c r="AB4" s="6">
        <v>24</v>
      </c>
      <c r="AC4" s="5">
        <v>25</v>
      </c>
      <c r="AD4" s="6">
        <v>26</v>
      </c>
      <c r="AE4" s="5">
        <v>27</v>
      </c>
      <c r="AF4" s="6">
        <v>28</v>
      </c>
      <c r="AG4" s="5">
        <v>29</v>
      </c>
      <c r="AH4" s="6">
        <v>30</v>
      </c>
      <c r="AI4" s="7">
        <v>31</v>
      </c>
      <c r="AJ4" s="133"/>
    </row>
    <row r="5" spans="2:36" ht="15.75">
      <c r="B5" s="98">
        <f>IFERROR(VLOOKUP(C5,Список!$B$2:$C$150,2,0),"")</f>
        <v>465</v>
      </c>
      <c r="C5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Рудницкий С.Н.</v>
      </c>
      <c r="D5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Машинист 6 р.</v>
      </c>
      <c r="E5" s="99"/>
      <c r="F5" s="99">
        <v>1</v>
      </c>
      <c r="G5" s="99"/>
      <c r="H5" s="99"/>
      <c r="I5" s="99"/>
      <c r="J5" s="99"/>
      <c r="K5" s="100"/>
      <c r="L5" s="99"/>
      <c r="M5" s="100"/>
      <c r="N5" s="99"/>
      <c r="O5" s="100"/>
      <c r="P5" s="99"/>
      <c r="Q5" s="100"/>
      <c r="R5" s="99"/>
      <c r="S5" s="100"/>
      <c r="T5" s="99"/>
      <c r="U5" s="100"/>
      <c r="V5" s="99"/>
      <c r="W5" s="100"/>
      <c r="X5" s="99"/>
      <c r="Y5" s="100"/>
      <c r="Z5" s="99"/>
      <c r="AA5" s="100"/>
      <c r="AB5" s="99"/>
      <c r="AC5" s="100"/>
      <c r="AD5" s="99"/>
      <c r="AE5" s="100"/>
      <c r="AF5" s="99"/>
      <c r="AG5" s="100"/>
      <c r="AH5" s="99"/>
      <c r="AI5" s="101"/>
      <c r="AJ5" s="1">
        <f t="array" ref="AJ5">SUM(IF(RIGHTB(D5)="%",TEXT(INDEX(E$5:AI5,MATCH(LEFTB(C5,SEARCH("%",D5)),(C$5:C5),),),"0;0;12")*E5:AI5%,E5:AI5))</f>
        <v>1</v>
      </c>
    </row>
    <row r="6" spans="2:36" ht="15.75">
      <c r="B6" s="98">
        <f>IFERROR(VLOOKUP(C6,Список!$B$2:$C$150,2,0),"")</f>
        <v>465</v>
      </c>
      <c r="C6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Рудницкий С.Н.</v>
      </c>
      <c r="D6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Накатчик 3 р. %</v>
      </c>
      <c r="E6" s="102"/>
      <c r="F6" s="99"/>
      <c r="G6" s="103"/>
      <c r="H6" s="102"/>
      <c r="I6" s="103"/>
      <c r="J6" s="102"/>
      <c r="K6" s="103"/>
      <c r="L6" s="102"/>
      <c r="M6" s="103"/>
      <c r="N6" s="102"/>
      <c r="O6" s="103"/>
      <c r="P6" s="102"/>
      <c r="Q6" s="103"/>
      <c r="R6" s="102"/>
      <c r="S6" s="103"/>
      <c r="T6" s="102"/>
      <c r="U6" s="103"/>
      <c r="V6" s="102"/>
      <c r="W6" s="103"/>
      <c r="X6" s="102"/>
      <c r="Y6" s="103"/>
      <c r="Z6" s="102"/>
      <c r="AA6" s="103"/>
      <c r="AB6" s="102"/>
      <c r="AC6" s="103"/>
      <c r="AD6" s="102"/>
      <c r="AE6" s="103"/>
      <c r="AF6" s="102"/>
      <c r="AG6" s="103"/>
      <c r="AH6" s="102"/>
      <c r="AI6" s="104"/>
      <c r="AJ6" s="1">
        <f t="array" ref="AJ6">SUM(IF(RIGHTB(D6)="%",TEXT(INDEX(E$5:AI6,MATCH(LEFTB(C6,SEARCH("%",D6)),(C$5:C6),),),"0;0;12")*E6:AI6%,E6:AI6))</f>
        <v>0</v>
      </c>
    </row>
    <row r="7" spans="2:36" ht="15.75">
      <c r="B7" s="98">
        <f>IFERROR(VLOOKUP(C7,Список!$B$2:$C$150,2,0),"")</f>
        <v>761</v>
      </c>
      <c r="C7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Сацук А.Л.</v>
      </c>
      <c r="D7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Машинист 6 р.</v>
      </c>
      <c r="E7" s="99"/>
      <c r="F7" s="99"/>
      <c r="G7" s="100"/>
      <c r="H7" s="99"/>
      <c r="I7" s="100"/>
      <c r="J7" s="99"/>
      <c r="K7" s="100"/>
      <c r="L7" s="99"/>
      <c r="M7" s="100"/>
      <c r="N7" s="99"/>
      <c r="O7" s="100"/>
      <c r="P7" s="99"/>
      <c r="Q7" s="100"/>
      <c r="R7" s="99"/>
      <c r="S7" s="100"/>
      <c r="T7" s="99"/>
      <c r="U7" s="100"/>
      <c r="V7" s="99"/>
      <c r="W7" s="100"/>
      <c r="X7" s="99"/>
      <c r="Y7" s="100"/>
      <c r="Z7" s="99"/>
      <c r="AA7" s="100"/>
      <c r="AB7" s="99"/>
      <c r="AC7" s="100"/>
      <c r="AD7" s="99"/>
      <c r="AE7" s="100"/>
      <c r="AF7" s="99"/>
      <c r="AG7" s="100"/>
      <c r="AH7" s="99"/>
      <c r="AI7" s="101"/>
      <c r="AJ7" s="1">
        <f t="array" ref="AJ7">SUM(IF(RIGHTB(D7)="%",TEXT(INDEX(E$5:AI7,MATCH(LEFTB(C7,SEARCH("%",D7)),(C$5:C7),),),"0;0;12")*E7:AI7%,E7:AI7))</f>
        <v>0</v>
      </c>
    </row>
    <row r="8" spans="2:36" ht="15.75">
      <c r="B8" s="98">
        <f>IFERROR(VLOOKUP(C8,Список!$B$2:$C$150,2,0),"")</f>
        <v>761</v>
      </c>
      <c r="C8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Сацук А.Л.</v>
      </c>
      <c r="D8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Ап.пр.хим.р-в 3 р. %</v>
      </c>
      <c r="E8" s="105"/>
      <c r="F8" s="99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">
        <f t="array" ref="AJ8">SUM(IF(RIGHTB(D8)="%",TEXT(INDEX(E$5:AI8,MATCH(LEFTB(C8,SEARCH("%",D8)),(C$5:C8),),),"0;0;12")*E8:AI8%,E8:AI8))</f>
        <v>0</v>
      </c>
    </row>
    <row r="9" spans="2:36" ht="15.75">
      <c r="B9" s="98">
        <f>IFERROR(VLOOKUP(C9,Список!$B$2:$C$150,2,0),"")</f>
        <v>643</v>
      </c>
      <c r="C9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Буракова Т.А.</v>
      </c>
      <c r="D9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Перссовщик 3 р.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1">
        <f t="array" ref="AJ9">SUM(IF(RIGHTB(D9)="%",TEXT(INDEX(E$5:AI9,MATCH(LEFTB(C9,SEARCH("%",D9)),(C$5:C9),),),"0;0;12")*E9:AI9%,E9:AI9))</f>
        <v>0</v>
      </c>
    </row>
    <row r="10" spans="2:36" ht="15.75">
      <c r="B10" s="98">
        <f>IFERROR(VLOOKUP(C10,Список!$B$2:$C$150,2,0),"")</f>
        <v>1179</v>
      </c>
      <c r="C10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Брикун М.А.</v>
      </c>
      <c r="D10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Сушильщик 4 р.</v>
      </c>
      <c r="E10" s="99"/>
      <c r="F10" s="99"/>
      <c r="G10" s="100"/>
      <c r="H10" s="99"/>
      <c r="I10" s="100"/>
      <c r="J10" s="99"/>
      <c r="K10" s="100"/>
      <c r="L10" s="99"/>
      <c r="M10" s="100"/>
      <c r="N10" s="99"/>
      <c r="O10" s="100"/>
      <c r="P10" s="99"/>
      <c r="Q10" s="100"/>
      <c r="R10" s="99"/>
      <c r="S10" s="100"/>
      <c r="T10" s="99"/>
      <c r="U10" s="100"/>
      <c r="V10" s="99"/>
      <c r="W10" s="100"/>
      <c r="X10" s="99"/>
      <c r="Y10" s="100"/>
      <c r="Z10" s="99"/>
      <c r="AA10" s="100"/>
      <c r="AB10" s="99"/>
      <c r="AC10" s="100"/>
      <c r="AD10" s="99"/>
      <c r="AE10" s="100"/>
      <c r="AF10" s="99"/>
      <c r="AG10" s="100"/>
      <c r="AH10" s="99"/>
      <c r="AI10" s="101"/>
      <c r="AJ10" s="1">
        <f t="array" ref="AJ10">SUM(IF(RIGHTB(D10)="%",TEXT(INDEX(E$5:AI10,MATCH(LEFTB(C10,SEARCH("%",D10)),(C$5:C10),),),"0;0;12")*E10:AI10%,E10:AI10))</f>
        <v>0</v>
      </c>
    </row>
    <row r="11" spans="2:36" ht="15.75">
      <c r="B11" s="98">
        <f>IFERROR(VLOOKUP(C11,Список!$B$2:$C$150,2,0),"")</f>
        <v>1179</v>
      </c>
      <c r="C11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Брикун М.А.</v>
      </c>
      <c r="D11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Накатчик 3 р. %</v>
      </c>
      <c r="E11" s="102"/>
      <c r="F11" s="99"/>
      <c r="G11" s="103"/>
      <c r="H11" s="102"/>
      <c r="I11" s="103"/>
      <c r="J11" s="102"/>
      <c r="K11" s="103"/>
      <c r="L11" s="102"/>
      <c r="M11" s="103"/>
      <c r="N11" s="102"/>
      <c r="O11" s="103"/>
      <c r="P11" s="102"/>
      <c r="Q11" s="103"/>
      <c r="R11" s="102"/>
      <c r="S11" s="103"/>
      <c r="T11" s="102"/>
      <c r="U11" s="103"/>
      <c r="V11" s="102"/>
      <c r="W11" s="103"/>
      <c r="X11" s="102"/>
      <c r="Y11" s="103"/>
      <c r="Z11" s="102"/>
      <c r="AA11" s="103"/>
      <c r="AB11" s="102"/>
      <c r="AC11" s="103"/>
      <c r="AD11" s="102"/>
      <c r="AE11" s="103"/>
      <c r="AF11" s="102"/>
      <c r="AG11" s="103"/>
      <c r="AH11" s="102"/>
      <c r="AI11" s="104"/>
      <c r="AJ11" s="1">
        <f t="array" ref="AJ11">SUM(IF(RIGHTB(D11)="%",TEXT(INDEX(E$5:AI11,MATCH(LEFTB(C11,SEARCH("%",D11)),(C$5:C11),),),"0;0;12")*E11:AI11%,E11:AI11))</f>
        <v>0</v>
      </c>
    </row>
    <row r="12" spans="2:36" ht="15.75">
      <c r="B12" s="98">
        <f>IFERROR(VLOOKUP(C12,Список!$B$2:$C$150,2,0),"")</f>
        <v>1291</v>
      </c>
      <c r="C12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Лысковец А.Н.</v>
      </c>
      <c r="D12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Накатчик 3 р.</v>
      </c>
      <c r="E12" s="99"/>
      <c r="F12" s="99"/>
      <c r="G12" s="100"/>
      <c r="H12" s="99"/>
      <c r="I12" s="100"/>
      <c r="J12" s="99"/>
      <c r="K12" s="100"/>
      <c r="L12" s="99"/>
      <c r="M12" s="100"/>
      <c r="N12" s="99"/>
      <c r="O12" s="100"/>
      <c r="P12" s="99"/>
      <c r="Q12" s="100"/>
      <c r="R12" s="99"/>
      <c r="S12" s="100"/>
      <c r="T12" s="99"/>
      <c r="U12" s="100"/>
      <c r="V12" s="99"/>
      <c r="W12" s="100"/>
      <c r="X12" s="99"/>
      <c r="Y12" s="100"/>
      <c r="Z12" s="99"/>
      <c r="AA12" s="100"/>
      <c r="AB12" s="99"/>
      <c r="AC12" s="100"/>
      <c r="AD12" s="99"/>
      <c r="AE12" s="100"/>
      <c r="AF12" s="99"/>
      <c r="AG12" s="99"/>
      <c r="AH12" s="99"/>
      <c r="AI12" s="101"/>
      <c r="AJ12" s="1">
        <f t="array" ref="AJ12">SUM(IF(RIGHTB(D12)="%",TEXT(INDEX(E$5:AI12,MATCH(LEFTB(C12,SEARCH("%",D12)),(C$5:C12),),),"0;0;12")*E12:AI12%,E12:AI12))</f>
        <v>0</v>
      </c>
    </row>
    <row r="13" spans="2:36" ht="15.75">
      <c r="B13" s="98">
        <f>IFERROR(VLOOKUP(C13,Список!$B$2:$C$150,2,0),"")</f>
        <v>491</v>
      </c>
      <c r="C13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Жизневская Т.Ф.</v>
      </c>
      <c r="D13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Разм. РПО 4 р.</v>
      </c>
      <c r="E13" s="102"/>
      <c r="F13" s="99"/>
      <c r="G13" s="103"/>
      <c r="H13" s="102"/>
      <c r="I13" s="103"/>
      <c r="J13" s="102"/>
      <c r="K13" s="103"/>
      <c r="L13" s="102"/>
      <c r="M13" s="103"/>
      <c r="N13" s="102"/>
      <c r="O13" s="103"/>
      <c r="P13" s="102"/>
      <c r="Q13" s="103"/>
      <c r="R13" s="102"/>
      <c r="S13" s="103"/>
      <c r="T13" s="102"/>
      <c r="U13" s="103"/>
      <c r="V13" s="102"/>
      <c r="W13" s="103"/>
      <c r="X13" s="102"/>
      <c r="Y13" s="103"/>
      <c r="Z13" s="102"/>
      <c r="AA13" s="103"/>
      <c r="AB13" s="102"/>
      <c r="AC13" s="103"/>
      <c r="AD13" s="99"/>
      <c r="AE13" s="99"/>
      <c r="AF13" s="102"/>
      <c r="AG13" s="103"/>
      <c r="AH13" s="102"/>
      <c r="AI13" s="104"/>
      <c r="AJ13" s="1">
        <f t="array" ref="AJ13">SUM(IF(RIGHTB(D13)="%",TEXT(INDEX(E$5:AI13,MATCH(LEFTB(C13,SEARCH("%",D13)),(C$5:C13),),),"0;0;12")*E13:AI13%,E13:AI13))</f>
        <v>0</v>
      </c>
    </row>
    <row r="14" spans="2:36" ht="15.75">
      <c r="B14" s="98">
        <f>IFERROR(VLOOKUP(C14,Список!$B$2:$C$150,2,0),"")</f>
        <v>856</v>
      </c>
      <c r="C14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Залан А.В.</v>
      </c>
      <c r="D14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Разм. РПО 3 р.</v>
      </c>
      <c r="E14" s="99"/>
      <c r="F14" s="99"/>
      <c r="G14" s="100"/>
      <c r="H14" s="106"/>
      <c r="I14" s="100"/>
      <c r="J14" s="99"/>
      <c r="K14" s="100"/>
      <c r="L14" s="99"/>
      <c r="M14" s="100"/>
      <c r="N14" s="99"/>
      <c r="O14" s="100"/>
      <c r="P14" s="99"/>
      <c r="Q14" s="100"/>
      <c r="R14" s="99"/>
      <c r="S14" s="100"/>
      <c r="T14" s="99"/>
      <c r="U14" s="100"/>
      <c r="V14" s="99"/>
      <c r="W14" s="100"/>
      <c r="X14" s="99"/>
      <c r="Y14" s="100"/>
      <c r="Z14" s="99"/>
      <c r="AA14" s="100"/>
      <c r="AB14" s="99"/>
      <c r="AC14" s="100"/>
      <c r="AD14" s="99"/>
      <c r="AE14" s="99"/>
      <c r="AF14" s="99"/>
      <c r="AG14" s="100"/>
      <c r="AH14" s="99"/>
      <c r="AI14" s="101"/>
      <c r="AJ14" s="1">
        <f t="array" ref="AJ14">SUM(IF(RIGHTB(D14)="%",TEXT(INDEX(E$5:AI14,MATCH(LEFTB(C14,SEARCH("%",D14)),(C$5:C14),),),"0;0;12")*E14:AI14%,E14:AI14))</f>
        <v>0</v>
      </c>
    </row>
    <row r="15" spans="2:36" ht="15.75">
      <c r="B15" s="98">
        <f>IFERROR(VLOOKUP(C15,Список!$B$2:$C$150,2,0),"")</f>
        <v>1311</v>
      </c>
      <c r="C15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Грузд Н.Н.</v>
      </c>
      <c r="D15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Ап.пр.хим.р-в 3 р.</v>
      </c>
      <c r="E15" s="99"/>
      <c r="F15" s="99"/>
      <c r="G15" s="100"/>
      <c r="H15" s="99"/>
      <c r="I15" s="100"/>
      <c r="J15" s="99"/>
      <c r="K15" s="100"/>
      <c r="L15" s="99"/>
      <c r="M15" s="100"/>
      <c r="N15" s="99"/>
      <c r="O15" s="100"/>
      <c r="P15" s="99"/>
      <c r="Q15" s="100"/>
      <c r="R15" s="99"/>
      <c r="S15" s="100"/>
      <c r="T15" s="99"/>
      <c r="U15" s="100"/>
      <c r="V15" s="99"/>
      <c r="W15" s="100"/>
      <c r="X15" s="99"/>
      <c r="Y15" s="100"/>
      <c r="Z15" s="99"/>
      <c r="AA15" s="100"/>
      <c r="AB15" s="99"/>
      <c r="AC15" s="100"/>
      <c r="AD15" s="99"/>
      <c r="AE15" s="99"/>
      <c r="AF15" s="99"/>
      <c r="AG15" s="100"/>
      <c r="AH15" s="99"/>
      <c r="AI15" s="101"/>
      <c r="AJ15" s="1">
        <f t="array" ref="AJ15">SUM(IF(RIGHTB(D15)="%",TEXT(INDEX(E$5:AI15,MATCH(LEFTB(C15,SEARCH("%",D15)),(C$5:C15),),),"0;0;12")*E15:AI15%,E15:AI15))</f>
        <v>0</v>
      </c>
    </row>
    <row r="16" spans="2:36" ht="15.75">
      <c r="B16" s="98">
        <f>IFERROR(VLOOKUP(C16,Список!$B$2:$C$150,2,0),"")</f>
        <v>170</v>
      </c>
      <c r="C16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Кудревич О.М.</v>
      </c>
      <c r="D16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Ап.пр.хим.р-в 3 р.</v>
      </c>
      <c r="E16" s="99"/>
      <c r="F16" s="99"/>
      <c r="G16" s="100"/>
      <c r="H16" s="99"/>
      <c r="I16" s="100"/>
      <c r="J16" s="99"/>
      <c r="K16" s="100"/>
      <c r="L16" s="99"/>
      <c r="M16" s="100"/>
      <c r="N16" s="99"/>
      <c r="O16" s="100"/>
      <c r="P16" s="99"/>
      <c r="Q16" s="100"/>
      <c r="R16" s="99"/>
      <c r="S16" s="100"/>
      <c r="T16" s="99"/>
      <c r="U16" s="100"/>
      <c r="V16" s="99"/>
      <c r="W16" s="100"/>
      <c r="X16" s="99"/>
      <c r="Y16" s="100"/>
      <c r="Z16" s="99"/>
      <c r="AA16" s="100"/>
      <c r="AB16" s="99"/>
      <c r="AC16" s="100"/>
      <c r="AD16" s="99"/>
      <c r="AE16" s="100"/>
      <c r="AF16" s="99"/>
      <c r="AG16" s="100"/>
      <c r="AH16" s="99"/>
      <c r="AI16" s="101"/>
      <c r="AJ16" s="1">
        <f t="array" ref="AJ16">SUM(IF(RIGHTB(D16)="%",TEXT(INDEX(E$5:AI16,MATCH(LEFTB(C16,SEARCH("%",D16)),(C$5:C16),),),"0;0;12")*E16:AI16%,E16:AI16))</f>
        <v>0</v>
      </c>
    </row>
    <row r="17" spans="2:36" ht="15.75">
      <c r="B17" s="98">
        <f>IFERROR(VLOOKUP(C17,Список!$B$2:$C$150,2,0),"")</f>
        <v>509</v>
      </c>
      <c r="C17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Заяц Т.Л.</v>
      </c>
      <c r="D17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Резчик ПРС 4 р.</v>
      </c>
      <c r="E17" s="102"/>
      <c r="F17" s="99"/>
      <c r="G17" s="103"/>
      <c r="H17" s="102"/>
      <c r="I17" s="103"/>
      <c r="J17" s="102"/>
      <c r="K17" s="103"/>
      <c r="L17" s="102"/>
      <c r="M17" s="103"/>
      <c r="N17" s="102"/>
      <c r="O17" s="103"/>
      <c r="P17" s="102"/>
      <c r="Q17" s="103"/>
      <c r="R17" s="102"/>
      <c r="S17" s="103"/>
      <c r="T17" s="102"/>
      <c r="U17" s="103"/>
      <c r="V17" s="102"/>
      <c r="W17" s="103"/>
      <c r="X17" s="102"/>
      <c r="Y17" s="103"/>
      <c r="Z17" s="102"/>
      <c r="AA17" s="103"/>
      <c r="AB17" s="102"/>
      <c r="AC17" s="103"/>
      <c r="AD17" s="102"/>
      <c r="AE17" s="103"/>
      <c r="AF17" s="102"/>
      <c r="AG17" s="103"/>
      <c r="AH17" s="102"/>
      <c r="AI17" s="104"/>
      <c r="AJ17" s="1">
        <f t="array" ref="AJ17">SUM(IF(RIGHTB(D17)="%",TEXT(INDEX(E$5:AI17,MATCH(LEFTB(C17,SEARCH("%",D17)),(C$5:C17),),),"0;0;12")*E17:AI17%,E17:AI17))</f>
        <v>0</v>
      </c>
    </row>
    <row r="18" spans="2:36" ht="15.75">
      <c r="B18" s="98" t="str">
        <f>IFERROR(VLOOKUP(C18,Список!$B$2:$C$150,2,0),"")</f>
        <v/>
      </c>
      <c r="C18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18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18" s="99"/>
      <c r="F18" s="99"/>
      <c r="G18" s="100"/>
      <c r="H18" s="99"/>
      <c r="I18" s="100"/>
      <c r="J18" s="99"/>
      <c r="K18" s="100"/>
      <c r="L18" s="99"/>
      <c r="M18" s="100"/>
      <c r="N18" s="99"/>
      <c r="O18" s="100"/>
      <c r="P18" s="99"/>
      <c r="Q18" s="100"/>
      <c r="R18" s="99"/>
      <c r="S18" s="100"/>
      <c r="T18" s="99"/>
      <c r="U18" s="100"/>
      <c r="V18" s="99"/>
      <c r="W18" s="100"/>
      <c r="X18" s="99"/>
      <c r="Y18" s="100"/>
      <c r="Z18" s="99"/>
      <c r="AA18" s="100"/>
      <c r="AB18" s="99"/>
      <c r="AC18" s="100"/>
      <c r="AD18" s="99"/>
      <c r="AE18" s="100"/>
      <c r="AF18" s="99"/>
      <c r="AG18" s="100"/>
      <c r="AH18" s="99"/>
      <c r="AI18" s="101"/>
      <c r="AJ18" s="1">
        <f t="array" ref="AJ18">SUM(IF(RIGHTB(D18)="%",TEXT(INDEX(E$5:AI18,MATCH(LEFTB(C18,SEARCH("%",D18)),(C$5:C18),),),"0;0;12")*E18:AI18%,E18:AI18))</f>
        <v>0</v>
      </c>
    </row>
    <row r="19" spans="2:36" ht="15.75">
      <c r="B19" s="98" t="str">
        <f>IFERROR(VLOOKUP(C19,Список!$B$2:$C$150,2,0),"")</f>
        <v/>
      </c>
      <c r="C19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19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19" s="102"/>
      <c r="F19" s="99"/>
      <c r="G19" s="103"/>
      <c r="H19" s="102"/>
      <c r="I19" s="103"/>
      <c r="J19" s="102"/>
      <c r="K19" s="103"/>
      <c r="L19" s="102"/>
      <c r="M19" s="103"/>
      <c r="N19" s="102"/>
      <c r="O19" s="103"/>
      <c r="P19" s="102"/>
      <c r="Q19" s="103"/>
      <c r="R19" s="102"/>
      <c r="S19" s="103"/>
      <c r="T19" s="102"/>
      <c r="U19" s="103"/>
      <c r="V19" s="102"/>
      <c r="W19" s="103"/>
      <c r="X19" s="102"/>
      <c r="Y19" s="103"/>
      <c r="Z19" s="102"/>
      <c r="AA19" s="103"/>
      <c r="AB19" s="102"/>
      <c r="AC19" s="103"/>
      <c r="AD19" s="102"/>
      <c r="AE19" s="103"/>
      <c r="AF19" s="102"/>
      <c r="AG19" s="103"/>
      <c r="AH19" s="102"/>
      <c r="AI19" s="104"/>
      <c r="AJ19" s="1">
        <f t="array" ref="AJ19">SUM(IF(RIGHTB(D19)="%",TEXT(INDEX(E$5:AI19,MATCH(LEFTB(C19,SEARCH("%",D19)),(C$5:C19),),),"0;0;12")*E19:AI19%,E19:AI19))</f>
        <v>0</v>
      </c>
    </row>
    <row r="20" spans="2:36" ht="15.75">
      <c r="B20" s="98" t="str">
        <f>IFERROR(VLOOKUP(C20,Список!$B$2:$C$150,2,0),"")</f>
        <v/>
      </c>
      <c r="C20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20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20" s="99"/>
      <c r="F20" s="99"/>
      <c r="G20" s="100"/>
      <c r="H20" s="99"/>
      <c r="I20" s="100"/>
      <c r="J20" s="99"/>
      <c r="K20" s="100"/>
      <c r="L20" s="99"/>
      <c r="M20" s="100"/>
      <c r="N20" s="99"/>
      <c r="O20" s="100"/>
      <c r="P20" s="99"/>
      <c r="Q20" s="100"/>
      <c r="R20" s="99"/>
      <c r="S20" s="100"/>
      <c r="T20" s="99"/>
      <c r="U20" s="100"/>
      <c r="V20" s="99"/>
      <c r="W20" s="100"/>
      <c r="X20" s="99"/>
      <c r="Y20" s="100"/>
      <c r="Z20" s="99"/>
      <c r="AA20" s="100"/>
      <c r="AB20" s="99"/>
      <c r="AC20" s="100"/>
      <c r="AD20" s="99"/>
      <c r="AE20" s="100"/>
      <c r="AF20" s="99"/>
      <c r="AG20" s="100"/>
      <c r="AH20" s="99"/>
      <c r="AI20" s="101"/>
      <c r="AJ20" s="1">
        <f t="array" ref="AJ20">SUM(IF(RIGHTB(D20)="%",TEXT(INDEX(E$5:AI20,MATCH(LEFTB(C20,SEARCH("%",D20)),(C$5:C20),),),"0;0;12")*E20:AI20%,E20:AI20))</f>
        <v>0</v>
      </c>
    </row>
    <row r="21" spans="2:36" ht="15.75">
      <c r="B21" s="98" t="str">
        <f>IFERROR(VLOOKUP(C21,Список!$B$2:$C$150,2,0),"")</f>
        <v/>
      </c>
      <c r="C21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21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21" s="102"/>
      <c r="F21" s="99"/>
      <c r="G21" s="103"/>
      <c r="H21" s="102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103"/>
      <c r="AF21" s="102"/>
      <c r="AG21" s="103"/>
      <c r="AH21" s="102"/>
      <c r="AI21" s="104"/>
      <c r="AJ21" s="1">
        <f t="array" ref="AJ21">SUM(IF(RIGHTB(D21)="%",TEXT(INDEX(E$5:AI21,MATCH(LEFTB(C21,SEARCH("%",D21)),(C$5:C21),),),"0;0;12")*E21:AI21%,E21:AI21))</f>
        <v>0</v>
      </c>
    </row>
    <row r="22" spans="2:36" ht="15.75">
      <c r="B22" s="98" t="str">
        <f>IFERROR(VLOOKUP(C22,Список!$B$2:$C$150,2,0),"")</f>
        <v/>
      </c>
      <c r="C22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22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22" s="99"/>
      <c r="F22" s="99"/>
      <c r="G22" s="100"/>
      <c r="H22" s="99"/>
      <c r="I22" s="100"/>
      <c r="J22" s="99"/>
      <c r="K22" s="100"/>
      <c r="L22" s="99"/>
      <c r="M22" s="100"/>
      <c r="N22" s="99"/>
      <c r="O22" s="100"/>
      <c r="P22" s="99"/>
      <c r="Q22" s="100"/>
      <c r="R22" s="99"/>
      <c r="S22" s="100"/>
      <c r="T22" s="99"/>
      <c r="U22" s="100"/>
      <c r="V22" s="99"/>
      <c r="W22" s="100"/>
      <c r="X22" s="99"/>
      <c r="Y22" s="100"/>
      <c r="Z22" s="99"/>
      <c r="AA22" s="100"/>
      <c r="AB22" s="99"/>
      <c r="AC22" s="100"/>
      <c r="AD22" s="99"/>
      <c r="AE22" s="100"/>
      <c r="AF22" s="99"/>
      <c r="AG22" s="100"/>
      <c r="AH22" s="99"/>
      <c r="AI22" s="101"/>
      <c r="AJ22" s="1">
        <f t="array" ref="AJ22">SUM(IF(RIGHTB(D22)="%",TEXT(INDEX(E$5:AI22,MATCH(LEFTB(C22,SEARCH("%",D22)),(C$5:C22),),),"0;0;12")*E22:AI22%,E22:AI22))</f>
        <v>0</v>
      </c>
    </row>
    <row r="23" spans="2:36" ht="15.75">
      <c r="B23" s="98" t="str">
        <f>IFERROR(VLOOKUP(C23,Список!$B$2:$C$150,2,0),"")</f>
        <v/>
      </c>
      <c r="C23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23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23" s="102"/>
      <c r="F23" s="102"/>
      <c r="G23" s="103"/>
      <c r="H23" s="102"/>
      <c r="I23" s="103"/>
      <c r="J23" s="102"/>
      <c r="K23" s="103"/>
      <c r="L23" s="102"/>
      <c r="M23" s="103"/>
      <c r="N23" s="102"/>
      <c r="O23" s="103"/>
      <c r="P23" s="102"/>
      <c r="Q23" s="103"/>
      <c r="R23" s="102"/>
      <c r="S23" s="103"/>
      <c r="T23" s="102"/>
      <c r="U23" s="103"/>
      <c r="V23" s="102"/>
      <c r="W23" s="103"/>
      <c r="X23" s="102"/>
      <c r="Y23" s="103"/>
      <c r="Z23" s="102"/>
      <c r="AA23" s="103"/>
      <c r="AB23" s="102"/>
      <c r="AC23" s="103"/>
      <c r="AD23" s="102"/>
      <c r="AE23" s="103"/>
      <c r="AF23" s="102"/>
      <c r="AG23" s="103"/>
      <c r="AH23" s="102"/>
      <c r="AI23" s="104"/>
      <c r="AJ23" s="1">
        <f t="array" ref="AJ23">SUM(IF(RIGHTB(D23)="%",TEXT(INDEX(E$5:AI23,MATCH(LEFTB(C23,SEARCH("%",D23)),(C$5:C23),),),"0;0;12")*E23:AI23%,E23:AI23))</f>
        <v>0</v>
      </c>
    </row>
    <row r="24" spans="2:36" ht="15.75">
      <c r="B24" s="98" t="str">
        <f>IFERROR(VLOOKUP(C24,Список!$B$2:$C$150,2,0),"")</f>
        <v/>
      </c>
      <c r="C24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24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24" s="99"/>
      <c r="F24" s="99"/>
      <c r="G24" s="100"/>
      <c r="H24" s="99"/>
      <c r="I24" s="100"/>
      <c r="J24" s="99"/>
      <c r="K24" s="100"/>
      <c r="L24" s="99"/>
      <c r="M24" s="100"/>
      <c r="N24" s="99"/>
      <c r="O24" s="100"/>
      <c r="P24" s="99"/>
      <c r="Q24" s="100"/>
      <c r="R24" s="99"/>
      <c r="S24" s="100"/>
      <c r="T24" s="99"/>
      <c r="U24" s="100"/>
      <c r="V24" s="99"/>
      <c r="W24" s="100"/>
      <c r="X24" s="99"/>
      <c r="Y24" s="100"/>
      <c r="Z24" s="99"/>
      <c r="AA24" s="100"/>
      <c r="AB24" s="99"/>
      <c r="AC24" s="100"/>
      <c r="AD24" s="99"/>
      <c r="AE24" s="100"/>
      <c r="AF24" s="99"/>
      <c r="AG24" s="100"/>
      <c r="AH24" s="99"/>
      <c r="AI24" s="101"/>
      <c r="AJ24" s="1">
        <f t="array" ref="AJ24">SUM(IF(RIGHTB(D24)="%",TEXT(INDEX(E$5:AI24,MATCH(LEFTB(C24,SEARCH("%",D24)),(C$5:C24),),),"0;0;12")*E24:AI24%,E24:AI24))</f>
        <v>0</v>
      </c>
    </row>
    <row r="25" spans="2:36" ht="15.75">
      <c r="B25" s="98" t="str">
        <f>IFERROR(VLOOKUP(C25,Список!$B$2:$C$150,2,0),"")</f>
        <v/>
      </c>
      <c r="C25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25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25" s="102"/>
      <c r="F25" s="102"/>
      <c r="G25" s="103"/>
      <c r="H25" s="102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103"/>
      <c r="AF25" s="102"/>
      <c r="AG25" s="103"/>
      <c r="AH25" s="102"/>
      <c r="AI25" s="104"/>
      <c r="AJ25" s="1">
        <f t="array" ref="AJ25">SUM(IF(RIGHTB(D25)="%",TEXT(INDEX(E$5:AI25,MATCH(LEFTB(C25,SEARCH("%",D25)),(C$5:C25),),),"0;0;12")*E25:AI25%,E25:AI25))</f>
        <v>0</v>
      </c>
    </row>
    <row r="26" spans="2:36" ht="15.75">
      <c r="B26" s="98" t="str">
        <f>IFERROR(VLOOKUP(C26,Список!$B$2:$C$150,2,0),"")</f>
        <v/>
      </c>
      <c r="C26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26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26" s="99"/>
      <c r="F26" s="99"/>
      <c r="G26" s="100"/>
      <c r="H26" s="99"/>
      <c r="I26" s="100"/>
      <c r="J26" s="99"/>
      <c r="K26" s="100"/>
      <c r="L26" s="99"/>
      <c r="M26" s="100"/>
      <c r="N26" s="99"/>
      <c r="O26" s="100"/>
      <c r="P26" s="99"/>
      <c r="Q26" s="100"/>
      <c r="R26" s="99"/>
      <c r="S26" s="100"/>
      <c r="T26" s="99"/>
      <c r="U26" s="100"/>
      <c r="V26" s="99"/>
      <c r="W26" s="100"/>
      <c r="X26" s="99"/>
      <c r="Y26" s="100"/>
      <c r="Z26" s="99"/>
      <c r="AA26" s="100"/>
      <c r="AB26" s="99"/>
      <c r="AC26" s="100"/>
      <c r="AD26" s="99"/>
      <c r="AE26" s="100"/>
      <c r="AF26" s="99"/>
      <c r="AG26" s="100"/>
      <c r="AH26" s="99"/>
      <c r="AI26" s="101"/>
      <c r="AJ26" s="1">
        <f t="array" ref="AJ26">SUM(IF(RIGHTB(D26)="%",TEXT(INDEX(E$5:AI26,MATCH(LEFTB(C26,SEARCH("%",D26)),(C$5:C26),),),"0;0;12")*E26:AI26%,E26:AI26))</f>
        <v>0</v>
      </c>
    </row>
    <row r="27" spans="2:36" ht="15.75">
      <c r="B27" s="98" t="str">
        <f>IFERROR(VLOOKUP(C27,Список!$B$2:$C$150,2,0),"")</f>
        <v/>
      </c>
      <c r="C27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27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1">
        <f t="array" ref="AJ27">SUM(IF(RIGHTB(D27)="%",TEXT(INDEX(E$5:AI27,MATCH(LEFTB(C27,SEARCH("%",D27)),(C$5:C27),),),"0;0;12")*E27:AI27%,E27:AI27))</f>
        <v>0</v>
      </c>
    </row>
    <row r="28" spans="2:36" ht="15.75">
      <c r="B28" s="98" t="str">
        <f>IFERROR(VLOOKUP(C28,Список!$B$2:$C$150,2,0),"")</f>
        <v/>
      </c>
      <c r="C28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28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28" s="99"/>
      <c r="F28" s="99"/>
      <c r="G28" s="100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100"/>
      <c r="AF28" s="99"/>
      <c r="AG28" s="100"/>
      <c r="AH28" s="99"/>
      <c r="AI28" s="101"/>
      <c r="AJ28" s="1">
        <f t="array" ref="AJ28">SUM(IF(RIGHTB(D28)="%",TEXT(INDEX(E$5:AI28,MATCH(LEFTB(C28,SEARCH("%",D28)),(C$5:C28),),),"0;0;12")*E28:AI28%,E28:AI28))</f>
        <v>0</v>
      </c>
    </row>
    <row r="29" spans="2:36" ht="15.75">
      <c r="B29" s="98" t="str">
        <f>IFERROR(VLOOKUP(C29,Список!$B$2:$C$150,2,0),"")</f>
        <v/>
      </c>
      <c r="C29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29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29" s="102"/>
      <c r="F29" s="102"/>
      <c r="G29" s="103"/>
      <c r="H29" s="102"/>
      <c r="I29" s="103"/>
      <c r="J29" s="102"/>
      <c r="K29" s="103"/>
      <c r="L29" s="102"/>
      <c r="M29" s="103"/>
      <c r="N29" s="102"/>
      <c r="O29" s="103"/>
      <c r="P29" s="102"/>
      <c r="Q29" s="103"/>
      <c r="R29" s="102"/>
      <c r="S29" s="103"/>
      <c r="T29" s="102"/>
      <c r="U29" s="103"/>
      <c r="V29" s="102"/>
      <c r="W29" s="103"/>
      <c r="X29" s="102"/>
      <c r="Y29" s="103"/>
      <c r="Z29" s="102"/>
      <c r="AA29" s="103"/>
      <c r="AB29" s="102"/>
      <c r="AC29" s="103"/>
      <c r="AD29" s="102"/>
      <c r="AE29" s="103"/>
      <c r="AF29" s="102"/>
      <c r="AG29" s="103"/>
      <c r="AH29" s="102"/>
      <c r="AI29" s="104"/>
      <c r="AJ29" s="1">
        <f t="array" ref="AJ29">SUM(IF(RIGHTB(D29)="%",TEXT(INDEX(E$5:AI29,MATCH(LEFTB(C29,SEARCH("%",D29)),(C$5:C29),),),"0;0;12")*E29:AI29%,E29:AI29))</f>
        <v>0</v>
      </c>
    </row>
    <row r="30" spans="2:36" ht="15.75">
      <c r="B30" s="98" t="str">
        <f>IFERROR(VLOOKUP(C30,Список!$B$2:$C$150,2,0),"")</f>
        <v/>
      </c>
      <c r="C30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30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30" s="99"/>
      <c r="F30" s="178" t="s">
        <v>263</v>
      </c>
      <c r="G30" s="179"/>
      <c r="H30" s="179"/>
      <c r="I30" s="179"/>
      <c r="J30" s="179"/>
      <c r="K30" s="179"/>
      <c r="L30" s="179"/>
      <c r="M30" s="179"/>
      <c r="N30" s="179"/>
      <c r="O30" s="179"/>
      <c r="P30" s="180"/>
      <c r="Q30" s="100"/>
      <c r="R30" s="99"/>
      <c r="S30" s="100"/>
      <c r="T30" s="99"/>
      <c r="U30" s="100"/>
      <c r="V30" s="99"/>
      <c r="W30" s="100"/>
      <c r="X30" s="99"/>
      <c r="Y30" s="100"/>
      <c r="Z30" s="99"/>
      <c r="AA30" s="100"/>
      <c r="AB30" s="99"/>
      <c r="AC30" s="100"/>
      <c r="AD30" s="99"/>
      <c r="AE30" s="100"/>
      <c r="AF30" s="99"/>
      <c r="AG30" s="100"/>
      <c r="AH30" s="99"/>
      <c r="AI30" s="101"/>
      <c r="AJ30" s="1">
        <f t="array" ref="AJ30">SUM(IF(RIGHTB(D30)="%",TEXT(INDEX(E$5:AI30,MATCH(LEFTB(C30,SEARCH("%",D30)),(C$5:C30),),),"0;0;12")*E30:AI30%,E30:AI30))</f>
        <v>0</v>
      </c>
    </row>
    <row r="31" spans="2:36" ht="15.75">
      <c r="B31" s="98" t="str">
        <f>IFERROR(VLOOKUP(C31,Список!$B$2:$C$150,2,0),"")</f>
        <v/>
      </c>
      <c r="C31" s="75" t="str">
        <f>IF(ROW()-ROW(БДМ№2!$C$5)+1+COUNTBLANK(БДМ№2!$C$5:$C$43)&gt;ROWS(БДМ№2!$C$5:$C$43),"",INDEX(БДМ№2!$C:$C,SUMPRODUCT(SMALL((БДМ№2!$C$5:$C$43&lt;&gt;"")*ROW(БДМ№2!$C$5:$C$43),ROW()-ROW(БДМ№2!$C$5)+1+COUNTBLANK(БДМ№2!$C$5:$C$43)))))</f>
        <v/>
      </c>
      <c r="D31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31" s="99"/>
      <c r="F31" s="181"/>
      <c r="G31" s="182"/>
      <c r="H31" s="182"/>
      <c r="I31" s="182"/>
      <c r="J31" s="182"/>
      <c r="K31" s="182"/>
      <c r="L31" s="182"/>
      <c r="M31" s="182"/>
      <c r="N31" s="182"/>
      <c r="O31" s="182"/>
      <c r="P31" s="183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100"/>
      <c r="AF31" s="99"/>
      <c r="AG31" s="100"/>
      <c r="AH31" s="99"/>
      <c r="AI31" s="101"/>
      <c r="AJ31" s="1">
        <f t="array" ref="AJ31">SUM(IF(RIGHTB(D31)="%",TEXT(INDEX(E$5:AI31,MATCH(LEFTB(C31,SEARCH("%",D31)),(C$5:C31),),),"0;0;12")*E31:AI31%,E31:AI31))</f>
        <v>0</v>
      </c>
    </row>
    <row r="32" spans="2:36" ht="15.75">
      <c r="B32" s="98">
        <f>IFERROR(VLOOKUP(C32,Список!$B$2:$C$150,2,0),"")</f>
        <v>300</v>
      </c>
      <c r="C32" s="75" t="s">
        <v>58</v>
      </c>
      <c r="D32" s="85" t="s">
        <v>48</v>
      </c>
      <c r="E32" s="99"/>
      <c r="F32" s="181"/>
      <c r="G32" s="182"/>
      <c r="H32" s="182"/>
      <c r="I32" s="182"/>
      <c r="J32" s="182"/>
      <c r="K32" s="182"/>
      <c r="L32" s="182"/>
      <c r="M32" s="182"/>
      <c r="N32" s="182"/>
      <c r="O32" s="182"/>
      <c r="P32" s="183"/>
      <c r="Q32" s="100"/>
      <c r="R32" s="99"/>
      <c r="S32" s="100"/>
      <c r="T32" s="99"/>
      <c r="U32" s="100"/>
      <c r="V32" s="99"/>
      <c r="W32" s="100"/>
      <c r="X32" s="99"/>
      <c r="Y32" s="100"/>
      <c r="Z32" s="99"/>
      <c r="AA32" s="100"/>
      <c r="AB32" s="99"/>
      <c r="AC32" s="100"/>
      <c r="AD32" s="99"/>
      <c r="AE32" s="100"/>
      <c r="AF32" s="99"/>
      <c r="AG32" s="100"/>
      <c r="AH32" s="99"/>
      <c r="AI32" s="101"/>
      <c r="AJ32" s="1">
        <f t="array" ref="AJ32">SUM(IF(RIGHTB(D32)="%",TEXT(INDEX(E$5:AI32,MATCH(LEFTB(C32,SEARCH("%",D32)),(C$5:C32),),),"0;0;12")*E32:AI32%,E32:AI32))</f>
        <v>0</v>
      </c>
    </row>
    <row r="33" spans="2:36" ht="15.75">
      <c r="B33" s="98">
        <f>IFERROR(VLOOKUP(C33,Список!$B$2:$C$150,2,0),"")</f>
        <v>2108</v>
      </c>
      <c r="C33" s="75" t="s">
        <v>59</v>
      </c>
      <c r="D33" s="77" t="s">
        <v>48</v>
      </c>
      <c r="E33" s="102"/>
      <c r="F33" s="184"/>
      <c r="G33" s="185"/>
      <c r="H33" s="185"/>
      <c r="I33" s="185"/>
      <c r="J33" s="185"/>
      <c r="K33" s="185"/>
      <c r="L33" s="185"/>
      <c r="M33" s="185"/>
      <c r="N33" s="185"/>
      <c r="O33" s="185"/>
      <c r="P33" s="186"/>
      <c r="Q33" s="103"/>
      <c r="R33" s="102"/>
      <c r="S33" s="103"/>
      <c r="T33" s="102"/>
      <c r="U33" s="103"/>
      <c r="V33" s="102"/>
      <c r="W33" s="103"/>
      <c r="X33" s="102"/>
      <c r="Y33" s="103"/>
      <c r="Z33" s="102"/>
      <c r="AA33" s="103"/>
      <c r="AB33" s="102"/>
      <c r="AC33" s="103"/>
      <c r="AD33" s="102"/>
      <c r="AE33" s="103"/>
      <c r="AF33" s="102"/>
      <c r="AG33" s="103"/>
      <c r="AH33" s="102"/>
      <c r="AI33" s="104"/>
      <c r="AJ33" s="1"/>
    </row>
    <row r="34" spans="2:36" ht="15.75">
      <c r="B34" s="98">
        <f>IFERROR(VLOOKUP(C34,Список!$B$2:$C$150,2,0),"")</f>
        <v>338</v>
      </c>
      <c r="C34" s="75" t="s">
        <v>61</v>
      </c>
      <c r="D34" s="77" t="s">
        <v>51</v>
      </c>
      <c r="E34" s="99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100"/>
      <c r="AF34" s="99"/>
      <c r="AG34" s="100"/>
      <c r="AH34" s="99"/>
      <c r="AI34" s="101"/>
      <c r="AJ34" s="1"/>
    </row>
    <row r="35" spans="2:36" ht="15.75">
      <c r="B35" s="98">
        <f>IFERROR(VLOOKUP(C35,Список!$B$2:$C$150,2,0),"")</f>
        <v>2255</v>
      </c>
      <c r="C35" s="187" t="s">
        <v>203</v>
      </c>
      <c r="D35" s="188" t="s">
        <v>54</v>
      </c>
      <c r="E35" s="102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03"/>
      <c r="R35" s="102"/>
      <c r="S35" s="103"/>
      <c r="T35" s="102"/>
      <c r="U35" s="103"/>
      <c r="V35" s="102"/>
      <c r="W35" s="103"/>
      <c r="X35" s="102"/>
      <c r="Y35" s="103"/>
      <c r="Z35" s="102"/>
      <c r="AA35" s="103"/>
      <c r="AB35" s="102"/>
      <c r="AC35" s="103"/>
      <c r="AD35" s="102"/>
      <c r="AE35" s="103"/>
      <c r="AF35" s="102"/>
      <c r="AG35" s="103"/>
      <c r="AH35" s="102"/>
      <c r="AI35" s="104"/>
      <c r="AJ35" s="1"/>
    </row>
    <row r="36" spans="2:36" ht="15.75">
      <c r="B36" s="98" t="str">
        <f>IFERROR(VLOOKUP(C36,Список!$B$2:$C$150,2,0),"")</f>
        <v/>
      </c>
      <c r="C36" s="189" t="str">
        <f>IF(ROW()-ROW(БДМ№2!$C$5)+1+COUNTBLANK(БДМ№2!$C$5:$C$43)&gt;ROWS(БДМ№2!$C$5:$C$43),"",INDEX(БДМ№2!$C:$C,SUMPRODUCT(SMALL((БДМ№2!$C$5:$C$43&lt;&gt;"")*ROW(БДМ№2!$C$5:$C$43),ROW()-ROW(БДМ№2!$C$5)+1+COUNTBLANK(БДМ№2!$C$5:$C$43)))))</f>
        <v/>
      </c>
      <c r="D36" s="189"/>
      <c r="E36" s="99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00"/>
      <c r="R36" s="99"/>
      <c r="S36" s="100"/>
      <c r="T36" s="99"/>
      <c r="U36" s="100"/>
      <c r="V36" s="99"/>
      <c r="W36" s="100"/>
      <c r="X36" s="99"/>
      <c r="Y36" s="100"/>
      <c r="Z36" s="99"/>
      <c r="AA36" s="100"/>
      <c r="AB36" s="99"/>
      <c r="AC36" s="100"/>
      <c r="AD36" s="99"/>
      <c r="AE36" s="100"/>
      <c r="AF36" s="99"/>
      <c r="AG36" s="100"/>
      <c r="AH36" s="99"/>
      <c r="AI36" s="101"/>
      <c r="AJ36" s="1"/>
    </row>
    <row r="37" spans="2:36" ht="15.75">
      <c r="B37" s="98" t="str">
        <f>IFERROR(VLOOKUP(C37,Список!$B$2:$C$150,2,0),"")</f>
        <v/>
      </c>
      <c r="C37" s="84" t="str">
        <f>IF(ROW()-ROW(БДМ№2!$C$5)+1+COUNTBLANK(БДМ№2!$C$5:$C$43)&gt;ROWS(БДМ№2!$C$5:$C$43),"",INDEX(БДМ№2!$C:$C,SUMPRODUCT(SMALL((БДМ№2!$C$5:$C$43&lt;&gt;"")*ROW(БДМ№2!$C$5:$C$43),ROW()-ROW(БДМ№2!$C$5)+1+COUNTBLANK(БДМ№2!$C$5:$C$43)))))</f>
        <v/>
      </c>
      <c r="D37" s="129"/>
      <c r="E37" s="99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100"/>
      <c r="AF37" s="99"/>
      <c r="AG37" s="100"/>
      <c r="AH37" s="99"/>
      <c r="AI37" s="101"/>
      <c r="AJ37" s="1"/>
    </row>
    <row r="38" spans="2:36" ht="15.75">
      <c r="B38" s="98" t="str">
        <f>IFERROR(VLOOKUP(C38,Список!$B$2:$C$150,2,0),"")</f>
        <v/>
      </c>
      <c r="C38" s="189" t="str">
        <f>IF(ROW()-ROW(БДМ№2!$C$5)+1+COUNTBLANK(БДМ№2!$C$5:$C$43)&gt;ROWS(БДМ№2!$C$5:$C$43),"",INDEX(БДМ№2!$C:$C,SUMPRODUCT(SMALL((БДМ№2!$C$5:$C$43&lt;&gt;"")*ROW(БДМ№2!$C$5:$C$43),ROW()-ROW(БДМ№2!$C$5)+1+COUNTBLANK(БДМ№2!$C$5:$C$43)))))</f>
        <v/>
      </c>
      <c r="D38" s="77"/>
      <c r="E38" s="99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00"/>
      <c r="R38" s="99"/>
      <c r="S38" s="100"/>
      <c r="T38" s="99"/>
      <c r="U38" s="100"/>
      <c r="V38" s="99"/>
      <c r="W38" s="100"/>
      <c r="X38" s="99"/>
      <c r="Y38" s="100"/>
      <c r="Z38" s="99"/>
      <c r="AA38" s="100"/>
      <c r="AB38" s="99"/>
      <c r="AC38" s="100"/>
      <c r="AD38" s="99"/>
      <c r="AE38" s="100"/>
      <c r="AF38" s="99"/>
      <c r="AG38" s="100"/>
      <c r="AH38" s="99"/>
      <c r="AI38" s="101"/>
      <c r="AJ38" s="1">
        <f t="array" ref="AJ38">SUM(IF(RIGHTB(D38)="%",TEXT(INDEX(E$5:AI38,MATCH(LEFTB(C38,SEARCH("%",D38)),(C$5:C38),),),"0;0;12")*E38:AI38%,E38:AI38))</f>
        <v>0</v>
      </c>
    </row>
    <row r="39" spans="2:36" ht="15.75">
      <c r="B39" s="98" t="str">
        <f>IFERROR(VLOOKUP(C39,Список!$B$2:$C$150,2,0),"")</f>
        <v/>
      </c>
      <c r="C39" s="84" t="str">
        <f>IF(ROW()-ROW(БДМ№2!$C$5)+1+COUNTBLANK(БДМ№2!$C$5:$C$43)&gt;ROWS(БДМ№2!$C$5:$C$43),"",INDEX(БДМ№2!$C:$C,SUMPRODUCT(SMALL((БДМ№2!$C$5:$C$43&lt;&gt;"")*ROW(БДМ№2!$C$5:$C$43),ROW()-ROW(БДМ№2!$C$5)+1+COUNTBLANK(БДМ№2!$C$5:$C$43)))))</f>
        <v/>
      </c>
      <c r="D39" s="129"/>
      <c r="E39" s="102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03"/>
      <c r="R39" s="102"/>
      <c r="S39" s="103"/>
      <c r="T39" s="102"/>
      <c r="U39" s="103"/>
      <c r="V39" s="102"/>
      <c r="W39" s="103"/>
      <c r="X39" s="102"/>
      <c r="Y39" s="103"/>
      <c r="Z39" s="102"/>
      <c r="AA39" s="103"/>
      <c r="AB39" s="102"/>
      <c r="AC39" s="103"/>
      <c r="AD39" s="102"/>
      <c r="AE39" s="103"/>
      <c r="AF39" s="102"/>
      <c r="AG39" s="103"/>
      <c r="AH39" s="102"/>
      <c r="AI39" s="103"/>
      <c r="AJ39" s="1">
        <f t="array" ref="AJ39">SUM(IF(RIGHTB(D39)="%",TEXT(INDEX(E$5:AI39,MATCH(LEFTB(C39,SEARCH("%",D39)),(C$5:C39),),),"0;0;12")*E39:AI39%,E39:AI39))</f>
        <v>0</v>
      </c>
    </row>
    <row r="40" spans="2:36" ht="15.75">
      <c r="B40" s="98" t="str">
        <f>IFERROR(VLOOKUP(C40,Список!$B$2:$C$150,2,0),"")</f>
        <v/>
      </c>
      <c r="C40" s="189" t="str">
        <f>IF(ROW()-ROW(БДМ№2!$C$5)+1+COUNTBLANK(БДМ№2!$C$5:$C$43)&gt;ROWS(БДМ№2!$C$5:$C$43),"",INDEX(БДМ№2!$C:$C,SUMPRODUCT(SMALL((БДМ№2!$C$5:$C$43&lt;&gt;"")*ROW(БДМ№2!$C$5:$C$43),ROW()-ROW(БДМ№2!$C$5)+1+COUNTBLANK(БДМ№2!$C$5:$C$43)))))</f>
        <v/>
      </c>
      <c r="D40" s="77"/>
      <c r="E40" s="99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00"/>
      <c r="R40" s="99"/>
      <c r="S40" s="100"/>
      <c r="T40" s="99"/>
      <c r="U40" s="100"/>
      <c r="V40" s="99"/>
      <c r="W40" s="100"/>
      <c r="X40" s="99"/>
      <c r="Y40" s="100"/>
      <c r="Z40" s="99"/>
      <c r="AA40" s="100"/>
      <c r="AB40" s="99"/>
      <c r="AC40" s="100"/>
      <c r="AD40" s="99"/>
      <c r="AE40" s="100"/>
      <c r="AF40" s="99"/>
      <c r="AG40" s="100"/>
      <c r="AH40" s="99"/>
      <c r="AI40" s="101"/>
      <c r="AJ40" s="1">
        <f t="array" ref="AJ40">SUM(IF(RIGHTB(D40)="%",TEXT(INDEX(E$5:AI40,MATCH(LEFTB(C40,SEARCH("%",D40)),(C$5:C40),),),"0;0;12")*E40:AI40%,E40:AI40))</f>
        <v>0</v>
      </c>
    </row>
    <row r="41" spans="2:36" ht="15.75">
      <c r="B41" s="98" t="str">
        <f>IFERROR(VLOOKUP(C41,Список!$B$2:$C$150,2,0),"")</f>
        <v/>
      </c>
      <c r="C41" s="84" t="str">
        <f>IF(ROW()-ROW(БДМ№2!$C$5)+1+COUNTBLANK(БДМ№2!$C$5:$C$43)&gt;ROWS(БДМ№2!$C$5:$C$43),"",INDEX(БДМ№2!$C:$C,SUMPRODUCT(SMALL((БДМ№2!$C$5:$C$43&lt;&gt;"")*ROW(БДМ№2!$C$5:$C$43),ROW()-ROW(БДМ№2!$C$5)+1+COUNTBLANK(БДМ№2!$C$5:$C$43)))))</f>
        <v/>
      </c>
      <c r="D41" s="84"/>
      <c r="E41" s="99"/>
      <c r="F41" s="99"/>
      <c r="G41" s="100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0"/>
      <c r="AF41" s="99"/>
      <c r="AG41" s="100"/>
      <c r="AH41" s="99"/>
      <c r="AI41" s="101"/>
      <c r="AJ41" s="1">
        <f t="array" ref="AJ41">SUM(IF(RIGHTB(D34)="%",TEXT(INDEX(E$5:AI41,MATCH(LEFTB(C34,SEARCH("%",D34)),(C$5:C40),),),"0;0;12")*E41:AI41%,E41:AI41))</f>
        <v>0</v>
      </c>
    </row>
    <row r="42" spans="2:36" ht="15.75">
      <c r="B42" s="98" t="str">
        <f>IFERROR(VLOOKUP(C42,Список!$B$2:$C$150,2,0),"")</f>
        <v/>
      </c>
      <c r="C42" s="189" t="str">
        <f>IF(ROW()-ROW(БДМ№2!$C$5)+1+COUNTBLANK(БДМ№2!$C$5:$C$43)&gt;ROWS(БДМ№2!$C$5:$C$43),"",INDEX(БДМ№2!$C:$C,SUMPRODUCT(SMALL((БДМ№2!$C$5:$C$43&lt;&gt;"")*ROW(БДМ№2!$C$5:$C$43),ROW()-ROW(БДМ№2!$C$5)+1+COUNTBLANK(БДМ№2!$C$5:$C$43)))))</f>
        <v/>
      </c>
      <c r="D42" s="77"/>
      <c r="E42" s="102"/>
      <c r="F42" s="102"/>
      <c r="G42" s="103"/>
      <c r="H42" s="102"/>
      <c r="I42" s="103"/>
      <c r="J42" s="102"/>
      <c r="K42" s="103"/>
      <c r="L42" s="102"/>
      <c r="M42" s="103"/>
      <c r="N42" s="102"/>
      <c r="O42" s="103"/>
      <c r="P42" s="102"/>
      <c r="Q42" s="103"/>
      <c r="R42" s="102"/>
      <c r="S42" s="103"/>
      <c r="T42" s="102"/>
      <c r="U42" s="103"/>
      <c r="V42" s="102"/>
      <c r="W42" s="103"/>
      <c r="X42" s="102"/>
      <c r="Y42" s="103"/>
      <c r="Z42" s="102"/>
      <c r="AA42" s="103"/>
      <c r="AB42" s="102"/>
      <c r="AC42" s="103"/>
      <c r="AD42" s="102"/>
      <c r="AE42" s="103"/>
      <c r="AF42" s="102"/>
      <c r="AG42" s="103"/>
      <c r="AH42" s="102"/>
      <c r="AI42" s="103"/>
      <c r="AJ42" s="1">
        <f t="array" ref="AJ42">SUM(IF(RIGHTB(D42)="%",TEXT(INDEX(E$5:AI42,MATCH(LEFTB(C42,SEARCH("%",D42)),(C$5:C42),),),"0;0;12")*E42:AI42%,E42:AI42))</f>
        <v>0</v>
      </c>
    </row>
    <row r="43" spans="2:36" ht="15.75">
      <c r="B43" s="98" t="str">
        <f>IFERROR(VLOOKUP(C43,Список!$B$2:$C$150,2,0),"")</f>
        <v/>
      </c>
      <c r="C43" s="189" t="str">
        <f>IF(ROW()-ROW(БДМ№2!$C$5)+1+COUNTBLANK(БДМ№2!$C$5:$C$43)&gt;ROWS(БДМ№2!$C$5:$C$43),"",INDEX(БДМ№2!$C:$C,SUMPRODUCT(SMALL((БДМ№2!$C$5:$C$43&lt;&gt;"")*ROW(БДМ№2!$C$5:$C$43),ROW()-ROW(БДМ№2!$C$5)+1+COUNTBLANK(БДМ№2!$C$5:$C$43)))))</f>
        <v/>
      </c>
      <c r="D43" s="77"/>
      <c r="E43" s="99"/>
      <c r="F43" s="99"/>
      <c r="G43" s="100"/>
      <c r="H43" s="99"/>
      <c r="I43" s="100"/>
      <c r="J43" s="99"/>
      <c r="K43" s="100"/>
      <c r="L43" s="99"/>
      <c r="M43" s="100"/>
      <c r="N43" s="99"/>
      <c r="O43" s="101"/>
      <c r="P43" s="99"/>
      <c r="Q43" s="100"/>
      <c r="R43" s="99"/>
      <c r="S43" s="100"/>
      <c r="T43" s="99"/>
      <c r="U43" s="100"/>
      <c r="V43" s="99"/>
      <c r="W43" s="100"/>
      <c r="X43" s="99"/>
      <c r="Y43" s="100"/>
      <c r="Z43" s="99"/>
      <c r="AA43" s="100"/>
      <c r="AB43" s="99"/>
      <c r="AC43" s="100"/>
      <c r="AD43" s="99"/>
      <c r="AE43" s="100"/>
      <c r="AF43" s="99"/>
      <c r="AG43" s="100"/>
      <c r="AH43" s="99"/>
      <c r="AI43" s="100"/>
      <c r="AJ43" s="1">
        <f t="array" ref="AJ43">SUM(IF(RIGHTB(D43)="%",TEXT(INDEX(E$5:AI43,MATCH(LEFTB(C43,SEARCH("%",D43)),(C$5:C43),),),"0;0;12")*E43:AI43%,E43:AI43))</f>
        <v>0</v>
      </c>
    </row>
    <row r="44" spans="2:36" ht="15.75">
      <c r="B44" s="108"/>
      <c r="C44" s="128"/>
      <c r="D44" s="129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2:36" ht="15.75">
      <c r="B45" s="10"/>
      <c r="C45" s="128"/>
      <c r="D45" s="129"/>
      <c r="E45" s="123" t="s">
        <v>158</v>
      </c>
      <c r="F45" s="123"/>
      <c r="G45" s="123"/>
      <c r="H45" s="123"/>
      <c r="I45" s="145"/>
      <c r="J45" s="146"/>
      <c r="K45" s="146"/>
      <c r="L45" s="146"/>
      <c r="M45" s="146"/>
      <c r="N45" s="146"/>
      <c r="O45" s="123" t="s">
        <v>159</v>
      </c>
      <c r="P45" s="10"/>
      <c r="Q45" s="10"/>
      <c r="R45" s="10"/>
      <c r="S45" s="139">
        <f ca="1">TODAY()</f>
        <v>42163</v>
      </c>
      <c r="T45" s="139"/>
      <c r="U45" s="139"/>
      <c r="V45" s="139"/>
      <c r="W45" s="140"/>
      <c r="X45" s="140"/>
      <c r="Y45" s="140"/>
      <c r="Z45" s="140"/>
      <c r="AA45" s="14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2:36" ht="15.75">
      <c r="B46" s="10"/>
      <c r="C46" s="84"/>
      <c r="D46" s="84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2:36" ht="15.75">
      <c r="C47" s="128"/>
      <c r="D47" s="129"/>
    </row>
    <row r="48" spans="2:36">
      <c r="C48" s="84"/>
      <c r="D48" s="84"/>
    </row>
  </sheetData>
  <customSheetViews>
    <customSheetView guid="{1957AC80-412C-4030-B807-A599A7F9C8EF}" scale="90" showGridLines="0" zeroValues="0" printArea="1">
      <pane ySplit="4" topLeftCell="A5" activePane="bottomLeft" state="frozen"/>
      <selection pane="bottomLeft" activeCell="L24" sqref="L24"/>
      <colBreaks count="1" manualBreakCount="1">
        <brk id="36" max="1048575" man="1"/>
      </colBreaks>
      <pageMargins left="0.70866141732283472" right="0.70866141732283472" top="0.74803149606299213" bottom="0.74803149606299213" header="0.31496062992125984" footer="0.31496062992125984"/>
      <pageSetup paperSize="8" scale="98" fitToHeight="0" orientation="landscape" horizontalDpi="180" verticalDpi="180" r:id="rId1"/>
    </customSheetView>
  </customSheetViews>
  <mergeCells count="11">
    <mergeCell ref="AJ3:AJ4"/>
    <mergeCell ref="O1:AE1"/>
    <mergeCell ref="B3:B4"/>
    <mergeCell ref="E3:AI3"/>
    <mergeCell ref="S45:V45"/>
    <mergeCell ref="W45:AA45"/>
    <mergeCell ref="C3:D4"/>
    <mergeCell ref="I45:N45"/>
    <mergeCell ref="I1:N1"/>
    <mergeCell ref="B1:C1"/>
    <mergeCell ref="F30:P33"/>
  </mergeCells>
  <conditionalFormatting sqref="C32:D32 C44:C45 C47:D47 D42:D45 D37:D40">
    <cfRule type="expression" dxfId="20" priority="1">
      <formula>$AJ32&gt;$C32</formula>
    </cfRule>
    <cfRule type="expression" dxfId="19" priority="2">
      <formula>$AJ32&gt;$D32</formula>
    </cfRule>
  </conditionalFormatting>
  <conditionalFormatting sqref="C33:D33">
    <cfRule type="expression" dxfId="18" priority="5">
      <formula>$AJ36&gt;$C33</formula>
    </cfRule>
    <cfRule type="expression" dxfId="17" priority="6">
      <formula>$AJ36&gt;$D33</formula>
    </cfRule>
  </conditionalFormatting>
  <conditionalFormatting sqref="C34:D34">
    <cfRule type="expression" dxfId="16" priority="9">
      <formula>$AJ41&gt;$C34</formula>
    </cfRule>
    <cfRule type="expression" dxfId="15" priority="10">
      <formula>$AJ41&gt;$D34</formula>
    </cfRule>
  </conditionalFormatting>
  <conditionalFormatting sqref="C35:D35">
    <cfRule type="expression" dxfId="14" priority="13">
      <formula>$AJ46&gt;$C35</formula>
    </cfRule>
    <cfRule type="expression" dxfId="13" priority="14">
      <formula>$AJ46&gt;$D35</formula>
    </cfRule>
  </conditionalFormatting>
  <dataValidations count="3">
    <dataValidation type="list" allowBlank="1" showInputMessage="1" showErrorMessage="1" sqref="I1">
      <formula1>Прочее</formula1>
    </dataValidation>
    <dataValidation type="list" allowBlank="1" showInputMessage="1" showErrorMessage="1" sqref="D44:D45 D32:D35 D47">
      <formula1>Профессия</formula1>
    </dataValidation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44:C45 C32:C35 C47">
      <formula1>ФИО</formula1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2"/>
  <colBreaks count="1" manualBreakCount="1"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00B0F0"/>
    <pageSetUpPr autoPageBreaks="0"/>
  </sheetPr>
  <dimension ref="B1:AJ94"/>
  <sheetViews>
    <sheetView showZeros="0" zoomScale="90" zoomScaleNormal="90" zoomScalePageLayoutView="50" workbookViewId="0">
      <pane ySplit="4" topLeftCell="A47" activePane="bottomLeft" state="frozen"/>
      <selection pane="bottomLeft" activeCell="D80" sqref="D80"/>
    </sheetView>
  </sheetViews>
  <sheetFormatPr defaultRowHeight="15"/>
  <cols>
    <col min="1" max="1" width="5.28515625" style="4" customWidth="1"/>
    <col min="2" max="2" width="6" style="4" customWidth="1"/>
    <col min="3" max="3" width="19.28515625" style="4" customWidth="1"/>
    <col min="4" max="4" width="19.7109375" style="4" customWidth="1"/>
    <col min="5" max="35" width="4.28515625" style="4" customWidth="1"/>
    <col min="36" max="36" width="11.5703125" style="4" customWidth="1"/>
    <col min="37" max="16384" width="9.140625" style="4"/>
  </cols>
  <sheetData>
    <row r="1" spans="2:36" ht="22.5">
      <c r="B1" s="111"/>
      <c r="C1" s="111"/>
      <c r="D1" s="112"/>
      <c r="E1" s="111"/>
      <c r="F1" s="111"/>
      <c r="G1" s="79"/>
      <c r="H1" s="122"/>
      <c r="I1" s="147" t="s">
        <v>154</v>
      </c>
      <c r="J1" s="147"/>
      <c r="K1" s="147"/>
      <c r="L1" s="147"/>
      <c r="M1" s="147"/>
      <c r="N1" s="147"/>
      <c r="O1" s="134" t="s">
        <v>0</v>
      </c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95"/>
      <c r="AG1" s="96" t="s">
        <v>3</v>
      </c>
      <c r="AH1" s="96"/>
      <c r="AI1" s="96"/>
      <c r="AJ1" s="96"/>
    </row>
    <row r="2" spans="2:36">
      <c r="B2" s="95"/>
      <c r="C2" s="95"/>
      <c r="D2" s="113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2:36" ht="15.75">
      <c r="B3" s="135" t="s">
        <v>2</v>
      </c>
      <c r="C3" s="141" t="s">
        <v>7</v>
      </c>
      <c r="D3" s="142"/>
      <c r="E3" s="137" t="s">
        <v>1</v>
      </c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8"/>
      <c r="AJ3" s="132" t="s">
        <v>6</v>
      </c>
    </row>
    <row r="4" spans="2:36" ht="15.75">
      <c r="B4" s="136"/>
      <c r="C4" s="143"/>
      <c r="D4" s="144"/>
      <c r="E4" s="5">
        <v>1</v>
      </c>
      <c r="F4" s="6">
        <v>2</v>
      </c>
      <c r="G4" s="5">
        <v>3</v>
      </c>
      <c r="H4" s="6">
        <v>4</v>
      </c>
      <c r="I4" s="5">
        <v>5</v>
      </c>
      <c r="J4" s="6">
        <v>6</v>
      </c>
      <c r="K4" s="5">
        <v>7</v>
      </c>
      <c r="L4" s="6">
        <v>8</v>
      </c>
      <c r="M4" s="5">
        <v>9</v>
      </c>
      <c r="N4" s="6">
        <v>10</v>
      </c>
      <c r="O4" s="5">
        <v>11</v>
      </c>
      <c r="P4" s="6">
        <v>12</v>
      </c>
      <c r="Q4" s="5">
        <v>13</v>
      </c>
      <c r="R4" s="6">
        <v>14</v>
      </c>
      <c r="S4" s="5">
        <v>15</v>
      </c>
      <c r="T4" s="6">
        <v>16</v>
      </c>
      <c r="U4" s="5">
        <v>17</v>
      </c>
      <c r="V4" s="6">
        <v>18</v>
      </c>
      <c r="W4" s="5">
        <v>19</v>
      </c>
      <c r="X4" s="6">
        <v>20</v>
      </c>
      <c r="Y4" s="5">
        <v>21</v>
      </c>
      <c r="Z4" s="6">
        <v>22</v>
      </c>
      <c r="AA4" s="5">
        <v>23</v>
      </c>
      <c r="AB4" s="6">
        <v>24</v>
      </c>
      <c r="AC4" s="5">
        <v>25</v>
      </c>
      <c r="AD4" s="6">
        <v>26</v>
      </c>
      <c r="AE4" s="5">
        <v>27</v>
      </c>
      <c r="AF4" s="6">
        <v>28</v>
      </c>
      <c r="AG4" s="5">
        <v>29</v>
      </c>
      <c r="AH4" s="6">
        <v>30</v>
      </c>
      <c r="AI4" s="7">
        <v>31</v>
      </c>
      <c r="AJ4" s="133"/>
    </row>
    <row r="5" spans="2:36" ht="15.75">
      <c r="B5" s="98">
        <f>IFERROR(VLOOKUP(C5,Список!$B$2:$C$150,2,0),"")</f>
        <v>465</v>
      </c>
      <c r="C5" s="75" t="s">
        <v>22</v>
      </c>
      <c r="D5" s="76" t="s">
        <v>48</v>
      </c>
      <c r="E5" s="99"/>
      <c r="F5" s="99"/>
      <c r="G5" s="100"/>
      <c r="H5" s="99"/>
      <c r="I5" s="100">
        <v>12</v>
      </c>
      <c r="J5" s="99"/>
      <c r="K5" s="100"/>
      <c r="L5" s="99"/>
      <c r="M5" s="100"/>
      <c r="N5" s="99"/>
      <c r="O5" s="100"/>
      <c r="P5" s="99"/>
      <c r="Q5" s="100"/>
      <c r="R5" s="99"/>
      <c r="S5" s="100"/>
      <c r="T5" s="99"/>
      <c r="U5" s="100"/>
      <c r="V5" s="99"/>
      <c r="W5" s="99"/>
      <c r="X5" s="99"/>
      <c r="Y5" s="100"/>
      <c r="Z5" s="99"/>
      <c r="AA5" s="100"/>
      <c r="AB5" s="99"/>
      <c r="AC5" s="100"/>
      <c r="AD5" s="99"/>
      <c r="AE5" s="100"/>
      <c r="AF5" s="99"/>
      <c r="AG5" s="100"/>
      <c r="AH5" s="99"/>
      <c r="AI5" s="101"/>
      <c r="AJ5" s="1">
        <f t="array" ref="AJ5">SUM(IF(RIGHTB(D5)="%",TEXT(INDEX(E$5:AI5,MATCH(LEFTB(C5,SEARCH("%",D5)),(C$5:C5),),),"0;0;12")*E5:AI5%,E5:AI5))</f>
        <v>12</v>
      </c>
    </row>
    <row r="6" spans="2:36" ht="15.75">
      <c r="B6" s="98">
        <f>IFERROR(VLOOKUP(C6,Список!$B$2:$C$150,2,0),"")</f>
        <v>465</v>
      </c>
      <c r="C6" s="75" t="s">
        <v>22</v>
      </c>
      <c r="D6" s="77" t="s">
        <v>63</v>
      </c>
      <c r="E6" s="102"/>
      <c r="F6" s="99"/>
      <c r="G6" s="103"/>
      <c r="H6" s="102"/>
      <c r="I6" s="103"/>
      <c r="J6" s="102"/>
      <c r="K6" s="103"/>
      <c r="L6" s="102"/>
      <c r="M6" s="103"/>
      <c r="N6" s="102"/>
      <c r="O6" s="103"/>
      <c r="P6" s="102"/>
      <c r="Q6" s="103"/>
      <c r="R6" s="102"/>
      <c r="S6" s="103"/>
      <c r="T6" s="102"/>
      <c r="U6" s="103"/>
      <c r="V6" s="99"/>
      <c r="W6" s="99"/>
      <c r="X6" s="102"/>
      <c r="Y6" s="103"/>
      <c r="Z6" s="102"/>
      <c r="AA6" s="103"/>
      <c r="AB6" s="102"/>
      <c r="AC6" s="103"/>
      <c r="AD6" s="102"/>
      <c r="AE6" s="103"/>
      <c r="AF6" s="102"/>
      <c r="AG6" s="103"/>
      <c r="AH6" s="102"/>
      <c r="AI6" s="104"/>
      <c r="AJ6" s="1">
        <f t="array" ref="AJ6">SUM(IF(RIGHTB(D6)="%",TEXT(INDEX(E$5:AI6,MATCH(LEFTB(C6,SEARCH("%",D6)),(C$5:C6),),),"0;0;12")*E6:AI6%,E6:AI6))</f>
        <v>0</v>
      </c>
    </row>
    <row r="7" spans="2:36" ht="15.75">
      <c r="B7" s="98" t="str">
        <f>IFERROR(VLOOKUP(C7,Список!$B$2:$C$150,2,0),"")</f>
        <v/>
      </c>
      <c r="C7" s="75"/>
      <c r="D7" s="77"/>
      <c r="E7" s="99"/>
      <c r="F7" s="99"/>
      <c r="G7" s="100"/>
      <c r="H7" s="99"/>
      <c r="I7" s="100"/>
      <c r="J7" s="99"/>
      <c r="K7" s="100"/>
      <c r="L7" s="99"/>
      <c r="M7" s="100"/>
      <c r="N7" s="99"/>
      <c r="O7" s="100"/>
      <c r="P7" s="99"/>
      <c r="Q7" s="100"/>
      <c r="R7" s="99"/>
      <c r="S7" s="100"/>
      <c r="T7" s="99"/>
      <c r="U7" s="100"/>
      <c r="V7" s="99"/>
      <c r="W7" s="99"/>
      <c r="X7" s="99"/>
      <c r="Y7" s="100"/>
      <c r="Z7" s="99"/>
      <c r="AA7" s="100"/>
      <c r="AB7" s="99"/>
      <c r="AC7" s="100"/>
      <c r="AD7" s="99"/>
      <c r="AE7" s="100"/>
      <c r="AF7" s="99"/>
      <c r="AG7" s="100"/>
      <c r="AH7" s="99"/>
      <c r="AI7" s="101"/>
      <c r="AJ7" s="1">
        <f t="array" ref="AJ7">SUM(IF(RIGHTB(D7)="%",TEXT(INDEX(E$5:AI7,MATCH(LEFTB(C7,SEARCH("%",D7)),(C$5:C7),),),"0;0;12")*E7:AI7%,E7:AI7))</f>
        <v>0</v>
      </c>
    </row>
    <row r="8" spans="2:36" ht="15.75">
      <c r="B8" s="98" t="str">
        <f>IFERROR(VLOOKUP(C8,Список!$B$2:$C$150,2,0),"")</f>
        <v/>
      </c>
      <c r="C8" s="75"/>
      <c r="D8" s="77"/>
      <c r="E8" s="105"/>
      <c r="F8" s="99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16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">
        <f t="array" ref="AJ8">SUM(IF(RIGHTB(D8)="%",TEXT(INDEX(E$5:AI8,MATCH(LEFTB(C8,SEARCH("%",D8)),(C$5:C8),),),"0;0;12")*E8:AI8%,E8:AI8))</f>
        <v>0</v>
      </c>
    </row>
    <row r="9" spans="2:36" ht="15.75">
      <c r="B9" s="98">
        <f>IFERROR(VLOOKUP(C9,Список!$B$2:$C$150,2,0),"")</f>
        <v>761</v>
      </c>
      <c r="C9" s="75" t="s">
        <v>37</v>
      </c>
      <c r="D9" s="77" t="s">
        <v>48</v>
      </c>
      <c r="E9" s="99">
        <v>12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117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1">
        <f t="array" ref="AJ9">SUM(IF(RIGHTB(D9)="%",TEXT(INDEX(E$5:AI9,MATCH(LEFTB(C9,SEARCH("%",D9)),(C$5:C9),),),"0;0;12")*E9:AI9%,E9:AI9))</f>
        <v>12</v>
      </c>
    </row>
    <row r="10" spans="2:36" ht="15.75">
      <c r="B10" s="98">
        <f>IFERROR(VLOOKUP(C10,Список!$B$2:$C$150,2,0),"")</f>
        <v>761</v>
      </c>
      <c r="C10" s="75" t="s">
        <v>37</v>
      </c>
      <c r="D10" s="77" t="s">
        <v>66</v>
      </c>
      <c r="E10" s="99">
        <v>100</v>
      </c>
      <c r="F10" s="99"/>
      <c r="G10" s="100"/>
      <c r="H10" s="99"/>
      <c r="I10" s="100"/>
      <c r="J10" s="99"/>
      <c r="K10" s="100"/>
      <c r="L10" s="99"/>
      <c r="M10" s="100"/>
      <c r="N10" s="99"/>
      <c r="O10" s="100"/>
      <c r="P10" s="99"/>
      <c r="Q10" s="100"/>
      <c r="R10" s="99"/>
      <c r="S10" s="100"/>
      <c r="T10" s="99"/>
      <c r="U10" s="100"/>
      <c r="V10" s="99"/>
      <c r="W10" s="100"/>
      <c r="X10" s="99"/>
      <c r="Y10" s="100"/>
      <c r="Z10" s="99"/>
      <c r="AA10" s="100"/>
      <c r="AB10" s="99"/>
      <c r="AC10" s="100"/>
      <c r="AD10" s="99"/>
      <c r="AE10" s="100"/>
      <c r="AF10" s="99"/>
      <c r="AG10" s="100"/>
      <c r="AH10" s="99"/>
      <c r="AI10" s="101"/>
      <c r="AJ10" s="1">
        <f t="array" ref="AJ10">SUM(IF(RIGHTB(D10)="%",TEXT(INDEX(E$5:AI10,MATCH(LEFTB(C10,SEARCH("%",D10)),(C$5:C10),),),"0;0;12")*E10:AI10%,E10:AI10))</f>
        <v>12</v>
      </c>
    </row>
    <row r="11" spans="2:36" ht="15.75">
      <c r="B11" s="98" t="str">
        <f>IFERROR(VLOOKUP(C11,Список!$B$2:$C$150,2,0),"")</f>
        <v/>
      </c>
      <c r="C11" s="75"/>
      <c r="D11" s="76"/>
      <c r="E11" s="102"/>
      <c r="F11" s="99"/>
      <c r="G11" s="103"/>
      <c r="H11" s="102"/>
      <c r="I11" s="103"/>
      <c r="J11" s="102"/>
      <c r="K11" s="103"/>
      <c r="L11" s="102"/>
      <c r="M11" s="103"/>
      <c r="N11" s="102"/>
      <c r="O11" s="103"/>
      <c r="P11" s="102"/>
      <c r="Q11" s="103"/>
      <c r="R11" s="102"/>
      <c r="S11" s="103"/>
      <c r="T11" s="102"/>
      <c r="U11" s="103"/>
      <c r="V11" s="102"/>
      <c r="W11" s="103"/>
      <c r="X11" s="102"/>
      <c r="Y11" s="103"/>
      <c r="Z11" s="102"/>
      <c r="AA11" s="103"/>
      <c r="AB11" s="102"/>
      <c r="AC11" s="103"/>
      <c r="AD11" s="102"/>
      <c r="AE11" s="103"/>
      <c r="AF11" s="102"/>
      <c r="AG11" s="103"/>
      <c r="AH11" s="102"/>
      <c r="AI11" s="104"/>
      <c r="AJ11" s="1">
        <f t="array" ref="AJ11">SUM(IF(RIGHTB(D11)="%",TEXT(INDEX(E$5:AI11,MATCH(LEFTB(C11,SEARCH("%",D11)),(C$5:C11),),),"0;0;12")*E11:AI11%,E11:AI11))</f>
        <v>0</v>
      </c>
    </row>
    <row r="12" spans="2:36" ht="15.75">
      <c r="B12" s="98" t="str">
        <f>IFERROR(VLOOKUP(C12,Список!$B$2:$C$150,2,0),"")</f>
        <v/>
      </c>
      <c r="C12" s="75"/>
      <c r="D12" s="77"/>
      <c r="E12" s="99"/>
      <c r="F12" s="99"/>
      <c r="G12" s="100"/>
      <c r="H12" s="99"/>
      <c r="I12" s="100"/>
      <c r="J12" s="99"/>
      <c r="K12" s="100"/>
      <c r="L12" s="99"/>
      <c r="M12" s="100"/>
      <c r="N12" s="99"/>
      <c r="O12" s="100"/>
      <c r="P12" s="99"/>
      <c r="Q12" s="100"/>
      <c r="R12" s="99"/>
      <c r="S12" s="100"/>
      <c r="T12" s="99"/>
      <c r="U12" s="100"/>
      <c r="V12" s="99"/>
      <c r="W12" s="100"/>
      <c r="X12" s="99"/>
      <c r="Y12" s="100"/>
      <c r="Z12" s="99"/>
      <c r="AA12" s="100"/>
      <c r="AB12" s="99"/>
      <c r="AC12" s="100"/>
      <c r="AD12" s="99"/>
      <c r="AE12" s="100"/>
      <c r="AF12" s="99"/>
      <c r="AG12" s="99"/>
      <c r="AH12" s="99"/>
      <c r="AI12" s="101"/>
      <c r="AJ12" s="1">
        <f t="array" ref="AJ12">SUM(IF(RIGHTB(D12)="%",TEXT(INDEX(E$5:AI12,MATCH(LEFTB(C12,SEARCH("%",D12)),(C$5:C12),),),"0;0;12")*E12:AI12%,E12:AI12))</f>
        <v>0</v>
      </c>
    </row>
    <row r="13" spans="2:36" ht="15.75">
      <c r="B13" s="98">
        <f>IFERROR(VLOOKUP(C13,Список!$B$2:$C$150,2,0),"")</f>
        <v>643</v>
      </c>
      <c r="C13" s="75" t="s">
        <v>25</v>
      </c>
      <c r="D13" s="77" t="s">
        <v>70</v>
      </c>
      <c r="E13" s="102">
        <v>12</v>
      </c>
      <c r="F13" s="99"/>
      <c r="G13" s="103"/>
      <c r="H13" s="102"/>
      <c r="I13" s="103"/>
      <c r="J13" s="102"/>
      <c r="K13" s="103"/>
      <c r="L13" s="102"/>
      <c r="M13" s="103"/>
      <c r="N13" s="102"/>
      <c r="O13" s="103"/>
      <c r="P13" s="102"/>
      <c r="Q13" s="103"/>
      <c r="R13" s="102"/>
      <c r="S13" s="103"/>
      <c r="T13" s="102"/>
      <c r="U13" s="103"/>
      <c r="V13" s="102"/>
      <c r="W13" s="103"/>
      <c r="X13" s="102"/>
      <c r="Y13" s="103"/>
      <c r="Z13" s="102"/>
      <c r="AA13" s="103"/>
      <c r="AB13" s="102"/>
      <c r="AC13" s="103"/>
      <c r="AD13" s="102"/>
      <c r="AE13" s="103"/>
      <c r="AF13" s="102"/>
      <c r="AG13" s="103"/>
      <c r="AH13" s="102"/>
      <c r="AI13" s="104"/>
      <c r="AJ13" s="1">
        <f t="array" ref="AJ13">SUM(IF(RIGHTB(D13)="%",TEXT(INDEX(E$5:AI13,MATCH(LEFTB(C13,SEARCH("%",D13)),(C$5:C13),),),"0;0;12")*E13:AI13%,E13:AI13))</f>
        <v>12</v>
      </c>
    </row>
    <row r="14" spans="2:36" ht="15.75">
      <c r="B14" s="98" t="str">
        <f>IFERROR(VLOOKUP(C14,Список!$B$2:$C$150,2,0),"")</f>
        <v/>
      </c>
      <c r="C14" s="75"/>
      <c r="D14" s="77"/>
      <c r="E14" s="99"/>
      <c r="F14" s="99"/>
      <c r="G14" s="100"/>
      <c r="H14" s="106"/>
      <c r="I14" s="100"/>
      <c r="J14" s="99"/>
      <c r="K14" s="100"/>
      <c r="L14" s="99"/>
      <c r="M14" s="100"/>
      <c r="N14" s="99"/>
      <c r="O14" s="100"/>
      <c r="P14" s="99"/>
      <c r="Q14" s="100"/>
      <c r="R14" s="99"/>
      <c r="S14" s="100"/>
      <c r="T14" s="99"/>
      <c r="U14" s="100"/>
      <c r="V14" s="99"/>
      <c r="W14" s="100"/>
      <c r="X14" s="99"/>
      <c r="Y14" s="100"/>
      <c r="Z14" s="99"/>
      <c r="AA14" s="100"/>
      <c r="AB14" s="99"/>
      <c r="AC14" s="100"/>
      <c r="AD14" s="99"/>
      <c r="AE14" s="100"/>
      <c r="AF14" s="99"/>
      <c r="AG14" s="100"/>
      <c r="AH14" s="99"/>
      <c r="AI14" s="101"/>
      <c r="AJ14" s="1">
        <f t="array" ref="AJ14">SUM(IF(RIGHTB(D14)="%",TEXT(INDEX(E$5:AI14,MATCH(LEFTB(C14,SEARCH("%",D14)),(C$5:C14),),),"0;0;12")*E14:AI14%,E14:AI14))</f>
        <v>0</v>
      </c>
    </row>
    <row r="15" spans="2:36" ht="15.75">
      <c r="B15" s="98" t="str">
        <f>IFERROR(VLOOKUP(C15,Список!$B$2:$C$150,2,0),"")</f>
        <v/>
      </c>
      <c r="C15" s="75"/>
      <c r="D15" s="77"/>
      <c r="E15" s="99"/>
      <c r="F15" s="99"/>
      <c r="G15" s="100"/>
      <c r="H15" s="99"/>
      <c r="I15" s="100"/>
      <c r="J15" s="99"/>
      <c r="K15" s="100"/>
      <c r="L15" s="99"/>
      <c r="M15" s="100"/>
      <c r="N15" s="99"/>
      <c r="O15" s="100"/>
      <c r="P15" s="99"/>
      <c r="Q15" s="100"/>
      <c r="R15" s="99"/>
      <c r="S15" s="100"/>
      <c r="T15" s="99"/>
      <c r="U15" s="100"/>
      <c r="V15" s="99"/>
      <c r="W15" s="100"/>
      <c r="X15" s="99"/>
      <c r="Y15" s="100"/>
      <c r="Z15" s="99"/>
      <c r="AA15" s="100"/>
      <c r="AB15" s="99"/>
      <c r="AC15" s="100"/>
      <c r="AD15" s="99"/>
      <c r="AE15" s="100"/>
      <c r="AF15" s="99"/>
      <c r="AG15" s="100"/>
      <c r="AH15" s="99"/>
      <c r="AI15" s="101"/>
      <c r="AJ15" s="1">
        <f t="array" ref="AJ15">SUM(IF(RIGHTB(D15)="%",TEXT(INDEX(E$5:AI15,MATCH(LEFTB(C15,SEARCH("%",D15)),(C$5:C15),),),"0;0;12")*E15:AI15%,E15:AI15))</f>
        <v>0</v>
      </c>
    </row>
    <row r="16" spans="2:36" ht="15.75">
      <c r="B16" s="98" t="str">
        <f>IFERROR(VLOOKUP(C16,Список!$B$2:$C$150,2,0),"")</f>
        <v/>
      </c>
      <c r="C16" s="75"/>
      <c r="D16" s="76"/>
      <c r="E16" s="99"/>
      <c r="F16" s="99"/>
      <c r="G16" s="100"/>
      <c r="H16" s="99"/>
      <c r="I16" s="100"/>
      <c r="J16" s="99"/>
      <c r="K16" s="100"/>
      <c r="L16" s="99"/>
      <c r="M16" s="100"/>
      <c r="N16" s="99"/>
      <c r="O16" s="100"/>
      <c r="P16" s="99"/>
      <c r="Q16" s="100"/>
      <c r="R16" s="99"/>
      <c r="S16" s="100"/>
      <c r="T16" s="99"/>
      <c r="U16" s="100"/>
      <c r="V16" s="99"/>
      <c r="W16" s="100"/>
      <c r="X16" s="99"/>
      <c r="Y16" s="100"/>
      <c r="Z16" s="99"/>
      <c r="AA16" s="100"/>
      <c r="AB16" s="99"/>
      <c r="AC16" s="100"/>
      <c r="AD16" s="99"/>
      <c r="AE16" s="100"/>
      <c r="AF16" s="99"/>
      <c r="AG16" s="100"/>
      <c r="AH16" s="99"/>
      <c r="AI16" s="101"/>
      <c r="AJ16" s="1">
        <f t="array" ref="AJ16">SUM(IF(RIGHTB(D16)="%",TEXT(INDEX(E$5:AI16,MATCH(LEFTB(C16,SEARCH("%",D16)),(C$5:C16),),),"0;0;12")*E16:AI16%,E16:AI16))</f>
        <v>0</v>
      </c>
    </row>
    <row r="17" spans="2:36" ht="15.75">
      <c r="B17" s="98">
        <f>IFERROR(VLOOKUP(C17,Список!$B$2:$C$150,2,0),"")</f>
        <v>1179</v>
      </c>
      <c r="C17" s="75" t="s">
        <v>38</v>
      </c>
      <c r="D17" s="77" t="s">
        <v>49</v>
      </c>
      <c r="E17" s="102"/>
      <c r="F17" s="99"/>
      <c r="G17" s="103"/>
      <c r="H17" s="102"/>
      <c r="I17" s="103"/>
      <c r="J17" s="102"/>
      <c r="K17" s="103"/>
      <c r="L17" s="102"/>
      <c r="M17" s="103">
        <v>10</v>
      </c>
      <c r="N17" s="102"/>
      <c r="O17" s="103"/>
      <c r="P17" s="102"/>
      <c r="Q17" s="103"/>
      <c r="R17" s="102"/>
      <c r="S17" s="103"/>
      <c r="T17" s="102"/>
      <c r="U17" s="103"/>
      <c r="V17" s="102"/>
      <c r="W17" s="103"/>
      <c r="X17" s="102"/>
      <c r="Y17" s="103"/>
      <c r="Z17" s="102"/>
      <c r="AA17" s="103"/>
      <c r="AB17" s="102"/>
      <c r="AC17" s="103"/>
      <c r="AD17" s="102"/>
      <c r="AE17" s="103"/>
      <c r="AF17" s="102"/>
      <c r="AG17" s="103"/>
      <c r="AH17" s="102"/>
      <c r="AI17" s="104"/>
      <c r="AJ17" s="1">
        <f t="array" ref="AJ17">SUM(IF(RIGHTB(D17)="%",TEXT(INDEX(E$5:AI17,MATCH(LEFTB(C17,SEARCH("%",D17)),(C$5:C17),),),"0;0;12")*E17:AI17%,E17:AI17))</f>
        <v>10</v>
      </c>
    </row>
    <row r="18" spans="2:36" ht="15.75">
      <c r="B18" s="98">
        <f>IFERROR(VLOOKUP(C18,Список!$B$2:$C$150,2,0),"")</f>
        <v>1179</v>
      </c>
      <c r="C18" s="75" t="s">
        <v>38</v>
      </c>
      <c r="D18" s="77" t="s">
        <v>63</v>
      </c>
      <c r="E18" s="99"/>
      <c r="F18" s="99"/>
      <c r="G18" s="100"/>
      <c r="H18" s="99"/>
      <c r="I18" s="100"/>
      <c r="J18" s="99"/>
      <c r="K18" s="100"/>
      <c r="L18" s="99"/>
      <c r="M18" s="100">
        <v>100</v>
      </c>
      <c r="N18" s="99"/>
      <c r="O18" s="100"/>
      <c r="P18" s="99"/>
      <c r="Q18" s="100"/>
      <c r="R18" s="99"/>
      <c r="S18" s="100"/>
      <c r="T18" s="99"/>
      <c r="U18" s="100"/>
      <c r="V18" s="99"/>
      <c r="W18" s="100"/>
      <c r="X18" s="99"/>
      <c r="Y18" s="100"/>
      <c r="Z18" s="99"/>
      <c r="AA18" s="100"/>
      <c r="AB18" s="99"/>
      <c r="AC18" s="100"/>
      <c r="AD18" s="99"/>
      <c r="AE18" s="100"/>
      <c r="AF18" s="99"/>
      <c r="AG18" s="100"/>
      <c r="AH18" s="99"/>
      <c r="AI18" s="101"/>
      <c r="AJ18" s="1">
        <f t="array" ref="AJ18">SUM(IF(RIGHTB(D18)="%",TEXT(INDEX(E$5:AI18,MATCH(LEFTB(C18,SEARCH("%",D18)),(C$5:C18),),),"0;0;12")*E18:AI18%,E18:AI18))</f>
        <v>10</v>
      </c>
    </row>
    <row r="19" spans="2:36" ht="15.75">
      <c r="B19" s="98" t="str">
        <f>IFERROR(VLOOKUP(C19,Список!$B$2:$C$150,2,0),"")</f>
        <v/>
      </c>
      <c r="C19" s="75"/>
      <c r="D19" s="77"/>
      <c r="E19" s="102"/>
      <c r="F19" s="99"/>
      <c r="G19" s="103"/>
      <c r="H19" s="102"/>
      <c r="I19" s="103"/>
      <c r="J19" s="102"/>
      <c r="K19" s="103"/>
      <c r="L19" s="102"/>
      <c r="M19" s="103"/>
      <c r="N19" s="102"/>
      <c r="O19" s="103"/>
      <c r="P19" s="102"/>
      <c r="Q19" s="103"/>
      <c r="R19" s="102"/>
      <c r="S19" s="103"/>
      <c r="T19" s="102"/>
      <c r="U19" s="103"/>
      <c r="V19" s="102"/>
      <c r="W19" s="103"/>
      <c r="X19" s="102"/>
      <c r="Y19" s="103"/>
      <c r="Z19" s="102"/>
      <c r="AA19" s="103"/>
      <c r="AB19" s="102"/>
      <c r="AC19" s="103"/>
      <c r="AD19" s="102"/>
      <c r="AE19" s="103"/>
      <c r="AF19" s="102"/>
      <c r="AG19" s="103"/>
      <c r="AH19" s="102"/>
      <c r="AI19" s="104"/>
      <c r="AJ19" s="1">
        <f t="array" ref="AJ19">SUM(IF(RIGHTB(D19)="%",TEXT(INDEX(E$5:AI19,MATCH(LEFTB(C19,SEARCH("%",D19)),(C$5:C19),),),"0;0;12")*E19:AI19%,E19:AI19))</f>
        <v>0</v>
      </c>
    </row>
    <row r="20" spans="2:36" ht="15.75">
      <c r="B20" s="98" t="str">
        <f>IFERROR(VLOOKUP(C20,Список!$B$2:$C$150,2,0),"")</f>
        <v/>
      </c>
      <c r="C20" s="75"/>
      <c r="D20" s="77"/>
      <c r="E20" s="99"/>
      <c r="F20" s="99"/>
      <c r="G20" s="100"/>
      <c r="H20" s="99"/>
      <c r="I20" s="100"/>
      <c r="J20" s="99"/>
      <c r="K20" s="100"/>
      <c r="L20" s="99"/>
      <c r="M20" s="100"/>
      <c r="N20" s="99"/>
      <c r="O20" s="100"/>
      <c r="P20" s="99"/>
      <c r="Q20" s="100"/>
      <c r="R20" s="99"/>
      <c r="S20" s="100"/>
      <c r="T20" s="99"/>
      <c r="U20" s="100"/>
      <c r="V20" s="99"/>
      <c r="W20" s="100"/>
      <c r="X20" s="99"/>
      <c r="Y20" s="100"/>
      <c r="Z20" s="99"/>
      <c r="AA20" s="100"/>
      <c r="AB20" s="99"/>
      <c r="AC20" s="100"/>
      <c r="AD20" s="99"/>
      <c r="AE20" s="100"/>
      <c r="AF20" s="99"/>
      <c r="AG20" s="100"/>
      <c r="AH20" s="99"/>
      <c r="AI20" s="101"/>
      <c r="AJ20" s="1">
        <f t="array" ref="AJ20">SUM(IF(RIGHTB(D20)="%",TEXT(INDEX(E$5:AI20,MATCH(LEFTB(C20,SEARCH("%",D20)),(C$5:C20),),),"0;0;12")*E20:AI20%,E20:AI20))</f>
        <v>0</v>
      </c>
    </row>
    <row r="21" spans="2:36" ht="15.75">
      <c r="B21" s="98">
        <f>IFERROR(VLOOKUP(C21,Список!$B$2:$C$150,2,0),"")</f>
        <v>1291</v>
      </c>
      <c r="C21" s="75" t="s">
        <v>39</v>
      </c>
      <c r="D21" s="77" t="s">
        <v>50</v>
      </c>
      <c r="E21" s="102"/>
      <c r="F21" s="99"/>
      <c r="G21" s="103"/>
      <c r="H21" s="102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103"/>
      <c r="AF21" s="102"/>
      <c r="AG21" s="103"/>
      <c r="AH21" s="102"/>
      <c r="AI21" s="104"/>
      <c r="AJ21" s="1">
        <f t="array" ref="AJ21">SUM(IF(RIGHTB(D21)="%",TEXT(INDEX(E$5:AI21,MATCH(LEFTB(C21,SEARCH("%",D21)),(C$5:C21),),),"0;0;12")*E21:AI21%,E21:AI21))</f>
        <v>0</v>
      </c>
    </row>
    <row r="22" spans="2:36" ht="15.75">
      <c r="B22" s="98" t="str">
        <f>IFERROR(VLOOKUP(C22,Список!$B$2:$C$150,2,0),"")</f>
        <v/>
      </c>
      <c r="C22" s="75"/>
      <c r="D22" s="77"/>
      <c r="E22" s="99"/>
      <c r="F22" s="99"/>
      <c r="G22" s="100"/>
      <c r="H22" s="99"/>
      <c r="I22" s="100"/>
      <c r="J22" s="99"/>
      <c r="K22" s="100"/>
      <c r="L22" s="99"/>
      <c r="M22" s="100"/>
      <c r="N22" s="99"/>
      <c r="O22" s="100"/>
      <c r="P22" s="99"/>
      <c r="Q22" s="100"/>
      <c r="R22" s="99"/>
      <c r="S22" s="100"/>
      <c r="T22" s="99"/>
      <c r="U22" s="100"/>
      <c r="V22" s="99"/>
      <c r="W22" s="100"/>
      <c r="X22" s="99"/>
      <c r="Y22" s="100"/>
      <c r="Z22" s="99"/>
      <c r="AA22" s="100"/>
      <c r="AB22" s="99"/>
      <c r="AC22" s="100"/>
      <c r="AD22" s="99"/>
      <c r="AE22" s="100"/>
      <c r="AF22" s="99"/>
      <c r="AG22" s="100"/>
      <c r="AH22" s="99"/>
      <c r="AI22" s="101"/>
      <c r="AJ22" s="1">
        <f t="array" ref="AJ22">SUM(IF(RIGHTB(D22)="%",TEXT(INDEX(E$5:AI22,MATCH(LEFTB(C22,SEARCH("%",D22)),(C$5:C22),),),"0;0;12")*E22:AI22%,E22:AI22))</f>
        <v>0</v>
      </c>
    </row>
    <row r="23" spans="2:36" ht="15.75">
      <c r="B23" s="98" t="str">
        <f>IFERROR(VLOOKUP(C23,Список!$B$2:$C$150,2,0),"")</f>
        <v/>
      </c>
      <c r="C23" s="75"/>
      <c r="D23" s="77"/>
      <c r="E23" s="102"/>
      <c r="F23" s="102"/>
      <c r="G23" s="103"/>
      <c r="H23" s="102"/>
      <c r="I23" s="103"/>
      <c r="J23" s="102"/>
      <c r="K23" s="103"/>
      <c r="L23" s="102"/>
      <c r="M23" s="103"/>
      <c r="N23" s="102"/>
      <c r="O23" s="103"/>
      <c r="P23" s="102"/>
      <c r="Q23" s="103"/>
      <c r="R23" s="102"/>
      <c r="S23" s="103"/>
      <c r="T23" s="102"/>
      <c r="U23" s="103"/>
      <c r="V23" s="102"/>
      <c r="W23" s="103"/>
      <c r="X23" s="102"/>
      <c r="Y23" s="103"/>
      <c r="Z23" s="102"/>
      <c r="AA23" s="103"/>
      <c r="AB23" s="102"/>
      <c r="AC23" s="103"/>
      <c r="AD23" s="102"/>
      <c r="AE23" s="103"/>
      <c r="AF23" s="102"/>
      <c r="AG23" s="103"/>
      <c r="AH23" s="102"/>
      <c r="AI23" s="104"/>
      <c r="AJ23" s="1">
        <f t="array" ref="AJ23">SUM(IF(RIGHTB(D23)="%",TEXT(INDEX(E$5:AI23,MATCH(LEFTB(C23,SEARCH("%",D23)),(C$5:C23),),),"0;0;12")*E23:AI23%,E23:AI23))</f>
        <v>0</v>
      </c>
    </row>
    <row r="24" spans="2:36" ht="15.75">
      <c r="B24" s="98" t="str">
        <f>IFERROR(VLOOKUP(C24,Список!$B$2:$C$150,2,0),"")</f>
        <v/>
      </c>
      <c r="C24" s="75"/>
      <c r="D24" s="77"/>
      <c r="E24" s="99"/>
      <c r="F24" s="99"/>
      <c r="G24" s="100"/>
      <c r="H24" s="99"/>
      <c r="I24" s="100"/>
      <c r="J24" s="99"/>
      <c r="K24" s="100"/>
      <c r="L24" s="99"/>
      <c r="M24" s="100"/>
      <c r="N24" s="99"/>
      <c r="O24" s="100"/>
      <c r="P24" s="99"/>
      <c r="Q24" s="100"/>
      <c r="R24" s="99"/>
      <c r="S24" s="100"/>
      <c r="T24" s="99"/>
      <c r="U24" s="100"/>
      <c r="V24" s="99"/>
      <c r="W24" s="100"/>
      <c r="X24" s="99"/>
      <c r="Y24" s="100"/>
      <c r="Z24" s="99"/>
      <c r="AA24" s="100"/>
      <c r="AB24" s="99"/>
      <c r="AC24" s="100"/>
      <c r="AD24" s="99"/>
      <c r="AE24" s="100"/>
      <c r="AF24" s="99"/>
      <c r="AG24" s="100"/>
      <c r="AH24" s="99"/>
      <c r="AI24" s="101"/>
      <c r="AJ24" s="1">
        <f t="array" ref="AJ24">SUM(IF(RIGHTB(D24)="%",TEXT(INDEX(E$5:AI24,MATCH(LEFTB(C24,SEARCH("%",D24)),(C$5:C24),),),"0;0;12")*E24:AI24%,E24:AI24))</f>
        <v>0</v>
      </c>
    </row>
    <row r="25" spans="2:36" ht="15.75">
      <c r="B25" s="98">
        <f>IFERROR(VLOOKUP(C25,Список!$B$2:$C$150,2,0),"")</f>
        <v>491</v>
      </c>
      <c r="C25" s="75" t="s">
        <v>161</v>
      </c>
      <c r="D25" s="77" t="s">
        <v>51</v>
      </c>
      <c r="E25" s="102"/>
      <c r="F25" s="102"/>
      <c r="G25" s="102"/>
      <c r="H25" s="102"/>
      <c r="I25" s="99">
        <v>8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103"/>
      <c r="AF25" s="102"/>
      <c r="AG25" s="103"/>
      <c r="AH25" s="102"/>
      <c r="AI25" s="104"/>
      <c r="AJ25" s="1">
        <f t="array" ref="AJ25">SUM(IF(RIGHTB(D25)="%",TEXT(INDEX(E$5:AI25,MATCH(LEFTB(C25,SEARCH("%",D25)),(C$5:C25),),),"0;0;12")*E25:AI25%,E25:AI25))</f>
        <v>8</v>
      </c>
    </row>
    <row r="26" spans="2:36" ht="15.75">
      <c r="B26" s="98" t="str">
        <f>IFERROR(VLOOKUP(C26,Список!$B$2:$C$150,2,0),"")</f>
        <v/>
      </c>
      <c r="C26" s="78"/>
      <c r="D26" s="76"/>
      <c r="E26" s="99"/>
      <c r="F26" s="99"/>
      <c r="G26" s="99"/>
      <c r="H26" s="99"/>
      <c r="I26" s="100"/>
      <c r="J26" s="99"/>
      <c r="K26" s="100"/>
      <c r="L26" s="99"/>
      <c r="M26" s="100"/>
      <c r="N26" s="99"/>
      <c r="O26" s="100"/>
      <c r="P26" s="99"/>
      <c r="Q26" s="100"/>
      <c r="R26" s="99"/>
      <c r="S26" s="100"/>
      <c r="T26" s="99"/>
      <c r="U26" s="100"/>
      <c r="V26" s="99"/>
      <c r="W26" s="100"/>
      <c r="X26" s="99"/>
      <c r="Y26" s="100"/>
      <c r="Z26" s="99"/>
      <c r="AA26" s="100"/>
      <c r="AB26" s="99"/>
      <c r="AC26" s="100"/>
      <c r="AD26" s="99"/>
      <c r="AE26" s="100"/>
      <c r="AF26" s="99"/>
      <c r="AG26" s="100"/>
      <c r="AH26" s="99"/>
      <c r="AI26" s="101"/>
      <c r="AJ26" s="1">
        <f t="array" ref="AJ26">SUM(IF(RIGHTB(D26)="%",TEXT(INDEX(E$5:AI26,MATCH(LEFTB(C26,SEARCH("%",D26)),(C$5:C26),),),"0;0;12")*E26:AI26%,E26:AI26))</f>
        <v>0</v>
      </c>
    </row>
    <row r="27" spans="2:36" ht="15.75">
      <c r="B27" s="98" t="str">
        <f>IFERROR(VLOOKUP(C27,Список!$B$2:$C$150,2,0),"")</f>
        <v/>
      </c>
      <c r="C27" s="75"/>
      <c r="D27" s="77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1">
        <f t="array" ref="AJ27">SUM(IF(RIGHTB(D27)="%",TEXT(INDEX(E$5:AI27,MATCH(LEFTB(C27,SEARCH("%",D27)),(C$5:C27),),),"0;0;12")*E27:AI27%,E27:AI27))</f>
        <v>0</v>
      </c>
    </row>
    <row r="28" spans="2:36" ht="15.75">
      <c r="B28" s="98" t="str">
        <f>IFERROR(VLOOKUP(C28,Список!$B$2:$C$150,2,0),"")</f>
        <v/>
      </c>
      <c r="C28" s="75"/>
      <c r="D28" s="107"/>
      <c r="E28" s="99"/>
      <c r="F28" s="99"/>
      <c r="G28" s="100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100"/>
      <c r="AF28" s="99"/>
      <c r="AG28" s="100"/>
      <c r="AH28" s="99"/>
      <c r="AI28" s="101"/>
      <c r="AJ28" s="1">
        <f t="array" ref="AJ28">SUM(IF(RIGHTB(D28)="%",TEXT(INDEX(E$5:AI28,MATCH(LEFTB(C28,SEARCH("%",D28)),(C$5:C28),),),"0;0;12")*E28:AI28%,E28:AI28))</f>
        <v>0</v>
      </c>
    </row>
    <row r="29" spans="2:36" ht="15.75">
      <c r="B29" s="98">
        <f>IFERROR(VLOOKUP(C29,Список!$B$2:$C$150,2,0),"")</f>
        <v>856</v>
      </c>
      <c r="C29" s="75" t="s">
        <v>23</v>
      </c>
      <c r="D29" s="107" t="s">
        <v>52</v>
      </c>
      <c r="E29" s="102"/>
      <c r="F29" s="102"/>
      <c r="G29" s="103"/>
      <c r="H29" s="102"/>
      <c r="I29" s="103"/>
      <c r="J29" s="102"/>
      <c r="K29" s="103"/>
      <c r="L29" s="102"/>
      <c r="M29" s="103"/>
      <c r="N29" s="102"/>
      <c r="O29" s="103"/>
      <c r="P29" s="102"/>
      <c r="Q29" s="103"/>
      <c r="R29" s="102"/>
      <c r="S29" s="103"/>
      <c r="T29" s="102"/>
      <c r="U29" s="103"/>
      <c r="V29" s="99"/>
      <c r="W29" s="99"/>
      <c r="X29" s="99"/>
      <c r="Y29" s="99"/>
      <c r="Z29" s="99"/>
      <c r="AA29" s="99"/>
      <c r="AB29" s="99"/>
      <c r="AC29" s="99"/>
      <c r="AD29" s="99"/>
      <c r="AE29" s="103"/>
      <c r="AF29" s="102"/>
      <c r="AG29" s="103"/>
      <c r="AH29" s="102"/>
      <c r="AI29" s="104"/>
      <c r="AJ29" s="1">
        <f t="array" ref="AJ29">SUM(IF(RIGHTB(D29)="%",TEXT(INDEX(E$5:AI29,MATCH(LEFTB(C29,SEARCH("%",D29)),(C$5:C29),),),"0;0;12")*E29:AI29%,E29:AI29))</f>
        <v>0</v>
      </c>
    </row>
    <row r="30" spans="2:36" ht="15.75">
      <c r="B30" s="98" t="str">
        <f>IFERROR(VLOOKUP(C30,Список!$B$2:$C$150,2,0),"")</f>
        <v/>
      </c>
      <c r="C30" s="75"/>
      <c r="D30" s="77"/>
      <c r="E30" s="99"/>
      <c r="F30" s="99"/>
      <c r="G30" s="100"/>
      <c r="H30" s="99"/>
      <c r="I30" s="100"/>
      <c r="J30" s="99"/>
      <c r="K30" s="100"/>
      <c r="L30" s="99"/>
      <c r="M30" s="100"/>
      <c r="N30" s="99"/>
      <c r="O30" s="100"/>
      <c r="P30" s="99"/>
      <c r="Q30" s="100"/>
      <c r="R30" s="99"/>
      <c r="S30" s="100"/>
      <c r="T30" s="99"/>
      <c r="U30" s="100"/>
      <c r="V30" s="99"/>
      <c r="W30" s="100"/>
      <c r="X30" s="99"/>
      <c r="Y30" s="100"/>
      <c r="Z30" s="99"/>
      <c r="AA30" s="100"/>
      <c r="AB30" s="99"/>
      <c r="AC30" s="100"/>
      <c r="AD30" s="99"/>
      <c r="AE30" s="100"/>
      <c r="AF30" s="99"/>
      <c r="AG30" s="100"/>
      <c r="AH30" s="99"/>
      <c r="AI30" s="101"/>
      <c r="AJ30" s="1">
        <f t="array" ref="AJ30">SUM(IF(RIGHTB(D30)="%",TEXT(INDEX(E$5:AI30,MATCH(LEFTB(C30,SEARCH("%",D30)),(C$5:C30),),),"0;0;12")*E30:AI30%,E30:AI30))</f>
        <v>0</v>
      </c>
    </row>
    <row r="31" spans="2:36" ht="15.75">
      <c r="B31" s="98" t="str">
        <f>IFERROR(VLOOKUP(C31,Список!$B$2:$C$150,2,0),"")</f>
        <v/>
      </c>
      <c r="C31" s="75"/>
      <c r="D31" s="77"/>
      <c r="E31" s="99"/>
      <c r="F31" s="99"/>
      <c r="G31" s="100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100"/>
      <c r="AF31" s="99"/>
      <c r="AG31" s="100"/>
      <c r="AH31" s="99"/>
      <c r="AI31" s="101"/>
      <c r="AJ31" s="1">
        <f t="array" ref="AJ31">SUM(IF(RIGHTB(D31)="%",TEXT(INDEX(E$5:AI31,MATCH(LEFTB(C31,SEARCH("%",D31)),(C$5:C31),),),"0;0;12")*E31:AI31%,E31:AI31))</f>
        <v>0</v>
      </c>
    </row>
    <row r="32" spans="2:36" ht="15.75">
      <c r="B32" s="98" t="str">
        <f>IFERROR(VLOOKUP(C32,Список!$B$2:$C$150,2,0),"")</f>
        <v/>
      </c>
      <c r="C32" s="75"/>
      <c r="D32" s="107"/>
      <c r="E32" s="99"/>
      <c r="F32" s="99"/>
      <c r="G32" s="100"/>
      <c r="H32" s="99"/>
      <c r="I32" s="100"/>
      <c r="J32" s="99"/>
      <c r="K32" s="100"/>
      <c r="L32" s="99"/>
      <c r="M32" s="100"/>
      <c r="N32" s="99"/>
      <c r="O32" s="100"/>
      <c r="P32" s="99"/>
      <c r="Q32" s="100"/>
      <c r="R32" s="99"/>
      <c r="S32" s="100"/>
      <c r="T32" s="99"/>
      <c r="U32" s="100"/>
      <c r="V32" s="99"/>
      <c r="W32" s="100"/>
      <c r="X32" s="99"/>
      <c r="Y32" s="100"/>
      <c r="Z32" s="99"/>
      <c r="AA32" s="100"/>
      <c r="AB32" s="99"/>
      <c r="AC32" s="100"/>
      <c r="AD32" s="99"/>
      <c r="AE32" s="100"/>
      <c r="AF32" s="99"/>
      <c r="AG32" s="100"/>
      <c r="AH32" s="99"/>
      <c r="AI32" s="101"/>
      <c r="AJ32" s="1">
        <f t="array" ref="AJ32">SUM(IF(RIGHTB(D32)="%",TEXT(INDEX(E$5:AI32,MATCH(LEFTB(C32,SEARCH("%",D32)),(C$5:C32),),),"0;0;12")*E32:AI32%,E32:AI32))</f>
        <v>0</v>
      </c>
    </row>
    <row r="33" spans="2:36" ht="15.75">
      <c r="B33" s="98">
        <f>IFERROR(VLOOKUP(C33,Список!$B$2:$C$150,2,0),"")</f>
        <v>1311</v>
      </c>
      <c r="C33" s="75" t="s">
        <v>40</v>
      </c>
      <c r="D33" s="107" t="s">
        <v>53</v>
      </c>
      <c r="E33" s="102"/>
      <c r="F33" s="102"/>
      <c r="G33" s="102"/>
      <c r="H33" s="102"/>
      <c r="I33" s="99"/>
      <c r="J33" s="99"/>
      <c r="K33" s="99"/>
      <c r="L33" s="99"/>
      <c r="M33" s="99"/>
      <c r="N33" s="99"/>
      <c r="O33" s="99"/>
      <c r="P33" s="102"/>
      <c r="Q33" s="103"/>
      <c r="R33" s="102"/>
      <c r="S33" s="103"/>
      <c r="T33" s="102"/>
      <c r="U33" s="103"/>
      <c r="V33" s="102"/>
      <c r="W33" s="103"/>
      <c r="X33" s="102"/>
      <c r="Y33" s="103"/>
      <c r="Z33" s="102"/>
      <c r="AA33" s="103"/>
      <c r="AB33" s="102"/>
      <c r="AC33" s="103"/>
      <c r="AD33" s="102"/>
      <c r="AE33" s="103"/>
      <c r="AF33" s="102"/>
      <c r="AG33" s="103"/>
      <c r="AH33" s="102"/>
      <c r="AI33" s="104"/>
      <c r="AJ33" s="1">
        <f t="array" ref="AJ33">SUM(IF(RIGHTB(D33)="%",TEXT(INDEX(E$5:AI33,MATCH(LEFTB(C33,SEARCH("%",D33)),(C$5:C33),),),"0;0;12")*E33:AI33%,E33:AI33))</f>
        <v>0</v>
      </c>
    </row>
    <row r="34" spans="2:36" ht="15.75">
      <c r="B34" s="98" t="str">
        <f>IFERROR(VLOOKUP(C34,Список!$B$2:$C$150,2,0),"")</f>
        <v/>
      </c>
      <c r="C34" s="75"/>
      <c r="D34" s="77"/>
      <c r="E34" s="99"/>
      <c r="F34" s="99"/>
      <c r="G34" s="100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100"/>
      <c r="AF34" s="99"/>
      <c r="AG34" s="100"/>
      <c r="AH34" s="99"/>
      <c r="AI34" s="101"/>
      <c r="AJ34" s="1">
        <f t="array" ref="AJ34">SUM(IF(RIGHTB(D34)="%",TEXT(INDEX(E$5:AI34,MATCH(LEFTB(C34,SEARCH("%",D34)),(C$5:C34),),),"0;0;12")*E34:AI34%,E34:AI34))</f>
        <v>0</v>
      </c>
    </row>
    <row r="35" spans="2:36" ht="15.75">
      <c r="B35" s="98" t="str">
        <f>IFERROR(VLOOKUP(C35,Список!$B$2:$C$150,2,0),"")</f>
        <v/>
      </c>
      <c r="C35" s="75"/>
      <c r="D35" s="77"/>
      <c r="E35" s="102"/>
      <c r="F35" s="102"/>
      <c r="G35" s="103"/>
      <c r="H35" s="102"/>
      <c r="I35" s="103"/>
      <c r="J35" s="102"/>
      <c r="K35" s="103"/>
      <c r="L35" s="102"/>
      <c r="M35" s="103"/>
      <c r="N35" s="102"/>
      <c r="O35" s="103"/>
      <c r="P35" s="102"/>
      <c r="Q35" s="103"/>
      <c r="R35" s="102"/>
      <c r="S35" s="103"/>
      <c r="T35" s="102"/>
      <c r="U35" s="103"/>
      <c r="V35" s="102"/>
      <c r="W35" s="103"/>
      <c r="X35" s="102"/>
      <c r="Y35" s="103"/>
      <c r="Z35" s="102"/>
      <c r="AA35" s="103"/>
      <c r="AB35" s="102"/>
      <c r="AC35" s="103"/>
      <c r="AD35" s="102"/>
      <c r="AE35" s="103"/>
      <c r="AF35" s="102"/>
      <c r="AG35" s="103"/>
      <c r="AH35" s="102"/>
      <c r="AI35" s="104"/>
      <c r="AJ35" s="1">
        <f t="array" ref="AJ35">SUM(IF(RIGHTB(D35)="%",TEXT(INDEX(E$5:AI35,MATCH(LEFTB(C35,SEARCH("%",D35)),(C$5:C35),),),"0;0;12")*E35:AI35%,E35:AI35))</f>
        <v>0</v>
      </c>
    </row>
    <row r="36" spans="2:36" ht="15.75">
      <c r="B36" s="98" t="str">
        <f>IFERROR(VLOOKUP(C36,Список!$B$2:$C$150,2,0),"")</f>
        <v/>
      </c>
      <c r="C36" s="75"/>
      <c r="D36" s="77"/>
      <c r="E36" s="99"/>
      <c r="F36" s="99"/>
      <c r="G36" s="100"/>
      <c r="H36" s="99"/>
      <c r="I36" s="100"/>
      <c r="J36" s="99"/>
      <c r="K36" s="100"/>
      <c r="L36" s="99"/>
      <c r="M36" s="100"/>
      <c r="N36" s="99"/>
      <c r="O36" s="100"/>
      <c r="P36" s="99"/>
      <c r="Q36" s="100"/>
      <c r="R36" s="99"/>
      <c r="S36" s="100"/>
      <c r="T36" s="99"/>
      <c r="U36" s="100"/>
      <c r="V36" s="99"/>
      <c r="W36" s="100"/>
      <c r="X36" s="99"/>
      <c r="Y36" s="100"/>
      <c r="Z36" s="99"/>
      <c r="AA36" s="100"/>
      <c r="AB36" s="99"/>
      <c r="AC36" s="100"/>
      <c r="AD36" s="99"/>
      <c r="AE36" s="100"/>
      <c r="AF36" s="99"/>
      <c r="AG36" s="100"/>
      <c r="AH36" s="99"/>
      <c r="AI36" s="101"/>
      <c r="AJ36" s="1">
        <f t="array" ref="AJ36">SUM(IF(RIGHTB(D36)="%",TEXT(INDEX(E$5:AI36,MATCH(LEFTB(C36,SEARCH("%",D36)),(C$5:C36),),),"0;0;12")*E36:AI36%,E36:AI36))</f>
        <v>0</v>
      </c>
    </row>
    <row r="37" spans="2:36" ht="15.75">
      <c r="B37" s="98">
        <f>IFERROR(VLOOKUP(C37,Список!$B$2:$C$150,2,0),"")</f>
        <v>170</v>
      </c>
      <c r="C37" s="75" t="s">
        <v>41</v>
      </c>
      <c r="D37" s="77" t="s">
        <v>53</v>
      </c>
      <c r="E37" s="99"/>
      <c r="F37" s="102"/>
      <c r="G37" s="102"/>
      <c r="H37" s="102"/>
      <c r="I37" s="99"/>
      <c r="J37" s="99"/>
      <c r="K37" s="99"/>
      <c r="L37" s="99"/>
      <c r="M37" s="99"/>
      <c r="N37" s="99"/>
      <c r="O37" s="99"/>
      <c r="P37" s="99"/>
      <c r="Q37" s="99"/>
      <c r="R37" s="102"/>
      <c r="S37" s="103"/>
      <c r="T37" s="102"/>
      <c r="U37" s="103"/>
      <c r="V37" s="99"/>
      <c r="W37" s="99"/>
      <c r="X37" s="99"/>
      <c r="Y37" s="99"/>
      <c r="Z37" s="99"/>
      <c r="AA37" s="99"/>
      <c r="AB37" s="99"/>
      <c r="AC37" s="99"/>
      <c r="AD37" s="99"/>
      <c r="AE37" s="103"/>
      <c r="AF37" s="102"/>
      <c r="AG37" s="103"/>
      <c r="AH37" s="102"/>
      <c r="AI37" s="101"/>
      <c r="AJ37" s="1">
        <f t="array" ref="AJ37">SUM(IF(RIGHTB(D37)="%",TEXT(INDEX(E$5:AI37,MATCH(LEFTB(C37,SEARCH("%",D37)),(C$5:C37),),),"0;0;12")*E37:AI37%,E37:AI37))</f>
        <v>0</v>
      </c>
    </row>
    <row r="38" spans="2:36" ht="15.75">
      <c r="B38" s="98" t="str">
        <f>IFERROR(VLOOKUP(C38,Список!$B$2:$C$150,2,0),"")</f>
        <v/>
      </c>
      <c r="C38" s="75"/>
      <c r="D38" s="77"/>
      <c r="E38" s="99"/>
      <c r="F38" s="99"/>
      <c r="G38" s="100"/>
      <c r="H38" s="99"/>
      <c r="I38" s="100"/>
      <c r="J38" s="99"/>
      <c r="K38" s="100"/>
      <c r="L38" s="99"/>
      <c r="M38" s="100"/>
      <c r="N38" s="99"/>
      <c r="O38" s="100"/>
      <c r="P38" s="99"/>
      <c r="Q38" s="100"/>
      <c r="R38" s="99"/>
      <c r="S38" s="100"/>
      <c r="T38" s="99"/>
      <c r="U38" s="100"/>
      <c r="V38" s="99"/>
      <c r="W38" s="100"/>
      <c r="X38" s="99"/>
      <c r="Y38" s="100"/>
      <c r="Z38" s="99"/>
      <c r="AA38" s="100"/>
      <c r="AB38" s="99"/>
      <c r="AC38" s="100"/>
      <c r="AD38" s="99"/>
      <c r="AE38" s="100"/>
      <c r="AF38" s="99"/>
      <c r="AG38" s="100"/>
      <c r="AH38" s="99"/>
      <c r="AI38" s="101"/>
      <c r="AJ38" s="1">
        <f t="array" ref="AJ38">SUM(IF(RIGHTB(D38)="%",TEXT(INDEX(E$5:AI38,MATCH(LEFTB(C38,SEARCH("%",D38)),(C$5:C38),),),"0;0;12")*E38:AI38%,E38:AI38))</f>
        <v>0</v>
      </c>
    </row>
    <row r="39" spans="2:36" ht="15.75">
      <c r="B39" s="98" t="str">
        <f>IFERROR(VLOOKUP(C39,Список!$B$2:$C$150,2,0),"")</f>
        <v/>
      </c>
      <c r="C39" s="75"/>
      <c r="D39" s="77"/>
      <c r="E39" s="102"/>
      <c r="F39" s="102"/>
      <c r="G39" s="103"/>
      <c r="H39" s="102"/>
      <c r="I39" s="103"/>
      <c r="J39" s="102"/>
      <c r="K39" s="103"/>
      <c r="L39" s="102"/>
      <c r="M39" s="103"/>
      <c r="N39" s="102"/>
      <c r="O39" s="103"/>
      <c r="P39" s="102"/>
      <c r="Q39" s="103"/>
      <c r="R39" s="102"/>
      <c r="S39" s="103"/>
      <c r="T39" s="102"/>
      <c r="U39" s="103"/>
      <c r="V39" s="102"/>
      <c r="W39" s="103"/>
      <c r="X39" s="102"/>
      <c r="Y39" s="103"/>
      <c r="Z39" s="102"/>
      <c r="AA39" s="103"/>
      <c r="AB39" s="102"/>
      <c r="AC39" s="103"/>
      <c r="AD39" s="102"/>
      <c r="AE39" s="103"/>
      <c r="AF39" s="102"/>
      <c r="AG39" s="103"/>
      <c r="AH39" s="102"/>
      <c r="AI39" s="103"/>
      <c r="AJ39" s="1">
        <f t="array" ref="AJ39">SUM(IF(RIGHTB(D39)="%",TEXT(INDEX(E$5:AI39,MATCH(LEFTB(C39,SEARCH("%",D39)),(C$5:C39),),),"0;0;12")*E39:AI39%,E39:AI39))</f>
        <v>0</v>
      </c>
    </row>
    <row r="40" spans="2:36" ht="15.75">
      <c r="B40" s="98" t="str">
        <f>IFERROR(VLOOKUP(C40,Список!$B$2:$C$150,2,0),"")</f>
        <v/>
      </c>
      <c r="C40" s="75"/>
      <c r="D40" s="77"/>
      <c r="E40" s="99"/>
      <c r="F40" s="99"/>
      <c r="G40" s="100"/>
      <c r="H40" s="99"/>
      <c r="I40" s="100"/>
      <c r="J40" s="99"/>
      <c r="K40" s="100"/>
      <c r="L40" s="99"/>
      <c r="M40" s="100"/>
      <c r="N40" s="99"/>
      <c r="O40" s="100"/>
      <c r="P40" s="99"/>
      <c r="Q40" s="100"/>
      <c r="R40" s="99"/>
      <c r="S40" s="100"/>
      <c r="T40" s="99"/>
      <c r="U40" s="100"/>
      <c r="V40" s="99"/>
      <c r="W40" s="100"/>
      <c r="X40" s="99"/>
      <c r="Y40" s="100"/>
      <c r="Z40" s="99"/>
      <c r="AA40" s="100"/>
      <c r="AB40" s="99"/>
      <c r="AC40" s="100"/>
      <c r="AD40" s="99"/>
      <c r="AE40" s="99"/>
      <c r="AF40" s="99"/>
      <c r="AG40" s="99"/>
      <c r="AH40" s="99"/>
      <c r="AI40" s="101"/>
      <c r="AJ40" s="1">
        <f t="array" ref="AJ40">SUM(IF(RIGHTB(D40)="%",TEXT(INDEX(E$5:AI40,MATCH(LEFTB(C40,SEARCH("%",D40)),(C$5:C40),),),"0;0;12")*E40:AI40%,E40:AI40))</f>
        <v>0</v>
      </c>
    </row>
    <row r="41" spans="2:36" ht="15.75">
      <c r="B41" s="98">
        <f>IFERROR(VLOOKUP(C41,Список!$B$2:$C$150,2,0),"")</f>
        <v>509</v>
      </c>
      <c r="C41" s="75" t="s">
        <v>42</v>
      </c>
      <c r="D41" s="77" t="s">
        <v>54</v>
      </c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101"/>
      <c r="AJ41" s="1">
        <f t="array" ref="AJ41">SUM(IF(RIGHTB(D41)="%",TEXT(INDEX(E$5:AI41,MATCH(LEFTB(C41,SEARCH("%",D41)),(C$5:C41),),),"0;0;12")*E41:AI41%,E41:AI41))</f>
        <v>0</v>
      </c>
    </row>
    <row r="42" spans="2:36" ht="15.75">
      <c r="B42" s="98" t="str">
        <f>IFERROR(VLOOKUP(C42,Список!$B$2:$C$150,2,0),"")</f>
        <v/>
      </c>
      <c r="C42" s="75"/>
      <c r="D42" s="77"/>
      <c r="E42" s="102"/>
      <c r="F42" s="99"/>
      <c r="G42" s="99"/>
      <c r="H42" s="99"/>
      <c r="I42" s="103"/>
      <c r="J42" s="102"/>
      <c r="K42" s="103"/>
      <c r="L42" s="102"/>
      <c r="M42" s="103"/>
      <c r="N42" s="102"/>
      <c r="O42" s="103"/>
      <c r="P42" s="102"/>
      <c r="Q42" s="103"/>
      <c r="R42" s="102"/>
      <c r="S42" s="103"/>
      <c r="T42" s="102"/>
      <c r="U42" s="103"/>
      <c r="V42" s="102"/>
      <c r="W42" s="103"/>
      <c r="X42" s="102"/>
      <c r="Y42" s="103"/>
      <c r="Z42" s="102"/>
      <c r="AA42" s="103"/>
      <c r="AB42" s="102"/>
      <c r="AC42" s="103"/>
      <c r="AD42" s="99"/>
      <c r="AE42" s="99"/>
      <c r="AF42" s="99"/>
      <c r="AG42" s="99"/>
      <c r="AH42" s="99"/>
      <c r="AI42" s="103"/>
      <c r="AJ42" s="1">
        <f t="array" ref="AJ42">SUM(IF(RIGHTB(D42)="%",TEXT(INDEX(E$5:AI42,MATCH(LEFTB(C42,SEARCH("%",D42)),(C$5:C42),),),"0;0;12")*E42:AI42%,E42:AI42))</f>
        <v>0</v>
      </c>
    </row>
    <row r="43" spans="2:36" ht="15.75">
      <c r="B43" s="98" t="str">
        <f>IFERROR(VLOOKUP(C43,Список!$B$2:$C$150,2,0),"")</f>
        <v/>
      </c>
      <c r="C43" s="75"/>
      <c r="D43" s="77"/>
      <c r="E43" s="99"/>
      <c r="F43" s="99"/>
      <c r="G43" s="100"/>
      <c r="H43" s="99"/>
      <c r="I43" s="100"/>
      <c r="J43" s="99"/>
      <c r="K43" s="100"/>
      <c r="L43" s="99"/>
      <c r="M43" s="100"/>
      <c r="N43" s="99"/>
      <c r="O43" s="101"/>
      <c r="P43" s="99"/>
      <c r="Q43" s="100"/>
      <c r="R43" s="99"/>
      <c r="S43" s="100"/>
      <c r="T43" s="99"/>
      <c r="U43" s="100"/>
      <c r="V43" s="99"/>
      <c r="W43" s="100"/>
      <c r="X43" s="99"/>
      <c r="Y43" s="100"/>
      <c r="Z43" s="99"/>
      <c r="AA43" s="100"/>
      <c r="AB43" s="99"/>
      <c r="AC43" s="100"/>
      <c r="AD43" s="99"/>
      <c r="AE43" s="100"/>
      <c r="AF43" s="99"/>
      <c r="AG43" s="100"/>
      <c r="AH43" s="99"/>
      <c r="AI43" s="100"/>
      <c r="AJ43" s="1">
        <f t="array" ref="AJ43">SUM(IF(RIGHTB(D43)="%",TEXT(INDEX(E$5:AI43,MATCH(LEFTB(C43,SEARCH("%",D43)),(C$5:C43),),),"0;0;12")*E43:AI43%,E43:AI43))</f>
        <v>0</v>
      </c>
    </row>
    <row r="44" spans="2:36" ht="15.75">
      <c r="B44" s="108"/>
      <c r="C44" s="108"/>
      <c r="D44" s="109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2:36" ht="15.75">
      <c r="B45" s="10"/>
      <c r="C45" s="10"/>
      <c r="D45" s="10"/>
      <c r="E45" s="123" t="s">
        <v>158</v>
      </c>
      <c r="F45" s="123"/>
      <c r="G45" s="123"/>
      <c r="H45" s="123"/>
      <c r="I45" s="145"/>
      <c r="J45" s="149"/>
      <c r="K45" s="149"/>
      <c r="L45" s="149"/>
      <c r="M45" s="149"/>
      <c r="N45" s="149"/>
      <c r="O45" s="123" t="s">
        <v>159</v>
      </c>
      <c r="P45" s="10"/>
      <c r="Q45" s="10"/>
      <c r="R45" s="10"/>
      <c r="S45" s="139">
        <f ca="1">TODAY()</f>
        <v>42163</v>
      </c>
      <c r="T45" s="139"/>
      <c r="U45" s="139"/>
      <c r="V45" s="139"/>
      <c r="W45" s="140"/>
      <c r="X45" s="140"/>
      <c r="Y45" s="140"/>
      <c r="Z45" s="140"/>
      <c r="AA45" s="14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2:36" ht="15.75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9" spans="2:36" ht="22.5">
      <c r="B49" s="148"/>
      <c r="C49" s="148"/>
      <c r="D49" s="148"/>
      <c r="E49" s="148"/>
      <c r="F49" s="148"/>
      <c r="G49" s="148"/>
      <c r="H49" s="148"/>
      <c r="I49" s="147" t="s">
        <v>154</v>
      </c>
      <c r="J49" s="147"/>
      <c r="K49" s="147"/>
      <c r="L49" s="147"/>
      <c r="M49" s="147"/>
      <c r="N49" s="147"/>
      <c r="O49" s="134" t="s">
        <v>0</v>
      </c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95"/>
      <c r="AG49" s="96" t="s">
        <v>3</v>
      </c>
      <c r="AH49" s="96"/>
      <c r="AI49" s="96"/>
      <c r="AJ49" s="96"/>
    </row>
    <row r="50" spans="2:36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</row>
    <row r="51" spans="2:36" ht="15.75">
      <c r="B51" s="135" t="s">
        <v>2</v>
      </c>
      <c r="C51" s="150" t="s">
        <v>7</v>
      </c>
      <c r="D51" s="150"/>
      <c r="E51" s="151" t="s">
        <v>1</v>
      </c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8"/>
      <c r="AJ51" s="132" t="s">
        <v>6</v>
      </c>
    </row>
    <row r="52" spans="2:36" ht="15.75">
      <c r="B52" s="136"/>
      <c r="C52" s="150"/>
      <c r="D52" s="150"/>
      <c r="E52" s="5">
        <v>1</v>
      </c>
      <c r="F52" s="6">
        <v>2</v>
      </c>
      <c r="G52" s="5">
        <v>3</v>
      </c>
      <c r="H52" s="6">
        <v>4</v>
      </c>
      <c r="I52" s="5">
        <v>5</v>
      </c>
      <c r="J52" s="6">
        <v>6</v>
      </c>
      <c r="K52" s="5">
        <v>7</v>
      </c>
      <c r="L52" s="6">
        <v>8</v>
      </c>
      <c r="M52" s="5">
        <v>9</v>
      </c>
      <c r="N52" s="6">
        <v>10</v>
      </c>
      <c r="O52" s="5">
        <v>11</v>
      </c>
      <c r="P52" s="6">
        <v>12</v>
      </c>
      <c r="Q52" s="5">
        <v>13</v>
      </c>
      <c r="R52" s="6">
        <v>14</v>
      </c>
      <c r="S52" s="5">
        <v>15</v>
      </c>
      <c r="T52" s="6">
        <v>16</v>
      </c>
      <c r="U52" s="5">
        <v>17</v>
      </c>
      <c r="V52" s="6">
        <v>18</v>
      </c>
      <c r="W52" s="5">
        <v>19</v>
      </c>
      <c r="X52" s="6">
        <v>20</v>
      </c>
      <c r="Y52" s="5">
        <v>21</v>
      </c>
      <c r="Z52" s="6">
        <v>22</v>
      </c>
      <c r="AA52" s="5">
        <v>23</v>
      </c>
      <c r="AB52" s="6">
        <v>24</v>
      </c>
      <c r="AC52" s="5">
        <v>25</v>
      </c>
      <c r="AD52" s="6">
        <v>26</v>
      </c>
      <c r="AE52" s="5">
        <v>27</v>
      </c>
      <c r="AF52" s="6">
        <v>28</v>
      </c>
      <c r="AG52" s="5">
        <v>29</v>
      </c>
      <c r="AH52" s="6">
        <v>30</v>
      </c>
      <c r="AI52" s="7">
        <v>31</v>
      </c>
      <c r="AJ52" s="133"/>
    </row>
    <row r="53" spans="2:36" ht="15.75">
      <c r="B53" s="98">
        <f>IFERROR(VLOOKUP(C53,Список!$B$2:$C$150,2,0),"")</f>
        <v>1379</v>
      </c>
      <c r="C53" s="114" t="s">
        <v>43</v>
      </c>
      <c r="D53" s="76" t="s">
        <v>55</v>
      </c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101"/>
      <c r="AJ53" s="1">
        <f t="array" ref="AJ53">SUM(IF(RIGHTB(D53)="%",TEXT(INDEX(E$53:AI53,MATCH(LEFTB(C53,SEARCH("%",D53)),(C$53:C53),),),"0;0;12")*E53:AI53%,E53:AI53))</f>
        <v>0</v>
      </c>
    </row>
    <row r="54" spans="2:36" ht="15.75">
      <c r="B54" s="98" t="str">
        <f>IFERROR(VLOOKUP(C54,Список!$B$2:$C$150,2,0),"")</f>
        <v/>
      </c>
      <c r="C54" s="114"/>
      <c r="D54" s="77"/>
      <c r="E54" s="102"/>
      <c r="F54" s="99"/>
      <c r="G54" s="103"/>
      <c r="H54" s="102"/>
      <c r="I54" s="103"/>
      <c r="J54" s="102"/>
      <c r="K54" s="103"/>
      <c r="L54" s="102"/>
      <c r="M54" s="103"/>
      <c r="N54" s="102"/>
      <c r="O54" s="103"/>
      <c r="P54" s="102"/>
      <c r="Q54" s="103"/>
      <c r="R54" s="102"/>
      <c r="S54" s="103"/>
      <c r="T54" s="102"/>
      <c r="U54" s="103"/>
      <c r="V54" s="102"/>
      <c r="W54" s="103"/>
      <c r="X54" s="102"/>
      <c r="Y54" s="103"/>
      <c r="Z54" s="102"/>
      <c r="AA54" s="103"/>
      <c r="AB54" s="102"/>
      <c r="AC54" s="103"/>
      <c r="AD54" s="102"/>
      <c r="AE54" s="103"/>
      <c r="AF54" s="102"/>
      <c r="AG54" s="103"/>
      <c r="AH54" s="102"/>
      <c r="AI54" s="104"/>
      <c r="AJ54" s="1">
        <f t="array" ref="AJ54">SUM(IF(RIGHTB(D54)="%",TEXT(INDEX(E$53:AI54,MATCH(LEFTB(C54,SEARCH("%",D54)),(C$53:C54),),),"0;0;12")*E54:AI54%,E54:AI54))</f>
        <v>0</v>
      </c>
    </row>
    <row r="55" spans="2:36" ht="15.75">
      <c r="B55" s="98" t="str">
        <f>IFERROR(VLOOKUP(C55,Список!$B$2:$C$150,2,0),"")</f>
        <v/>
      </c>
      <c r="C55" s="114"/>
      <c r="D55" s="77"/>
      <c r="E55" s="99"/>
      <c r="F55" s="99"/>
      <c r="G55" s="100"/>
      <c r="H55" s="99"/>
      <c r="I55" s="100"/>
      <c r="J55" s="99"/>
      <c r="K55" s="100"/>
      <c r="L55" s="99"/>
      <c r="M55" s="100"/>
      <c r="N55" s="99"/>
      <c r="O55" s="100"/>
      <c r="P55" s="99"/>
      <c r="Q55" s="100"/>
      <c r="R55" s="99"/>
      <c r="S55" s="100"/>
      <c r="T55" s="99"/>
      <c r="U55" s="100"/>
      <c r="V55" s="99"/>
      <c r="W55" s="100"/>
      <c r="X55" s="99"/>
      <c r="Y55" s="100"/>
      <c r="Z55" s="99"/>
      <c r="AA55" s="100"/>
      <c r="AB55" s="99"/>
      <c r="AC55" s="100"/>
      <c r="AD55" s="99"/>
      <c r="AE55" s="100"/>
      <c r="AF55" s="99"/>
      <c r="AG55" s="100"/>
      <c r="AH55" s="99"/>
      <c r="AI55" s="101"/>
      <c r="AJ55" s="1">
        <f t="array" ref="AJ55">SUM(IF(RIGHTB(D55)="%",TEXT(INDEX(E$53:AI55,MATCH(LEFTB(C55,SEARCH("%",D55)),(C$53:C55),),),"0;0;12")*E55:AI55%,E55:AI55))</f>
        <v>0</v>
      </c>
    </row>
    <row r="56" spans="2:36" ht="15.75">
      <c r="B56" s="98">
        <f>IFERROR(VLOOKUP(C56,Список!$B$2:$C$150,2,0),"")</f>
        <v>589</v>
      </c>
      <c r="C56" s="75" t="s">
        <v>163</v>
      </c>
      <c r="D56" s="77" t="s">
        <v>53</v>
      </c>
      <c r="E56" s="105"/>
      <c r="F56" s="99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">
        <f t="array" ref="AJ56">SUM(IF(RIGHTB(D56)="%",TEXT(INDEX(E$53:AI56,MATCH(LEFTB(C56,SEARCH("%",D56)),(C$53:C56),),),"0;0;12")*E56:AI56%,E56:AI56))</f>
        <v>0</v>
      </c>
    </row>
    <row r="57" spans="2:36" ht="15.75">
      <c r="B57" s="98">
        <f>IFERROR(VLOOKUP(C57,Список!$B$2:$C$150,2,0),"")</f>
        <v>589</v>
      </c>
      <c r="C57" s="75" t="s">
        <v>163</v>
      </c>
      <c r="D57" s="77" t="s">
        <v>66</v>
      </c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1">
        <f t="array" ref="AJ57">SUM(IF(RIGHTB(D57)="%",TEXT(INDEX(E$53:AI57,MATCH(LEFTB(C57,SEARCH("%",D57)),(C$53:C57),),),"0;0;12")*E57:AI57%,E57:AI57))</f>
        <v>0</v>
      </c>
    </row>
    <row r="58" spans="2:36" ht="15.75">
      <c r="B58" s="98" t="str">
        <f>IFERROR(VLOOKUP(C58,Список!$B$2:$C$150,2,0),"")</f>
        <v/>
      </c>
      <c r="C58" s="75"/>
      <c r="D58" s="77"/>
      <c r="E58" s="99"/>
      <c r="F58" s="99"/>
      <c r="G58" s="100"/>
      <c r="H58" s="99"/>
      <c r="I58" s="100"/>
      <c r="J58" s="99"/>
      <c r="K58" s="100"/>
      <c r="L58" s="99"/>
      <c r="M58" s="100"/>
      <c r="N58" s="99"/>
      <c r="O58" s="100"/>
      <c r="P58" s="99"/>
      <c r="Q58" s="100"/>
      <c r="R58" s="99"/>
      <c r="S58" s="100"/>
      <c r="T58" s="99"/>
      <c r="U58" s="100"/>
      <c r="V58" s="99"/>
      <c r="W58" s="100"/>
      <c r="X58" s="99"/>
      <c r="Y58" s="100"/>
      <c r="Z58" s="99"/>
      <c r="AA58" s="100"/>
      <c r="AB58" s="99"/>
      <c r="AC58" s="100"/>
      <c r="AD58" s="99"/>
      <c r="AE58" s="100"/>
      <c r="AF58" s="99"/>
      <c r="AG58" s="100"/>
      <c r="AH58" s="99"/>
      <c r="AI58" s="101"/>
      <c r="AJ58" s="1">
        <f t="array" ref="AJ58">SUM(IF(RIGHTB(D58)="%",TEXT(INDEX(E$53:AI58,MATCH(LEFTB(C58,SEARCH("%",D58)),(C$53:C58),),),"0;0;12")*E58:AI58%,E58:AI58))</f>
        <v>0</v>
      </c>
    </row>
    <row r="59" spans="2:36" ht="15.75">
      <c r="B59" s="98" t="str">
        <f>IFERROR(VLOOKUP(C59,Список!$B$2:$C$150,2,0),"")</f>
        <v/>
      </c>
      <c r="C59" s="75"/>
      <c r="D59" s="77"/>
      <c r="E59" s="102"/>
      <c r="F59" s="99"/>
      <c r="G59" s="103"/>
      <c r="H59" s="102"/>
      <c r="I59" s="103"/>
      <c r="J59" s="102"/>
      <c r="K59" s="103"/>
      <c r="L59" s="102"/>
      <c r="M59" s="103"/>
      <c r="N59" s="102"/>
      <c r="O59" s="103"/>
      <c r="P59" s="102"/>
      <c r="Q59" s="103"/>
      <c r="R59" s="102"/>
      <c r="S59" s="103"/>
      <c r="T59" s="102"/>
      <c r="U59" s="103"/>
      <c r="V59" s="102"/>
      <c r="W59" s="103"/>
      <c r="X59" s="102"/>
      <c r="Y59" s="103"/>
      <c r="Z59" s="102"/>
      <c r="AA59" s="103"/>
      <c r="AB59" s="102"/>
      <c r="AC59" s="103"/>
      <c r="AD59" s="102"/>
      <c r="AE59" s="103"/>
      <c r="AF59" s="102"/>
      <c r="AG59" s="103"/>
      <c r="AH59" s="102"/>
      <c r="AI59" s="104"/>
      <c r="AJ59" s="1">
        <f t="array" ref="AJ59">SUM(IF(RIGHTB(D59)="%",TEXT(INDEX(E$53:AI59,MATCH(LEFTB(C59,SEARCH("%",D59)),(C$53:C59),),),"0;0;12")*E59:AI59%,E59:AI59))</f>
        <v>0</v>
      </c>
    </row>
    <row r="60" spans="2:36" ht="15.75">
      <c r="B60" s="98">
        <f>IFERROR(VLOOKUP(C60,Список!$B$2:$C$150,2,0),"")</f>
        <v>1140</v>
      </c>
      <c r="C60" s="75" t="s">
        <v>45</v>
      </c>
      <c r="D60" s="77" t="s">
        <v>48</v>
      </c>
      <c r="E60" s="99"/>
      <c r="F60" s="99"/>
      <c r="G60" s="100"/>
      <c r="H60" s="99"/>
      <c r="I60" s="100"/>
      <c r="J60" s="99"/>
      <c r="K60" s="100"/>
      <c r="L60" s="99"/>
      <c r="M60" s="100"/>
      <c r="N60" s="99"/>
      <c r="O60" s="100"/>
      <c r="P60" s="99"/>
      <c r="Q60" s="100"/>
      <c r="R60" s="99"/>
      <c r="S60" s="100"/>
      <c r="T60" s="99"/>
      <c r="U60" s="100"/>
      <c r="V60" s="99"/>
      <c r="W60" s="100"/>
      <c r="X60" s="99"/>
      <c r="Y60" s="100"/>
      <c r="Z60" s="99"/>
      <c r="AA60" s="100"/>
      <c r="AB60" s="99"/>
      <c r="AC60" s="100"/>
      <c r="AD60" s="99"/>
      <c r="AE60" s="100"/>
      <c r="AF60" s="99"/>
      <c r="AG60" s="99"/>
      <c r="AH60" s="99"/>
      <c r="AI60" s="101"/>
      <c r="AJ60" s="1">
        <f t="array" ref="AJ60">SUM(IF(RIGHTB(D60)="%",TEXT(INDEX(E$53:AI60,MATCH(LEFTB(C60,SEARCH("%",D60)),(C$53:C60),),),"0;0;12")*E60:AI60%,E60:AI60))</f>
        <v>0</v>
      </c>
    </row>
    <row r="61" spans="2:36" ht="15.75">
      <c r="B61" s="98" t="str">
        <f>IFERROR(VLOOKUP(C61,Список!$B$2:$C$150,2,0),"")</f>
        <v/>
      </c>
      <c r="C61" s="78"/>
      <c r="D61" s="77"/>
      <c r="E61" s="102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104"/>
      <c r="AJ61" s="1">
        <f t="array" ref="AJ61">SUM(IF(RIGHTB(D61)="%",TEXT(INDEX(E$53:AI61,MATCH(LEFTB(C61,SEARCH("%",D61)),(C$53:C61),),),"0;0;12")*E61:AI61%,E61:AI61))</f>
        <v>0</v>
      </c>
    </row>
    <row r="62" spans="2:36" ht="15.75">
      <c r="B62" s="98" t="str">
        <f>IFERROR(VLOOKUP(C62,Список!$B$2:$C$150,2,0),"")</f>
        <v/>
      </c>
      <c r="C62" s="75"/>
      <c r="D62" s="77"/>
      <c r="E62" s="99"/>
      <c r="F62" s="99"/>
      <c r="G62" s="100"/>
      <c r="H62" s="99"/>
      <c r="I62" s="100"/>
      <c r="J62" s="99"/>
      <c r="K62" s="100"/>
      <c r="L62" s="99"/>
      <c r="M62" s="100"/>
      <c r="N62" s="99"/>
      <c r="O62" s="100"/>
      <c r="P62" s="99"/>
      <c r="Q62" s="100"/>
      <c r="R62" s="99"/>
      <c r="S62" s="100"/>
      <c r="T62" s="99"/>
      <c r="U62" s="100"/>
      <c r="V62" s="99"/>
      <c r="W62" s="100"/>
      <c r="X62" s="99"/>
      <c r="Y62" s="100"/>
      <c r="Z62" s="99"/>
      <c r="AA62" s="100"/>
      <c r="AB62" s="99"/>
      <c r="AC62" s="100"/>
      <c r="AD62" s="99"/>
      <c r="AE62" s="100"/>
      <c r="AF62" s="99"/>
      <c r="AG62" s="100"/>
      <c r="AH62" s="99"/>
      <c r="AI62" s="101"/>
      <c r="AJ62" s="1">
        <f t="array" ref="AJ62">SUM(IF(RIGHTB(D62)="%",TEXT(INDEX(E$53:AI62,MATCH(LEFTB(C62,SEARCH("%",D62)),(C$53:C62),),),"0;0;12")*E62:AI62%,E62:AI62))</f>
        <v>0</v>
      </c>
    </row>
    <row r="63" spans="2:36" ht="15.75">
      <c r="B63" s="98" t="str">
        <f>IFERROR(VLOOKUP(C63,Список!$B$2:$C$150,2,0),"")</f>
        <v/>
      </c>
      <c r="C63" s="75"/>
      <c r="D63" s="77"/>
      <c r="E63" s="99"/>
      <c r="F63" s="99"/>
      <c r="G63" s="100"/>
      <c r="H63" s="99"/>
      <c r="I63" s="100"/>
      <c r="J63" s="99"/>
      <c r="K63" s="100"/>
      <c r="L63" s="99"/>
      <c r="M63" s="100"/>
      <c r="N63" s="99"/>
      <c r="O63" s="100"/>
      <c r="P63" s="99"/>
      <c r="Q63" s="100"/>
      <c r="R63" s="99"/>
      <c r="S63" s="100"/>
      <c r="T63" s="99"/>
      <c r="U63" s="100"/>
      <c r="V63" s="99"/>
      <c r="W63" s="100"/>
      <c r="X63" s="99"/>
      <c r="Y63" s="100"/>
      <c r="Z63" s="99"/>
      <c r="AA63" s="100"/>
      <c r="AB63" s="99"/>
      <c r="AC63" s="100"/>
      <c r="AD63" s="99"/>
      <c r="AE63" s="100"/>
      <c r="AF63" s="99"/>
      <c r="AG63" s="100"/>
      <c r="AH63" s="99"/>
      <c r="AI63" s="101"/>
      <c r="AJ63" s="1">
        <f t="array" ref="AJ63">SUM(IF(RIGHTB(D63)="%",TEXT(INDEX(E$53:AI63,MATCH(LEFTB(C63,SEARCH("%",D63)),(C$53:C63),),),"0;0;12")*E63:AI63%,E63:AI63))</f>
        <v>0</v>
      </c>
    </row>
    <row r="64" spans="2:36" ht="15.75">
      <c r="B64" s="98" t="str">
        <f>IFERROR(VLOOKUP(C64,Список!$B$2:$C$150,2,0),"")</f>
        <v/>
      </c>
      <c r="C64" s="78"/>
      <c r="D64" s="76"/>
      <c r="E64" s="99"/>
      <c r="F64" s="99"/>
      <c r="G64" s="100"/>
      <c r="H64" s="99"/>
      <c r="I64" s="100"/>
      <c r="J64" s="99"/>
      <c r="K64" s="100"/>
      <c r="L64" s="99"/>
      <c r="M64" s="100"/>
      <c r="N64" s="99"/>
      <c r="O64" s="100"/>
      <c r="P64" s="99"/>
      <c r="Q64" s="100"/>
      <c r="R64" s="99"/>
      <c r="S64" s="100"/>
      <c r="T64" s="99"/>
      <c r="U64" s="100"/>
      <c r="V64" s="99"/>
      <c r="W64" s="100"/>
      <c r="X64" s="99"/>
      <c r="Y64" s="100"/>
      <c r="Z64" s="99"/>
      <c r="AA64" s="100"/>
      <c r="AB64" s="99"/>
      <c r="AC64" s="100"/>
      <c r="AD64" s="99"/>
      <c r="AE64" s="100"/>
      <c r="AF64" s="99"/>
      <c r="AG64" s="100"/>
      <c r="AH64" s="99"/>
      <c r="AI64" s="101"/>
      <c r="AJ64" s="1">
        <f t="array" ref="AJ64">SUM(IF(RIGHTB(D64)="%",TEXT(INDEX(E$53:AI64,MATCH(LEFTB(C64,SEARCH("%",D64)),(C$53:C64),),),"0;0;12")*E64:AI64%,E64:AI64))</f>
        <v>0</v>
      </c>
    </row>
    <row r="65" spans="2:36" ht="15.75">
      <c r="B65" s="98">
        <f>IFERROR(VLOOKUP(C65,Список!$B$2:$C$150,2,0),"")</f>
        <v>1316</v>
      </c>
      <c r="C65" s="75" t="s">
        <v>131</v>
      </c>
      <c r="D65" s="77" t="s">
        <v>56</v>
      </c>
      <c r="E65" s="102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104"/>
      <c r="AJ65" s="1">
        <f t="array" ref="AJ65">SUM(IF(RIGHTB(D65)="%",TEXT(INDEX(E$53:AI65,MATCH(LEFTB(C65,SEARCH("%",D65)),(C$53:C65),),),"0;0;12")*E65:AI65%,E65:AI65))</f>
        <v>0</v>
      </c>
    </row>
    <row r="66" spans="2:36" ht="15.75">
      <c r="B66" s="98" t="str">
        <f>IFERROR(VLOOKUP(C66,Список!$B$2:$C$150,2,0),"")</f>
        <v/>
      </c>
      <c r="C66" s="75"/>
      <c r="D66" s="77"/>
      <c r="E66" s="99"/>
      <c r="F66" s="99"/>
      <c r="G66" s="100"/>
      <c r="H66" s="99"/>
      <c r="I66" s="100"/>
      <c r="J66" s="99"/>
      <c r="K66" s="100"/>
      <c r="L66" s="99"/>
      <c r="M66" s="100"/>
      <c r="N66" s="99"/>
      <c r="O66" s="100"/>
      <c r="P66" s="99"/>
      <c r="Q66" s="100"/>
      <c r="R66" s="99"/>
      <c r="S66" s="100"/>
      <c r="T66" s="99"/>
      <c r="U66" s="100"/>
      <c r="V66" s="99"/>
      <c r="W66" s="100"/>
      <c r="X66" s="99"/>
      <c r="Y66" s="100"/>
      <c r="Z66" s="99"/>
      <c r="AA66" s="100"/>
      <c r="AB66" s="99"/>
      <c r="AC66" s="100"/>
      <c r="AD66" s="99"/>
      <c r="AE66" s="100"/>
      <c r="AF66" s="99"/>
      <c r="AG66" s="100"/>
      <c r="AH66" s="99"/>
      <c r="AI66" s="101"/>
      <c r="AJ66" s="1">
        <f t="array" ref="AJ66">SUM(IF(RIGHTB(D66)="%",TEXT(INDEX(E$53:AI66,MATCH(LEFTB(C66,SEARCH("%",D66)),(C$53:C66),),),"0;0;12")*E66:AI66%,E66:AI66))</f>
        <v>0</v>
      </c>
    </row>
    <row r="67" spans="2:36" ht="15.75">
      <c r="B67" s="98" t="str">
        <f>IFERROR(VLOOKUP(C67,Список!$B$2:$C$150,2,0),"")</f>
        <v/>
      </c>
      <c r="C67" s="75"/>
      <c r="D67" s="77"/>
      <c r="E67" s="102"/>
      <c r="F67" s="99"/>
      <c r="G67" s="103"/>
      <c r="H67" s="102"/>
      <c r="I67" s="103"/>
      <c r="J67" s="102"/>
      <c r="K67" s="103"/>
      <c r="L67" s="102"/>
      <c r="M67" s="103"/>
      <c r="N67" s="102"/>
      <c r="O67" s="103"/>
      <c r="P67" s="102"/>
      <c r="Q67" s="103"/>
      <c r="R67" s="102"/>
      <c r="S67" s="103"/>
      <c r="T67" s="102"/>
      <c r="U67" s="103"/>
      <c r="V67" s="102"/>
      <c r="W67" s="103"/>
      <c r="X67" s="102"/>
      <c r="Y67" s="103"/>
      <c r="Z67" s="102"/>
      <c r="AA67" s="103"/>
      <c r="AB67" s="102"/>
      <c r="AC67" s="103"/>
      <c r="AD67" s="102"/>
      <c r="AE67" s="103"/>
      <c r="AF67" s="102"/>
      <c r="AG67" s="103"/>
      <c r="AH67" s="102"/>
      <c r="AI67" s="104"/>
      <c r="AJ67" s="1">
        <f t="array" ref="AJ67">SUM(IF(RIGHTB(D67)="%",TEXT(INDEX(E$53:AI67,MATCH(LEFTB(C67,SEARCH("%",D67)),(C$53:C67),),),"0;0;12")*E67:AI67%,E67:AI67))</f>
        <v>0</v>
      </c>
    </row>
    <row r="68" spans="2:36" ht="15.75">
      <c r="B68" s="98" t="str">
        <f>IFERROR(VLOOKUP(C68,Список!$B$2:$C$150,2,0),"")</f>
        <v/>
      </c>
      <c r="C68" s="75"/>
      <c r="D68" s="77"/>
      <c r="E68" s="99"/>
      <c r="F68" s="99"/>
      <c r="G68" s="100"/>
      <c r="H68" s="99"/>
      <c r="I68" s="100"/>
      <c r="J68" s="99"/>
      <c r="K68" s="100"/>
      <c r="L68" s="99"/>
      <c r="M68" s="100"/>
      <c r="N68" s="99"/>
      <c r="O68" s="100"/>
      <c r="P68" s="99"/>
      <c r="Q68" s="100"/>
      <c r="R68" s="99"/>
      <c r="S68" s="100"/>
      <c r="T68" s="99"/>
      <c r="U68" s="100"/>
      <c r="V68" s="99"/>
      <c r="W68" s="100"/>
      <c r="X68" s="99"/>
      <c r="Y68" s="100"/>
      <c r="Z68" s="99"/>
      <c r="AA68" s="100"/>
      <c r="AB68" s="99"/>
      <c r="AC68" s="100"/>
      <c r="AD68" s="99"/>
      <c r="AE68" s="100"/>
      <c r="AF68" s="99"/>
      <c r="AG68" s="100"/>
      <c r="AH68" s="99"/>
      <c r="AI68" s="101"/>
      <c r="AJ68" s="1">
        <f t="array" ref="AJ68">SUM(IF(RIGHTB(D68)="%",TEXT(INDEX(E$53:AI68,MATCH(LEFTB(C68,SEARCH("%",D68)),(C$53:C68),),),"0;0;12")*E68:AI68%,E68:AI68))</f>
        <v>0</v>
      </c>
    </row>
    <row r="69" spans="2:36" ht="15.75">
      <c r="B69" s="98" t="str">
        <f>IFERROR(VLOOKUP(C69,Список!$B$2:$C$150,2,0),"")</f>
        <v/>
      </c>
      <c r="C69" s="75"/>
      <c r="D69" s="77"/>
      <c r="E69" s="102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103"/>
      <c r="AF69" s="102"/>
      <c r="AG69" s="103"/>
      <c r="AH69" s="102"/>
      <c r="AI69" s="104"/>
      <c r="AJ69" s="1">
        <f t="array" ref="AJ69">SUM(IF(RIGHTB(D69)="%",TEXT(INDEX(E$53:AI69,MATCH(LEFTB(C69,SEARCH("%",D69)),(C$53:C69),),),"0;0;12")*E69:AI69%,E69:AI69))</f>
        <v>0</v>
      </c>
    </row>
    <row r="70" spans="2:36" ht="15.75">
      <c r="B70" s="98" t="str">
        <f>IFERROR(VLOOKUP(C70,Список!$B$2:$C$150,2,0),"")</f>
        <v/>
      </c>
      <c r="C70" s="75"/>
      <c r="D70" s="77"/>
      <c r="E70" s="99"/>
      <c r="F70" s="99"/>
      <c r="G70" s="100"/>
      <c r="H70" s="99"/>
      <c r="I70" s="100"/>
      <c r="J70" s="99"/>
      <c r="K70" s="100"/>
      <c r="L70" s="99"/>
      <c r="M70" s="100"/>
      <c r="N70" s="99"/>
      <c r="O70" s="100"/>
      <c r="P70" s="99"/>
      <c r="Q70" s="100"/>
      <c r="R70" s="99"/>
      <c r="S70" s="100"/>
      <c r="T70" s="99"/>
      <c r="U70" s="100"/>
      <c r="V70" s="99"/>
      <c r="W70" s="100"/>
      <c r="X70" s="99"/>
      <c r="Y70" s="100"/>
      <c r="Z70" s="99"/>
      <c r="AA70" s="100"/>
      <c r="AB70" s="99"/>
      <c r="AC70" s="100"/>
      <c r="AD70" s="99"/>
      <c r="AE70" s="100"/>
      <c r="AF70" s="99"/>
      <c r="AG70" s="100"/>
      <c r="AH70" s="99"/>
      <c r="AI70" s="101"/>
      <c r="AJ70" s="1">
        <f t="array" ref="AJ70">SUM(IF(RIGHTB(D70)="%",TEXT(INDEX(E$53:AI70,MATCH(LEFTB(C70,SEARCH("%",D70)),(C$53:C70),),),"0;0;12")*E70:AI70%,E70:AI70))</f>
        <v>0</v>
      </c>
    </row>
    <row r="71" spans="2:36" ht="15.75">
      <c r="B71" s="98" t="str">
        <f>IFERROR(VLOOKUP(C71,Список!$B$2:$C$150,2,0),"")</f>
        <v/>
      </c>
      <c r="C71" s="75"/>
      <c r="D71" s="77"/>
      <c r="E71" s="102"/>
      <c r="F71" s="102"/>
      <c r="G71" s="103"/>
      <c r="H71" s="102"/>
      <c r="I71" s="103"/>
      <c r="J71" s="102"/>
      <c r="K71" s="103"/>
      <c r="L71" s="102"/>
      <c r="M71" s="103"/>
      <c r="N71" s="102"/>
      <c r="O71" s="103"/>
      <c r="P71" s="102"/>
      <c r="Q71" s="103"/>
      <c r="R71" s="102"/>
      <c r="S71" s="103"/>
      <c r="T71" s="102"/>
      <c r="U71" s="103"/>
      <c r="V71" s="102"/>
      <c r="W71" s="103"/>
      <c r="X71" s="102"/>
      <c r="Y71" s="103"/>
      <c r="Z71" s="102"/>
      <c r="AA71" s="103"/>
      <c r="AB71" s="102"/>
      <c r="AC71" s="103"/>
      <c r="AD71" s="102"/>
      <c r="AE71" s="103"/>
      <c r="AF71" s="102"/>
      <c r="AG71" s="103"/>
      <c r="AH71" s="102"/>
      <c r="AI71" s="104"/>
      <c r="AJ71" s="1">
        <f t="array" ref="AJ71">SUM(IF(RIGHTB(D71)="%",TEXT(INDEX(E$53:AI71,MATCH(LEFTB(C71,SEARCH("%",D71)),(C$53:C71),),),"0;0;12")*E71:AI71%,E71:AI71))</f>
        <v>0</v>
      </c>
    </row>
    <row r="72" spans="2:36" ht="15.75">
      <c r="B72" s="98">
        <f>IFERROR(VLOOKUP(C72,Список!$B$2:$C$150,2,0),"")</f>
        <v>761</v>
      </c>
      <c r="C72" s="75" t="s">
        <v>37</v>
      </c>
      <c r="D72" s="77" t="s">
        <v>53</v>
      </c>
      <c r="E72" s="99"/>
      <c r="F72" s="99"/>
      <c r="G72" s="100"/>
      <c r="H72" s="99"/>
      <c r="I72" s="100"/>
      <c r="J72" s="99"/>
      <c r="K72" s="100"/>
      <c r="L72" s="99"/>
      <c r="M72" s="100"/>
      <c r="N72" s="99"/>
      <c r="O72" s="100"/>
      <c r="P72" s="99"/>
      <c r="Q72" s="100"/>
      <c r="R72" s="99"/>
      <c r="S72" s="100"/>
      <c r="T72" s="99"/>
      <c r="U72" s="100"/>
      <c r="V72" s="99"/>
      <c r="W72" s="100"/>
      <c r="X72" s="99"/>
      <c r="Y72" s="100"/>
      <c r="Z72" s="99"/>
      <c r="AA72" s="100"/>
      <c r="AB72" s="99"/>
      <c r="AC72" s="100"/>
      <c r="AD72" s="99"/>
      <c r="AE72" s="100"/>
      <c r="AF72" s="99"/>
      <c r="AG72" s="100"/>
      <c r="AH72" s="99"/>
      <c r="AI72" s="101"/>
      <c r="AJ72" s="1">
        <f t="array" ref="AJ72">SUM(IF(RIGHTB(D72)="%",TEXT(INDEX(E$53:AI72,MATCH(LEFTB(C72,SEARCH("%",D72)),(C$53:C72),),),"0;0;12")*E72:AI72%,E72:AI72))</f>
        <v>0</v>
      </c>
    </row>
    <row r="73" spans="2:36" ht="15.75">
      <c r="B73" s="98" t="str">
        <f>IFERROR(VLOOKUP(C73,Список!$B$2:$C$150,2,0),"")</f>
        <v/>
      </c>
      <c r="C73" s="78"/>
      <c r="D73" s="77"/>
      <c r="E73" s="102"/>
      <c r="F73" s="102"/>
      <c r="G73" s="103"/>
      <c r="H73" s="102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103"/>
      <c r="AF73" s="102"/>
      <c r="AG73" s="103"/>
      <c r="AH73" s="102"/>
      <c r="AI73" s="104"/>
      <c r="AJ73" s="1">
        <f t="array" ref="AJ73">SUM(IF(RIGHTB(D73)="%",TEXT(INDEX(E$53:AI73,MATCH(LEFTB(C73,SEARCH("%",D73)),(C$53:C73),),),"0;0;12")*E73:AI73%,E73:AI73))</f>
        <v>0</v>
      </c>
    </row>
    <row r="74" spans="2:36" ht="15.75">
      <c r="B74" s="98" t="str">
        <f>IFERROR(VLOOKUP(C74,Список!$B$2:$C$150,2,0),"")</f>
        <v/>
      </c>
      <c r="C74" s="75"/>
      <c r="D74" s="76"/>
      <c r="E74" s="99"/>
      <c r="F74" s="99"/>
      <c r="G74" s="100"/>
      <c r="H74" s="99"/>
      <c r="I74" s="100"/>
      <c r="J74" s="99"/>
      <c r="K74" s="100"/>
      <c r="L74" s="99"/>
      <c r="M74" s="100"/>
      <c r="N74" s="99"/>
      <c r="O74" s="100"/>
      <c r="P74" s="99"/>
      <c r="Q74" s="100"/>
      <c r="R74" s="99"/>
      <c r="S74" s="100"/>
      <c r="T74" s="99"/>
      <c r="U74" s="100"/>
      <c r="V74" s="99"/>
      <c r="W74" s="100"/>
      <c r="X74" s="99"/>
      <c r="Y74" s="100"/>
      <c r="Z74" s="99"/>
      <c r="AA74" s="100"/>
      <c r="AB74" s="99"/>
      <c r="AC74" s="100"/>
      <c r="AD74" s="99"/>
      <c r="AE74" s="100"/>
      <c r="AF74" s="99"/>
      <c r="AG74" s="100"/>
      <c r="AH74" s="99"/>
      <c r="AI74" s="101"/>
      <c r="AJ74" s="1">
        <f t="array" ref="AJ74">SUM(IF(RIGHTB(D74)="%",TEXT(INDEX(E$53:AI74,MATCH(LEFTB(C74,SEARCH("%",D74)),(C$53:C74),),),"0;0;12")*E74:AI74%,E74:AI74))</f>
        <v>0</v>
      </c>
    </row>
    <row r="75" spans="2:36" ht="15.75">
      <c r="B75" s="98" t="str">
        <f>IFERROR(VLOOKUP(C75,Список!$B$2:$C$150,2,0),"")</f>
        <v/>
      </c>
      <c r="C75" s="75"/>
      <c r="D75" s="77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1">
        <f t="array" ref="AJ75">SUM(IF(RIGHTB(D75)="%",TEXT(INDEX(E$53:AI75,MATCH(LEFTB(C75,SEARCH("%",D75)),(C$53:C75),),),"0;0;12")*E75:AI75%,E75:AI75))</f>
        <v>0</v>
      </c>
    </row>
    <row r="76" spans="2:36" ht="15.75">
      <c r="B76" s="98" t="str">
        <f>IFERROR(VLOOKUP(C76,Список!$B$2:$C$150,2,0),"")</f>
        <v/>
      </c>
      <c r="C76" s="75"/>
      <c r="D76" s="107"/>
      <c r="E76" s="99"/>
      <c r="F76" s="99"/>
      <c r="G76" s="100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100"/>
      <c r="AF76" s="99"/>
      <c r="AG76" s="100"/>
      <c r="AH76" s="99"/>
      <c r="AI76" s="101"/>
      <c r="AJ76" s="1">
        <f t="array" ref="AJ76">SUM(IF(RIGHTB(D76)="%",TEXT(INDEX(E$53:AI76,MATCH(LEFTB(C76,SEARCH("%",D76)),(C$53:C76),),),"0;0;12")*E76:AI76%,E76:AI76))</f>
        <v>0</v>
      </c>
    </row>
    <row r="77" spans="2:36" ht="15.75">
      <c r="B77" s="98" t="str">
        <f>IFERROR(VLOOKUP(C77,Список!$B$2:$C$150,2,0),"")</f>
        <v/>
      </c>
      <c r="C77" s="75"/>
      <c r="D77" s="107"/>
      <c r="E77" s="102"/>
      <c r="F77" s="102"/>
      <c r="G77" s="103"/>
      <c r="H77" s="102"/>
      <c r="I77" s="103"/>
      <c r="J77" s="102"/>
      <c r="K77" s="103"/>
      <c r="L77" s="102"/>
      <c r="M77" s="103"/>
      <c r="N77" s="102"/>
      <c r="O77" s="103"/>
      <c r="P77" s="102"/>
      <c r="Q77" s="103"/>
      <c r="R77" s="102"/>
      <c r="S77" s="103"/>
      <c r="T77" s="102"/>
      <c r="U77" s="103"/>
      <c r="V77" s="102"/>
      <c r="W77" s="103"/>
      <c r="X77" s="102"/>
      <c r="Y77" s="103"/>
      <c r="Z77" s="102"/>
      <c r="AA77" s="103"/>
      <c r="AB77" s="102"/>
      <c r="AC77" s="103"/>
      <c r="AD77" s="102"/>
      <c r="AE77" s="103"/>
      <c r="AF77" s="102"/>
      <c r="AG77" s="103"/>
      <c r="AH77" s="102"/>
      <c r="AI77" s="104"/>
      <c r="AJ77" s="1">
        <f t="array" ref="AJ77">SUM(IF(RIGHTB(D77)="%",TEXT(INDEX(E$53:AI77,MATCH(LEFTB(C77,SEARCH("%",D77)),(C$53:C77),),),"0;0;12")*E77:AI77%,E77:AI77))</f>
        <v>0</v>
      </c>
    </row>
    <row r="78" spans="2:36" ht="15.75">
      <c r="B78" s="98" t="str">
        <f>IFERROR(VLOOKUP(C78,Список!$B$2:$C$150,2,0),"")</f>
        <v/>
      </c>
      <c r="C78" s="75"/>
      <c r="D78" s="77"/>
      <c r="E78" s="99"/>
      <c r="F78" s="99"/>
      <c r="G78" s="100"/>
      <c r="H78" s="99"/>
      <c r="I78" s="100"/>
      <c r="J78" s="99"/>
      <c r="K78" s="100"/>
      <c r="L78" s="99"/>
      <c r="M78" s="100"/>
      <c r="N78" s="99"/>
      <c r="O78" s="100"/>
      <c r="P78" s="99"/>
      <c r="Q78" s="100"/>
      <c r="R78" s="99"/>
      <c r="S78" s="100"/>
      <c r="T78" s="99"/>
      <c r="U78" s="100"/>
      <c r="V78" s="99"/>
      <c r="W78" s="100"/>
      <c r="X78" s="99"/>
      <c r="Y78" s="100"/>
      <c r="Z78" s="99"/>
      <c r="AA78" s="100"/>
      <c r="AB78" s="99"/>
      <c r="AC78" s="100"/>
      <c r="AD78" s="99"/>
      <c r="AE78" s="100"/>
      <c r="AF78" s="99"/>
      <c r="AG78" s="100"/>
      <c r="AH78" s="99"/>
      <c r="AI78" s="101"/>
      <c r="AJ78" s="1">
        <f t="array" ref="AJ78">SUM(IF(RIGHTB(D78)="%",TEXT(INDEX(E$53:AI78,MATCH(LEFTB(C78,SEARCH("%",D78)),(C$53:C78),),),"0;0;12")*E78:AI78%,E78:AI78))</f>
        <v>0</v>
      </c>
    </row>
    <row r="79" spans="2:36" ht="15.75">
      <c r="B79" s="98" t="str">
        <f>IFERROR(VLOOKUP(C79,Список!$B$2:$C$150,2,0),"")</f>
        <v/>
      </c>
      <c r="C79" s="75"/>
      <c r="D79" s="77"/>
      <c r="E79" s="99"/>
      <c r="F79" s="99"/>
      <c r="G79" s="100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100"/>
      <c r="AF79" s="99"/>
      <c r="AG79" s="100"/>
      <c r="AH79" s="99"/>
      <c r="AI79" s="101"/>
      <c r="AJ79" s="1">
        <f t="array" ref="AJ79">SUM(IF(RIGHTB(D79)="%",TEXT(INDEX(E$53:AI79,MATCH(LEFTB(C79,SEARCH("%",D79)),(C$53:C79),),),"0;0;12")*E79:AI79%,E79:AI79))</f>
        <v>0</v>
      </c>
    </row>
    <row r="80" spans="2:36" ht="15.75">
      <c r="B80" s="98" t="str">
        <f>IFERROR(VLOOKUP(C80,Список!$B$2:$C$150,2,0),"")</f>
        <v/>
      </c>
      <c r="C80" s="75"/>
      <c r="D80" s="107"/>
      <c r="E80" s="99"/>
      <c r="F80" s="99"/>
      <c r="G80" s="100"/>
      <c r="H80" s="99"/>
      <c r="I80" s="100"/>
      <c r="J80" s="99"/>
      <c r="K80" s="100"/>
      <c r="L80" s="99"/>
      <c r="M80" s="100"/>
      <c r="N80" s="99"/>
      <c r="O80" s="100"/>
      <c r="P80" s="99"/>
      <c r="Q80" s="100"/>
      <c r="R80" s="99"/>
      <c r="S80" s="100"/>
      <c r="T80" s="99"/>
      <c r="U80" s="100"/>
      <c r="V80" s="99"/>
      <c r="W80" s="100"/>
      <c r="X80" s="99"/>
      <c r="Y80" s="100"/>
      <c r="Z80" s="99"/>
      <c r="AA80" s="100"/>
      <c r="AB80" s="99"/>
      <c r="AC80" s="100"/>
      <c r="AD80" s="99"/>
      <c r="AE80" s="100"/>
      <c r="AF80" s="99"/>
      <c r="AG80" s="100"/>
      <c r="AH80" s="99"/>
      <c r="AI80" s="101"/>
      <c r="AJ80" s="1">
        <f t="array" ref="AJ80">SUM(IF(RIGHTB(D80)="%",TEXT(INDEX(E$53:AI80,MATCH(LEFTB(C80,SEARCH("%",D80)),(C$53:C80),),),"0;0;12")*E80:AI80%,E80:AI80))</f>
        <v>0</v>
      </c>
    </row>
    <row r="81" spans="2:36" ht="15.75">
      <c r="B81" s="98" t="str">
        <f>IFERROR(VLOOKUP(C81,Список!$B$2:$C$150,2,0),"")</f>
        <v/>
      </c>
      <c r="C81" s="75"/>
      <c r="D81" s="107"/>
      <c r="E81" s="102"/>
      <c r="F81" s="102"/>
      <c r="G81" s="103"/>
      <c r="H81" s="102"/>
      <c r="I81" s="103"/>
      <c r="J81" s="102"/>
      <c r="K81" s="103"/>
      <c r="L81" s="102"/>
      <c r="M81" s="103"/>
      <c r="N81" s="102"/>
      <c r="O81" s="103"/>
      <c r="P81" s="102"/>
      <c r="Q81" s="103"/>
      <c r="R81" s="102"/>
      <c r="S81" s="103"/>
      <c r="T81" s="102"/>
      <c r="U81" s="103"/>
      <c r="V81" s="102"/>
      <c r="W81" s="103"/>
      <c r="X81" s="102"/>
      <c r="Y81" s="103"/>
      <c r="Z81" s="102"/>
      <c r="AA81" s="103"/>
      <c r="AB81" s="102"/>
      <c r="AC81" s="103"/>
      <c r="AD81" s="102"/>
      <c r="AE81" s="103"/>
      <c r="AF81" s="102"/>
      <c r="AG81" s="103"/>
      <c r="AH81" s="102"/>
      <c r="AI81" s="104"/>
      <c r="AJ81" s="1">
        <f t="array" ref="AJ81">SUM(IF(RIGHTB(D81)="%",TEXT(INDEX(E$53:AI81,MATCH(LEFTB(C81,SEARCH("%",D81)),(C$53:C81),),),"0;0;12")*E81:AI81%,E81:AI81))</f>
        <v>0</v>
      </c>
    </row>
    <row r="82" spans="2:36" ht="15.75">
      <c r="B82" s="98" t="str">
        <f>IFERROR(VLOOKUP(C82,Список!$B$2:$C$150,2,0),"")</f>
        <v/>
      </c>
      <c r="C82" s="75"/>
      <c r="D82" s="77"/>
      <c r="E82" s="99"/>
      <c r="F82" s="99"/>
      <c r="G82" s="100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100"/>
      <c r="AF82" s="99"/>
      <c r="AG82" s="100"/>
      <c r="AH82" s="99"/>
      <c r="AI82" s="101"/>
      <c r="AJ82" s="1">
        <f t="array" ref="AJ82">SUM(IF(RIGHTB(D82)="%",TEXT(INDEX(E$53:AI82,MATCH(LEFTB(C82,SEARCH("%",D82)),(C$53:C82),),),"0;0;12")*E82:AI82%,E82:AI82))</f>
        <v>0</v>
      </c>
    </row>
    <row r="83" spans="2:36" ht="15.75">
      <c r="B83" s="98" t="str">
        <f>IFERROR(VLOOKUP(C83,Список!$B$2:$C$150,2,0),"")</f>
        <v/>
      </c>
      <c r="C83" s="75"/>
      <c r="D83" s="77"/>
      <c r="E83" s="102"/>
      <c r="F83" s="102"/>
      <c r="G83" s="103"/>
      <c r="H83" s="102"/>
      <c r="I83" s="103"/>
      <c r="J83" s="102"/>
      <c r="K83" s="103"/>
      <c r="L83" s="102"/>
      <c r="M83" s="103"/>
      <c r="N83" s="102"/>
      <c r="O83" s="103"/>
      <c r="P83" s="102"/>
      <c r="Q83" s="103"/>
      <c r="R83" s="102"/>
      <c r="S83" s="103"/>
      <c r="T83" s="102"/>
      <c r="U83" s="103"/>
      <c r="V83" s="102"/>
      <c r="W83" s="103"/>
      <c r="X83" s="102"/>
      <c r="Y83" s="103"/>
      <c r="Z83" s="102"/>
      <c r="AA83" s="103"/>
      <c r="AB83" s="102"/>
      <c r="AC83" s="103"/>
      <c r="AD83" s="102"/>
      <c r="AE83" s="103"/>
      <c r="AF83" s="102"/>
      <c r="AG83" s="103"/>
      <c r="AH83" s="102"/>
      <c r="AI83" s="104"/>
      <c r="AJ83" s="1">
        <f t="array" ref="AJ83">SUM(IF(RIGHTB(D83)="%",TEXT(INDEX(E$53:AI83,MATCH(LEFTB(C83,SEARCH("%",D83)),(C$53:C83),),),"0;0;12")*E83:AI83%,E83:AI83))</f>
        <v>0</v>
      </c>
    </row>
    <row r="84" spans="2:36" ht="15.75">
      <c r="B84" s="98" t="str">
        <f>IFERROR(VLOOKUP(C84,Список!$B$2:$C$150,2,0),"")</f>
        <v/>
      </c>
      <c r="C84" s="75"/>
      <c r="D84" s="77"/>
      <c r="E84" s="99"/>
      <c r="F84" s="99"/>
      <c r="G84" s="100"/>
      <c r="H84" s="99"/>
      <c r="I84" s="100"/>
      <c r="J84" s="99"/>
      <c r="K84" s="100"/>
      <c r="L84" s="99"/>
      <c r="M84" s="100"/>
      <c r="N84" s="99"/>
      <c r="O84" s="100"/>
      <c r="P84" s="99"/>
      <c r="Q84" s="100"/>
      <c r="R84" s="99"/>
      <c r="S84" s="100"/>
      <c r="T84" s="99"/>
      <c r="U84" s="100"/>
      <c r="V84" s="99"/>
      <c r="W84" s="100"/>
      <c r="X84" s="99"/>
      <c r="Y84" s="100"/>
      <c r="Z84" s="99"/>
      <c r="AA84" s="100"/>
      <c r="AB84" s="99"/>
      <c r="AC84" s="100"/>
      <c r="AD84" s="99"/>
      <c r="AE84" s="100"/>
      <c r="AF84" s="99"/>
      <c r="AG84" s="100"/>
      <c r="AH84" s="99"/>
      <c r="AI84" s="101"/>
      <c r="AJ84" s="1">
        <f t="array" ref="AJ84">SUM(IF(RIGHTB(D84)="%",TEXT(INDEX(E$53:AI84,MATCH(LEFTB(C84,SEARCH("%",D84)),(C$53:C84),),),"0;0;12")*E84:AI84%,E84:AI84))</f>
        <v>0</v>
      </c>
    </row>
    <row r="85" spans="2:36" ht="15.75">
      <c r="B85" s="98" t="str">
        <f>IFERROR(VLOOKUP(C85,Список!$B$2:$C$150,2,0),"")</f>
        <v/>
      </c>
      <c r="C85" s="75"/>
      <c r="D85" s="77"/>
      <c r="E85" s="99"/>
      <c r="F85" s="99"/>
      <c r="G85" s="100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100"/>
      <c r="AF85" s="99"/>
      <c r="AG85" s="100"/>
      <c r="AH85" s="99"/>
      <c r="AI85" s="101"/>
      <c r="AJ85" s="1">
        <f t="array" ref="AJ85">SUM(IF(RIGHTB(D85)="%",TEXT(INDEX(E$53:AI85,MATCH(LEFTB(C85,SEARCH("%",D85)),(C$53:C85),),),"0;0;12")*E85:AI85%,E85:AI85))</f>
        <v>0</v>
      </c>
    </row>
    <row r="86" spans="2:36" ht="15.75">
      <c r="B86" s="98" t="str">
        <f>IFERROR(VLOOKUP(C86,Список!$B$2:$C$150,2,0),"")</f>
        <v/>
      </c>
      <c r="C86" s="75"/>
      <c r="D86" s="77"/>
      <c r="E86" s="99"/>
      <c r="F86" s="99"/>
      <c r="G86" s="100"/>
      <c r="H86" s="99"/>
      <c r="I86" s="100"/>
      <c r="J86" s="99"/>
      <c r="K86" s="100"/>
      <c r="L86" s="99"/>
      <c r="M86" s="100"/>
      <c r="N86" s="99"/>
      <c r="O86" s="100"/>
      <c r="P86" s="99"/>
      <c r="Q86" s="100"/>
      <c r="R86" s="99"/>
      <c r="S86" s="100"/>
      <c r="T86" s="99"/>
      <c r="U86" s="100"/>
      <c r="V86" s="99"/>
      <c r="W86" s="100"/>
      <c r="X86" s="99"/>
      <c r="Y86" s="100"/>
      <c r="Z86" s="99"/>
      <c r="AA86" s="100"/>
      <c r="AB86" s="99"/>
      <c r="AC86" s="100"/>
      <c r="AD86" s="99"/>
      <c r="AE86" s="100"/>
      <c r="AF86" s="99"/>
      <c r="AG86" s="100"/>
      <c r="AH86" s="99"/>
      <c r="AI86" s="101"/>
      <c r="AJ86" s="1">
        <f t="array" ref="AJ86">SUM(IF(RIGHTB(D86)="%",TEXT(INDEX(E$53:AI86,MATCH(LEFTB(C86,SEARCH("%",D86)),(C$53:C86),),),"0;0;12")*E86:AI86%,E86:AI86))</f>
        <v>0</v>
      </c>
    </row>
    <row r="87" spans="2:36" ht="15.75">
      <c r="B87" s="98" t="str">
        <f>IFERROR(VLOOKUP(C87,Список!$B$2:$C$150,2,0),"")</f>
        <v/>
      </c>
      <c r="C87" s="75"/>
      <c r="D87" s="77"/>
      <c r="E87" s="102"/>
      <c r="F87" s="102"/>
      <c r="G87" s="103"/>
      <c r="H87" s="102"/>
      <c r="I87" s="103"/>
      <c r="J87" s="102"/>
      <c r="K87" s="103"/>
      <c r="L87" s="102"/>
      <c r="M87" s="103"/>
      <c r="N87" s="102"/>
      <c r="O87" s="103"/>
      <c r="P87" s="102"/>
      <c r="Q87" s="103"/>
      <c r="R87" s="102"/>
      <c r="S87" s="103"/>
      <c r="T87" s="102"/>
      <c r="U87" s="103"/>
      <c r="V87" s="102"/>
      <c r="W87" s="103"/>
      <c r="X87" s="102"/>
      <c r="Y87" s="103"/>
      <c r="Z87" s="102"/>
      <c r="AA87" s="103"/>
      <c r="AB87" s="102"/>
      <c r="AC87" s="103"/>
      <c r="AD87" s="102"/>
      <c r="AE87" s="103"/>
      <c r="AF87" s="102"/>
      <c r="AG87" s="103"/>
      <c r="AH87" s="102"/>
      <c r="AI87" s="103"/>
      <c r="AJ87" s="1">
        <f t="array" ref="AJ87">SUM(IF(RIGHTB(D87)="%",TEXT(INDEX(E$53:AI87,MATCH(LEFTB(C87,SEARCH("%",D87)),(C$53:C87),),),"0;0;12")*E87:AI87%,E87:AI87))</f>
        <v>0</v>
      </c>
    </row>
    <row r="88" spans="2:36" ht="15.75">
      <c r="B88" s="98" t="str">
        <f>IFERROR(VLOOKUP(C88,Список!$B$2:$C$150,2,0),"")</f>
        <v/>
      </c>
      <c r="C88" s="75"/>
      <c r="D88" s="77"/>
      <c r="E88" s="99"/>
      <c r="F88" s="99"/>
      <c r="G88" s="100"/>
      <c r="H88" s="99"/>
      <c r="I88" s="100"/>
      <c r="J88" s="99"/>
      <c r="K88" s="100"/>
      <c r="L88" s="99"/>
      <c r="M88" s="100"/>
      <c r="N88" s="99"/>
      <c r="O88" s="100"/>
      <c r="P88" s="99"/>
      <c r="Q88" s="100"/>
      <c r="R88" s="99"/>
      <c r="S88" s="100"/>
      <c r="T88" s="99"/>
      <c r="U88" s="100"/>
      <c r="V88" s="99"/>
      <c r="W88" s="100"/>
      <c r="X88" s="99"/>
      <c r="Y88" s="100"/>
      <c r="Z88" s="99"/>
      <c r="AA88" s="100"/>
      <c r="AB88" s="99"/>
      <c r="AC88" s="100"/>
      <c r="AD88" s="99"/>
      <c r="AE88" s="100"/>
      <c r="AF88" s="99"/>
      <c r="AG88" s="100"/>
      <c r="AH88" s="99"/>
      <c r="AI88" s="101"/>
      <c r="AJ88" s="1">
        <f t="array" ref="AJ88">SUM(IF(RIGHTB(D88)="%",TEXT(INDEX(E$53:AI88,MATCH(LEFTB(C88,SEARCH("%",D88)),(C$53:C88),),),"0;0;12")*E88:AI88%,E88:AI88))</f>
        <v>0</v>
      </c>
    </row>
    <row r="89" spans="2:36" ht="15.75">
      <c r="B89" s="98" t="str">
        <f>IFERROR(VLOOKUP(C89,Список!$B$2:$C$150,2,0),"")</f>
        <v/>
      </c>
      <c r="C89" s="75"/>
      <c r="D89" s="77"/>
      <c r="E89" s="99"/>
      <c r="F89" s="99"/>
      <c r="G89" s="100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100"/>
      <c r="AF89" s="99"/>
      <c r="AG89" s="100"/>
      <c r="AH89" s="99"/>
      <c r="AI89" s="101"/>
      <c r="AJ89" s="1">
        <f t="array" ref="AJ89">SUM(IF(RIGHTB(D89)="%",TEXT(INDEX(E$53:AI89,MATCH(LEFTB(C89,SEARCH("%",D89)),(C$53:C89),),),"0;0;12")*E89:AI89%,E89:AI89))</f>
        <v>0</v>
      </c>
    </row>
    <row r="90" spans="2:36" ht="15.75">
      <c r="B90" s="98" t="str">
        <f>IFERROR(VLOOKUP(C90,Список!$B$2:$C$150,2,0),"")</f>
        <v/>
      </c>
      <c r="C90" s="75"/>
      <c r="D90" s="77"/>
      <c r="E90" s="102"/>
      <c r="F90" s="102"/>
      <c r="G90" s="103"/>
      <c r="H90" s="102"/>
      <c r="I90" s="103"/>
      <c r="J90" s="102"/>
      <c r="K90" s="103"/>
      <c r="L90" s="102"/>
      <c r="M90" s="103"/>
      <c r="N90" s="102"/>
      <c r="O90" s="103"/>
      <c r="P90" s="102"/>
      <c r="Q90" s="103"/>
      <c r="R90" s="102"/>
      <c r="S90" s="103"/>
      <c r="T90" s="102"/>
      <c r="U90" s="103"/>
      <c r="V90" s="102"/>
      <c r="W90" s="103"/>
      <c r="X90" s="102"/>
      <c r="Y90" s="103"/>
      <c r="Z90" s="102"/>
      <c r="AA90" s="103"/>
      <c r="AB90" s="102"/>
      <c r="AC90" s="103"/>
      <c r="AD90" s="102"/>
      <c r="AE90" s="103"/>
      <c r="AF90" s="102"/>
      <c r="AG90" s="103"/>
      <c r="AH90" s="102"/>
      <c r="AI90" s="103"/>
      <c r="AJ90" s="1">
        <f t="array" ref="AJ90">SUM(IF(RIGHTB(D90)="%",TEXT(INDEX(E$53:AI90,MATCH(LEFTB(C90,SEARCH("%",D90)),(C$53:C90),),),"0;0;12")*E90:AI90%,E90:AI90))</f>
        <v>0</v>
      </c>
    </row>
    <row r="91" spans="2:36" ht="15.75">
      <c r="B91" s="98" t="str">
        <f>IFERROR(VLOOKUP(C91,Список!$B$2:$C$150,2,0),"")</f>
        <v/>
      </c>
      <c r="C91" s="75"/>
      <c r="D91" s="77"/>
      <c r="E91" s="99"/>
      <c r="F91" s="99"/>
      <c r="G91" s="100"/>
      <c r="H91" s="99"/>
      <c r="I91" s="100"/>
      <c r="J91" s="99"/>
      <c r="K91" s="100"/>
      <c r="L91" s="99"/>
      <c r="M91" s="100"/>
      <c r="N91" s="99"/>
      <c r="O91" s="101"/>
      <c r="P91" s="99"/>
      <c r="Q91" s="100"/>
      <c r="R91" s="99"/>
      <c r="S91" s="100"/>
      <c r="T91" s="99"/>
      <c r="U91" s="100"/>
      <c r="V91" s="99"/>
      <c r="W91" s="100"/>
      <c r="X91" s="99"/>
      <c r="Y91" s="100"/>
      <c r="Z91" s="99"/>
      <c r="AA91" s="100"/>
      <c r="AB91" s="99"/>
      <c r="AC91" s="100"/>
      <c r="AD91" s="99"/>
      <c r="AE91" s="100"/>
      <c r="AF91" s="99"/>
      <c r="AG91" s="100"/>
      <c r="AH91" s="99"/>
      <c r="AI91" s="100"/>
      <c r="AJ91" s="1">
        <f t="array" ref="AJ91">SUM(IF(RIGHTB(D91)="%",TEXT(INDEX(E$53:AI91,MATCH(LEFTB(C91,SEARCH("%",D91)),(C$53:C91),),),"0;0;12")*E91:AI91%,E91:AI91))</f>
        <v>0</v>
      </c>
    </row>
    <row r="92" spans="2:36" ht="15.75">
      <c r="B92" s="108"/>
      <c r="C92" s="108"/>
      <c r="D92" s="109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</row>
    <row r="93" spans="2:36" ht="15.75">
      <c r="B93" s="10"/>
      <c r="C93" s="10"/>
      <c r="D93" s="10"/>
      <c r="E93" s="123" t="s">
        <v>158</v>
      </c>
      <c r="F93" s="123"/>
      <c r="G93" s="123"/>
      <c r="H93" s="123"/>
      <c r="I93" s="145"/>
      <c r="J93" s="149"/>
      <c r="K93" s="149"/>
      <c r="L93" s="149"/>
      <c r="M93" s="149"/>
      <c r="N93" s="149"/>
      <c r="O93" s="115" t="s">
        <v>159</v>
      </c>
      <c r="P93" s="10"/>
      <c r="Q93" s="10"/>
      <c r="R93" s="10"/>
      <c r="S93" s="139">
        <f ca="1">TODAY()</f>
        <v>42163</v>
      </c>
      <c r="T93" s="139"/>
      <c r="U93" s="139"/>
      <c r="V93" s="139"/>
      <c r="W93" s="140"/>
      <c r="X93" s="140"/>
      <c r="Y93" s="140"/>
      <c r="Z93" s="140"/>
      <c r="AA93" s="140"/>
      <c r="AB93" s="10"/>
      <c r="AC93" s="10"/>
      <c r="AD93" s="10"/>
      <c r="AE93" s="10"/>
      <c r="AF93" s="10"/>
      <c r="AG93" s="10"/>
      <c r="AH93" s="10"/>
      <c r="AI93" s="10"/>
      <c r="AJ93" s="10"/>
    </row>
    <row r="94" spans="2:36" ht="15.75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</row>
  </sheetData>
  <mergeCells count="20">
    <mergeCell ref="B49:C49"/>
    <mergeCell ref="D49:H49"/>
    <mergeCell ref="I49:N49"/>
    <mergeCell ref="O49:AE49"/>
    <mergeCell ref="B51:B52"/>
    <mergeCell ref="C51:D52"/>
    <mergeCell ref="E51:AI51"/>
    <mergeCell ref="I1:N1"/>
    <mergeCell ref="O1:AE1"/>
    <mergeCell ref="AJ51:AJ52"/>
    <mergeCell ref="I93:N93"/>
    <mergeCell ref="S93:V93"/>
    <mergeCell ref="W93:AA93"/>
    <mergeCell ref="B3:B4"/>
    <mergeCell ref="C3:D4"/>
    <mergeCell ref="E3:AI3"/>
    <mergeCell ref="AJ3:AJ4"/>
    <mergeCell ref="I45:N45"/>
    <mergeCell ref="S45:V45"/>
    <mergeCell ref="W45:AA45"/>
  </mergeCells>
  <conditionalFormatting sqref="C5:AJ43">
    <cfRule type="expression" dxfId="12" priority="8">
      <formula>$AJ5&gt;$D5</formula>
    </cfRule>
    <cfRule type="expression" dxfId="11" priority="7">
      <formula>$AJ5&gt;$C5</formula>
    </cfRule>
  </conditionalFormatting>
  <conditionalFormatting sqref="C53:AJ91">
    <cfRule type="expression" dxfId="10" priority="9">
      <formula>$AJ53&gt;$D53</formula>
    </cfRule>
    <cfRule type="expression" dxfId="9" priority="10">
      <formula>$AJ53&gt;$C53</formula>
    </cfRule>
  </conditionalFormatting>
  <conditionalFormatting sqref="E53:AI91">
    <cfRule type="expression" dxfId="8" priority="4">
      <formula>E53:AI53&gt;12</formula>
    </cfRule>
    <cfRule type="expression" dxfId="7" priority="3">
      <formula>RIGHT($D53,1)="%"</formula>
    </cfRule>
  </conditionalFormatting>
  <conditionalFormatting sqref="E5:AJ43">
    <cfRule type="expression" dxfId="6" priority="1">
      <formula>RIGHT($D5,1)="%"</formula>
    </cfRule>
  </conditionalFormatting>
  <conditionalFormatting sqref="E5:AI43">
    <cfRule type="expression" dxfId="5" priority="2">
      <formula>E5:AI5&gt;12</formula>
    </cfRule>
  </conditionalFormatting>
  <dataValidations count="3">
    <dataValidation type="list" allowBlank="1" showInputMessage="1" showErrorMessage="1" sqref="I1 I49">
      <formula1>Прочее</formula1>
    </dataValidation>
    <dataValidation type="list" allowBlank="1" showInputMessage="1" showErrorMessage="1" sqref="D5:D43 D53:D91">
      <formula1>Профессия</formula1>
    </dataValidation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53:C91 C5:C43">
      <formula1>ФИО</formula1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landscape" horizontalDpi="300" verticalDpi="300" r:id="rId1"/>
  <colBreaks count="1" manualBreakCount="1"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00B0F0"/>
    <pageSetUpPr autoPageBreaks="0" fitToPage="1"/>
  </sheetPr>
  <dimension ref="B1:AJ46"/>
  <sheetViews>
    <sheetView showGridLines="0" showZeros="0" zoomScale="90" zoomScaleNormal="90" zoomScalePageLayoutView="50" workbookViewId="0">
      <pane ySplit="4" topLeftCell="A5" activePane="bottomLeft" state="frozen"/>
      <selection pane="bottomLeft" activeCell="C5" sqref="C5:D20"/>
    </sheetView>
  </sheetViews>
  <sheetFormatPr defaultRowHeight="15"/>
  <cols>
    <col min="1" max="1" width="5.28515625" style="4" customWidth="1"/>
    <col min="2" max="2" width="6" style="4" customWidth="1"/>
    <col min="3" max="3" width="19.28515625" style="4" customWidth="1"/>
    <col min="4" max="4" width="19.7109375" style="4" customWidth="1"/>
    <col min="5" max="35" width="4.28515625" style="4" customWidth="1"/>
    <col min="36" max="36" width="11.5703125" style="4" customWidth="1"/>
    <col min="37" max="16384" width="9.140625" style="4"/>
  </cols>
  <sheetData>
    <row r="1" spans="2:36" ht="22.5">
      <c r="B1" s="148"/>
      <c r="C1" s="148"/>
      <c r="D1" s="152"/>
      <c r="E1" s="152"/>
      <c r="F1" s="152"/>
      <c r="G1" s="152"/>
      <c r="H1" s="152"/>
      <c r="I1" s="147" t="s">
        <v>155</v>
      </c>
      <c r="J1" s="147"/>
      <c r="K1" s="147"/>
      <c r="L1" s="147"/>
      <c r="M1" s="147"/>
      <c r="N1" s="147"/>
      <c r="O1" s="134" t="s">
        <v>0</v>
      </c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95"/>
      <c r="AG1" s="96" t="s">
        <v>3</v>
      </c>
      <c r="AH1" s="96"/>
      <c r="AI1" s="96"/>
      <c r="AJ1" s="96"/>
    </row>
    <row r="2" spans="2:36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2:36" ht="15.75">
      <c r="B3" s="135" t="s">
        <v>2</v>
      </c>
      <c r="C3" s="141" t="s">
        <v>7</v>
      </c>
      <c r="D3" s="142"/>
      <c r="E3" s="137" t="s">
        <v>1</v>
      </c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8"/>
      <c r="AJ3" s="132" t="s">
        <v>6</v>
      </c>
    </row>
    <row r="4" spans="2:36" ht="15.75">
      <c r="B4" s="136"/>
      <c r="C4" s="143"/>
      <c r="D4" s="144"/>
      <c r="E4" s="5">
        <v>1</v>
      </c>
      <c r="F4" s="6">
        <v>2</v>
      </c>
      <c r="G4" s="5">
        <v>3</v>
      </c>
      <c r="H4" s="6">
        <v>4</v>
      </c>
      <c r="I4" s="5">
        <v>5</v>
      </c>
      <c r="J4" s="6">
        <v>6</v>
      </c>
      <c r="K4" s="5">
        <v>7</v>
      </c>
      <c r="L4" s="6">
        <v>8</v>
      </c>
      <c r="M4" s="5">
        <v>9</v>
      </c>
      <c r="N4" s="6">
        <v>10</v>
      </c>
      <c r="O4" s="5">
        <v>11</v>
      </c>
      <c r="P4" s="6">
        <v>12</v>
      </c>
      <c r="Q4" s="5">
        <v>13</v>
      </c>
      <c r="R4" s="6">
        <v>14</v>
      </c>
      <c r="S4" s="5">
        <v>15</v>
      </c>
      <c r="T4" s="6">
        <v>16</v>
      </c>
      <c r="U4" s="5">
        <v>17</v>
      </c>
      <c r="V4" s="6">
        <v>18</v>
      </c>
      <c r="W4" s="5">
        <v>19</v>
      </c>
      <c r="X4" s="6">
        <v>20</v>
      </c>
      <c r="Y4" s="5">
        <v>21</v>
      </c>
      <c r="Z4" s="6">
        <v>22</v>
      </c>
      <c r="AA4" s="5">
        <v>23</v>
      </c>
      <c r="AB4" s="6">
        <v>24</v>
      </c>
      <c r="AC4" s="5">
        <v>25</v>
      </c>
      <c r="AD4" s="6">
        <v>26</v>
      </c>
      <c r="AE4" s="5">
        <v>27</v>
      </c>
      <c r="AF4" s="6">
        <v>28</v>
      </c>
      <c r="AG4" s="5">
        <v>29</v>
      </c>
      <c r="AH4" s="6">
        <v>30</v>
      </c>
      <c r="AI4" s="7">
        <v>31</v>
      </c>
      <c r="AJ4" s="133"/>
    </row>
    <row r="5" spans="2:36" ht="15.75">
      <c r="B5" s="98">
        <f>IFERROR(VLOOKUP(C5,Список!$B$2:$C$150,2,0),"")</f>
        <v>300</v>
      </c>
      <c r="C5" s="75" t="s">
        <v>58</v>
      </c>
      <c r="D5" s="85" t="s">
        <v>48</v>
      </c>
      <c r="E5" s="99"/>
      <c r="F5" s="99"/>
      <c r="G5" s="100"/>
      <c r="H5" s="99"/>
      <c r="I5" s="100"/>
      <c r="J5" s="99"/>
      <c r="K5" s="100"/>
      <c r="L5" s="99"/>
      <c r="M5" s="100"/>
      <c r="N5" s="99"/>
      <c r="O5" s="100"/>
      <c r="P5" s="99"/>
      <c r="Q5" s="100"/>
      <c r="R5" s="99"/>
      <c r="S5" s="100"/>
      <c r="T5" s="99"/>
      <c r="U5" s="100"/>
      <c r="V5" s="99"/>
      <c r="W5" s="100"/>
      <c r="X5" s="99"/>
      <c r="Y5" s="100"/>
      <c r="Z5" s="99"/>
      <c r="AA5" s="100"/>
      <c r="AB5" s="99"/>
      <c r="AC5" s="100"/>
      <c r="AD5" s="99"/>
      <c r="AE5" s="100"/>
      <c r="AF5" s="99"/>
      <c r="AG5" s="100"/>
      <c r="AH5" s="99"/>
      <c r="AI5" s="101"/>
      <c r="AJ5" s="1">
        <f t="array" ref="AJ5">SUM(IF(RIGHTB(D5)="%",TEXT(INDEX(E$5:AI5,MATCH(LEFTB(C5,SEARCH("%",D5)),(C$5:C5),),),"0;0;12")*E5:AI5%,E5:AI5))</f>
        <v>0</v>
      </c>
    </row>
    <row r="6" spans="2:36" ht="15.75">
      <c r="B6" s="98">
        <f>IFERROR(VLOOKUP(C6,Список!$B$2:$C$150,2,0),"")</f>
        <v>300</v>
      </c>
      <c r="C6" s="75" t="s">
        <v>58</v>
      </c>
      <c r="D6" s="77" t="s">
        <v>63</v>
      </c>
      <c r="E6" s="102"/>
      <c r="F6" s="99"/>
      <c r="G6" s="103"/>
      <c r="H6" s="102"/>
      <c r="I6" s="103"/>
      <c r="J6" s="102"/>
      <c r="K6" s="103"/>
      <c r="L6" s="102"/>
      <c r="M6" s="103"/>
      <c r="N6" s="102"/>
      <c r="O6" s="103"/>
      <c r="P6" s="102"/>
      <c r="Q6" s="103"/>
      <c r="R6" s="102"/>
      <c r="S6" s="103"/>
      <c r="T6" s="102"/>
      <c r="U6" s="103"/>
      <c r="V6" s="102"/>
      <c r="W6" s="103"/>
      <c r="X6" s="102"/>
      <c r="Y6" s="103"/>
      <c r="Z6" s="102"/>
      <c r="AA6" s="103"/>
      <c r="AB6" s="102"/>
      <c r="AC6" s="103"/>
      <c r="AD6" s="102"/>
      <c r="AE6" s="103"/>
      <c r="AF6" s="102"/>
      <c r="AG6" s="103"/>
      <c r="AH6" s="102"/>
      <c r="AI6" s="104"/>
      <c r="AJ6" s="1">
        <f t="array" ref="AJ6">SUM(IF(RIGHTB(D6)="%",TEXT(INDEX(E$5:AI6,MATCH(LEFTB(C6,SEARCH("%",D6)),(C$5:C6),),),"0;0;12")*E6:AI6%,E6:AI6))</f>
        <v>0</v>
      </c>
    </row>
    <row r="7" spans="2:36" ht="15.75">
      <c r="B7" s="98">
        <f>IFERROR(VLOOKUP(C7,Список!$B$2:$C$150,2,0),"")</f>
        <v>2325</v>
      </c>
      <c r="C7" s="75" t="s">
        <v>120</v>
      </c>
      <c r="D7" s="77"/>
      <c r="E7" s="99"/>
      <c r="F7" s="99"/>
      <c r="G7" s="100"/>
      <c r="H7" s="99"/>
      <c r="I7" s="100"/>
      <c r="J7" s="99"/>
      <c r="K7" s="100"/>
      <c r="L7" s="99"/>
      <c r="M7" s="100"/>
      <c r="N7" s="99"/>
      <c r="O7" s="100"/>
      <c r="P7" s="99"/>
      <c r="Q7" s="100"/>
      <c r="R7" s="99"/>
      <c r="S7" s="100"/>
      <c r="T7" s="99"/>
      <c r="U7" s="100"/>
      <c r="V7" s="99"/>
      <c r="W7" s="100"/>
      <c r="X7" s="99"/>
      <c r="Y7" s="100"/>
      <c r="Z7" s="99"/>
      <c r="AA7" s="100"/>
      <c r="AB7" s="99"/>
      <c r="AC7" s="100"/>
      <c r="AD7" s="99"/>
      <c r="AE7" s="100"/>
      <c r="AF7" s="99"/>
      <c r="AG7" s="100"/>
      <c r="AH7" s="99"/>
      <c r="AI7" s="101"/>
      <c r="AJ7" s="1">
        <f t="array" ref="AJ7">SUM(IF(RIGHTB(D7)="%",TEXT(INDEX(E$5:AI7,MATCH(LEFTB(C7,SEARCH("%",D7)),(C$5:C7),),),"0;0;12")*E7:AI7%,E7:AI7))</f>
        <v>0</v>
      </c>
    </row>
    <row r="8" spans="2:36" ht="15.75">
      <c r="B8" s="98" t="str">
        <f>IFERROR(VLOOKUP(C8,Список!$B$2:$C$150,2,0),"")</f>
        <v/>
      </c>
      <c r="C8" s="75"/>
      <c r="D8" s="77"/>
      <c r="E8" s="105"/>
      <c r="F8" s="99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">
        <f t="array" ref="AJ8">SUM(IF(RIGHTB(D8)="%",TEXT(INDEX(E$5:AI8,MATCH(LEFTB(C8,SEARCH("%",D8)),(C$5:C8),),),"0;0;12")*E8:AI8%,E8:AI8))</f>
        <v>0</v>
      </c>
    </row>
    <row r="9" spans="2:36" ht="15.75">
      <c r="B9" s="98">
        <f>IFERROR(VLOOKUP(C9,Список!$B$2:$C$150,2,0),"")</f>
        <v>2108</v>
      </c>
      <c r="C9" s="75" t="s">
        <v>59</v>
      </c>
      <c r="D9" s="77" t="s">
        <v>48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1">
        <f t="array" ref="AJ9">SUM(IF(RIGHTB(D9)="%",TEXT(INDEX(E$5:AI9,MATCH(LEFTB(C9,SEARCH("%",D9)),(C$5:C9),),),"0;0;12")*E9:AI9%,E9:AI9))</f>
        <v>0</v>
      </c>
    </row>
    <row r="10" spans="2:36" ht="15.75">
      <c r="B10" s="98">
        <f>IFERROR(VLOOKUP(C10,Список!$B$2:$C$150,2,0),"")</f>
        <v>2108</v>
      </c>
      <c r="C10" s="75" t="s">
        <v>59</v>
      </c>
      <c r="D10" s="77" t="s">
        <v>66</v>
      </c>
      <c r="E10" s="99"/>
      <c r="F10" s="99"/>
      <c r="G10" s="100"/>
      <c r="H10" s="99"/>
      <c r="I10" s="100"/>
      <c r="J10" s="99"/>
      <c r="K10" s="100"/>
      <c r="L10" s="99"/>
      <c r="M10" s="100"/>
      <c r="N10" s="99"/>
      <c r="O10" s="100"/>
      <c r="P10" s="99"/>
      <c r="Q10" s="100"/>
      <c r="R10" s="99"/>
      <c r="S10" s="100"/>
      <c r="T10" s="99"/>
      <c r="U10" s="100"/>
      <c r="V10" s="99"/>
      <c r="W10" s="100"/>
      <c r="X10" s="99"/>
      <c r="Y10" s="100"/>
      <c r="Z10" s="99"/>
      <c r="AA10" s="100"/>
      <c r="AB10" s="99"/>
      <c r="AC10" s="100"/>
      <c r="AD10" s="99"/>
      <c r="AE10" s="100"/>
      <c r="AF10" s="99"/>
      <c r="AG10" s="100"/>
      <c r="AH10" s="99"/>
      <c r="AI10" s="101"/>
      <c r="AJ10" s="1">
        <f t="array" ref="AJ10">SUM(IF(RIGHTB(D10)="%",TEXT(INDEX(E$5:AI10,MATCH(LEFTB(C10,SEARCH("%",D10)),(C$5:C10),),),"0;0;12")*E10:AI10%,E10:AI10))</f>
        <v>0</v>
      </c>
    </row>
    <row r="11" spans="2:36" ht="15.75">
      <c r="B11" s="98" t="str">
        <f>IFERROR(VLOOKUP(C11,Список!$B$2:$C$150,2,0),"")</f>
        <v/>
      </c>
      <c r="C11" s="75"/>
      <c r="D11" s="77"/>
      <c r="E11" s="102"/>
      <c r="F11" s="99"/>
      <c r="G11" s="103"/>
      <c r="H11" s="102"/>
      <c r="I11" s="103"/>
      <c r="J11" s="102"/>
      <c r="K11" s="103"/>
      <c r="L11" s="102"/>
      <c r="M11" s="103"/>
      <c r="N11" s="102"/>
      <c r="O11" s="103"/>
      <c r="P11" s="102"/>
      <c r="Q11" s="103"/>
      <c r="R11" s="102"/>
      <c r="S11" s="103"/>
      <c r="T11" s="102"/>
      <c r="U11" s="103"/>
      <c r="V11" s="102"/>
      <c r="W11" s="103"/>
      <c r="X11" s="102"/>
      <c r="Y11" s="103"/>
      <c r="Z11" s="102"/>
      <c r="AA11" s="103"/>
      <c r="AB11" s="102"/>
      <c r="AC11" s="103"/>
      <c r="AD11" s="102"/>
      <c r="AE11" s="103"/>
      <c r="AF11" s="102"/>
      <c r="AG11" s="103"/>
      <c r="AH11" s="102"/>
      <c r="AI11" s="104"/>
      <c r="AJ11" s="1">
        <f t="array" ref="AJ11">SUM(IF(RIGHTB(D11)="%",TEXT(INDEX(E$5:AI11,MATCH(LEFTB(C11,SEARCH("%",D11)),(C$5:C11),),),"0;0;12")*E11:AI11%,E11:AI11))</f>
        <v>0</v>
      </c>
    </row>
    <row r="12" spans="2:36" ht="15.75">
      <c r="B12" s="98" t="str">
        <f>IFERROR(VLOOKUP(C12,Список!$B$2:$C$150,2,0),"")</f>
        <v/>
      </c>
      <c r="C12" s="75"/>
      <c r="D12" s="77"/>
      <c r="E12" s="99"/>
      <c r="F12" s="99"/>
      <c r="G12" s="100"/>
      <c r="H12" s="99"/>
      <c r="I12" s="100"/>
      <c r="J12" s="99"/>
      <c r="K12" s="100"/>
      <c r="L12" s="99"/>
      <c r="M12" s="100"/>
      <c r="N12" s="99"/>
      <c r="O12" s="100"/>
      <c r="P12" s="99"/>
      <c r="Q12" s="100"/>
      <c r="R12" s="99"/>
      <c r="S12" s="100"/>
      <c r="T12" s="99"/>
      <c r="U12" s="100"/>
      <c r="V12" s="99"/>
      <c r="W12" s="100"/>
      <c r="X12" s="99"/>
      <c r="Y12" s="100"/>
      <c r="Z12" s="99"/>
      <c r="AA12" s="100"/>
      <c r="AB12" s="99"/>
      <c r="AC12" s="100"/>
      <c r="AD12" s="99"/>
      <c r="AE12" s="100"/>
      <c r="AF12" s="99"/>
      <c r="AG12" s="99"/>
      <c r="AH12" s="99"/>
      <c r="AI12" s="101"/>
      <c r="AJ12" s="1">
        <f t="array" ref="AJ12">SUM(IF(RIGHTB(D12)="%",TEXT(INDEX(E$5:AI12,MATCH(LEFTB(C12,SEARCH("%",D12)),(C$5:C12),),),"0;0;12")*E12:AI12%,E12:AI12))</f>
        <v>0</v>
      </c>
    </row>
    <row r="13" spans="2:36" ht="15.75">
      <c r="B13" s="98" t="str">
        <f>IFERROR(VLOOKUP(C13,Список!$B$2:$C$150,2,0),"")</f>
        <v/>
      </c>
      <c r="C13" s="75"/>
      <c r="D13" s="77"/>
      <c r="E13" s="102"/>
      <c r="F13" s="99"/>
      <c r="G13" s="103"/>
      <c r="H13" s="102"/>
      <c r="I13" s="103"/>
      <c r="J13" s="102"/>
      <c r="K13" s="103"/>
      <c r="L13" s="102"/>
      <c r="M13" s="103"/>
      <c r="N13" s="102"/>
      <c r="O13" s="103"/>
      <c r="P13" s="102"/>
      <c r="Q13" s="103"/>
      <c r="R13" s="102"/>
      <c r="S13" s="103"/>
      <c r="T13" s="102"/>
      <c r="U13" s="103"/>
      <c r="V13" s="102"/>
      <c r="W13" s="103"/>
      <c r="X13" s="102"/>
      <c r="Y13" s="103"/>
      <c r="Z13" s="102"/>
      <c r="AA13" s="103"/>
      <c r="AB13" s="102"/>
      <c r="AC13" s="103"/>
      <c r="AD13" s="102"/>
      <c r="AE13" s="103"/>
      <c r="AF13" s="102"/>
      <c r="AG13" s="103"/>
      <c r="AH13" s="102"/>
      <c r="AI13" s="104"/>
      <c r="AJ13" s="1">
        <f t="array" ref="AJ13">SUM(IF(RIGHTB(D13)="%",TEXT(INDEX(E$5:AI13,MATCH(LEFTB(C13,SEARCH("%",D13)),(C$5:C13),),),"0;0;12")*E13:AI13%,E13:AI13))</f>
        <v>0</v>
      </c>
    </row>
    <row r="14" spans="2:36" ht="15.75">
      <c r="B14" s="98">
        <f>IFERROR(VLOOKUP(C14,Список!$B$2:$C$150,2,0),"")</f>
        <v>338</v>
      </c>
      <c r="C14" s="75" t="s">
        <v>61</v>
      </c>
      <c r="D14" s="77" t="s">
        <v>51</v>
      </c>
      <c r="E14" s="99"/>
      <c r="F14" s="99"/>
      <c r="G14" s="100"/>
      <c r="H14" s="99"/>
      <c r="I14" s="100"/>
      <c r="J14" s="99"/>
      <c r="K14" s="100"/>
      <c r="L14" s="99"/>
      <c r="M14" s="100"/>
      <c r="N14" s="99"/>
      <c r="O14" s="100"/>
      <c r="P14" s="99"/>
      <c r="Q14" s="100"/>
      <c r="R14" s="99"/>
      <c r="S14" s="100"/>
      <c r="T14" s="99"/>
      <c r="U14" s="100"/>
      <c r="V14" s="99"/>
      <c r="W14" s="100"/>
      <c r="X14" s="99"/>
      <c r="Y14" s="100"/>
      <c r="Z14" s="99"/>
      <c r="AA14" s="100"/>
      <c r="AB14" s="99"/>
      <c r="AC14" s="100"/>
      <c r="AD14" s="99"/>
      <c r="AE14" s="100"/>
      <c r="AF14" s="99"/>
      <c r="AG14" s="100"/>
      <c r="AH14" s="99"/>
      <c r="AI14" s="101"/>
      <c r="AJ14" s="1">
        <f t="array" ref="AJ14">SUM(IF(RIGHTB(D14)="%",TEXT(INDEX(E$5:AI14,MATCH(LEFTB(C14,SEARCH("%",D14)),(C$5:C14),),),"0;0;12")*E14:AI14%,E14:AI14))</f>
        <v>0</v>
      </c>
    </row>
    <row r="15" spans="2:36" ht="15.75">
      <c r="B15" s="98">
        <f>IFERROR(VLOOKUP(C15,Список!$B$2:$C$150,2,0),"")</f>
        <v>338</v>
      </c>
      <c r="C15" s="75" t="s">
        <v>61</v>
      </c>
      <c r="D15" s="77" t="s">
        <v>69</v>
      </c>
      <c r="E15" s="99"/>
      <c r="F15" s="99"/>
      <c r="G15" s="100"/>
      <c r="H15" s="99"/>
      <c r="I15" s="100"/>
      <c r="J15" s="99"/>
      <c r="K15" s="100"/>
      <c r="L15" s="99"/>
      <c r="M15" s="100"/>
      <c r="N15" s="99"/>
      <c r="O15" s="100"/>
      <c r="P15" s="99"/>
      <c r="Q15" s="100"/>
      <c r="R15" s="99"/>
      <c r="S15" s="100"/>
      <c r="T15" s="99"/>
      <c r="U15" s="100"/>
      <c r="V15" s="99"/>
      <c r="W15" s="100"/>
      <c r="X15" s="99"/>
      <c r="Y15" s="100"/>
      <c r="Z15" s="99"/>
      <c r="AA15" s="100"/>
      <c r="AB15" s="99"/>
      <c r="AC15" s="100"/>
      <c r="AD15" s="99"/>
      <c r="AE15" s="100"/>
      <c r="AF15" s="99"/>
      <c r="AG15" s="100"/>
      <c r="AH15" s="99"/>
      <c r="AI15" s="101"/>
      <c r="AJ15" s="1">
        <f t="array" ref="AJ15">SUM(IF(RIGHTB(D15)="%",TEXT(INDEX(E$5:AI15,MATCH(LEFTB(C15,SEARCH("%",D15)),(C$5:C15),),),"0;0;12")*E15:AI15%,E15:AI15))</f>
        <v>0</v>
      </c>
    </row>
    <row r="16" spans="2:36" ht="15.75">
      <c r="B16" s="98" t="str">
        <f>IFERROR(VLOOKUP(C16,Список!$B$2:$C$150,2,0),"")</f>
        <v/>
      </c>
      <c r="C16" s="75"/>
      <c r="D16" s="77"/>
      <c r="E16" s="99"/>
      <c r="F16" s="99"/>
      <c r="G16" s="100"/>
      <c r="H16" s="99"/>
      <c r="I16" s="100"/>
      <c r="J16" s="99"/>
      <c r="K16" s="100"/>
      <c r="L16" s="99"/>
      <c r="M16" s="100"/>
      <c r="N16" s="99"/>
      <c r="O16" s="100"/>
      <c r="P16" s="99"/>
      <c r="Q16" s="100"/>
      <c r="R16" s="99"/>
      <c r="S16" s="100"/>
      <c r="T16" s="99"/>
      <c r="U16" s="100"/>
      <c r="V16" s="99"/>
      <c r="W16" s="100"/>
      <c r="X16" s="99"/>
      <c r="Y16" s="100"/>
      <c r="Z16" s="99"/>
      <c r="AA16" s="100"/>
      <c r="AB16" s="99"/>
      <c r="AC16" s="100"/>
      <c r="AD16" s="99"/>
      <c r="AE16" s="100"/>
      <c r="AF16" s="99"/>
      <c r="AG16" s="100"/>
      <c r="AH16" s="99"/>
      <c r="AI16" s="101"/>
      <c r="AJ16" s="1">
        <f t="array" ref="AJ16">SUM(IF(RIGHTB(D16)="%",TEXT(INDEX(E$5:AI16,MATCH(LEFTB(C16,SEARCH("%",D16)),(C$5:C16),),),"0;0;12")*E16:AI16%,E16:AI16))</f>
        <v>0</v>
      </c>
    </row>
    <row r="17" spans="2:36" ht="15.75">
      <c r="B17" s="98" t="str">
        <f>IFERROR(VLOOKUP(C17,Список!$B$2:$C$150,2,0),"")</f>
        <v/>
      </c>
      <c r="C17" s="75"/>
      <c r="D17" s="77"/>
      <c r="E17" s="102"/>
      <c r="F17" s="99"/>
      <c r="G17" s="103"/>
      <c r="H17" s="102"/>
      <c r="I17" s="103"/>
      <c r="J17" s="102"/>
      <c r="K17" s="103"/>
      <c r="L17" s="102"/>
      <c r="M17" s="103"/>
      <c r="N17" s="102"/>
      <c r="O17" s="103"/>
      <c r="P17" s="102"/>
      <c r="Q17" s="103"/>
      <c r="R17" s="102"/>
      <c r="S17" s="103"/>
      <c r="T17" s="102"/>
      <c r="U17" s="103"/>
      <c r="V17" s="102"/>
      <c r="W17" s="103"/>
      <c r="X17" s="102"/>
      <c r="Y17" s="103"/>
      <c r="Z17" s="102"/>
      <c r="AA17" s="103"/>
      <c r="AB17" s="102"/>
      <c r="AC17" s="103"/>
      <c r="AD17" s="102"/>
      <c r="AE17" s="103"/>
      <c r="AF17" s="102"/>
      <c r="AG17" s="103"/>
      <c r="AH17" s="102"/>
      <c r="AI17" s="104"/>
      <c r="AJ17" s="1">
        <f t="array" ref="AJ17">SUM(IF(RIGHTB(D17)="%",TEXT(INDEX(E$5:AI17,MATCH(LEFTB(C17,SEARCH("%",D17)),(C$5:C17),),),"0;0;12")*E17:AI17%,E17:AI17))</f>
        <v>0</v>
      </c>
    </row>
    <row r="18" spans="2:36" ht="15.75">
      <c r="B18" s="98" t="str">
        <f>IFERROR(VLOOKUP(C18,Список!$B$2:$C$150,2,0),"")</f>
        <v/>
      </c>
      <c r="C18" s="78"/>
      <c r="D18" s="76"/>
      <c r="E18" s="99"/>
      <c r="F18" s="99"/>
      <c r="G18" s="100"/>
      <c r="H18" s="99"/>
      <c r="I18" s="100"/>
      <c r="J18" s="99"/>
      <c r="K18" s="100"/>
      <c r="L18" s="99"/>
      <c r="M18" s="100"/>
      <c r="N18" s="99"/>
      <c r="O18" s="100"/>
      <c r="P18" s="99"/>
      <c r="Q18" s="100"/>
      <c r="R18" s="99"/>
      <c r="S18" s="100"/>
      <c r="T18" s="99"/>
      <c r="U18" s="100"/>
      <c r="V18" s="99"/>
      <c r="W18" s="100"/>
      <c r="X18" s="99"/>
      <c r="Y18" s="100"/>
      <c r="Z18" s="99"/>
      <c r="AA18" s="100"/>
      <c r="AB18" s="99"/>
      <c r="AC18" s="100"/>
      <c r="AD18" s="99"/>
      <c r="AE18" s="100"/>
      <c r="AF18" s="99"/>
      <c r="AG18" s="100"/>
      <c r="AH18" s="99"/>
      <c r="AI18" s="101"/>
      <c r="AJ18" s="1">
        <f t="array" ref="AJ18">SUM(IF(RIGHTB(D18)="%",TEXT(INDEX(E$5:AI18,MATCH(LEFTB(C18,SEARCH("%",D18)),(C$5:C18),),),"0;0;12")*E18:AI18%,E18:AI18))</f>
        <v>0</v>
      </c>
    </row>
    <row r="19" spans="2:36" ht="15.75">
      <c r="B19" s="98">
        <f>IFERROR(VLOOKUP(C19,Список!$B$2:$C$150,2,0),"")</f>
        <v>2255</v>
      </c>
      <c r="C19" s="75" t="s">
        <v>203</v>
      </c>
      <c r="D19" s="77" t="s">
        <v>54</v>
      </c>
      <c r="E19" s="102"/>
      <c r="F19" s="99"/>
      <c r="G19" s="103"/>
      <c r="H19" s="102"/>
      <c r="I19" s="103"/>
      <c r="J19" s="102"/>
      <c r="K19" s="103"/>
      <c r="L19" s="102"/>
      <c r="M19" s="103"/>
      <c r="N19" s="102"/>
      <c r="O19" s="103"/>
      <c r="P19" s="102"/>
      <c r="Q19" s="103"/>
      <c r="R19" s="102"/>
      <c r="S19" s="103"/>
      <c r="T19" s="102"/>
      <c r="U19" s="103"/>
      <c r="V19" s="102"/>
      <c r="W19" s="103"/>
      <c r="X19" s="102"/>
      <c r="Y19" s="103"/>
      <c r="Z19" s="102"/>
      <c r="AA19" s="103"/>
      <c r="AB19" s="102"/>
      <c r="AC19" s="103"/>
      <c r="AD19" s="102"/>
      <c r="AE19" s="103"/>
      <c r="AF19" s="102"/>
      <c r="AG19" s="103"/>
      <c r="AH19" s="102"/>
      <c r="AI19" s="104"/>
      <c r="AJ19" s="1">
        <f t="array" ref="AJ19">SUM(IF(RIGHTB(D19)="%",TEXT(INDEX(E$5:AI19,MATCH(LEFTB(C19,SEARCH("%",D19)),(C$5:C19),),),"0;0;12")*E19:AI19%,E19:AI19))</f>
        <v>0</v>
      </c>
    </row>
    <row r="20" spans="2:36" ht="15.75">
      <c r="B20" s="98">
        <f>IFERROR(VLOOKUP(C20,Список!$B$2:$C$150,2,0),"")</f>
        <v>2255</v>
      </c>
      <c r="C20" s="75" t="s">
        <v>203</v>
      </c>
      <c r="D20" s="77" t="s">
        <v>67</v>
      </c>
      <c r="E20" s="99"/>
      <c r="F20" s="99"/>
      <c r="G20" s="100"/>
      <c r="H20" s="99"/>
      <c r="I20" s="100"/>
      <c r="J20" s="99"/>
      <c r="K20" s="100"/>
      <c r="L20" s="99"/>
      <c r="M20" s="100"/>
      <c r="N20" s="99"/>
      <c r="O20" s="100"/>
      <c r="P20" s="99"/>
      <c r="Q20" s="100"/>
      <c r="R20" s="99"/>
      <c r="S20" s="100"/>
      <c r="T20" s="99"/>
      <c r="U20" s="100"/>
      <c r="V20" s="99"/>
      <c r="W20" s="100"/>
      <c r="X20" s="99"/>
      <c r="Y20" s="100"/>
      <c r="Z20" s="99"/>
      <c r="AA20" s="100"/>
      <c r="AB20" s="99"/>
      <c r="AC20" s="100"/>
      <c r="AD20" s="99"/>
      <c r="AE20" s="100"/>
      <c r="AF20" s="99"/>
      <c r="AG20" s="100"/>
      <c r="AH20" s="99"/>
      <c r="AI20" s="101"/>
      <c r="AJ20" s="1">
        <f t="array" ref="AJ20">SUM(IF(RIGHTB(D20)="%",TEXT(INDEX(E$5:AI20,MATCH(LEFTB(C20,SEARCH("%",D20)),(C$5:C20),),),"0;0;12")*E20:AI20%,E20:AI20))</f>
        <v>0</v>
      </c>
    </row>
    <row r="21" spans="2:36" ht="15.75">
      <c r="B21" s="98" t="str">
        <f>IFERROR(VLOOKUP(C21,Список!$B$2:$C$150,2,0),"")</f>
        <v/>
      </c>
      <c r="C21" s="75"/>
      <c r="D21" s="77"/>
      <c r="E21" s="102"/>
      <c r="F21" s="99"/>
      <c r="G21" s="103"/>
      <c r="H21" s="102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103"/>
      <c r="AF21" s="102"/>
      <c r="AG21" s="103"/>
      <c r="AH21" s="102"/>
      <c r="AI21" s="104"/>
      <c r="AJ21" s="1">
        <f t="array" ref="AJ21">SUM(IF(RIGHTB(D21)="%",TEXT(INDEX(E$5:AI21,MATCH(LEFTB(C21,SEARCH("%",D21)),(C$5:C21),),),"0;0;12")*E21:AI21%,E21:AI21))</f>
        <v>0</v>
      </c>
    </row>
    <row r="22" spans="2:36" ht="15.75">
      <c r="B22" s="98" t="str">
        <f>IFERROR(VLOOKUP(C22,Список!$B$2:$C$150,2,0),"")</f>
        <v/>
      </c>
      <c r="C22" s="75"/>
      <c r="D22" s="77"/>
      <c r="E22" s="99"/>
      <c r="F22" s="99"/>
      <c r="G22" s="100"/>
      <c r="H22" s="99"/>
      <c r="I22" s="100"/>
      <c r="J22" s="99"/>
      <c r="K22" s="100"/>
      <c r="L22" s="99"/>
      <c r="M22" s="100"/>
      <c r="N22" s="99"/>
      <c r="O22" s="100"/>
      <c r="P22" s="99"/>
      <c r="Q22" s="100"/>
      <c r="R22" s="99"/>
      <c r="S22" s="100"/>
      <c r="T22" s="99"/>
      <c r="U22" s="100"/>
      <c r="V22" s="99"/>
      <c r="W22" s="100"/>
      <c r="X22" s="99"/>
      <c r="Y22" s="100"/>
      <c r="Z22" s="99"/>
      <c r="AA22" s="100"/>
      <c r="AB22" s="99"/>
      <c r="AC22" s="100"/>
      <c r="AD22" s="99"/>
      <c r="AE22" s="100"/>
      <c r="AF22" s="99"/>
      <c r="AG22" s="100"/>
      <c r="AH22" s="99"/>
      <c r="AI22" s="101"/>
      <c r="AJ22" s="1">
        <f t="array" ref="AJ22">SUM(IF(RIGHTB(D22)="%",TEXT(INDEX(E$5:AI22,MATCH(LEFTB(C22,SEARCH("%",D22)),(C$5:C22),),),"0;0;12")*E22:AI22%,E22:AI22))</f>
        <v>0</v>
      </c>
    </row>
    <row r="23" spans="2:36" ht="15.75">
      <c r="B23" s="98" t="str">
        <f>IFERROR(VLOOKUP(C23,Список!$B$2:$C$150,2,0),"")</f>
        <v/>
      </c>
      <c r="C23" s="75"/>
      <c r="D23" s="77"/>
      <c r="E23" s="102"/>
      <c r="F23" s="102"/>
      <c r="G23" s="103"/>
      <c r="H23" s="102"/>
      <c r="I23" s="103"/>
      <c r="J23" s="102"/>
      <c r="K23" s="103"/>
      <c r="L23" s="102"/>
      <c r="M23" s="103"/>
      <c r="N23" s="102"/>
      <c r="O23" s="103"/>
      <c r="P23" s="102"/>
      <c r="Q23" s="103"/>
      <c r="R23" s="102"/>
      <c r="S23" s="103"/>
      <c r="T23" s="102"/>
      <c r="U23" s="103"/>
      <c r="V23" s="102"/>
      <c r="W23" s="103"/>
      <c r="X23" s="102"/>
      <c r="Y23" s="103"/>
      <c r="Z23" s="102"/>
      <c r="AA23" s="103"/>
      <c r="AB23" s="102"/>
      <c r="AC23" s="103"/>
      <c r="AD23" s="102"/>
      <c r="AE23" s="103"/>
      <c r="AF23" s="102"/>
      <c r="AG23" s="103"/>
      <c r="AH23" s="102"/>
      <c r="AI23" s="104"/>
      <c r="AJ23" s="1">
        <f t="array" ref="AJ23">SUM(IF(RIGHTB(D23)="%",TEXT(INDEX(E$5:AI23,MATCH(LEFTB(C23,SEARCH("%",D23)),(C$5:C23),),),"0;0;12")*E23:AI23%,E23:AI23))</f>
        <v>0</v>
      </c>
    </row>
    <row r="24" spans="2:36" ht="15.75">
      <c r="B24" s="98" t="str">
        <f>IFERROR(VLOOKUP(C24,Список!$B$2:$C$150,2,0),"")</f>
        <v/>
      </c>
      <c r="C24" s="75"/>
      <c r="D24" s="77"/>
      <c r="E24" s="99"/>
      <c r="F24" s="99"/>
      <c r="G24" s="100"/>
      <c r="H24" s="99"/>
      <c r="I24" s="100"/>
      <c r="J24" s="99"/>
      <c r="K24" s="100"/>
      <c r="L24" s="99"/>
      <c r="M24" s="100"/>
      <c r="N24" s="99"/>
      <c r="O24" s="100"/>
      <c r="P24" s="99"/>
      <c r="Q24" s="100"/>
      <c r="R24" s="99"/>
      <c r="S24" s="100"/>
      <c r="T24" s="99"/>
      <c r="U24" s="100"/>
      <c r="V24" s="99"/>
      <c r="W24" s="100"/>
      <c r="X24" s="99"/>
      <c r="Y24" s="100"/>
      <c r="Z24" s="99"/>
      <c r="AA24" s="100"/>
      <c r="AB24" s="99"/>
      <c r="AC24" s="100"/>
      <c r="AD24" s="99"/>
      <c r="AE24" s="100"/>
      <c r="AF24" s="99"/>
      <c r="AG24" s="100"/>
      <c r="AH24" s="99"/>
      <c r="AI24" s="101"/>
      <c r="AJ24" s="1">
        <f t="array" ref="AJ24">SUM(IF(RIGHTB(D24)="%",TEXT(INDEX(E$5:AI24,MATCH(LEFTB(C24,SEARCH("%",D24)),(C$5:C24),),),"0;0;12")*E24:AI24%,E24:AI24))</f>
        <v>0</v>
      </c>
    </row>
    <row r="25" spans="2:36" ht="15.75">
      <c r="B25" s="98" t="str">
        <f>IFERROR(VLOOKUP(C25,Список!$B$2:$C$150,2,0),"")</f>
        <v/>
      </c>
      <c r="C25" s="78"/>
      <c r="D25" s="77"/>
      <c r="E25" s="102"/>
      <c r="F25" s="102"/>
      <c r="G25" s="103"/>
      <c r="H25" s="102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103"/>
      <c r="AF25" s="102"/>
      <c r="AG25" s="103"/>
      <c r="AH25" s="102"/>
      <c r="AI25" s="104"/>
      <c r="AJ25" s="1">
        <f t="array" ref="AJ25">SUM(IF(RIGHTB(D25)="%",TEXT(INDEX(E$5:AI25,MATCH(LEFTB(C25,SEARCH("%",D25)),(C$5:C25),),),"0;0;12")*E25:AI25%,E25:AI25))</f>
        <v>0</v>
      </c>
    </row>
    <row r="26" spans="2:36" ht="15.75">
      <c r="B26" s="98" t="str">
        <f>IFERROR(VLOOKUP(C26,Список!$B$2:$C$150,2,0),"")</f>
        <v/>
      </c>
      <c r="C26" s="75"/>
      <c r="D26" s="76"/>
      <c r="E26" s="99"/>
      <c r="F26" s="99"/>
      <c r="G26" s="100"/>
      <c r="H26" s="99"/>
      <c r="I26" s="100"/>
      <c r="J26" s="99"/>
      <c r="K26" s="100"/>
      <c r="L26" s="99"/>
      <c r="M26" s="100"/>
      <c r="N26" s="99"/>
      <c r="O26" s="100"/>
      <c r="P26" s="99"/>
      <c r="Q26" s="100"/>
      <c r="R26" s="99"/>
      <c r="S26" s="100"/>
      <c r="T26" s="99"/>
      <c r="U26" s="100"/>
      <c r="V26" s="99"/>
      <c r="W26" s="100"/>
      <c r="X26" s="99"/>
      <c r="Y26" s="100"/>
      <c r="Z26" s="99"/>
      <c r="AA26" s="100"/>
      <c r="AB26" s="99"/>
      <c r="AC26" s="100"/>
      <c r="AD26" s="99"/>
      <c r="AE26" s="100"/>
      <c r="AF26" s="99"/>
      <c r="AG26" s="100"/>
      <c r="AH26" s="99"/>
      <c r="AI26" s="101"/>
      <c r="AJ26" s="1">
        <f t="array" ref="AJ26">SUM(IF(RIGHTB(D26)="%",TEXT(INDEX(E$5:AI26,MATCH(LEFTB(C26,SEARCH("%",D26)),(C$5:C26),),),"0;0;12")*E26:AI26%,E26:AI26))</f>
        <v>0</v>
      </c>
    </row>
    <row r="27" spans="2:36" ht="15.75">
      <c r="B27" s="98" t="str">
        <f>IFERROR(VLOOKUP(C27,Список!$B$2:$C$150,2,0),"")</f>
        <v/>
      </c>
      <c r="C27" s="75"/>
      <c r="D27" s="77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1">
        <f t="array" ref="AJ27">SUM(IF(RIGHTB(D27)="%",TEXT(INDEX(E$5:AI27,MATCH(LEFTB(C27,SEARCH("%",D27)),(C$5:C27),),),"0;0;12")*E27:AI27%,E27:AI27))</f>
        <v>0</v>
      </c>
    </row>
    <row r="28" spans="2:36" ht="15.75">
      <c r="B28" s="98" t="str">
        <f>IFERROR(VLOOKUP(C28,Список!$B$2:$C$150,2,0),"")</f>
        <v/>
      </c>
      <c r="C28" s="75"/>
      <c r="D28" s="107"/>
      <c r="E28" s="99"/>
      <c r="F28" s="99"/>
      <c r="G28" s="100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100"/>
      <c r="AF28" s="99"/>
      <c r="AG28" s="100"/>
      <c r="AH28" s="99"/>
      <c r="AI28" s="101"/>
      <c r="AJ28" s="1">
        <f t="array" ref="AJ28">SUM(IF(RIGHTB(D28)="%",TEXT(INDEX(E$5:AI28,MATCH(LEFTB(C28,SEARCH("%",D28)),(C$5:C28),),),"0;0;12")*E28:AI28%,E28:AI28))</f>
        <v>0</v>
      </c>
    </row>
    <row r="29" spans="2:36" ht="15.75">
      <c r="B29" s="98" t="str">
        <f>IFERROR(VLOOKUP(C29,Список!$B$2:$C$150,2,0),"")</f>
        <v/>
      </c>
      <c r="C29" s="75"/>
      <c r="D29" s="107"/>
      <c r="E29" s="102"/>
      <c r="F29" s="102"/>
      <c r="G29" s="103"/>
      <c r="H29" s="102"/>
      <c r="I29" s="103"/>
      <c r="J29" s="102"/>
      <c r="K29" s="103"/>
      <c r="L29" s="102"/>
      <c r="M29" s="103"/>
      <c r="N29" s="102"/>
      <c r="O29" s="103"/>
      <c r="P29" s="102"/>
      <c r="Q29" s="103"/>
      <c r="R29" s="102"/>
      <c r="S29" s="103"/>
      <c r="T29" s="102"/>
      <c r="U29" s="103"/>
      <c r="V29" s="102"/>
      <c r="W29" s="103"/>
      <c r="X29" s="102"/>
      <c r="Y29" s="103"/>
      <c r="Z29" s="102"/>
      <c r="AA29" s="103"/>
      <c r="AB29" s="102"/>
      <c r="AC29" s="103"/>
      <c r="AD29" s="102"/>
      <c r="AE29" s="103"/>
      <c r="AF29" s="102"/>
      <c r="AG29" s="103"/>
      <c r="AH29" s="102"/>
      <c r="AI29" s="104"/>
      <c r="AJ29" s="1">
        <f t="array" ref="AJ29">SUM(IF(RIGHTB(D29)="%",TEXT(INDEX(E$5:AI29,MATCH(LEFTB(C29,SEARCH("%",D29)),(C$5:C29),),),"0;0;12")*E29:AI29%,E29:AI29))</f>
        <v>0</v>
      </c>
    </row>
    <row r="30" spans="2:36" ht="15.75">
      <c r="B30" s="98" t="str">
        <f>IFERROR(VLOOKUP(C30,Список!$B$2:$C$150,2,0),"")</f>
        <v/>
      </c>
      <c r="C30" s="75"/>
      <c r="D30" s="77"/>
      <c r="E30" s="99"/>
      <c r="F30" s="99"/>
      <c r="G30" s="100"/>
      <c r="H30" s="99"/>
      <c r="I30" s="100"/>
      <c r="J30" s="99"/>
      <c r="K30" s="100"/>
      <c r="L30" s="99"/>
      <c r="M30" s="100"/>
      <c r="N30" s="99"/>
      <c r="O30" s="100"/>
      <c r="P30" s="99"/>
      <c r="Q30" s="100"/>
      <c r="R30" s="99"/>
      <c r="S30" s="100"/>
      <c r="T30" s="99"/>
      <c r="U30" s="100"/>
      <c r="V30" s="99"/>
      <c r="W30" s="100"/>
      <c r="X30" s="99"/>
      <c r="Y30" s="100"/>
      <c r="Z30" s="99"/>
      <c r="AA30" s="100"/>
      <c r="AB30" s="99"/>
      <c r="AC30" s="100"/>
      <c r="AD30" s="99"/>
      <c r="AE30" s="100"/>
      <c r="AF30" s="99"/>
      <c r="AG30" s="100"/>
      <c r="AH30" s="99"/>
      <c r="AI30" s="101"/>
      <c r="AJ30" s="1">
        <f t="array" ref="AJ30">SUM(IF(RIGHTB(D30)="%",TEXT(INDEX(E$5:AI30,MATCH(LEFTB(C30,SEARCH("%",D30)),(C$5:C30),),),"0;0;12")*E30:AI30%,E30:AI30))</f>
        <v>0</v>
      </c>
    </row>
    <row r="31" spans="2:36" ht="15.75">
      <c r="B31" s="98" t="str">
        <f>IFERROR(VLOOKUP(C31,Список!$B$2:$C$150,2,0),"")</f>
        <v/>
      </c>
      <c r="C31" s="75"/>
      <c r="D31" s="77"/>
      <c r="E31" s="99"/>
      <c r="F31" s="99"/>
      <c r="G31" s="100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100"/>
      <c r="AF31" s="99"/>
      <c r="AG31" s="100"/>
      <c r="AH31" s="99"/>
      <c r="AI31" s="101"/>
      <c r="AJ31" s="1">
        <f t="array" ref="AJ31">SUM(IF(RIGHTB(D31)="%",TEXT(INDEX(E$5:AI31,MATCH(LEFTB(C31,SEARCH("%",D31)),(C$5:C31),),),"0;0;12")*E31:AI31%,E31:AI31))</f>
        <v>0</v>
      </c>
    </row>
    <row r="32" spans="2:36" ht="15.75">
      <c r="B32" s="98" t="str">
        <f>IFERROR(VLOOKUP(C32,Список!$B$2:$C$150,2,0),"")</f>
        <v/>
      </c>
      <c r="C32" s="75"/>
      <c r="D32" s="107"/>
      <c r="E32" s="99"/>
      <c r="F32" s="99"/>
      <c r="G32" s="100"/>
      <c r="H32" s="99"/>
      <c r="I32" s="100"/>
      <c r="J32" s="99"/>
      <c r="K32" s="100"/>
      <c r="L32" s="99"/>
      <c r="M32" s="100"/>
      <c r="N32" s="99"/>
      <c r="O32" s="100"/>
      <c r="P32" s="99"/>
      <c r="Q32" s="100"/>
      <c r="R32" s="99"/>
      <c r="S32" s="100"/>
      <c r="T32" s="99"/>
      <c r="U32" s="100"/>
      <c r="V32" s="99"/>
      <c r="W32" s="100"/>
      <c r="X32" s="99"/>
      <c r="Y32" s="100"/>
      <c r="Z32" s="99"/>
      <c r="AA32" s="100"/>
      <c r="AB32" s="99"/>
      <c r="AC32" s="100"/>
      <c r="AD32" s="99"/>
      <c r="AE32" s="100"/>
      <c r="AF32" s="99"/>
      <c r="AG32" s="100"/>
      <c r="AH32" s="99"/>
      <c r="AI32" s="101"/>
      <c r="AJ32" s="1">
        <f t="array" ref="AJ32">SUM(IF(RIGHTB(D32)="%",TEXT(INDEX(E$5:AI32,MATCH(LEFTB(C32,SEARCH("%",D32)),(C$5:C32),),),"0;0;12")*E32:AI32%,E32:AI32))</f>
        <v>0</v>
      </c>
    </row>
    <row r="33" spans="2:36" ht="15.75">
      <c r="B33" s="98" t="str">
        <f>IFERROR(VLOOKUP(C33,Список!$B$2:$C$150,2,0),"")</f>
        <v/>
      </c>
      <c r="C33" s="75"/>
      <c r="D33" s="107"/>
      <c r="E33" s="102"/>
      <c r="F33" s="102"/>
      <c r="G33" s="103"/>
      <c r="H33" s="102"/>
      <c r="I33" s="103"/>
      <c r="J33" s="102"/>
      <c r="K33" s="103"/>
      <c r="L33" s="102"/>
      <c r="M33" s="103"/>
      <c r="N33" s="102"/>
      <c r="O33" s="103"/>
      <c r="P33" s="102"/>
      <c r="Q33" s="103"/>
      <c r="R33" s="102"/>
      <c r="S33" s="103"/>
      <c r="T33" s="102"/>
      <c r="U33" s="103"/>
      <c r="V33" s="102"/>
      <c r="W33" s="103"/>
      <c r="X33" s="102"/>
      <c r="Y33" s="103"/>
      <c r="Z33" s="102"/>
      <c r="AA33" s="103"/>
      <c r="AB33" s="102"/>
      <c r="AC33" s="103"/>
      <c r="AD33" s="102"/>
      <c r="AE33" s="103"/>
      <c r="AF33" s="102"/>
      <c r="AG33" s="103"/>
      <c r="AH33" s="102"/>
      <c r="AI33" s="104"/>
      <c r="AJ33" s="1">
        <f t="array" ref="AJ33">SUM(IF(RIGHTB(D33)="%",TEXT(INDEX(E$5:AI33,MATCH(LEFTB(C33,SEARCH("%",D33)),(C$5:C33),),),"0;0;12")*E33:AI33%,E33:AI33))</f>
        <v>0</v>
      </c>
    </row>
    <row r="34" spans="2:36" ht="15.75">
      <c r="B34" s="98" t="str">
        <f>IFERROR(VLOOKUP(C34,Список!$B$2:$C$150,2,0),"")</f>
        <v/>
      </c>
      <c r="C34" s="75"/>
      <c r="D34" s="77"/>
      <c r="E34" s="99"/>
      <c r="F34" s="99"/>
      <c r="G34" s="100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100"/>
      <c r="AF34" s="99"/>
      <c r="AG34" s="100"/>
      <c r="AH34" s="99"/>
      <c r="AI34" s="101"/>
      <c r="AJ34" s="1">
        <f t="array" ref="AJ34">SUM(IF(RIGHTB(D34)="%",TEXT(INDEX(E$5:AI34,MATCH(LEFTB(C34,SEARCH("%",D34)),(C$5:C34),),),"0;0;12")*E34:AI34%,E34:AI34))</f>
        <v>0</v>
      </c>
    </row>
    <row r="35" spans="2:36" ht="15.75">
      <c r="B35" s="98" t="str">
        <f>IFERROR(VLOOKUP(C35,Список!$B$2:$C$150,2,0),"")</f>
        <v/>
      </c>
      <c r="C35" s="75"/>
      <c r="D35" s="77"/>
      <c r="E35" s="102"/>
      <c r="F35" s="102"/>
      <c r="G35" s="103"/>
      <c r="H35" s="102"/>
      <c r="I35" s="103"/>
      <c r="J35" s="102"/>
      <c r="K35" s="103"/>
      <c r="L35" s="102"/>
      <c r="M35" s="103"/>
      <c r="N35" s="102"/>
      <c r="O35" s="103"/>
      <c r="P35" s="102"/>
      <c r="Q35" s="103"/>
      <c r="R35" s="102"/>
      <c r="S35" s="103"/>
      <c r="T35" s="102"/>
      <c r="U35" s="103"/>
      <c r="V35" s="102"/>
      <c r="W35" s="103"/>
      <c r="X35" s="102"/>
      <c r="Y35" s="103"/>
      <c r="Z35" s="102"/>
      <c r="AA35" s="103"/>
      <c r="AB35" s="102"/>
      <c r="AC35" s="103"/>
      <c r="AD35" s="102"/>
      <c r="AE35" s="103"/>
      <c r="AF35" s="102"/>
      <c r="AG35" s="103"/>
      <c r="AH35" s="102"/>
      <c r="AI35" s="104"/>
      <c r="AJ35" s="1">
        <f t="array" ref="AJ35">SUM(IF(RIGHTB(D35)="%",TEXT(INDEX(E$5:AI35,MATCH(LEFTB(C35,SEARCH("%",D35)),(C$5:C35),),),"0;0;12")*E35:AI35%,E35:AI35))</f>
        <v>0</v>
      </c>
    </row>
    <row r="36" spans="2:36" ht="15.75">
      <c r="B36" s="98" t="str">
        <f>IFERROR(VLOOKUP(C36,Список!$B$2:$C$150,2,0),"")</f>
        <v/>
      </c>
      <c r="C36" s="75"/>
      <c r="D36" s="77"/>
      <c r="E36" s="99"/>
      <c r="F36" s="99"/>
      <c r="G36" s="100"/>
      <c r="H36" s="99"/>
      <c r="I36" s="100"/>
      <c r="J36" s="99"/>
      <c r="K36" s="100"/>
      <c r="L36" s="99"/>
      <c r="M36" s="100"/>
      <c r="N36" s="99"/>
      <c r="O36" s="100"/>
      <c r="P36" s="99"/>
      <c r="Q36" s="100"/>
      <c r="R36" s="99"/>
      <c r="S36" s="100"/>
      <c r="T36" s="99"/>
      <c r="U36" s="100"/>
      <c r="V36" s="99"/>
      <c r="W36" s="100"/>
      <c r="X36" s="99"/>
      <c r="Y36" s="100"/>
      <c r="Z36" s="99"/>
      <c r="AA36" s="100"/>
      <c r="AB36" s="99"/>
      <c r="AC36" s="100"/>
      <c r="AD36" s="99"/>
      <c r="AE36" s="100"/>
      <c r="AF36" s="99"/>
      <c r="AG36" s="100"/>
      <c r="AH36" s="99"/>
      <c r="AI36" s="101"/>
      <c r="AJ36" s="1">
        <f t="array" ref="AJ36">SUM(IF(RIGHTB(D36)="%",TEXT(INDEX(E$5:AI36,MATCH(LEFTB(C36,SEARCH("%",D36)),(C$5:C36),),),"0;0;12")*E36:AI36%,E36:AI36))</f>
        <v>0</v>
      </c>
    </row>
    <row r="37" spans="2:36" ht="15.75">
      <c r="B37" s="98" t="str">
        <f>IFERROR(VLOOKUP(C37,Список!$B$2:$C$150,2,0),"")</f>
        <v/>
      </c>
      <c r="C37" s="75"/>
      <c r="D37" s="77"/>
      <c r="E37" s="99"/>
      <c r="F37" s="99"/>
      <c r="G37" s="100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100"/>
      <c r="AF37" s="99"/>
      <c r="AG37" s="100"/>
      <c r="AH37" s="99"/>
      <c r="AI37" s="101"/>
      <c r="AJ37" s="1">
        <f t="array" ref="AJ37">SUM(IF(RIGHTB(D37)="%",TEXT(INDEX(E$5:AI37,MATCH(LEFTB(C37,SEARCH("%",D37)),(C$5:C37),),),"0;0;12")*E37:AI37%,E37:AI37))</f>
        <v>0</v>
      </c>
    </row>
    <row r="38" spans="2:36" ht="15.75">
      <c r="B38" s="98" t="str">
        <f>IFERROR(VLOOKUP(C38,Список!$B$2:$C$150,2,0),"")</f>
        <v/>
      </c>
      <c r="C38" s="75"/>
      <c r="D38" s="77"/>
      <c r="E38" s="99"/>
      <c r="F38" s="99"/>
      <c r="G38" s="100"/>
      <c r="H38" s="99"/>
      <c r="I38" s="100"/>
      <c r="J38" s="99"/>
      <c r="K38" s="100"/>
      <c r="L38" s="99"/>
      <c r="M38" s="100"/>
      <c r="N38" s="99"/>
      <c r="O38" s="100"/>
      <c r="P38" s="99"/>
      <c r="Q38" s="100"/>
      <c r="R38" s="99"/>
      <c r="S38" s="100"/>
      <c r="T38" s="99"/>
      <c r="U38" s="100"/>
      <c r="V38" s="99"/>
      <c r="W38" s="100"/>
      <c r="X38" s="99"/>
      <c r="Y38" s="100"/>
      <c r="Z38" s="99"/>
      <c r="AA38" s="100"/>
      <c r="AB38" s="99"/>
      <c r="AC38" s="100"/>
      <c r="AD38" s="99"/>
      <c r="AE38" s="100"/>
      <c r="AF38" s="99"/>
      <c r="AG38" s="100"/>
      <c r="AH38" s="99"/>
      <c r="AI38" s="101"/>
      <c r="AJ38" s="1">
        <f t="array" ref="AJ38">SUM(IF(RIGHTB(D38)="%",TEXT(INDEX(E$5:AI38,MATCH(LEFTB(C38,SEARCH("%",D38)),(C$5:C38),),),"0;0;12")*E38:AI38%,E38:AI38))</f>
        <v>0</v>
      </c>
    </row>
    <row r="39" spans="2:36" ht="15.75">
      <c r="B39" s="98" t="str">
        <f>IFERROR(VLOOKUP(C39,Список!$B$2:$C$150,2,0),"")</f>
        <v/>
      </c>
      <c r="C39" s="75"/>
      <c r="D39" s="77"/>
      <c r="E39" s="102"/>
      <c r="F39" s="102"/>
      <c r="G39" s="103"/>
      <c r="H39" s="102"/>
      <c r="I39" s="103"/>
      <c r="J39" s="102"/>
      <c r="K39" s="103"/>
      <c r="L39" s="102"/>
      <c r="M39" s="103"/>
      <c r="N39" s="102"/>
      <c r="O39" s="103"/>
      <c r="P39" s="102"/>
      <c r="Q39" s="103"/>
      <c r="R39" s="102"/>
      <c r="S39" s="103"/>
      <c r="T39" s="102"/>
      <c r="U39" s="103"/>
      <c r="V39" s="102"/>
      <c r="W39" s="103"/>
      <c r="X39" s="102"/>
      <c r="Y39" s="103"/>
      <c r="Z39" s="102"/>
      <c r="AA39" s="103"/>
      <c r="AB39" s="102"/>
      <c r="AC39" s="103"/>
      <c r="AD39" s="102"/>
      <c r="AE39" s="103"/>
      <c r="AF39" s="102"/>
      <c r="AG39" s="103"/>
      <c r="AH39" s="102"/>
      <c r="AI39" s="103"/>
      <c r="AJ39" s="1">
        <f t="array" ref="AJ39">SUM(IF(RIGHTB(D39)="%",TEXT(INDEX(E$5:AI39,MATCH(LEFTB(C39,SEARCH("%",D39)),(C$5:C39),),),"0;0;12")*E39:AI39%,E39:AI39))</f>
        <v>0</v>
      </c>
    </row>
    <row r="40" spans="2:36" ht="15.75">
      <c r="B40" s="98" t="str">
        <f>IFERROR(VLOOKUP(C40,Список!$B$2:$C$150,2,0),"")</f>
        <v/>
      </c>
      <c r="C40" s="75"/>
      <c r="D40" s="77"/>
      <c r="E40" s="99"/>
      <c r="F40" s="99"/>
      <c r="G40" s="100"/>
      <c r="H40" s="99"/>
      <c r="I40" s="100"/>
      <c r="J40" s="99"/>
      <c r="K40" s="100"/>
      <c r="L40" s="99"/>
      <c r="M40" s="100"/>
      <c r="N40" s="99"/>
      <c r="O40" s="100"/>
      <c r="P40" s="99"/>
      <c r="Q40" s="100"/>
      <c r="R40" s="99"/>
      <c r="S40" s="100"/>
      <c r="T40" s="99"/>
      <c r="U40" s="100"/>
      <c r="V40" s="99"/>
      <c r="W40" s="100"/>
      <c r="X40" s="99"/>
      <c r="Y40" s="100"/>
      <c r="Z40" s="99"/>
      <c r="AA40" s="100"/>
      <c r="AB40" s="99"/>
      <c r="AC40" s="100"/>
      <c r="AD40" s="99"/>
      <c r="AE40" s="100"/>
      <c r="AF40" s="99"/>
      <c r="AG40" s="100"/>
      <c r="AH40" s="99"/>
      <c r="AI40" s="101"/>
      <c r="AJ40" s="1">
        <f t="array" ref="AJ40">SUM(IF(RIGHTB(D40)="%",TEXT(INDEX(E$5:AI40,MATCH(LEFTB(C40,SEARCH("%",D40)),(C$5:C40),),),"0;0;12")*E40:AI40%,E40:AI40))</f>
        <v>0</v>
      </c>
    </row>
    <row r="41" spans="2:36" ht="15.75">
      <c r="B41" s="98" t="str">
        <f>IFERROR(VLOOKUP(C41,Список!$B$2:$C$150,2,0),"")</f>
        <v/>
      </c>
      <c r="C41" s="75"/>
      <c r="D41" s="77"/>
      <c r="E41" s="99"/>
      <c r="F41" s="99"/>
      <c r="G41" s="100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0"/>
      <c r="AF41" s="99"/>
      <c r="AG41" s="100"/>
      <c r="AH41" s="99"/>
      <c r="AI41" s="101"/>
      <c r="AJ41" s="1">
        <f t="array" ref="AJ41">SUM(IF(RIGHTB(D41)="%",TEXT(INDEX(E$5:AI41,MATCH(LEFTB(C41,SEARCH("%",D41)),(C$5:C41),),),"0;0;12")*E41:AI41%,E41:AI41))</f>
        <v>0</v>
      </c>
    </row>
    <row r="42" spans="2:36" ht="15.75">
      <c r="B42" s="98" t="str">
        <f>IFERROR(VLOOKUP(C42,Список!$B$2:$C$150,2,0),"")</f>
        <v/>
      </c>
      <c r="C42" s="75"/>
      <c r="D42" s="77"/>
      <c r="E42" s="102"/>
      <c r="F42" s="102"/>
      <c r="G42" s="103"/>
      <c r="H42" s="102"/>
      <c r="I42" s="103"/>
      <c r="J42" s="102"/>
      <c r="K42" s="103"/>
      <c r="L42" s="102"/>
      <c r="M42" s="103"/>
      <c r="N42" s="102"/>
      <c r="O42" s="103"/>
      <c r="P42" s="102"/>
      <c r="Q42" s="103"/>
      <c r="R42" s="102"/>
      <c r="S42" s="103"/>
      <c r="T42" s="102"/>
      <c r="U42" s="103"/>
      <c r="V42" s="102"/>
      <c r="W42" s="103"/>
      <c r="X42" s="102"/>
      <c r="Y42" s="103"/>
      <c r="Z42" s="102"/>
      <c r="AA42" s="103"/>
      <c r="AB42" s="102"/>
      <c r="AC42" s="103"/>
      <c r="AD42" s="102"/>
      <c r="AE42" s="103"/>
      <c r="AF42" s="102"/>
      <c r="AG42" s="103"/>
      <c r="AH42" s="102"/>
      <c r="AI42" s="103"/>
      <c r="AJ42" s="1">
        <f t="array" ref="AJ42">SUM(IF(RIGHTB(D42)="%",TEXT(INDEX(E$5:AI42,MATCH(LEFTB(C42,SEARCH("%",D42)),(C$5:C42),),),"0;0;12")*E42:AI42%,E42:AI42))</f>
        <v>0</v>
      </c>
    </row>
    <row r="43" spans="2:36" ht="15.75">
      <c r="B43" s="98" t="str">
        <f>IFERROR(VLOOKUP(C43,Список!$B$2:$C$150,2,0),"")</f>
        <v/>
      </c>
      <c r="C43" s="75"/>
      <c r="D43" s="77"/>
      <c r="E43" s="99"/>
      <c r="F43" s="99"/>
      <c r="G43" s="100"/>
      <c r="H43" s="99"/>
      <c r="I43" s="100"/>
      <c r="J43" s="99"/>
      <c r="K43" s="100"/>
      <c r="L43" s="99"/>
      <c r="M43" s="100"/>
      <c r="N43" s="99"/>
      <c r="O43" s="101"/>
      <c r="P43" s="99"/>
      <c r="Q43" s="100"/>
      <c r="R43" s="99"/>
      <c r="S43" s="100"/>
      <c r="T43" s="99"/>
      <c r="U43" s="100"/>
      <c r="V43" s="99"/>
      <c r="W43" s="100"/>
      <c r="X43" s="99"/>
      <c r="Y43" s="100"/>
      <c r="Z43" s="99"/>
      <c r="AA43" s="100"/>
      <c r="AB43" s="99"/>
      <c r="AC43" s="100"/>
      <c r="AD43" s="99"/>
      <c r="AE43" s="100"/>
      <c r="AF43" s="99"/>
      <c r="AG43" s="100"/>
      <c r="AH43" s="99"/>
      <c r="AI43" s="100"/>
      <c r="AJ43" s="1">
        <f t="array" ref="AJ43">SUM(IF(RIGHTB(D43)="%",TEXT(INDEX(E$5:AI43,MATCH(LEFTB(C43,SEARCH("%",D43)),(C$5:C43),),),"0;0;12")*E43:AI43%,E43:AI43))</f>
        <v>0</v>
      </c>
    </row>
    <row r="44" spans="2:36" ht="15.75">
      <c r="B44" s="108"/>
      <c r="C44" s="108"/>
      <c r="D44" s="109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2:36" ht="15.75">
      <c r="B45" s="10"/>
      <c r="C45" s="10"/>
      <c r="D45" s="10"/>
      <c r="E45" s="123" t="s">
        <v>158</v>
      </c>
      <c r="F45" s="123"/>
      <c r="G45" s="123"/>
      <c r="H45" s="123"/>
      <c r="I45" s="145" t="e">
        <f>#REF!</f>
        <v>#REF!</v>
      </c>
      <c r="J45" s="149"/>
      <c r="K45" s="149"/>
      <c r="L45" s="149"/>
      <c r="M45" s="149"/>
      <c r="N45" s="149"/>
      <c r="O45" s="115" t="s">
        <v>159</v>
      </c>
      <c r="P45" s="10"/>
      <c r="Q45" s="10"/>
      <c r="R45" s="10"/>
      <c r="S45" s="139">
        <f ca="1">TODAY()</f>
        <v>42163</v>
      </c>
      <c r="T45" s="139"/>
      <c r="U45" s="139"/>
      <c r="V45" s="139"/>
      <c r="W45" s="140"/>
      <c r="X45" s="140"/>
      <c r="Y45" s="140"/>
      <c r="Z45" s="140"/>
      <c r="AA45" s="14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2:36" ht="15.75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</sheetData>
  <mergeCells count="11">
    <mergeCell ref="AJ3:AJ4"/>
    <mergeCell ref="I45:N45"/>
    <mergeCell ref="S45:V45"/>
    <mergeCell ref="W45:AA45"/>
    <mergeCell ref="B1:C1"/>
    <mergeCell ref="D1:H1"/>
    <mergeCell ref="I1:N1"/>
    <mergeCell ref="O1:AE1"/>
    <mergeCell ref="B3:B4"/>
    <mergeCell ref="C3:D4"/>
    <mergeCell ref="E3:AI3"/>
  </mergeCells>
  <conditionalFormatting sqref="C5:AJ43">
    <cfRule type="expression" dxfId="4" priority="8">
      <formula>$AJ5&gt;$D5</formula>
    </cfRule>
    <cfRule type="expression" dxfId="3" priority="6">
      <formula>$AJ5&gt;$C5</formula>
    </cfRule>
  </conditionalFormatting>
  <conditionalFormatting sqref="E5:AI43">
    <cfRule type="expression" dxfId="2" priority="3">
      <formula>E5:AI5&gt;12</formula>
    </cfRule>
    <cfRule type="expression" dxfId="1" priority="1">
      <formula>RIGHT($D5,1)="%"</formula>
    </cfRule>
  </conditionalFormatting>
  <dataValidations count="3"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5:C43">
      <formula1>ФИО</formula1>
    </dataValidation>
    <dataValidation type="list" allowBlank="1" showInputMessage="1" showErrorMessage="1" sqref="D5:D43">
      <formula1>Профессия</formula1>
    </dataValidation>
    <dataValidation type="list" allowBlank="1" showInputMessage="1" showErrorMessage="1" sqref="I1">
      <formula1>Прочее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horizontalDpi="300" verticalDpi="300" r:id="rId1"/>
  <colBreaks count="1" manualBreakCount="1">
    <brk id="3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rgb="FF00B0F0"/>
  </sheetPr>
  <dimension ref="B1:T43"/>
  <sheetViews>
    <sheetView showGridLines="0" showZeros="0" zoomScaleNormal="100" workbookViewId="0">
      <pane ySplit="4" topLeftCell="A5" activePane="bottomLeft" state="frozen"/>
      <selection pane="bottomLeft" activeCell="J19" sqref="J19"/>
    </sheetView>
  </sheetViews>
  <sheetFormatPr defaultRowHeight="15"/>
  <cols>
    <col min="1" max="1" width="4.5703125" style="4" customWidth="1"/>
    <col min="2" max="2" width="6.7109375" style="4" customWidth="1"/>
    <col min="3" max="3" width="20.28515625" style="4" customWidth="1"/>
    <col min="4" max="4" width="22.140625" style="4" customWidth="1"/>
    <col min="5" max="5" width="10.42578125" style="4" customWidth="1"/>
    <col min="6" max="6" width="9.5703125" style="4" customWidth="1"/>
    <col min="7" max="10" width="9.140625" style="4"/>
    <col min="11" max="11" width="9.42578125" style="4" customWidth="1"/>
    <col min="12" max="16384" width="9.140625" style="4"/>
  </cols>
  <sheetData>
    <row r="1" spans="2:20" ht="6.75" customHeight="1"/>
    <row r="2" spans="2:20" ht="21.75" customHeight="1">
      <c r="B2" s="157"/>
      <c r="C2" s="158"/>
      <c r="D2" s="160"/>
      <c r="E2" s="147"/>
      <c r="F2" s="79"/>
      <c r="G2" s="159"/>
      <c r="H2" s="159"/>
      <c r="I2" s="159"/>
      <c r="J2" s="159"/>
      <c r="K2" s="159"/>
      <c r="L2" s="159"/>
      <c r="M2" s="159"/>
    </row>
    <row r="3" spans="2:20" ht="3" customHeight="1">
      <c r="L3" s="161"/>
      <c r="M3" s="161"/>
      <c r="N3" s="161"/>
      <c r="O3" s="161"/>
      <c r="P3" s="161"/>
      <c r="Q3" s="161"/>
      <c r="R3" s="82"/>
      <c r="S3" s="82"/>
      <c r="T3" s="82"/>
    </row>
    <row r="4" spans="2:20" ht="46.5" customHeight="1">
      <c r="B4" s="121" t="s">
        <v>2</v>
      </c>
      <c r="C4" s="141" t="s">
        <v>7</v>
      </c>
      <c r="D4" s="142"/>
      <c r="E4" s="121" t="s">
        <v>261</v>
      </c>
      <c r="F4" s="87" t="s">
        <v>12</v>
      </c>
      <c r="G4" s="121" t="s">
        <v>13</v>
      </c>
      <c r="H4" s="121" t="s">
        <v>14</v>
      </c>
      <c r="I4" s="121" t="s">
        <v>15</v>
      </c>
      <c r="J4" s="88" t="s">
        <v>30</v>
      </c>
      <c r="K4" s="88" t="s">
        <v>31</v>
      </c>
      <c r="L4" s="161"/>
      <c r="M4" s="161"/>
      <c r="N4" s="161"/>
      <c r="O4" s="161"/>
      <c r="P4" s="161"/>
      <c r="Q4" s="161"/>
      <c r="R4" s="82"/>
      <c r="S4" s="82"/>
      <c r="T4" s="82"/>
    </row>
    <row r="5" spans="2:20" ht="15" customHeight="1">
      <c r="B5" s="3">
        <f>IFERROR(VLOOKUP(C5,Список!$B$2:$C$150,2,0),"")</f>
        <v>465</v>
      </c>
      <c r="C5" s="114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Рудницкий С.Н.</v>
      </c>
      <c r="D5" s="124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Машинист 6 р.</v>
      </c>
      <c r="E5" s="1">
        <f t="array" ref="E5">SUMIFS(Останов!$AJ$5:$AJ$43,Останов!$C$5:$C$43,C5,Останов!$D$5:$D$43,D5)+SUMIFS(БДМ№1!$AJ$5:$AJ$91,БДМ№1!$C$5:$C$91,C5,БДМ№1!$D$5:$D$91,D5)+SUMIFS(БДМ№2!$AJ$5:$AJ$91,БДМ№2!$C$5:$C$91,C5,БДМ№2!$D$5:$D$91,D5)</f>
        <v>13</v>
      </c>
      <c r="F5" s="1"/>
      <c r="G5" s="83"/>
      <c r="H5" s="83"/>
      <c r="I5" s="83"/>
      <c r="J5" s="1">
        <f>SUM(E5:I5)</f>
        <v>13</v>
      </c>
      <c r="K5" s="1"/>
      <c r="L5" s="84"/>
    </row>
    <row r="6" spans="2:20" ht="15.75">
      <c r="B6" s="3">
        <f>IFERROR(VLOOKUP(C6,Список!$B$2:$C$150,2,0),"")</f>
        <v>465</v>
      </c>
      <c r="C6" s="114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Рудницкий С.Н.</v>
      </c>
      <c r="D6" s="124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Накатчик 3 р. %</v>
      </c>
      <c r="E6" s="1">
        <f t="array" ref="E6">SUMIFS(Останов!$AJ$5:$AJ$43,Останов!$C$5:$C$43,C6,Останов!$D$5:$D$43,D6)+SUMIFS(БДМ№1!$AJ$5:$AJ$91,БДМ№1!$C$5:$C$91,C6,БДМ№1!$D$5:$D$91,D6)+SUMIFS(БДМ№2!$AJ$5:$AJ$91,БДМ№2!$C$5:$C$91,C6,БДМ№2!$D$5:$D$91,D6)</f>
        <v>0</v>
      </c>
      <c r="F6" s="1"/>
      <c r="G6" s="83"/>
      <c r="H6" s="83"/>
      <c r="I6" s="83"/>
      <c r="J6" s="1">
        <f t="shared" ref="J6:J26" si="0">SUM(E6:I6)</f>
        <v>0</v>
      </c>
      <c r="K6" s="1"/>
      <c r="L6" s="84"/>
    </row>
    <row r="7" spans="2:20" ht="15.75">
      <c r="B7" s="3">
        <f>IFERROR(VLOOKUP(C7,Список!$B$2:$C$150,2,0),"")</f>
        <v>761</v>
      </c>
      <c r="C7" s="114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Сацук А.Л.</v>
      </c>
      <c r="D7" s="124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Машинист 6 р.</v>
      </c>
      <c r="E7" s="1">
        <f t="array" ref="E7">SUMIFS(Останов!$AJ$5:$AJ$43,Останов!$C$5:$C$43,C7,Останов!$D$5:$D$43,D7)+SUMIFS(БДМ№1!$AJ$5:$AJ$91,БДМ№1!$C$5:$C$91,C7,БДМ№1!$D$5:$D$91,D7)+SUMIFS(БДМ№2!$AJ$5:$AJ$91,БДМ№2!$C$5:$C$91,C7,БДМ№2!$D$5:$D$91,D7)</f>
        <v>12</v>
      </c>
      <c r="F7" s="1"/>
      <c r="G7" s="83"/>
      <c r="H7" s="83"/>
      <c r="I7" s="83"/>
      <c r="J7" s="1">
        <f t="shared" si="0"/>
        <v>12</v>
      </c>
      <c r="K7" s="1"/>
      <c r="L7" s="84"/>
    </row>
    <row r="8" spans="2:20" ht="15.75" customHeight="1">
      <c r="B8" s="3">
        <f>IFERROR(VLOOKUP(C8,Список!$B$2:$C$150,2,0),"")</f>
        <v>761</v>
      </c>
      <c r="C8" s="12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Сацук А.Л.</v>
      </c>
      <c r="D8" s="12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Ап.пр.хим.р-в 3 р. %</v>
      </c>
      <c r="E8" s="1">
        <f t="array" ref="E8">SUMIFS(Останов!$AJ$5:$AJ$43,Останов!$C$5:$C$43,C8,Останов!$D$5:$D$43,D8)+SUMIFS(БДМ№1!$AJ$5:$AJ$91,БДМ№1!$C$5:$C$91,C8,БДМ№1!$D$5:$D$91,D8)+SUMIFS(БДМ№2!$AJ$5:$AJ$91,БДМ№2!$C$5:$C$91,C8,БДМ№2!$D$5:$D$91,D8)</f>
        <v>12</v>
      </c>
      <c r="F8" s="1"/>
      <c r="G8" s="130"/>
      <c r="H8" s="130"/>
      <c r="I8" s="130"/>
      <c r="J8" s="1">
        <f t="shared" si="0"/>
        <v>12</v>
      </c>
      <c r="K8" s="1"/>
      <c r="L8" s="153" t="s">
        <v>262</v>
      </c>
      <c r="M8" s="154"/>
      <c r="N8" s="154"/>
      <c r="O8" s="154"/>
      <c r="P8" s="154"/>
    </row>
    <row r="9" spans="2:20" ht="15.75">
      <c r="B9" s="3">
        <f>IFERROR(VLOOKUP(C9,Список!$B$2:$C$150,2,0),"")</f>
        <v>643</v>
      </c>
      <c r="C9" s="114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Буракова Т.А.</v>
      </c>
      <c r="D9" s="124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Перссовщик 3 р.</v>
      </c>
      <c r="E9" s="1">
        <f t="array" ref="E9">SUMIFS(Останов!$AJ$5:$AJ$43,Останов!$C$5:$C$43,C9,Останов!$D$5:$D$43,D9)+SUMIFS(БДМ№1!$AJ$5:$AJ$91,БДМ№1!$C$5:$C$91,C9,БДМ№1!$D$5:$D$91,D9)+SUMIFS(БДМ№2!$AJ$5:$AJ$91,БДМ№2!$C$5:$C$91,C9,БДМ№2!$D$5:$D$91,D9)</f>
        <v>12</v>
      </c>
      <c r="F9" s="1"/>
      <c r="G9" s="130"/>
      <c r="H9" s="130"/>
      <c r="I9" s="130"/>
      <c r="J9" s="1">
        <f t="shared" si="0"/>
        <v>12</v>
      </c>
      <c r="K9" s="1"/>
      <c r="L9" s="155"/>
      <c r="M9" s="156"/>
      <c r="N9" s="156"/>
      <c r="O9" s="156"/>
      <c r="P9" s="156"/>
    </row>
    <row r="10" spans="2:20" ht="15.75">
      <c r="B10" s="3">
        <f>IFERROR(VLOOKUP(C10,Список!$B$2:$C$150,2,0),"")</f>
        <v>1179</v>
      </c>
      <c r="C10" s="114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Брикун М.А.</v>
      </c>
      <c r="D10" s="124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Сушильщик 4 р.</v>
      </c>
      <c r="E10" s="1">
        <f t="array" ref="E10">SUMIFS(Останов!$AJ$5:$AJ$43,Останов!$C$5:$C$43,C10,Останов!$D$5:$D$43,D10)+SUMIFS(БДМ№1!$AJ$5:$AJ$91,БДМ№1!$C$5:$C$91,C10,БДМ№1!$D$5:$D$91,D10)+SUMIFS(БДМ№2!$AJ$5:$AJ$91,БДМ№2!$C$5:$C$91,C10,БДМ№2!$D$5:$D$91,D10)</f>
        <v>10</v>
      </c>
      <c r="F10" s="1"/>
      <c r="G10" s="130"/>
      <c r="H10" s="130"/>
      <c r="I10" s="130"/>
      <c r="J10" s="1">
        <f t="shared" si="0"/>
        <v>10</v>
      </c>
      <c r="K10" s="1"/>
      <c r="L10" s="155"/>
      <c r="M10" s="156"/>
      <c r="N10" s="156"/>
      <c r="O10" s="156"/>
      <c r="P10" s="156"/>
    </row>
    <row r="11" spans="2:20" ht="15.75">
      <c r="B11" s="3">
        <f>IFERROR(VLOOKUP(C11,Список!$B$2:$C$150,2,0),"")</f>
        <v>1179</v>
      </c>
      <c r="C11" s="12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Брикун М.А.</v>
      </c>
      <c r="D11" s="12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Накатчик 3 р. %</v>
      </c>
      <c r="E11" s="1">
        <f t="array" ref="E11">SUMIFS(Останов!$AJ$5:$AJ$43,Останов!$C$5:$C$43,C11,Останов!$D$5:$D$43,D11)+SUMIFS(БДМ№1!$AJ$5:$AJ$91,БДМ№1!$C$5:$C$91,C11,БДМ№1!$D$5:$D$91,D11)+SUMIFS(БДМ№2!$AJ$5:$AJ$91,БДМ№2!$C$5:$C$91,C11,БДМ№2!$D$5:$D$91,D11)</f>
        <v>10</v>
      </c>
      <c r="F11" s="1"/>
      <c r="G11" s="130"/>
      <c r="H11" s="130"/>
      <c r="I11" s="130"/>
      <c r="J11" s="1">
        <f t="shared" si="0"/>
        <v>10</v>
      </c>
      <c r="K11" s="1"/>
      <c r="L11" s="155"/>
      <c r="M11" s="156"/>
      <c r="N11" s="156"/>
      <c r="O11" s="156"/>
      <c r="P11" s="156"/>
    </row>
    <row r="12" spans="2:20" ht="15.75">
      <c r="B12" s="3">
        <f>IFERROR(VLOOKUP(C12,Список!$B$2:$C$150,2,0),"")</f>
        <v>1291</v>
      </c>
      <c r="C12" s="114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Лысковец А.Н.</v>
      </c>
      <c r="D12" s="124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Накатчик 3 р.</v>
      </c>
      <c r="E12" s="1">
        <f t="array" ref="E12">SUMIFS(Останов!$AJ$5:$AJ$43,Останов!$C$5:$C$43,C12,Останов!$D$5:$D$43,D12)+SUMIFS(БДМ№1!$AJ$5:$AJ$91,БДМ№1!$C$5:$C$91,C12,БДМ№1!$D$5:$D$91,D12)+SUMIFS(БДМ№2!$AJ$5:$AJ$91,БДМ№2!$C$5:$C$91,C12,БДМ№2!$D$5:$D$91,D12)</f>
        <v>0</v>
      </c>
      <c r="F12" s="1"/>
      <c r="G12" s="130"/>
      <c r="H12" s="130"/>
      <c r="I12" s="130"/>
      <c r="J12" s="1">
        <f t="shared" si="0"/>
        <v>0</v>
      </c>
      <c r="K12" s="1"/>
      <c r="L12" s="155"/>
      <c r="M12" s="156"/>
      <c r="N12" s="156"/>
      <c r="O12" s="156"/>
      <c r="P12" s="156"/>
    </row>
    <row r="13" spans="2:20" ht="15.75">
      <c r="B13" s="3">
        <f>IFERROR(VLOOKUP(C13,Список!$B$2:$C$150,2,0),"")</f>
        <v>491</v>
      </c>
      <c r="C13" s="114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Жизневская Т.Ф.</v>
      </c>
      <c r="D13" s="124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Разм. РПО 4 р.</v>
      </c>
      <c r="E13" s="1">
        <f t="array" ref="E13">SUMIFS(Останов!$AJ$5:$AJ$43,Останов!$C$5:$C$43,C13,Останов!$D$5:$D$43,D13)+SUMIFS(БДМ№1!$AJ$5:$AJ$91,БДМ№1!$C$5:$C$91,C13,БДМ№1!$D$5:$D$91,D13)+SUMIFS(БДМ№2!$AJ$5:$AJ$91,БДМ№2!$C$5:$C$91,C13,БДМ№2!$D$5:$D$91,D13)</f>
        <v>8</v>
      </c>
      <c r="F13" s="1"/>
      <c r="G13" s="130"/>
      <c r="H13" s="130"/>
      <c r="I13" s="130"/>
      <c r="J13" s="1">
        <f t="shared" si="0"/>
        <v>8</v>
      </c>
      <c r="K13" s="1"/>
      <c r="L13" s="155"/>
      <c r="M13" s="156"/>
      <c r="N13" s="156"/>
      <c r="O13" s="156"/>
      <c r="P13" s="156"/>
    </row>
    <row r="14" spans="2:20" ht="15.75">
      <c r="B14" s="3">
        <f>IFERROR(VLOOKUP(C14,Список!$B$2:$C$150,2,0),"")</f>
        <v>856</v>
      </c>
      <c r="C14" s="114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Залан А.В.</v>
      </c>
      <c r="D14" s="124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Разм. РПО 3 р.</v>
      </c>
      <c r="E14" s="1">
        <f t="array" ref="E14">SUMIFS(Останов!$AJ$5:$AJ$43,Останов!$C$5:$C$43,C14,Останов!$D$5:$D$43,D14)+SUMIFS(БДМ№1!$AJ$5:$AJ$91,БДМ№1!$C$5:$C$91,C14,БДМ№1!$D$5:$D$91,D14)+SUMIFS(БДМ№2!$AJ$5:$AJ$91,БДМ№2!$C$5:$C$91,C14,БДМ№2!$D$5:$D$91,D14)</f>
        <v>0</v>
      </c>
      <c r="F14" s="1"/>
      <c r="G14" s="130"/>
      <c r="H14" s="130"/>
      <c r="I14" s="130"/>
      <c r="J14" s="1">
        <f t="shared" si="0"/>
        <v>0</v>
      </c>
      <c r="K14" s="1"/>
      <c r="L14" s="155"/>
      <c r="M14" s="156"/>
      <c r="N14" s="156"/>
      <c r="O14" s="156"/>
      <c r="P14" s="156"/>
    </row>
    <row r="15" spans="2:20" ht="15.75">
      <c r="B15" s="3">
        <f>IFERROR(VLOOKUP(C15,Список!$B$2:$C$150,2,0),"")</f>
        <v>1311</v>
      </c>
      <c r="C15" s="114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Грузд Н.Н.</v>
      </c>
      <c r="D15" s="124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Ап.пр.хим.р-в 3 р.</v>
      </c>
      <c r="E15" s="1">
        <f t="array" ref="E15">SUMIFS(Останов!$AJ$5:$AJ$43,Останов!$C$5:$C$43,C15,Останов!$D$5:$D$43,D15)+SUMIFS(БДМ№1!$AJ$5:$AJ$91,БДМ№1!$C$5:$C$91,C15,БДМ№1!$D$5:$D$91,D15)+SUMIFS(БДМ№2!$AJ$5:$AJ$91,БДМ№2!$C$5:$C$91,C15,БДМ№2!$D$5:$D$91,D15)</f>
        <v>0</v>
      </c>
      <c r="F15" s="1"/>
      <c r="G15" s="130"/>
      <c r="H15" s="130"/>
      <c r="I15" s="130"/>
      <c r="J15" s="1">
        <f t="shared" si="0"/>
        <v>0</v>
      </c>
      <c r="K15" s="1"/>
      <c r="L15" s="155"/>
      <c r="M15" s="156"/>
      <c r="N15" s="156"/>
      <c r="O15" s="156"/>
      <c r="P15" s="156"/>
    </row>
    <row r="16" spans="2:20" ht="15.75">
      <c r="B16" s="3">
        <f>IFERROR(VLOOKUP(C16,Список!$B$2:$C$150,2,0),"")</f>
        <v>170</v>
      </c>
      <c r="C16" s="114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Кудревич О.М.</v>
      </c>
      <c r="D16" s="124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Ап.пр.хим.р-в 3 р.</v>
      </c>
      <c r="E16" s="1">
        <f t="array" ref="E16">SUMIFS(Останов!$AJ$5:$AJ$43,Останов!$C$5:$C$43,C16,Останов!$D$5:$D$43,D16)+SUMIFS(БДМ№1!$AJ$5:$AJ$91,БДМ№1!$C$5:$C$91,C16,БДМ№1!$D$5:$D$91,D16)+SUMIFS(БДМ№2!$AJ$5:$AJ$91,БДМ№2!$C$5:$C$91,C16,БДМ№2!$D$5:$D$91,D16)</f>
        <v>0</v>
      </c>
      <c r="F16" s="1"/>
      <c r="G16" s="130"/>
      <c r="H16" s="130"/>
      <c r="I16" s="130"/>
      <c r="J16" s="1">
        <f t="shared" si="0"/>
        <v>0</v>
      </c>
      <c r="K16" s="1"/>
      <c r="L16" s="155"/>
      <c r="M16" s="156"/>
      <c r="N16" s="156"/>
      <c r="O16" s="156"/>
      <c r="P16" s="156"/>
    </row>
    <row r="17" spans="2:16" ht="15.75">
      <c r="B17" s="3">
        <f>IFERROR(VLOOKUP(C17,Список!$B$2:$C$150,2,0),"")</f>
        <v>509</v>
      </c>
      <c r="C17" s="114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Заяц Т.Л.</v>
      </c>
      <c r="D17" s="124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Резчик ПРС 4 р.</v>
      </c>
      <c r="E17" s="1">
        <f t="array" ref="E17">SUMIFS(Останов!$AJ$5:$AJ$43,Останов!$C$5:$C$43,C17,Останов!$D$5:$D$43,D17)+SUMIFS(БДМ№1!$AJ$5:$AJ$91,БДМ№1!$C$5:$C$91,C17,БДМ№1!$D$5:$D$91,D17)+SUMIFS(БДМ№2!$AJ$5:$AJ$91,БДМ№2!$C$5:$C$91,C17,БДМ№2!$D$5:$D$91,D17)</f>
        <v>0</v>
      </c>
      <c r="F17" s="1"/>
      <c r="G17" s="130"/>
      <c r="H17" s="130"/>
      <c r="I17" s="130"/>
      <c r="J17" s="1">
        <f t="shared" si="0"/>
        <v>0</v>
      </c>
      <c r="K17" s="1"/>
      <c r="L17" s="155"/>
      <c r="M17" s="156"/>
      <c r="N17" s="156"/>
      <c r="O17" s="156"/>
      <c r="P17" s="156"/>
    </row>
    <row r="18" spans="2:16" ht="15.75">
      <c r="B18" s="3" t="str">
        <f>IFERROR(VLOOKUP(C18,Список!$B$2:$C$150,2,0),"")</f>
        <v/>
      </c>
      <c r="C18" s="114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18" s="124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18" s="1">
        <f t="array" ref="E18">SUMIFS(Останов!$AJ$5:$AJ$43,Останов!$C$5:$C$43,C18,Останов!$D$5:$D$43,D18)+SUMIFS(БДМ№1!$AJ$5:$AJ$91,БДМ№1!$C$5:$C$91,C18,БДМ№1!$D$5:$D$91,D18)+SUMIFS(БДМ№2!$AJ$5:$AJ$91,БДМ№2!$C$5:$C$91,C18,БДМ№2!$D$5:$D$91,D18)</f>
        <v>0</v>
      </c>
      <c r="F18" s="1"/>
      <c r="G18" s="130"/>
      <c r="H18" s="130"/>
      <c r="I18" s="130"/>
      <c r="J18" s="1">
        <f t="shared" si="0"/>
        <v>0</v>
      </c>
      <c r="K18" s="1"/>
      <c r="L18" s="155"/>
      <c r="M18" s="156"/>
      <c r="N18" s="156"/>
      <c r="O18" s="156"/>
      <c r="P18" s="156"/>
    </row>
    <row r="19" spans="2:16" ht="15.75">
      <c r="B19" s="3" t="str">
        <f>IFERROR(VLOOKUP(C19,Список!$B$2:$C$150,2,0),"")</f>
        <v/>
      </c>
      <c r="C19" s="114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19" s="124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19" s="1">
        <f t="array" ref="E19">SUMIFS(Останов!$AJ$5:$AJ$43,Останов!$C$5:$C$43,C19,Останов!$D$5:$D$43,D19)+SUMIFS(БДМ№1!$AJ$5:$AJ$91,БДМ№1!$C$5:$C$91,C19,БДМ№1!$D$5:$D$91,D19)+SUMIFS(БДМ№2!$AJ$5:$AJ$91,БДМ№2!$C$5:$C$91,C19,БДМ№2!$D$5:$D$91,D19)</f>
        <v>0</v>
      </c>
      <c r="F19" s="1"/>
      <c r="G19" s="130"/>
      <c r="H19" s="130"/>
      <c r="I19" s="130"/>
      <c r="J19" s="1">
        <f t="shared" si="0"/>
        <v>0</v>
      </c>
      <c r="K19" s="1"/>
      <c r="L19" s="156"/>
      <c r="M19" s="156"/>
      <c r="N19" s="156"/>
      <c r="O19" s="156"/>
      <c r="P19" s="156"/>
    </row>
    <row r="20" spans="2:16" ht="15.75">
      <c r="B20" s="3" t="str">
        <f>IFERROR(VLOOKUP(C20,Список!$B$2:$C$150,2,0),"")</f>
        <v/>
      </c>
      <c r="C20" s="114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20" s="124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20" s="1">
        <f t="array" ref="E20">SUMIFS(Останов!$AJ$5:$AJ$43,Останов!$C$5:$C$43,C20,Останов!$D$5:$D$43,D20)+SUMIFS(БДМ№1!$AJ$5:$AJ$91,БДМ№1!$C$5:$C$91,C20,БДМ№1!$D$5:$D$91,D20)+SUMIFS(БДМ№2!$AJ$5:$AJ$91,БДМ№2!$C$5:$C$91,C20,БДМ№2!$D$5:$D$91,D20)</f>
        <v>0</v>
      </c>
      <c r="F20" s="1"/>
      <c r="G20" s="127"/>
      <c r="H20" s="127"/>
      <c r="I20" s="127"/>
      <c r="J20" s="1">
        <f t="shared" si="0"/>
        <v>0</v>
      </c>
      <c r="K20" s="1"/>
      <c r="L20" s="156"/>
      <c r="M20" s="156"/>
      <c r="N20" s="156"/>
      <c r="O20" s="156"/>
      <c r="P20" s="156"/>
    </row>
    <row r="21" spans="2:16" ht="15.75">
      <c r="B21" s="3" t="str">
        <f>IFERROR(VLOOKUP(C21,Список!$B$2:$C$150,2,0),"")</f>
        <v/>
      </c>
      <c r="C21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21" s="124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21" s="1">
        <f t="array" ref="E21">SUMIFS(Останов!$AJ$5:$AJ$43,Останов!$C$5:$C$43,C21,Останов!$D$5:$D$43,D21)+SUMIFS(БДМ№1!$AJ$5:$AJ$91,БДМ№1!$C$5:$C$91,C21,БДМ№1!$D$5:$D$91,D21)+SUMIFS(БДМ№2!$AJ$5:$AJ$91,БДМ№2!$C$5:$C$91,C21,БДМ№2!$D$5:$D$91,D21)</f>
        <v>0</v>
      </c>
      <c r="F21" s="1"/>
      <c r="G21" s="127"/>
      <c r="H21" s="127"/>
      <c r="I21" s="127"/>
      <c r="J21" s="1">
        <f t="shared" si="0"/>
        <v>0</v>
      </c>
      <c r="K21" s="1"/>
      <c r="L21" s="156"/>
      <c r="M21" s="156"/>
      <c r="N21" s="156"/>
      <c r="O21" s="156"/>
      <c r="P21" s="156"/>
    </row>
    <row r="22" spans="2:16" ht="15.75">
      <c r="B22" s="3" t="str">
        <f>IFERROR(VLOOKUP(C22,Список!$B$2:$C$150,2,0),"")</f>
        <v/>
      </c>
      <c r="C22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22" s="124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22" s="1">
        <f t="array" ref="E22">SUMIFS(Останов!$AJ$5:$AJ$43,Останов!$C$5:$C$43,C22,Останов!$D$5:$D$43,D22)+SUMIFS(БДМ№1!$AJ$5:$AJ$91,БДМ№1!$C$5:$C$91,C22,БДМ№1!$D$5:$D$91,D22)+SUMIFS(БДМ№2!$AJ$5:$AJ$91,БДМ№2!$C$5:$C$91,C22,БДМ№2!$D$5:$D$91,D22)</f>
        <v>0</v>
      </c>
      <c r="F22" s="1"/>
      <c r="G22" s="127"/>
      <c r="H22" s="127"/>
      <c r="I22" s="127"/>
      <c r="J22" s="1">
        <f t="shared" si="0"/>
        <v>0</v>
      </c>
      <c r="K22" s="1"/>
      <c r="L22" s="156"/>
      <c r="M22" s="156"/>
      <c r="N22" s="156"/>
      <c r="O22" s="156"/>
      <c r="P22" s="156"/>
    </row>
    <row r="23" spans="2:16" ht="15.75">
      <c r="B23" s="3" t="str">
        <f>IFERROR(VLOOKUP(C23,Список!$B$2:$C$150,2,0),"")</f>
        <v/>
      </c>
      <c r="C23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23" s="124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23" s="1">
        <f t="array" ref="E23">SUMIFS(Останов!$AJ$5:$AJ$43,Останов!$C$5:$C$43,C23,Останов!$D$5:$D$43,D23)+SUMIFS(БДМ№1!$AJ$5:$AJ$91,БДМ№1!$C$5:$C$91,C23,БДМ№1!$D$5:$D$91,D23)+SUMIFS(БДМ№2!$AJ$5:$AJ$91,БДМ№2!$C$5:$C$91,C23,БДМ№2!$D$5:$D$91,D23)</f>
        <v>0</v>
      </c>
      <c r="F23" s="1"/>
      <c r="G23" s="83"/>
      <c r="H23" s="83"/>
      <c r="I23" s="83"/>
      <c r="J23" s="1">
        <f t="shared" si="0"/>
        <v>0</v>
      </c>
      <c r="K23" s="1"/>
      <c r="L23" s="156"/>
      <c r="M23" s="156"/>
      <c r="N23" s="156"/>
      <c r="O23" s="156"/>
      <c r="P23" s="156"/>
    </row>
    <row r="24" spans="2:16" ht="15.75">
      <c r="B24" s="3" t="str">
        <f>IFERROR(VLOOKUP(C24,Список!$B$2:$C$150,2,0),"")</f>
        <v/>
      </c>
      <c r="C24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24" s="124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24" s="1">
        <f t="array" ref="E24">SUMIFS(Останов!$AJ$5:$AJ$43,Останов!$C$5:$C$43,C24,Останов!$D$5:$D$43,D24)+SUMIFS(БДМ№1!$AJ$5:$AJ$91,БДМ№1!$C$5:$C$91,C24,БДМ№1!$D$5:$D$91,D24)+SUMIFS(БДМ№2!$AJ$5:$AJ$91,БДМ№2!$C$5:$C$91,C24,БДМ№2!$D$5:$D$91,D24)</f>
        <v>0</v>
      </c>
      <c r="F24" s="1"/>
      <c r="G24" s="83"/>
      <c r="H24" s="83"/>
      <c r="I24" s="83"/>
      <c r="J24" s="1">
        <f t="shared" si="0"/>
        <v>0</v>
      </c>
      <c r="K24" s="1"/>
      <c r="L24" s="177"/>
      <c r="M24" s="177"/>
      <c r="N24" s="177"/>
      <c r="O24" s="177"/>
      <c r="P24" s="177"/>
    </row>
    <row r="25" spans="2:16" ht="15.75">
      <c r="B25" s="3" t="str">
        <f>IFERROR(VLOOKUP(C25,Список!$B$2:$C$150,2,0),"")</f>
        <v/>
      </c>
      <c r="C25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25" s="124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25" s="1">
        <f t="array" ref="E25">SUMIFS(Останов!$AJ$5:$AJ$43,Останов!$C$5:$C$43,C25,Останов!$D$5:$D$43,D25)+SUMIFS(БДМ№1!$AJ$5:$AJ$91,БДМ№1!$C$5:$C$91,C25,БДМ№1!$D$5:$D$91,D25)+SUMIFS(БДМ№2!$AJ$5:$AJ$91,БДМ№2!$C$5:$C$91,C25,БДМ№2!$D$5:$D$91,D25)</f>
        <v>0</v>
      </c>
      <c r="F25" s="1"/>
      <c r="G25" s="83"/>
      <c r="H25" s="83"/>
      <c r="I25" s="83"/>
      <c r="J25" s="1">
        <f t="shared" si="0"/>
        <v>0</v>
      </c>
      <c r="K25" s="1"/>
      <c r="L25" s="177"/>
      <c r="M25" s="177"/>
      <c r="N25" s="177"/>
      <c r="O25" s="177"/>
      <c r="P25" s="177"/>
    </row>
    <row r="26" spans="2:16" ht="15.75">
      <c r="B26" s="3" t="str">
        <f>IFERROR(VLOOKUP(C26,Список!$B$2:$C$150,2,0),"")</f>
        <v/>
      </c>
      <c r="C26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26" s="124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26" s="1">
        <f t="array" ref="E26">SUMIFS(Останов!$AJ$5:$AJ$43,Останов!$C$5:$C$43,C26,Останов!$D$5:$D$43,D26)+SUMIFS(БДМ№1!$AJ$5:$AJ$91,БДМ№1!$C$5:$C$91,C26,БДМ№1!$D$5:$D$91,D26)+SUMIFS(БДМ№2!$AJ$5:$AJ$91,БДМ№2!$C$5:$C$91,C26,БДМ№2!$D$5:$D$91,D26)</f>
        <v>0</v>
      </c>
      <c r="F26" s="1"/>
      <c r="G26" s="83"/>
      <c r="H26" s="83"/>
      <c r="I26" s="83"/>
      <c r="J26" s="1">
        <f t="shared" si="0"/>
        <v>0</v>
      </c>
      <c r="K26" s="1"/>
      <c r="L26" s="177"/>
      <c r="M26" s="177"/>
      <c r="N26" s="177"/>
      <c r="O26" s="177"/>
      <c r="P26" s="177"/>
    </row>
    <row r="27" spans="2:16" ht="15.75">
      <c r="B27" s="3" t="str">
        <f>IFERROR(VLOOKUP(C27,Список!$B$2:$C$150,2,0),"")</f>
        <v/>
      </c>
      <c r="C27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27" s="124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27" s="1">
        <f t="array" ref="E27">SUMIFS(Останов!$AJ$5:$AJ$43,Останов!$C$5:$C$43,C27,Останов!$D$5:$D$43,D27)+SUMIFS(БДМ№1!$AJ$5:$AJ$91,БДМ№1!$C$5:$C$91,C27,БДМ№1!$D$5:$D$91,D27)+SUMIFS(БДМ№2!$AJ$5:$AJ$91,БДМ№2!$C$5:$C$91,C27,БДМ№2!$D$5:$D$91,D27)</f>
        <v>0</v>
      </c>
      <c r="F27" s="1"/>
      <c r="G27" s="83"/>
      <c r="H27" s="83"/>
      <c r="I27" s="83"/>
      <c r="J27" s="1">
        <f t="shared" ref="J27:J33" si="1">SUM(E27:I27)</f>
        <v>0</v>
      </c>
      <c r="K27" s="1"/>
    </row>
    <row r="28" spans="2:16" ht="15.75">
      <c r="B28" s="3" t="str">
        <f>IFERROR(VLOOKUP(C28,Список!$B$2:$C$150,2,0),"")</f>
        <v/>
      </c>
      <c r="C28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28" s="124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28" s="1">
        <f t="array" ref="E28">SUMIFS(Останов!$AJ$5:$AJ$43,Останов!$C$5:$C$43,C28,Останов!$D$5:$D$43,D28)+SUMIFS(БДМ№1!$AJ$5:$AJ$91,БДМ№1!$C$5:$C$91,C28,БДМ№1!$D$5:$D$91,D28)+SUMIFS(БДМ№2!$AJ$5:$AJ$91,БДМ№2!$C$5:$C$91,C28,БДМ№2!$D$5:$D$91,D28)</f>
        <v>0</v>
      </c>
      <c r="F28" s="1"/>
      <c r="G28" s="83"/>
      <c r="H28" s="83"/>
      <c r="I28" s="83"/>
      <c r="J28" s="1">
        <f t="shared" si="1"/>
        <v>0</v>
      </c>
      <c r="K28" s="1"/>
    </row>
    <row r="29" spans="2:16" ht="15.75">
      <c r="B29" s="3" t="str">
        <f>IFERROR(VLOOKUP(C29,Список!$B$2:$C$150,2,0),"")</f>
        <v/>
      </c>
      <c r="C29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29" s="124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29" s="1">
        <f t="array" ref="E29">SUMIFS(Останов!$AJ$5:$AJ$43,Останов!$C$5:$C$43,C29,Останов!$D$5:$D$43,D29)+SUMIFS(БДМ№1!$AJ$5:$AJ$91,БДМ№1!$C$5:$C$91,C29,БДМ№1!$D$5:$D$91,D29)+SUMIFS(БДМ№2!$AJ$5:$AJ$91,БДМ№2!$C$5:$C$91,C29,БДМ№2!$D$5:$D$91,D29)</f>
        <v>0</v>
      </c>
      <c r="F29" s="1"/>
      <c r="G29" s="83"/>
      <c r="H29" s="83"/>
      <c r="I29" s="83"/>
      <c r="J29" s="1">
        <f t="shared" si="1"/>
        <v>0</v>
      </c>
      <c r="K29" s="1"/>
    </row>
    <row r="30" spans="2:16" ht="15.75">
      <c r="B30" s="3" t="str">
        <f>IFERROR(VLOOKUP(C30,Список!$B$2:$C$150,2,0),"")</f>
        <v/>
      </c>
      <c r="C30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30" s="124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30" s="1">
        <f t="array" ref="E30">SUMIFS(Останов!$AJ$5:$AJ$43,Останов!$C$5:$C$43,C30,Останов!$D$5:$D$43,D30)+SUMIFS(БДМ№1!$AJ$5:$AJ$91,БДМ№1!$C$5:$C$91,C30,БДМ№1!$D$5:$D$91,D30)+SUMIFS(БДМ№2!$AJ$5:$AJ$91,БДМ№2!$C$5:$C$91,C30,БДМ№2!$D$5:$D$91,D30)</f>
        <v>0</v>
      </c>
      <c r="F30" s="1"/>
      <c r="G30" s="83"/>
      <c r="H30" s="83"/>
      <c r="I30" s="83"/>
      <c r="J30" s="1">
        <f t="shared" si="1"/>
        <v>0</v>
      </c>
      <c r="K30" s="1"/>
    </row>
    <row r="31" spans="2:16" ht="15.75">
      <c r="B31" s="3" t="str">
        <f>IFERROR(VLOOKUP(C31,Список!$B$2:$C$150,2,0),"")</f>
        <v/>
      </c>
      <c r="C31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31" s="124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31" s="1">
        <f t="array" ref="E31">SUMIFS(Останов!$AJ$5:$AJ$43,Останов!$C$5:$C$43,C31,Останов!$D$5:$D$43,D31)+SUMIFS(БДМ№1!$AJ$5:$AJ$91,БДМ№1!$C$5:$C$91,C31,БДМ№1!$D$5:$D$91,D31)+SUMIFS(БДМ№2!$AJ$5:$AJ$91,БДМ№2!$C$5:$C$91,C31,БДМ№2!$D$5:$D$91,D31)</f>
        <v>0</v>
      </c>
      <c r="F31" s="1"/>
      <c r="G31" s="83"/>
      <c r="H31" s="83"/>
      <c r="I31" s="83"/>
      <c r="J31" s="1">
        <f t="shared" si="1"/>
        <v>0</v>
      </c>
      <c r="K31" s="1"/>
    </row>
    <row r="32" spans="2:16" ht="15.75">
      <c r="B32" s="3" t="str">
        <f>IFERROR(VLOOKUP(C32,Список!$B$2:$C$150,2,0),"")</f>
        <v/>
      </c>
      <c r="C32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32" s="124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32" s="1">
        <f t="array" ref="E32">SUMIFS(Останов!$AJ$5:$AJ$43,Останов!$C$5:$C$43,C32,Останов!$D$5:$D$43,D32)+SUMIFS(БДМ№1!$AJ$5:$AJ$91,БДМ№1!$C$5:$C$91,C32,БДМ№1!$D$5:$D$91,D32)+SUMIFS(БДМ№2!$AJ$5:$AJ$91,БДМ№2!$C$5:$C$91,C32,БДМ№2!$D$5:$D$91,D32)</f>
        <v>0</v>
      </c>
      <c r="F32" s="1"/>
      <c r="G32" s="83"/>
      <c r="H32" s="83"/>
      <c r="I32" s="83"/>
      <c r="J32" s="1">
        <f t="shared" si="1"/>
        <v>0</v>
      </c>
      <c r="K32" s="1"/>
    </row>
    <row r="33" spans="2:17" ht="15.75">
      <c r="B33" s="3" t="str">
        <f>IFERROR(VLOOKUP(C33,Список!$B$2:$C$150,2,0),"")</f>
        <v/>
      </c>
      <c r="C33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33" s="124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33" s="1">
        <f t="array" ref="E33">SUMIFS(Останов!$AJ$5:$AJ$43,Останов!$C$5:$C$43,C33,Останов!$D$5:$D$43,D33)+SUMIFS(БДМ№1!$AJ$5:$AJ$91,БДМ№1!$C$5:$C$91,C33,БДМ№1!$D$5:$D$91,D33)+SUMIFS(БДМ№2!$AJ$5:$AJ$91,БДМ№2!$C$5:$C$91,C33,БДМ№2!$D$5:$D$91,D33)</f>
        <v>0</v>
      </c>
      <c r="F33" s="1"/>
      <c r="G33" s="83"/>
      <c r="H33" s="83"/>
      <c r="I33" s="83"/>
      <c r="J33" s="1">
        <f t="shared" si="1"/>
        <v>0</v>
      </c>
      <c r="K33" s="1"/>
    </row>
    <row r="34" spans="2:17" ht="15.75">
      <c r="B34" s="3" t="str">
        <f>IFERROR(VLOOKUP(C34,Список!$B$2:$C$150,2,0),"")</f>
        <v/>
      </c>
      <c r="C34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34" s="124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34" s="1">
        <f t="array" ref="E34">SUMIFS(Останов!$AJ$5:$AJ$43,Останов!$C$5:$C$43,C34,Останов!$D$5:$D$43,D34)+SUMIFS(БДМ№1!$AJ$5:$AJ$91,БДМ№1!$C$5:$C$91,C34,БДМ№1!$D$5:$D$91,D34)+SUMIFS(БДМ№2!$AJ$5:$AJ$91,БДМ№2!$C$5:$C$91,C34,БДМ№2!$D$5:$D$91,D34)</f>
        <v>0</v>
      </c>
      <c r="F34" s="1"/>
      <c r="G34" s="83"/>
      <c r="H34" s="83"/>
      <c r="I34" s="83"/>
      <c r="J34" s="1">
        <f>SUM(E34:I34)</f>
        <v>0</v>
      </c>
      <c r="K34" s="1"/>
    </row>
    <row r="35" spans="2:17" ht="15.75">
      <c r="B35" s="90"/>
      <c r="C35" s="81"/>
      <c r="D35" s="80"/>
    </row>
    <row r="36" spans="2:17" ht="15.75">
      <c r="B36" s="90"/>
      <c r="C36" s="81"/>
      <c r="D36" s="80"/>
    </row>
    <row r="37" spans="2:17" ht="15.75">
      <c r="B37" s="90"/>
      <c r="C37" s="81"/>
      <c r="D37" s="80"/>
    </row>
    <row r="38" spans="2:17" ht="15.75">
      <c r="B38" s="90"/>
      <c r="C38" s="81"/>
      <c r="D38" s="80"/>
    </row>
    <row r="39" spans="2:17" ht="15.75">
      <c r="B39" s="90"/>
      <c r="C39" s="81"/>
      <c r="D39" s="80"/>
    </row>
    <row r="40" spans="2:17" ht="15.75">
      <c r="B40" s="90"/>
      <c r="C40" s="81"/>
      <c r="D40" s="80"/>
      <c r="Q40" s="86"/>
    </row>
    <row r="41" spans="2:17" ht="15.75">
      <c r="B41" s="90"/>
      <c r="C41" s="81"/>
      <c r="D41" s="80"/>
    </row>
    <row r="42" spans="2:17" ht="15.75">
      <c r="B42" s="90"/>
      <c r="C42" s="81"/>
      <c r="D42" s="80"/>
    </row>
    <row r="43" spans="2:17" ht="15.75">
      <c r="B43" s="90"/>
      <c r="C43" s="81"/>
      <c r="D43" s="80"/>
    </row>
  </sheetData>
  <customSheetViews>
    <customSheetView guid="{1957AC80-412C-4030-B807-A599A7F9C8EF}" showGridLines="0" showRowCol="0" zeroValues="0">
      <pane ySplit="4" topLeftCell="A5" activePane="bottomLeft" state="frozen"/>
      <selection pane="bottomLeft" activeCell="M23" sqref="M23"/>
      <pageMargins left="0.7" right="0.7" top="0.75" bottom="0.75" header="0.3" footer="0.3"/>
      <pageSetup paperSize="8" orientation="portrait" r:id="rId1"/>
    </customSheetView>
  </customSheetViews>
  <mergeCells count="6">
    <mergeCell ref="B2:C2"/>
    <mergeCell ref="G2:M2"/>
    <mergeCell ref="D2:E2"/>
    <mergeCell ref="L3:Q4"/>
    <mergeCell ref="C4:D4"/>
    <mergeCell ref="L8:P23"/>
  </mergeCells>
  <dataValidations count="4">
    <dataValidation type="list" allowBlank="1" showInputMessage="1" showErrorMessage="1" sqref="B35:B43">
      <formula1>Таб.№</formula1>
    </dataValidation>
    <dataValidation type="list" allowBlank="1" showInputMessage="1" showErrorMessage="1" sqref="D35:D43">
      <formula1>Профессия</formula1>
    </dataValidation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35:C43">
      <formula1>ФИО</formula1>
    </dataValidation>
    <dataValidation type="list" allowBlank="1" showInputMessage="1" showErrorMessage="1" sqref="G2:M2">
      <formula1>Прочее</formula1>
    </dataValidation>
  </dataValidations>
  <pageMargins left="0.7" right="0.7" top="0.75" bottom="0.75" header="0.3" footer="0.3"/>
  <pageSetup paperSize="8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9">
    <tabColor rgb="FFC00000"/>
  </sheetPr>
  <dimension ref="B2:AK36"/>
  <sheetViews>
    <sheetView showGridLines="0" showZeros="0" zoomScale="85" zoomScaleNormal="85" workbookViewId="0">
      <pane ySplit="2" topLeftCell="A3" activePane="bottomLeft" state="frozen"/>
      <selection pane="bottomLeft" activeCell="D27" sqref="D27"/>
    </sheetView>
  </sheetViews>
  <sheetFormatPr defaultColWidth="4.28515625" defaultRowHeight="15"/>
  <cols>
    <col min="1" max="1" width="4.28515625" style="4"/>
    <col min="2" max="2" width="7.42578125" style="4" customWidth="1"/>
    <col min="3" max="3" width="18.5703125" style="4" customWidth="1"/>
    <col min="4" max="4" width="23.28515625" style="4" customWidth="1"/>
    <col min="5" max="5" width="4.28515625" style="4" customWidth="1"/>
    <col min="6" max="6" width="5.140625" style="4" customWidth="1"/>
    <col min="7" max="7" width="4.28515625" style="4" customWidth="1"/>
    <col min="8" max="8" width="4.140625" style="4" customWidth="1"/>
    <col min="9" max="10" width="5" style="4" bestFit="1" customWidth="1"/>
    <col min="11" max="15" width="4.5703125" style="4" bestFit="1" customWidth="1"/>
    <col min="16" max="16" width="4.7109375" style="4" bestFit="1" customWidth="1"/>
    <col min="17" max="17" width="5" style="4" bestFit="1" customWidth="1"/>
    <col min="18" max="18" width="4.5703125" style="4" bestFit="1" customWidth="1"/>
    <col min="19" max="20" width="4.7109375" style="4" bestFit="1" customWidth="1"/>
    <col min="21" max="22" width="4.5703125" style="4" bestFit="1" customWidth="1"/>
    <col min="23" max="24" width="4.7109375" style="4" bestFit="1" customWidth="1"/>
    <col min="25" max="25" width="4.5703125" style="4" bestFit="1" customWidth="1"/>
    <col min="26" max="26" width="5" style="4" bestFit="1" customWidth="1"/>
    <col min="27" max="35" width="4.5703125" style="4" bestFit="1" customWidth="1"/>
    <col min="36" max="36" width="9.7109375" style="4" customWidth="1"/>
    <col min="37" max="16384" width="4.28515625" style="4"/>
  </cols>
  <sheetData>
    <row r="2" spans="2:36" ht="21">
      <c r="B2" s="162" t="s">
        <v>16</v>
      </c>
      <c r="C2" s="162"/>
      <c r="D2" s="162"/>
      <c r="E2" s="162"/>
      <c r="F2" s="162"/>
      <c r="G2" s="162"/>
    </row>
    <row r="4" spans="2:36" ht="15.75">
      <c r="B4" s="10" t="s">
        <v>190</v>
      </c>
    </row>
    <row r="6" spans="2:36" ht="15.75">
      <c r="B6" s="164" t="s">
        <v>2</v>
      </c>
      <c r="C6" s="141" t="s">
        <v>7</v>
      </c>
      <c r="D6" s="166"/>
      <c r="E6" s="151" t="s">
        <v>1</v>
      </c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8"/>
      <c r="AJ6" s="132" t="s">
        <v>6</v>
      </c>
    </row>
    <row r="7" spans="2:36" ht="15.75">
      <c r="B7" s="165"/>
      <c r="C7" s="167"/>
      <c r="D7" s="168"/>
      <c r="E7" s="5">
        <v>1</v>
      </c>
      <c r="F7" s="6">
        <v>2</v>
      </c>
      <c r="G7" s="5">
        <v>3</v>
      </c>
      <c r="H7" s="6">
        <v>4</v>
      </c>
      <c r="I7" s="5">
        <v>5</v>
      </c>
      <c r="J7" s="6">
        <v>6</v>
      </c>
      <c r="K7" s="5">
        <v>7</v>
      </c>
      <c r="L7" s="6">
        <v>8</v>
      </c>
      <c r="M7" s="5">
        <v>9</v>
      </c>
      <c r="N7" s="6">
        <v>10</v>
      </c>
      <c r="O7" s="5">
        <v>11</v>
      </c>
      <c r="P7" s="6">
        <v>12</v>
      </c>
      <c r="Q7" s="5">
        <v>13</v>
      </c>
      <c r="R7" s="6">
        <v>14</v>
      </c>
      <c r="S7" s="5">
        <v>15</v>
      </c>
      <c r="T7" s="6">
        <v>16</v>
      </c>
      <c r="U7" s="5">
        <v>17</v>
      </c>
      <c r="V7" s="6">
        <v>18</v>
      </c>
      <c r="W7" s="5">
        <v>19</v>
      </c>
      <c r="X7" s="6">
        <v>20</v>
      </c>
      <c r="Y7" s="5">
        <v>21</v>
      </c>
      <c r="Z7" s="6">
        <v>22</v>
      </c>
      <c r="AA7" s="5">
        <v>23</v>
      </c>
      <c r="AB7" s="6">
        <v>24</v>
      </c>
      <c r="AC7" s="5">
        <v>25</v>
      </c>
      <c r="AD7" s="6">
        <v>26</v>
      </c>
      <c r="AE7" s="5">
        <v>27</v>
      </c>
      <c r="AF7" s="6">
        <v>28</v>
      </c>
      <c r="AG7" s="5">
        <v>29</v>
      </c>
      <c r="AH7" s="6">
        <v>30</v>
      </c>
      <c r="AI7" s="7">
        <v>31</v>
      </c>
      <c r="AJ7" s="133"/>
    </row>
    <row r="8" spans="2:36" ht="15.75">
      <c r="B8" s="3">
        <v>300</v>
      </c>
      <c r="C8" s="36" t="s">
        <v>10</v>
      </c>
      <c r="D8" s="36"/>
      <c r="E8" s="3"/>
      <c r="F8" s="3">
        <v>10</v>
      </c>
      <c r="G8" s="3"/>
      <c r="H8" s="3"/>
      <c r="I8" s="3">
        <v>10</v>
      </c>
      <c r="J8" s="3">
        <v>12</v>
      </c>
      <c r="K8" s="3"/>
      <c r="L8" s="3"/>
      <c r="M8" s="3">
        <v>8</v>
      </c>
      <c r="N8" s="3">
        <v>8</v>
      </c>
      <c r="O8" s="3"/>
      <c r="P8" s="3"/>
      <c r="Q8" s="3"/>
      <c r="R8" s="3"/>
      <c r="S8" s="3"/>
      <c r="T8" s="3"/>
      <c r="U8" s="3"/>
      <c r="V8" s="3">
        <v>8</v>
      </c>
      <c r="W8" s="3"/>
      <c r="X8" s="3"/>
      <c r="Y8" s="3"/>
      <c r="Z8" s="3"/>
      <c r="AA8" s="3"/>
      <c r="AB8" s="3"/>
      <c r="AC8" s="3">
        <v>8</v>
      </c>
      <c r="AD8" s="3">
        <v>8</v>
      </c>
      <c r="AE8" s="3"/>
      <c r="AF8" s="3"/>
      <c r="AG8" s="3"/>
      <c r="AH8" s="3"/>
      <c r="AI8" s="3"/>
      <c r="AJ8" s="37">
        <f>SUM(E8:AI8)</f>
        <v>72</v>
      </c>
    </row>
    <row r="9" spans="2:36" ht="15.75">
      <c r="B9" s="3">
        <v>300</v>
      </c>
      <c r="C9" s="36" t="s">
        <v>11</v>
      </c>
      <c r="D9" s="36"/>
      <c r="E9" s="3"/>
      <c r="F9" s="3"/>
      <c r="G9" s="3"/>
      <c r="H9" s="3"/>
      <c r="I9" s="3">
        <v>50</v>
      </c>
      <c r="J9" s="3">
        <v>50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>
        <v>50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5">
        <f>E8*E9/100+F8*F9/100+G8*G9/100+H8*H9/100+I8*I9/100+J8*J9/100+K8*K9/100+L8*L9/100+M8*M9/100+N8*N9/100+O8*O9/100+P8*P9/100+Q8*Q9/100+R8*R9/100+S8*S9/100+T8*T9/100+U8*U9/100+V8*V9/100+W8*W9/100+X8*X9/100+Y8*Y9/100+Z8*Z9/100+AA8*AA9/100+AB8*AB9/100+AC8*AC9/100+AD8*AD9/100+AE8*AE9/100+AF8*AF9/100+AG8*AG9/100+AH8*AH9/100+AI8*AI9/100</f>
        <v>15</v>
      </c>
    </row>
    <row r="11" spans="2:36" ht="15.75">
      <c r="B11" s="10" t="s">
        <v>18</v>
      </c>
    </row>
    <row r="13" spans="2:36" ht="15.75">
      <c r="B13" s="38">
        <v>2108</v>
      </c>
      <c r="C13" s="169" t="s">
        <v>4</v>
      </c>
      <c r="D13" s="170"/>
      <c r="E13" s="39">
        <v>12</v>
      </c>
      <c r="F13" s="2">
        <v>10</v>
      </c>
      <c r="G13" s="39"/>
      <c r="H13" s="2"/>
      <c r="I13" s="39">
        <v>10</v>
      </c>
      <c r="J13" s="2">
        <v>12</v>
      </c>
      <c r="K13" s="39"/>
      <c r="L13" s="2"/>
      <c r="M13" s="39">
        <v>12</v>
      </c>
      <c r="N13" s="2">
        <v>12</v>
      </c>
      <c r="O13" s="39"/>
      <c r="P13" s="2"/>
      <c r="Q13" s="39">
        <v>12</v>
      </c>
      <c r="R13" s="2"/>
      <c r="S13" s="39"/>
      <c r="T13" s="2"/>
      <c r="U13" s="39"/>
      <c r="V13" s="2">
        <v>12</v>
      </c>
      <c r="W13" s="39"/>
      <c r="X13" s="2"/>
      <c r="Y13" s="39">
        <v>12</v>
      </c>
      <c r="Z13" s="1">
        <v>9.5</v>
      </c>
      <c r="AA13" s="39"/>
      <c r="AB13" s="2"/>
      <c r="AC13" s="39">
        <v>12</v>
      </c>
      <c r="AD13" s="2">
        <v>12</v>
      </c>
      <c r="AE13" s="39"/>
      <c r="AF13" s="2"/>
      <c r="AG13" s="39"/>
      <c r="AH13" s="2"/>
      <c r="AI13" s="40"/>
      <c r="AJ13" s="41">
        <f>SUM(E13:AI13)</f>
        <v>137.5</v>
      </c>
    </row>
    <row r="14" spans="2:36" ht="15.75">
      <c r="B14" s="38">
        <v>2108</v>
      </c>
      <c r="C14" s="169" t="s">
        <v>5</v>
      </c>
      <c r="D14" s="170"/>
      <c r="E14" s="42">
        <v>20</v>
      </c>
      <c r="F14" s="43">
        <v>20</v>
      </c>
      <c r="G14" s="42"/>
      <c r="H14" s="43"/>
      <c r="I14" s="42"/>
      <c r="J14" s="43"/>
      <c r="K14" s="42"/>
      <c r="L14" s="43"/>
      <c r="M14" s="42">
        <v>20</v>
      </c>
      <c r="N14" s="43">
        <v>20</v>
      </c>
      <c r="O14" s="42"/>
      <c r="P14" s="43"/>
      <c r="Q14" s="42">
        <v>20</v>
      </c>
      <c r="R14" s="43"/>
      <c r="S14" s="42"/>
      <c r="T14" s="43"/>
      <c r="U14" s="42"/>
      <c r="V14" s="43"/>
      <c r="W14" s="42"/>
      <c r="X14" s="43"/>
      <c r="Y14" s="42"/>
      <c r="Z14" s="43"/>
      <c r="AA14" s="42"/>
      <c r="AB14" s="43"/>
      <c r="AC14" s="42">
        <v>20</v>
      </c>
      <c r="AD14" s="43">
        <v>20</v>
      </c>
      <c r="AE14" s="42"/>
      <c r="AF14" s="43"/>
      <c r="AG14" s="42"/>
      <c r="AH14" s="43"/>
      <c r="AI14" s="44"/>
      <c r="AJ14" s="35">
        <f>E13*E14/100+F13*F14/100+G13*G14/100+H13*H14/100+I13*I14/100+J13*J14/100+K13*K14/100+L13*L14/100+M13*M14/100+N13*N14/100+O13*O14/100+P13*P14/100+Q13*Q14/100+R13*R14/100+S13*S14/100+T13*T14/100+U13*U14/100+V13*V14/100+W13*W14/100+X13*X14/100+Y13*Y14/100+Z13*Z14/100+AA13*AA14/100+AB13*AB14/100+AC13*AC14/100+AD13*AD14/100+AE13*AE14/100+AF13*AF14/100+AG13*AG14/100+AH13*AH14/100+AI13*AI14/100</f>
        <v>16.400000000000002</v>
      </c>
    </row>
    <row r="15" spans="2:36" ht="15.75">
      <c r="B15" s="45">
        <v>2108</v>
      </c>
      <c r="C15" s="169" t="s">
        <v>19</v>
      </c>
      <c r="D15" s="171"/>
      <c r="E15" s="46"/>
      <c r="F15" s="2"/>
      <c r="G15" s="39"/>
      <c r="H15" s="2"/>
      <c r="I15" s="39">
        <v>50</v>
      </c>
      <c r="J15" s="2">
        <v>50</v>
      </c>
      <c r="K15" s="39"/>
      <c r="L15" s="2"/>
      <c r="M15" s="39"/>
      <c r="N15" s="2"/>
      <c r="O15" s="39"/>
      <c r="P15" s="2"/>
      <c r="Q15" s="39"/>
      <c r="R15" s="2"/>
      <c r="S15" s="39"/>
      <c r="T15" s="2"/>
      <c r="U15" s="39"/>
      <c r="V15" s="2">
        <v>50</v>
      </c>
      <c r="W15" s="39"/>
      <c r="X15" s="2"/>
      <c r="Y15" s="39">
        <v>50</v>
      </c>
      <c r="Z15" s="2">
        <v>50</v>
      </c>
      <c r="AA15" s="39"/>
      <c r="AB15" s="2"/>
      <c r="AC15" s="39"/>
      <c r="AD15" s="2"/>
      <c r="AE15" s="39"/>
      <c r="AF15" s="2"/>
      <c r="AG15" s="39"/>
      <c r="AH15" s="2"/>
      <c r="AI15" s="40"/>
      <c r="AJ15" s="35">
        <f>E13*E15/100+F13*F15/100+G13*G15/100+H13*H15/100+I13*I15/100+J13*J15/100+K13*K15/100+L13*L15/100+M13*M15/100+N13*N15/100+O13*O15/100+P13*P15/100+Q13*Q15/100+R13*R15/100+S13*S15/100+T13*T15/100+U13*U15/100+V13*V15/100+W13*W15/100+X13*X15/100+Y13*Y15/100+Z13*Z15/100+AA13*AA15/100+AB13*AB15/100+AC13*AC15/100+AD13*AD15/100+AE13*AE15/100+AF13*AF15/100+AG13*AG15/100+AH13*AH15/100+AI13*AI15/100</f>
        <v>27.75</v>
      </c>
    </row>
    <row r="17" spans="2:37" ht="15.75">
      <c r="B17" s="10" t="s">
        <v>17</v>
      </c>
    </row>
    <row r="19" spans="2:37" ht="15.75">
      <c r="B19" s="38">
        <v>2255</v>
      </c>
      <c r="C19" s="169" t="s">
        <v>8</v>
      </c>
      <c r="D19" s="170"/>
      <c r="E19" s="39"/>
      <c r="F19" s="2"/>
      <c r="G19" s="39"/>
      <c r="H19" s="2"/>
      <c r="I19" s="39">
        <v>100</v>
      </c>
      <c r="J19" s="2">
        <v>100</v>
      </c>
      <c r="K19" s="39"/>
      <c r="L19" s="2"/>
      <c r="M19" s="39"/>
      <c r="N19" s="2"/>
      <c r="O19" s="39"/>
      <c r="P19" s="2"/>
      <c r="Q19" s="39">
        <v>100</v>
      </c>
      <c r="R19" s="2"/>
      <c r="S19" s="39"/>
      <c r="T19" s="2"/>
      <c r="U19" s="39"/>
      <c r="V19" s="2"/>
      <c r="W19" s="39"/>
      <c r="X19" s="2"/>
      <c r="Y19" s="39">
        <v>50</v>
      </c>
      <c r="Z19" s="2">
        <v>100</v>
      </c>
      <c r="AA19" s="39"/>
      <c r="AB19" s="2"/>
      <c r="AC19" s="39"/>
      <c r="AD19" s="2"/>
      <c r="AE19" s="39"/>
      <c r="AF19" s="2"/>
      <c r="AG19" s="39"/>
      <c r="AH19" s="2"/>
      <c r="AI19" s="40"/>
      <c r="AJ19" s="35">
        <f>SUM(E19:AI19)*0.12</f>
        <v>54</v>
      </c>
    </row>
    <row r="21" spans="2:37" ht="15.75">
      <c r="B21" s="10" t="s">
        <v>86</v>
      </c>
    </row>
    <row r="23" spans="2:37">
      <c r="B23" s="47" t="s">
        <v>20</v>
      </c>
      <c r="C23" s="172" t="s">
        <v>33</v>
      </c>
      <c r="D23" s="173"/>
      <c r="E23" s="48">
        <v>1</v>
      </c>
      <c r="F23" s="48">
        <v>2</v>
      </c>
      <c r="G23" s="48">
        <v>3</v>
      </c>
      <c r="H23" s="48">
        <v>4</v>
      </c>
      <c r="I23" s="48">
        <v>5</v>
      </c>
      <c r="J23" s="48">
        <v>6</v>
      </c>
      <c r="K23" s="48">
        <v>7</v>
      </c>
      <c r="L23" s="48">
        <v>8</v>
      </c>
      <c r="M23" s="48">
        <v>9</v>
      </c>
      <c r="N23" s="48">
        <v>10</v>
      </c>
      <c r="O23" s="48">
        <v>11</v>
      </c>
      <c r="P23" s="48">
        <v>12</v>
      </c>
      <c r="Q23" s="48">
        <v>13</v>
      </c>
      <c r="R23" s="48">
        <v>14</v>
      </c>
      <c r="S23" s="48">
        <v>15</v>
      </c>
      <c r="T23" s="48">
        <v>16</v>
      </c>
      <c r="U23" s="48">
        <v>17</v>
      </c>
      <c r="V23" s="48">
        <v>18</v>
      </c>
      <c r="W23" s="48">
        <v>19</v>
      </c>
      <c r="X23" s="48">
        <v>20</v>
      </c>
      <c r="Y23" s="48">
        <v>21</v>
      </c>
      <c r="Z23" s="48">
        <v>22</v>
      </c>
      <c r="AA23" s="48">
        <v>23</v>
      </c>
      <c r="AB23" s="48">
        <v>24</v>
      </c>
      <c r="AC23" s="48">
        <v>25</v>
      </c>
      <c r="AD23" s="48">
        <v>26</v>
      </c>
      <c r="AE23" s="48">
        <v>27</v>
      </c>
      <c r="AF23" s="48">
        <v>28</v>
      </c>
      <c r="AG23" s="48">
        <v>29</v>
      </c>
      <c r="AH23" s="48">
        <v>30</v>
      </c>
      <c r="AI23" s="48">
        <v>31</v>
      </c>
      <c r="AJ23" s="49"/>
      <c r="AK23" s="50"/>
    </row>
    <row r="24" spans="2:37" ht="20.25" customHeight="1">
      <c r="B24" s="33">
        <v>1</v>
      </c>
      <c r="C24" s="174" t="s">
        <v>9</v>
      </c>
      <c r="D24" s="175"/>
      <c r="E24" s="51"/>
      <c r="F24" s="3"/>
      <c r="G24" s="3"/>
      <c r="H24" s="3"/>
      <c r="I24" s="3"/>
      <c r="J24" s="3">
        <v>2</v>
      </c>
      <c r="K24" s="3"/>
      <c r="L24" s="3">
        <v>1</v>
      </c>
      <c r="M24" s="3">
        <v>1</v>
      </c>
      <c r="N24" s="3">
        <v>1</v>
      </c>
      <c r="O24" s="3">
        <v>1</v>
      </c>
      <c r="P24" s="3">
        <v>2</v>
      </c>
      <c r="Q24" s="3"/>
      <c r="R24" s="3"/>
      <c r="S24" s="3">
        <v>2</v>
      </c>
      <c r="T24" s="3"/>
      <c r="U24" s="3"/>
      <c r="V24" s="3">
        <v>5</v>
      </c>
      <c r="W24" s="3">
        <v>55</v>
      </c>
      <c r="X24" s="3"/>
      <c r="Y24" s="3">
        <v>8</v>
      </c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>
        <f>SUM(E24:AI24)</f>
        <v>78</v>
      </c>
      <c r="AK24" s="52"/>
    </row>
    <row r="26" spans="2:37" ht="15.75">
      <c r="G26" s="163" t="s">
        <v>35</v>
      </c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9" t="str">
        <f>INDEX({"","сто ","двести ","триста ","четыреста ","пятьсот ","шестьсот ","семьсот ","восемьсот ","девятьсот "},MOD(TRUNC(AJ24/10^8),10)+1)&amp;CHOOSE(MOD(TRUNC(AJ24/10^7),10)+1,"",INDEX({"десять ","одиннадцать ","двенадцать ","тринадцать ","четырнадцать ","пятнадцать ","шестнадцать ","семнадцать ","восемнадцать ","девятнадцать "},MOD(TRUNC(AJ24/10^6),10)+1),"двадцать ","тридцать ","сорок ","пятьдесят ","шестьдесят ","семьдесят ","восемьдесят ","девяносто ")&amp;IF(MOD(TRUNC(AJ24/10^7),10)&lt;&gt;1,INDEX({"","один ","два ","три ","четыре ","пять ","шесть ","семь ","восемь ","девять "},MOD(TRUNC(AJ24/10^6),10)+1),"")&amp;IF(MOD(TRUNC(AJ24/10^6),1000),"миллион"&amp;IF(MOD(TRUNC(AJ24/10^7),10)=1,"ов ",VLOOKUP(MOD(TRUNC(AJ24/10^6),10),{0,"ов ";1," ";2,"а ";5,"ов "},2)),"")&amp;INDEX({"","сто ","двести ","триста ","четыреста ","пятьсот ","шестьсот ","семьсот ","восемьсот ","девятьсот "},MOD(TRUNC(AJ24/10^5),10)+1)&amp;CHOOSE(MOD(TRUNC(AJ24/10^4),10)+1,"",INDEX({"десять ","одиннадцать ","двенадцать ","тринадцать ","четырнадцать ","пятнадцать ","шестнадцать ","семнадцать ","восемнадцать ","девятнадцать "},MOD(TRUNC(AJ24/1000),10)+1),"двадцать ","тридцать ","сорок ","пятьдесят ","шестьдесят ","семьдесят ","восемьдесят ","девяносто ")&amp;IF(MOD(TRUNC(AJ24/10^4),10)&lt;&gt;1,INDEX({"","одна ","две ","три ","четыре ","пять ","шесть ","семь ","восемь ","девять "},MOD(TRUNC(AJ24/1000),10)+1),"")&amp;IF(MOD(TRUNC(AJ24/1000),1000),"тысяч"&amp;IF(MOD(TRUNC(AJ24/10^4),10)=1," ",VLOOKUP(MOD(TRUNC(AJ24/1000),10),{0," ";1,"а ";2,"и ";5," "},2)),"")&amp;INDEX({"","сто ","двести ","триста ","четыреста ","пятьсот ","шестьсот ","семьсот ","восемьсот ","девятьсот "},MOD(TRUNC(AJ24/100),10)+1)&amp;CHOOSE(MOD(TRUNC(AJ24/10),10)+1,"",INDEX({"десять ","одиннадцать ","двенадцать ","тринадцать ","четырнадцать ","пятнадцать ","шестнадцать ","семнадцать ","восемнадцать ","девятнадцать "},MOD(TRUNC(AJ24),10)+1),"двадцать ","тридцать ","сорок ","пятьдесят ","шестьдесят ","семьдесят ","восемьдесят ","девяносто ")&amp;IF(TRUNC(AJ24)=0,"ноль ",IF(MOD(TRUNC(AJ24/10),10)&lt;&gt;1,INDEX({"","один ","два ","три ","четыре ","пять ","шесть ","семь ","восемь ","девять "},MOD(TRUNC(AJ24),10)+1),""))&amp;"талон"&amp;IF(MOD(TRUNC(AJ24/10),10)=1,"ов",VLOOKUP(MOD(TRUNC(AJ24),10),{0,"ов";1,"ь";2,"а";5,"ов"},2))&amp;TEXT(TRUNC((AJ24-TRUNC(AJ24)+0.00001)*100),)</f>
        <v>семьдесят восемь талонов</v>
      </c>
    </row>
    <row r="27" spans="2:37" ht="15.75"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9"/>
    </row>
    <row r="28" spans="2:37" ht="15.75">
      <c r="B28" s="10" t="s">
        <v>260</v>
      </c>
      <c r="C28" s="10"/>
      <c r="D28" s="10"/>
      <c r="E28" s="10"/>
      <c r="F28" s="10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9"/>
    </row>
    <row r="29" spans="2:37" ht="15.75"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9"/>
    </row>
    <row r="30" spans="2:37" ht="15.75">
      <c r="B30" s="135" t="s">
        <v>2</v>
      </c>
      <c r="C30" s="141" t="s">
        <v>7</v>
      </c>
      <c r="D30" s="142"/>
      <c r="E30" s="137" t="s">
        <v>1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8"/>
      <c r="AJ30" s="132" t="s">
        <v>6</v>
      </c>
    </row>
    <row r="31" spans="2:37" ht="15.75">
      <c r="B31" s="136"/>
      <c r="C31" s="167"/>
      <c r="D31" s="176"/>
      <c r="E31" s="5">
        <v>1</v>
      </c>
      <c r="F31" s="6">
        <v>2</v>
      </c>
      <c r="G31" s="5">
        <v>3</v>
      </c>
      <c r="H31" s="6">
        <v>4</v>
      </c>
      <c r="I31" s="5">
        <v>5</v>
      </c>
      <c r="J31" s="6">
        <v>6</v>
      </c>
      <c r="K31" s="5">
        <v>7</v>
      </c>
      <c r="L31" s="6">
        <v>8</v>
      </c>
      <c r="M31" s="5">
        <v>9</v>
      </c>
      <c r="N31" s="6">
        <v>10</v>
      </c>
      <c r="O31" s="5">
        <v>11</v>
      </c>
      <c r="P31" s="6">
        <v>12</v>
      </c>
      <c r="Q31" s="5">
        <v>13</v>
      </c>
      <c r="R31" s="6">
        <v>14</v>
      </c>
      <c r="S31" s="5">
        <v>15</v>
      </c>
      <c r="T31" s="6">
        <v>16</v>
      </c>
      <c r="U31" s="5">
        <v>17</v>
      </c>
      <c r="V31" s="6">
        <v>18</v>
      </c>
      <c r="W31" s="5">
        <v>19</v>
      </c>
      <c r="X31" s="6">
        <v>20</v>
      </c>
      <c r="Y31" s="5">
        <v>21</v>
      </c>
      <c r="Z31" s="6">
        <v>22</v>
      </c>
      <c r="AA31" s="5">
        <v>23</v>
      </c>
      <c r="AB31" s="6">
        <v>24</v>
      </c>
      <c r="AC31" s="5">
        <v>25</v>
      </c>
      <c r="AD31" s="6">
        <v>26</v>
      </c>
      <c r="AE31" s="5">
        <v>27</v>
      </c>
      <c r="AF31" s="6">
        <v>28</v>
      </c>
      <c r="AG31" s="5">
        <v>29</v>
      </c>
      <c r="AH31" s="6">
        <v>30</v>
      </c>
      <c r="AI31" s="7">
        <v>31</v>
      </c>
      <c r="AJ31" s="133"/>
    </row>
    <row r="32" spans="2:37" ht="15.75">
      <c r="B32" s="98">
        <f>IFERROR(VLOOKUP(C32,Список!$B$2:$C$150,2,0),"")</f>
        <v>465</v>
      </c>
      <c r="C32" s="114" t="s">
        <v>22</v>
      </c>
      <c r="D32" s="119" t="s">
        <v>48</v>
      </c>
      <c r="E32" s="120"/>
      <c r="F32" s="99"/>
      <c r="G32" s="99"/>
      <c r="H32" s="100"/>
      <c r="I32" s="99"/>
      <c r="J32" s="100"/>
      <c r="K32" s="99"/>
      <c r="L32" s="100"/>
      <c r="M32" s="99"/>
      <c r="N32" s="100"/>
      <c r="O32" s="99"/>
      <c r="P32" s="100">
        <v>12</v>
      </c>
      <c r="Q32" s="99"/>
      <c r="R32" s="100"/>
      <c r="S32" s="99">
        <v>12</v>
      </c>
      <c r="T32" s="100">
        <v>12</v>
      </c>
      <c r="U32" s="99"/>
      <c r="V32" s="100"/>
      <c r="W32" s="99">
        <v>12</v>
      </c>
      <c r="X32" s="99">
        <v>12</v>
      </c>
      <c r="Y32" s="99"/>
      <c r="Z32" s="100"/>
      <c r="AA32" s="99"/>
      <c r="AB32" s="100"/>
      <c r="AC32" s="99"/>
      <c r="AD32" s="100"/>
      <c r="AE32" s="99"/>
      <c r="AF32" s="100"/>
      <c r="AG32" s="99"/>
      <c r="AH32" s="100"/>
      <c r="AI32" s="99"/>
      <c r="AJ32" s="101">
        <f t="array" ref="AJ32">SUM(IF(RIGHTB(D32)="%",TEXT(INDEX(E$32:AI32,MATCH(LEFTB(C32,SEARCH("%",D32)),(C$32:C32),),),"0;0;12")*E32:AI32%,E32:AI32))</f>
        <v>60</v>
      </c>
    </row>
    <row r="33" spans="2:36" ht="15.75">
      <c r="B33" s="98">
        <f>IFERROR(VLOOKUP(C33,Список!$B$2:$C$150,2,0),"")</f>
        <v>465</v>
      </c>
      <c r="C33" s="75" t="s">
        <v>22</v>
      </c>
      <c r="D33" s="119" t="s">
        <v>66</v>
      </c>
      <c r="E33" s="120"/>
      <c r="F33" s="102"/>
      <c r="G33" s="99"/>
      <c r="H33" s="103"/>
      <c r="I33" s="102"/>
      <c r="J33" s="103"/>
      <c r="K33" s="102"/>
      <c r="L33" s="103"/>
      <c r="M33" s="102"/>
      <c r="N33" s="103"/>
      <c r="O33" s="99"/>
      <c r="P33" s="99">
        <v>25</v>
      </c>
      <c r="Q33" s="99"/>
      <c r="R33" s="99"/>
      <c r="S33" s="99">
        <v>25</v>
      </c>
      <c r="T33" s="99">
        <v>25</v>
      </c>
      <c r="U33" s="99"/>
      <c r="V33" s="99"/>
      <c r="W33" s="99">
        <v>25</v>
      </c>
      <c r="X33" s="99">
        <v>25</v>
      </c>
      <c r="Y33" s="102"/>
      <c r="Z33" s="103"/>
      <c r="AA33" s="102"/>
      <c r="AB33" s="103"/>
      <c r="AC33" s="102"/>
      <c r="AD33" s="103"/>
      <c r="AE33" s="102"/>
      <c r="AF33" s="103"/>
      <c r="AG33" s="102"/>
      <c r="AH33" s="103"/>
      <c r="AI33" s="102"/>
      <c r="AJ33" s="101">
        <f t="array" ref="AJ33">SUM(IF(RIGHTB(D33)="%",TEXT(INDEX(E$32:AI33,MATCH(LEFTB(C33,SEARCH("%",D33)),(C$32:C33),),),"0;0;12")*E33:AI33%,E33:AI33))</f>
        <v>15</v>
      </c>
    </row>
    <row r="34" spans="2:36" ht="15.75">
      <c r="B34" s="98">
        <f>IFERROR(VLOOKUP(C34,Список!$B$2:$C$150,2,0),"")</f>
        <v>465</v>
      </c>
      <c r="C34" s="75" t="s">
        <v>22</v>
      </c>
      <c r="D34" s="119" t="s">
        <v>69</v>
      </c>
      <c r="E34" s="120"/>
      <c r="F34" s="99"/>
      <c r="G34" s="99"/>
      <c r="H34" s="100"/>
      <c r="I34" s="99"/>
      <c r="J34" s="100"/>
      <c r="K34" s="99"/>
      <c r="L34" s="100"/>
      <c r="M34" s="99"/>
      <c r="N34" s="100"/>
      <c r="O34" s="99"/>
      <c r="P34" s="99">
        <v>50</v>
      </c>
      <c r="Q34" s="99"/>
      <c r="R34" s="99"/>
      <c r="S34" s="99">
        <v>50</v>
      </c>
      <c r="T34" s="99">
        <v>50</v>
      </c>
      <c r="U34" s="99"/>
      <c r="V34" s="99"/>
      <c r="W34" s="99">
        <v>50</v>
      </c>
      <c r="X34" s="99">
        <v>50</v>
      </c>
      <c r="Y34" s="99"/>
      <c r="Z34" s="100"/>
      <c r="AA34" s="99"/>
      <c r="AB34" s="100"/>
      <c r="AC34" s="99"/>
      <c r="AD34" s="100"/>
      <c r="AE34" s="99"/>
      <c r="AF34" s="100"/>
      <c r="AG34" s="99"/>
      <c r="AH34" s="100"/>
      <c r="AI34" s="99"/>
      <c r="AJ34" s="101">
        <f t="array" ref="AJ34">SUM(IF(RIGHTB(D34)="%",TEXT(INDEX(E$32:AI34,MATCH(LEFTB(C34,SEARCH("%",D34)),(C$32:C34),),),"0;0;12")*E34:AI34%,E34:AI34))</f>
        <v>30</v>
      </c>
    </row>
    <row r="35" spans="2:36" ht="15.75">
      <c r="B35" s="98">
        <f>IFERROR(VLOOKUP(C35,Список!$B$2:$C$150,2,0),"")</f>
        <v>465</v>
      </c>
      <c r="C35" s="75" t="s">
        <v>22</v>
      </c>
      <c r="D35" s="119" t="s">
        <v>63</v>
      </c>
      <c r="E35" s="120"/>
      <c r="F35" s="105"/>
      <c r="G35" s="99"/>
      <c r="H35" s="105"/>
      <c r="I35" s="105"/>
      <c r="J35" s="105"/>
      <c r="K35" s="105"/>
      <c r="L35" s="105"/>
      <c r="M35" s="105"/>
      <c r="N35" s="105"/>
      <c r="O35" s="105"/>
      <c r="P35" s="105">
        <v>100</v>
      </c>
      <c r="Q35" s="105"/>
      <c r="R35" s="105"/>
      <c r="S35" s="105">
        <v>100</v>
      </c>
      <c r="T35" s="105">
        <v>100</v>
      </c>
      <c r="U35" s="105"/>
      <c r="V35" s="105"/>
      <c r="W35" s="105">
        <v>100</v>
      </c>
      <c r="X35" s="105">
        <v>100</v>
      </c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1">
        <f t="array" ref="AJ35">SUM(IF(RIGHTB(D35)="%",TEXT(INDEX(E$32:AI35,MATCH(LEFTB(C35,SEARCH("%",D35)),(C$32:C35),),),"0;0;12")*E35:AI35%,E35:AI35))</f>
        <v>60</v>
      </c>
    </row>
    <row r="36" spans="2:36" ht="15.75">
      <c r="B36" s="98">
        <f>IFERROR(VLOOKUP(C36,Список!$B$2:$C$150,2,0),"")</f>
        <v>0</v>
      </c>
      <c r="C36" s="75" t="s">
        <v>259</v>
      </c>
      <c r="D36" s="119"/>
      <c r="E36" s="120"/>
      <c r="F36" s="99"/>
      <c r="G36" s="99"/>
      <c r="H36" s="99"/>
      <c r="I36" s="99">
        <v>2</v>
      </c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17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101">
        <f t="array" ref="AJ36">SUM(IF(RIGHTB(D36)="%",TEXT(INDEX(E$32:AI36,MATCH(LEFTB(C36,SEARCH("%",D36)),(C$32:C36),),),"0;0;12")*E36:AI36%,E36:AI36))</f>
        <v>2</v>
      </c>
    </row>
  </sheetData>
  <customSheetViews>
    <customSheetView guid="{1957AC80-412C-4030-B807-A599A7F9C8EF}" scale="90" showGridLines="0">
      <selection activeCell="Q17" sqref="Q17"/>
      <pageMargins left="0.7" right="0.7" top="0.75" bottom="0.75" header="0.3" footer="0.3"/>
      <pageSetup paperSize="9" orientation="portrait" r:id="rId1"/>
    </customSheetView>
  </customSheetViews>
  <mergeCells count="16">
    <mergeCell ref="AJ30:AJ31"/>
    <mergeCell ref="E30:AI30"/>
    <mergeCell ref="AJ6:AJ7"/>
    <mergeCell ref="B2:G2"/>
    <mergeCell ref="G26:S26"/>
    <mergeCell ref="B6:B7"/>
    <mergeCell ref="E6:AI6"/>
    <mergeCell ref="B30:B31"/>
    <mergeCell ref="C6:D7"/>
    <mergeCell ref="C13:D13"/>
    <mergeCell ref="C14:D14"/>
    <mergeCell ref="C15:D15"/>
    <mergeCell ref="C19:D19"/>
    <mergeCell ref="C23:D23"/>
    <mergeCell ref="C24:D24"/>
    <mergeCell ref="C30:D31"/>
  </mergeCells>
  <conditionalFormatting sqref="AJ36">
    <cfRule type="expression" dxfId="0" priority="1">
      <formula>$AJ$36&gt;$D$36</formula>
    </cfRule>
  </conditionalFormatting>
  <dataValidations count="3"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32:C36">
      <formula1>ФИО</formula1>
    </dataValidation>
    <dataValidation type="list" allowBlank="1" showInputMessage="1" showErrorMessage="1" sqref="E32:E36">
      <formula1>Профессия</formula1>
    </dataValidation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D32:D36">
      <formula1>Профессия</formula1>
    </dataValidation>
  </dataValidation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0">
    <tabColor rgb="FFFFC000"/>
  </sheetPr>
  <dimension ref="A1:X151"/>
  <sheetViews>
    <sheetView showGridLines="0" zoomScale="90" zoomScaleNormal="90" workbookViewId="0">
      <pane ySplit="1" topLeftCell="A2" activePane="bottomLeft" state="frozen"/>
      <selection pane="bottomLeft" activeCell="E6" sqref="E6"/>
    </sheetView>
  </sheetViews>
  <sheetFormatPr defaultRowHeight="20.25"/>
  <cols>
    <col min="1" max="1" width="5.7109375" style="32" customWidth="1"/>
    <col min="2" max="2" width="27.28515625" style="23" customWidth="1"/>
    <col min="3" max="3" width="11.28515625" style="20" customWidth="1"/>
    <col min="4" max="8" width="16" style="65" customWidth="1"/>
    <col min="9" max="9" width="17.28515625" style="73" customWidth="1"/>
    <col min="10" max="10" width="10.28515625" style="73" customWidth="1"/>
    <col min="11" max="11" width="28.7109375" style="15" customWidth="1"/>
    <col min="12" max="12" width="19.140625" style="58" customWidth="1"/>
    <col min="13" max="13" width="10.42578125" style="32" customWidth="1"/>
    <col min="14" max="14" width="25.28515625" style="15" customWidth="1"/>
    <col min="15" max="15" width="29" style="15" customWidth="1"/>
    <col min="16" max="16" width="92.140625" style="15" customWidth="1"/>
    <col min="17" max="17" width="20.5703125" style="15" customWidth="1"/>
    <col min="18" max="16384" width="9.140625" style="15"/>
  </cols>
  <sheetData>
    <row r="1" spans="1:24">
      <c r="A1" s="11" t="s">
        <v>20</v>
      </c>
      <c r="B1" s="12" t="s">
        <v>36</v>
      </c>
      <c r="C1" s="12" t="s">
        <v>21</v>
      </c>
      <c r="D1" s="61" t="s">
        <v>251</v>
      </c>
      <c r="E1" s="61" t="s">
        <v>250</v>
      </c>
      <c r="F1" s="61" t="s">
        <v>252</v>
      </c>
      <c r="G1" s="61" t="s">
        <v>253</v>
      </c>
      <c r="H1" s="61" t="s">
        <v>254</v>
      </c>
      <c r="I1" s="66" t="s">
        <v>255</v>
      </c>
      <c r="J1" s="66" t="s">
        <v>256</v>
      </c>
      <c r="K1" s="13" t="s">
        <v>34</v>
      </c>
      <c r="L1" s="56" t="s">
        <v>249</v>
      </c>
      <c r="M1" s="12" t="s">
        <v>72</v>
      </c>
      <c r="N1" s="12" t="s">
        <v>140</v>
      </c>
      <c r="O1" s="11" t="s">
        <v>141</v>
      </c>
      <c r="P1" s="14" t="s">
        <v>180</v>
      </c>
      <c r="Q1" s="54" t="s">
        <v>228</v>
      </c>
      <c r="R1" s="8"/>
      <c r="S1" s="8"/>
      <c r="T1" s="8"/>
      <c r="U1" s="8"/>
      <c r="V1" s="8"/>
      <c r="W1" s="8"/>
    </row>
    <row r="2" spans="1:24">
      <c r="A2" s="16">
        <v>1</v>
      </c>
      <c r="B2" s="17" t="s">
        <v>44</v>
      </c>
      <c r="C2" s="18">
        <f>IF(B2="Амосова Т.Ф.",342)</f>
        <v>342</v>
      </c>
      <c r="D2" s="62"/>
      <c r="E2" s="62"/>
      <c r="F2" s="62"/>
      <c r="G2" s="62"/>
      <c r="H2" s="62"/>
      <c r="I2" s="67"/>
      <c r="J2" s="74" t="str">
        <f ca="1">IF(I2="","",SUM(TODAY()-I2)/365)</f>
        <v/>
      </c>
      <c r="K2" s="19" t="s">
        <v>53</v>
      </c>
      <c r="L2" s="57">
        <f>IF(K2="Ап.пр.хим.р-в 3 р.",5481)</f>
        <v>5481</v>
      </c>
      <c r="M2" s="20">
        <v>1</v>
      </c>
      <c r="N2" s="21" t="s">
        <v>169</v>
      </c>
      <c r="O2" s="22" t="s">
        <v>142</v>
      </c>
      <c r="P2" s="53" t="s">
        <v>229</v>
      </c>
      <c r="Q2" s="55">
        <f>IF(P2="в том числе связывание канатика",16309)</f>
        <v>16309</v>
      </c>
      <c r="R2" s="8"/>
      <c r="S2" s="8"/>
      <c r="T2" s="8"/>
      <c r="U2" s="8"/>
      <c r="V2" s="8"/>
      <c r="W2" s="8"/>
    </row>
    <row r="3" spans="1:24">
      <c r="A3" s="16">
        <v>2</v>
      </c>
      <c r="B3" s="23" t="s">
        <v>259</v>
      </c>
      <c r="D3" s="63"/>
      <c r="E3" s="63"/>
      <c r="F3" s="63"/>
      <c r="G3" s="63"/>
      <c r="H3" s="63"/>
      <c r="I3" s="68"/>
      <c r="J3" s="74" t="str">
        <f t="shared" ref="J3:J66" ca="1" si="0">IF(I3="","",SUM(TODAY()-I3)/365)</f>
        <v/>
      </c>
      <c r="K3" s="19" t="s">
        <v>66</v>
      </c>
      <c r="L3" s="57">
        <f>IF(K3="Ап.пр.хим.р-в 3 р. %",5481)</f>
        <v>5481</v>
      </c>
      <c r="M3" s="20">
        <v>2</v>
      </c>
      <c r="N3" s="25" t="s">
        <v>170</v>
      </c>
      <c r="O3" s="22" t="s">
        <v>160</v>
      </c>
      <c r="P3" s="53" t="s">
        <v>230</v>
      </c>
      <c r="Q3" s="55">
        <f>IF(P3="композиционного, оборотного брака, сгущеной целлюлозы",32283)</f>
        <v>32283</v>
      </c>
      <c r="R3" s="8"/>
      <c r="S3" s="8"/>
      <c r="T3" s="8"/>
      <c r="U3" s="8"/>
      <c r="V3" s="8"/>
      <c r="W3" s="8"/>
    </row>
    <row r="4" spans="1:24">
      <c r="A4" s="16">
        <v>3</v>
      </c>
      <c r="B4" s="24" t="s">
        <v>212</v>
      </c>
      <c r="C4" s="20">
        <f>IF(B4="Аниськович А.П.",1339)</f>
        <v>1339</v>
      </c>
      <c r="D4" s="62"/>
      <c r="E4" s="62"/>
      <c r="F4" s="62"/>
      <c r="G4" s="62"/>
      <c r="H4" s="62"/>
      <c r="I4" s="67"/>
      <c r="J4" s="74" t="str">
        <f t="shared" ca="1" si="0"/>
        <v/>
      </c>
      <c r="K4" s="19" t="s">
        <v>168</v>
      </c>
      <c r="L4" s="55">
        <v>2022566</v>
      </c>
      <c r="M4" s="20">
        <v>3</v>
      </c>
      <c r="N4" s="25" t="s">
        <v>171</v>
      </c>
      <c r="O4" s="22" t="s">
        <v>143</v>
      </c>
      <c r="P4" s="23" t="s">
        <v>182</v>
      </c>
      <c r="Q4" s="55">
        <f>IF(P4="Переупаковка ролевой бумаги",7536)</f>
        <v>7536</v>
      </c>
      <c r="R4" s="8"/>
      <c r="S4" s="8"/>
      <c r="T4" s="8"/>
      <c r="U4" s="8"/>
      <c r="V4" s="8"/>
      <c r="W4" s="8"/>
    </row>
    <row r="5" spans="1:24">
      <c r="A5" s="16">
        <v>4</v>
      </c>
      <c r="B5" s="24" t="s">
        <v>211</v>
      </c>
      <c r="C5" s="18">
        <f>IF(B5="Апет И.В.",2234)</f>
        <v>2234</v>
      </c>
      <c r="D5" s="64"/>
      <c r="E5" s="64"/>
      <c r="F5" s="64"/>
      <c r="G5" s="64"/>
      <c r="H5" s="64"/>
      <c r="I5" s="69"/>
      <c r="J5" s="74" t="str">
        <f t="shared" ca="1" si="0"/>
        <v/>
      </c>
      <c r="K5" s="26" t="s">
        <v>56</v>
      </c>
      <c r="L5" s="55">
        <f>IF(K5="Маш.уп. маш. 2 р.",4710)</f>
        <v>4710</v>
      </c>
      <c r="M5" s="20">
        <v>4</v>
      </c>
      <c r="N5" s="25" t="s">
        <v>257</v>
      </c>
      <c r="O5" s="22" t="s">
        <v>144</v>
      </c>
      <c r="P5" s="23" t="s">
        <v>188</v>
      </c>
      <c r="Q5" s="55">
        <f>IF(P5="Промывка и чистка сгустителя",10688)</f>
        <v>10688</v>
      </c>
      <c r="R5" s="8"/>
      <c r="S5" s="8"/>
      <c r="T5" s="8"/>
      <c r="U5" s="8"/>
      <c r="V5" s="8"/>
      <c r="W5" s="8"/>
      <c r="X5" s="27"/>
    </row>
    <row r="6" spans="1:24">
      <c r="A6" s="16">
        <v>5</v>
      </c>
      <c r="B6" s="24" t="s">
        <v>138</v>
      </c>
      <c r="C6" s="18">
        <f>IF(B6="Богодяж Т.А.",1609)</f>
        <v>1609</v>
      </c>
      <c r="D6" s="62"/>
      <c r="E6" s="62"/>
      <c r="F6" s="62"/>
      <c r="G6" s="62"/>
      <c r="H6" s="62"/>
      <c r="I6" s="67"/>
      <c r="J6" s="74" t="str">
        <f t="shared" ca="1" si="0"/>
        <v/>
      </c>
      <c r="K6" s="19" t="s">
        <v>69</v>
      </c>
      <c r="L6" s="55">
        <f>IF(K6="Маш.уп. маш. 2 р. %",4710)</f>
        <v>4710</v>
      </c>
      <c r="M6" s="20">
        <v>5</v>
      </c>
      <c r="N6" s="25" t="s">
        <v>146</v>
      </c>
      <c r="O6" s="22" t="s">
        <v>145</v>
      </c>
      <c r="P6" s="23" t="s">
        <v>189</v>
      </c>
      <c r="Q6" s="55">
        <f>IF(P6="Промывка и чистка флотоловушки",36134)</f>
        <v>36134</v>
      </c>
      <c r="R6" s="8"/>
      <c r="S6" s="8"/>
      <c r="T6" s="8"/>
      <c r="U6" s="8"/>
      <c r="V6" s="8"/>
      <c r="W6" s="8"/>
      <c r="X6" s="27"/>
    </row>
    <row r="7" spans="1:24">
      <c r="A7" s="16">
        <v>6</v>
      </c>
      <c r="B7" s="17" t="s">
        <v>38</v>
      </c>
      <c r="C7" s="18">
        <f>IF(B7="Брикун М.А.",1179)</f>
        <v>1179</v>
      </c>
      <c r="D7" s="62"/>
      <c r="E7" s="62"/>
      <c r="F7" s="62"/>
      <c r="G7" s="62"/>
      <c r="H7" s="62"/>
      <c r="I7" s="67"/>
      <c r="J7" s="74" t="str">
        <f t="shared" ca="1" si="0"/>
        <v/>
      </c>
      <c r="K7" s="19" t="s">
        <v>48</v>
      </c>
      <c r="L7" s="57">
        <f>IF(K7="Машинист 6 р.",7715)</f>
        <v>7715</v>
      </c>
      <c r="M7" s="20">
        <v>6</v>
      </c>
      <c r="N7" s="25" t="s">
        <v>147</v>
      </c>
      <c r="O7" s="22"/>
      <c r="P7" s="23" t="s">
        <v>231</v>
      </c>
      <c r="Q7" s="55">
        <f>IF(P7="Резка и упаковка ленты бумажной для плоттеров 70 г/м2, ф. 1000 мм",4874)</f>
        <v>4874</v>
      </c>
      <c r="R7" s="8"/>
      <c r="S7" s="8"/>
      <c r="T7" s="8"/>
      <c r="U7" s="8"/>
      <c r="V7" s="8"/>
      <c r="W7" s="8"/>
      <c r="X7" s="27"/>
    </row>
    <row r="8" spans="1:24">
      <c r="A8" s="16">
        <v>7</v>
      </c>
      <c r="B8" s="17" t="s">
        <v>164</v>
      </c>
      <c r="C8" s="18">
        <f>IF(B8="Буйко В.Г.",1241)</f>
        <v>1241</v>
      </c>
      <c r="D8" s="63"/>
      <c r="E8" s="63"/>
      <c r="F8" s="63"/>
      <c r="G8" s="63"/>
      <c r="H8" s="63"/>
      <c r="I8" s="68"/>
      <c r="J8" s="74" t="str">
        <f t="shared" ca="1" si="0"/>
        <v/>
      </c>
      <c r="K8" s="19" t="s">
        <v>50</v>
      </c>
      <c r="L8" s="57">
        <f>IF(K8="Накатчик 3 р.",5481)</f>
        <v>5481</v>
      </c>
      <c r="M8" s="20">
        <v>7</v>
      </c>
      <c r="N8" s="17" t="s">
        <v>148</v>
      </c>
      <c r="O8" s="22"/>
      <c r="P8" s="23" t="s">
        <v>232</v>
      </c>
      <c r="Q8" s="55">
        <f>IF(P8="Резка и упаковка ленты бумажной для плоттеров 70 г/м2, ф. 1500 мм",8356)</f>
        <v>8356</v>
      </c>
      <c r="R8" s="8"/>
      <c r="S8" s="8"/>
      <c r="T8" s="8"/>
      <c r="U8" s="8"/>
      <c r="V8" s="8"/>
      <c r="W8" s="8"/>
      <c r="X8" s="27"/>
    </row>
    <row r="9" spans="1:24">
      <c r="A9" s="16">
        <v>8</v>
      </c>
      <c r="B9" s="23" t="s">
        <v>165</v>
      </c>
      <c r="C9" s="20">
        <f>IF(B9="Булавский А.В.",1515)</f>
        <v>1515</v>
      </c>
      <c r="D9" s="63"/>
      <c r="E9" s="63"/>
      <c r="F9" s="63"/>
      <c r="G9" s="63"/>
      <c r="H9" s="63"/>
      <c r="I9" s="68"/>
      <c r="J9" s="74" t="str">
        <f t="shared" ca="1" si="0"/>
        <v/>
      </c>
      <c r="K9" s="19" t="s">
        <v>63</v>
      </c>
      <c r="L9" s="57">
        <f>IF(K9="Накатчик 3 р. %",5481)</f>
        <v>5481</v>
      </c>
      <c r="M9" s="20">
        <v>8</v>
      </c>
      <c r="N9" s="17" t="s">
        <v>149</v>
      </c>
      <c r="O9" s="22"/>
      <c r="P9" s="23" t="s">
        <v>233</v>
      </c>
      <c r="Q9" s="55">
        <f>IF(P9="Резка и упаковка ленты бумажной для плоттеров 70 г/м2, ф. 1510 мм",8356)</f>
        <v>8356</v>
      </c>
      <c r="R9" s="8"/>
      <c r="S9" s="8"/>
      <c r="T9" s="8"/>
      <c r="U9" s="8"/>
      <c r="V9" s="8"/>
      <c r="W9" s="8"/>
      <c r="X9" s="27"/>
    </row>
    <row r="10" spans="1:24">
      <c r="A10" s="16">
        <v>9</v>
      </c>
      <c r="B10" s="17" t="s">
        <v>25</v>
      </c>
      <c r="C10" s="20">
        <f>IF(B10="Буракова Т.А.",643)</f>
        <v>643</v>
      </c>
      <c r="D10" s="63"/>
      <c r="E10" s="63"/>
      <c r="F10" s="63"/>
      <c r="G10" s="63"/>
      <c r="H10" s="63"/>
      <c r="I10" s="68"/>
      <c r="J10" s="74" t="str">
        <f t="shared" ca="1" si="0"/>
        <v/>
      </c>
      <c r="K10" s="31" t="s">
        <v>223</v>
      </c>
      <c r="L10" s="59"/>
      <c r="M10" s="20">
        <v>9</v>
      </c>
      <c r="N10" s="17" t="s">
        <v>150</v>
      </c>
      <c r="O10" s="22"/>
      <c r="P10" s="23" t="s">
        <v>258</v>
      </c>
      <c r="Q10" s="55">
        <f>IF(P10="Резка и упаковка ленты бумажной для плоттеров 70 г/м2, ф. 1600 мм",8356)</f>
        <v>8356</v>
      </c>
      <c r="R10" s="8"/>
      <c r="S10" s="8"/>
      <c r="T10" s="8"/>
      <c r="U10" s="8"/>
      <c r="V10" s="8"/>
      <c r="W10" s="8"/>
      <c r="X10" s="27"/>
    </row>
    <row r="11" spans="1:24">
      <c r="A11" s="16">
        <v>10</v>
      </c>
      <c r="B11" s="24" t="s">
        <v>116</v>
      </c>
      <c r="C11" s="20">
        <f>IF(B11="Бурдыко Е.А.",2269)</f>
        <v>2269</v>
      </c>
      <c r="D11" s="63"/>
      <c r="E11" s="63"/>
      <c r="F11" s="63"/>
      <c r="G11" s="63"/>
      <c r="H11" s="63"/>
      <c r="I11" s="68"/>
      <c r="J11" s="74" t="str">
        <f t="shared" ca="1" si="0"/>
        <v/>
      </c>
      <c r="K11" s="28" t="s">
        <v>70</v>
      </c>
      <c r="L11" s="57">
        <f>IF(K11="Перссовщик 3 р.",5481)</f>
        <v>5481</v>
      </c>
      <c r="M11" s="20">
        <v>10</v>
      </c>
      <c r="N11" s="17" t="s">
        <v>151</v>
      </c>
      <c r="O11" s="22"/>
      <c r="P11" s="23" t="s">
        <v>234</v>
      </c>
      <c r="Q11" s="55">
        <f>IF(P11="Резка и упаковка ленты бумажной для плоттеров 70 г/м2, ф. 1680 мм",8356)</f>
        <v>8356</v>
      </c>
      <c r="R11" s="8"/>
      <c r="S11" s="8"/>
      <c r="T11" s="8"/>
      <c r="U11" s="8"/>
      <c r="V11" s="8"/>
      <c r="W11" s="8"/>
      <c r="X11" s="27"/>
    </row>
    <row r="12" spans="1:24">
      <c r="A12" s="16">
        <v>11</v>
      </c>
      <c r="B12" s="24" t="s">
        <v>213</v>
      </c>
      <c r="C12" s="20">
        <f>IF(B12="Бурыхин С.А.",1501)</f>
        <v>1501</v>
      </c>
      <c r="D12" s="62"/>
      <c r="E12" s="62"/>
      <c r="F12" s="62"/>
      <c r="G12" s="62"/>
      <c r="H12" s="62"/>
      <c r="I12" s="67"/>
      <c r="J12" s="74" t="str">
        <f t="shared" ca="1" si="0"/>
        <v/>
      </c>
      <c r="K12" s="19" t="s">
        <v>71</v>
      </c>
      <c r="L12" s="57">
        <f>IF(K12="Перссовщик 3 р. %",5481)</f>
        <v>5481</v>
      </c>
      <c r="M12" s="20">
        <v>11</v>
      </c>
      <c r="N12" s="17" t="s">
        <v>152</v>
      </c>
      <c r="O12" s="22"/>
      <c r="P12" s="23" t="s">
        <v>235</v>
      </c>
      <c r="Q12" s="55">
        <f>IF(P12="Резка и упаковка ленты бумажной для плоттеров 70 г/м2, ф. 1800 мм",8356)</f>
        <v>8356</v>
      </c>
      <c r="R12" s="8"/>
      <c r="S12" s="8"/>
      <c r="T12" s="8"/>
      <c r="U12" s="8"/>
      <c r="V12" s="8"/>
      <c r="W12" s="8"/>
      <c r="X12" s="27"/>
    </row>
    <row r="13" spans="1:24">
      <c r="A13" s="16">
        <v>12</v>
      </c>
      <c r="B13" s="24" t="s">
        <v>220</v>
      </c>
      <c r="C13" s="18">
        <f>IF(B13="Буслов А.А.",2150)</f>
        <v>2150</v>
      </c>
      <c r="D13" s="62"/>
      <c r="E13" s="62"/>
      <c r="F13" s="62"/>
      <c r="G13" s="62"/>
      <c r="H13" s="62"/>
      <c r="I13" s="67"/>
      <c r="J13" s="74" t="str">
        <f t="shared" ca="1" si="0"/>
        <v/>
      </c>
      <c r="K13" s="19" t="s">
        <v>82</v>
      </c>
      <c r="L13" s="57">
        <f>IF(K13="Разм. брака 2 р.",4710)</f>
        <v>4710</v>
      </c>
      <c r="M13" s="20">
        <v>12</v>
      </c>
      <c r="N13" s="19" t="s">
        <v>153</v>
      </c>
      <c r="O13" s="22"/>
      <c r="P13" s="23" t="s">
        <v>236</v>
      </c>
      <c r="Q13" s="55">
        <f>IF(P13="Резка и упаковка ленты бумажной для плоттеров 70 г/м2, ф. 1900 мм",8356)</f>
        <v>8356</v>
      </c>
      <c r="R13" s="8"/>
      <c r="S13" s="8"/>
      <c r="T13" s="8"/>
      <c r="U13" s="8"/>
      <c r="V13" s="8"/>
      <c r="W13" s="8"/>
      <c r="X13" s="27"/>
    </row>
    <row r="14" spans="1:24">
      <c r="A14" s="16">
        <v>13</v>
      </c>
      <c r="B14" s="17" t="s">
        <v>60</v>
      </c>
      <c r="C14" s="18">
        <f>IF(B14="Бушкин В.Д.",1430)</f>
        <v>1430</v>
      </c>
      <c r="D14" s="62"/>
      <c r="E14" s="62"/>
      <c r="F14" s="62"/>
      <c r="G14" s="62"/>
      <c r="H14" s="62"/>
      <c r="I14" s="67"/>
      <c r="J14" s="74" t="str">
        <f t="shared" ca="1" si="0"/>
        <v/>
      </c>
      <c r="K14" s="19" t="s">
        <v>78</v>
      </c>
      <c r="L14" s="57">
        <f>IF(K14="Разм. брака 2 р. %",4710)</f>
        <v>4710</v>
      </c>
      <c r="M14" s="20" t="s">
        <v>89</v>
      </c>
      <c r="N14" s="12" t="s">
        <v>156</v>
      </c>
      <c r="O14" s="27"/>
      <c r="P14" s="23" t="s">
        <v>237</v>
      </c>
      <c r="Q14" s="55">
        <f>IF(P14="Резка и упаковка ленты бумажной для плоттеров 70 г/м2, ф. 2000 мм",8356)</f>
        <v>8356</v>
      </c>
      <c r="R14" s="8"/>
      <c r="S14" s="8"/>
      <c r="T14" s="8"/>
      <c r="U14" s="8"/>
      <c r="V14" s="8"/>
      <c r="W14" s="8"/>
      <c r="X14" s="27"/>
    </row>
    <row r="15" spans="1:24">
      <c r="A15" s="16">
        <v>14</v>
      </c>
      <c r="B15" s="23" t="s">
        <v>162</v>
      </c>
      <c r="C15" s="18">
        <f>IF(B15="Бушкина Т.П.",531)</f>
        <v>531</v>
      </c>
      <c r="D15" s="63"/>
      <c r="E15" s="63"/>
      <c r="F15" s="63"/>
      <c r="G15" s="63"/>
      <c r="H15" s="63"/>
      <c r="I15" s="68"/>
      <c r="J15" s="74" t="str">
        <f t="shared" ca="1" si="0"/>
        <v/>
      </c>
      <c r="K15" s="19" t="s">
        <v>79</v>
      </c>
      <c r="L15" s="57">
        <f>IF(K15="Разм. ГРВ 3 р.",5481)</f>
        <v>5481</v>
      </c>
      <c r="M15" s="20" t="s">
        <v>73</v>
      </c>
      <c r="N15" s="23" t="s">
        <v>157</v>
      </c>
      <c r="O15" s="27"/>
      <c r="P15" s="23" t="s">
        <v>238</v>
      </c>
      <c r="Q15" s="55">
        <f>IF(P15="Резка и упаковка ленты бумажной для плоттеров 80 г/м2, ф. 1000 мм",4874)</f>
        <v>4874</v>
      </c>
      <c r="R15" s="8"/>
      <c r="S15" s="8"/>
      <c r="T15" s="8"/>
      <c r="U15" s="8"/>
      <c r="V15" s="8"/>
      <c r="W15" s="8"/>
      <c r="X15" s="27"/>
    </row>
    <row r="16" spans="1:24">
      <c r="A16" s="16">
        <v>15</v>
      </c>
      <c r="B16" s="24" t="s">
        <v>124</v>
      </c>
      <c r="C16" s="20">
        <f>IF(B16="Буяновская В.П.",489)</f>
        <v>489</v>
      </c>
      <c r="D16" s="63"/>
      <c r="E16" s="63"/>
      <c r="F16" s="63"/>
      <c r="G16" s="63"/>
      <c r="H16" s="63"/>
      <c r="I16" s="68"/>
      <c r="J16" s="74" t="str">
        <f t="shared" ca="1" si="0"/>
        <v/>
      </c>
      <c r="K16" s="19" t="s">
        <v>80</v>
      </c>
      <c r="L16" s="57">
        <f>IF(K16="Разм. ПО 3 р.",5481)</f>
        <v>5481</v>
      </c>
      <c r="M16" s="20" t="s">
        <v>90</v>
      </c>
      <c r="N16" s="17" t="s">
        <v>154</v>
      </c>
      <c r="O16" s="27"/>
      <c r="P16" s="23" t="s">
        <v>239</v>
      </c>
      <c r="Q16" s="55">
        <f>IF(P16="Резка и упаковка ленты бумажной для плоттеров 80 г/м2, ф. 1500 мм",8356)</f>
        <v>8356</v>
      </c>
      <c r="R16" s="8"/>
      <c r="S16" s="8"/>
      <c r="T16" s="8"/>
      <c r="U16" s="8"/>
      <c r="V16" s="8"/>
      <c r="W16" s="8"/>
      <c r="X16" s="27"/>
    </row>
    <row r="17" spans="1:24">
      <c r="A17" s="16">
        <v>16</v>
      </c>
      <c r="B17" s="24" t="s">
        <v>199</v>
      </c>
      <c r="C17" s="20">
        <f>IF(B17="Ваньков С.П.",115)</f>
        <v>115</v>
      </c>
      <c r="D17" s="62"/>
      <c r="E17" s="62"/>
      <c r="F17" s="62"/>
      <c r="G17" s="62"/>
      <c r="H17" s="62"/>
      <c r="I17" s="67"/>
      <c r="J17" s="74" t="str">
        <f t="shared" ca="1" si="0"/>
        <v/>
      </c>
      <c r="K17" s="19" t="s">
        <v>81</v>
      </c>
      <c r="L17" s="57">
        <f>IF(K17="Разм. ПО 3 р. %",5481)</f>
        <v>5481</v>
      </c>
      <c r="M17" s="20" t="s">
        <v>92</v>
      </c>
      <c r="N17" s="17" t="s">
        <v>155</v>
      </c>
      <c r="O17" s="27"/>
      <c r="P17" s="23" t="s">
        <v>240</v>
      </c>
      <c r="Q17" s="55">
        <f>IF(P17="Резка и упаковка ленты бумажной для плоттеров 80 г/м2, ф. 1510 мм",8356)</f>
        <v>8356</v>
      </c>
      <c r="R17" s="8"/>
      <c r="S17" s="8"/>
      <c r="T17" s="8"/>
      <c r="U17" s="8"/>
      <c r="V17" s="8"/>
      <c r="W17" s="8"/>
      <c r="X17" s="27"/>
    </row>
    <row r="18" spans="1:24">
      <c r="A18" s="16">
        <v>17</v>
      </c>
      <c r="B18" s="24" t="s">
        <v>105</v>
      </c>
      <c r="C18" s="18">
        <f>IF(B18="Ванькова Л.Е.",365)</f>
        <v>365</v>
      </c>
      <c r="D18" s="62"/>
      <c r="E18" s="62"/>
      <c r="F18" s="62"/>
      <c r="G18" s="62"/>
      <c r="H18" s="62"/>
      <c r="I18" s="67"/>
      <c r="J18" s="74" t="str">
        <f t="shared" ca="1" si="0"/>
        <v/>
      </c>
      <c r="K18" s="19" t="s">
        <v>52</v>
      </c>
      <c r="L18" s="57">
        <f>IF(K18="Разм. РПО 3 р.",5481)</f>
        <v>5481</v>
      </c>
      <c r="M18" s="20" t="s">
        <v>93</v>
      </c>
      <c r="N18" s="17" t="s">
        <v>175</v>
      </c>
      <c r="O18" s="27"/>
      <c r="P18" s="23" t="s">
        <v>241</v>
      </c>
      <c r="Q18" s="55">
        <f>IF(P18="Резка и упаковка ленты бумажной для плоттеров 80 г/м2, ф. 1680 мм",8356)</f>
        <v>8356</v>
      </c>
      <c r="R18" s="8"/>
      <c r="S18" s="8"/>
      <c r="T18" s="8"/>
      <c r="U18" s="8"/>
      <c r="V18" s="8"/>
      <c r="W18" s="8"/>
      <c r="X18" s="27"/>
    </row>
    <row r="19" spans="1:24">
      <c r="A19" s="16">
        <v>18</v>
      </c>
      <c r="B19" s="24" t="s">
        <v>210</v>
      </c>
      <c r="C19" s="18">
        <f>IF(B19="Васильева О.А.",1560)</f>
        <v>1560</v>
      </c>
      <c r="D19" s="62"/>
      <c r="E19" s="62"/>
      <c r="F19" s="62"/>
      <c r="G19" s="62"/>
      <c r="H19" s="62"/>
      <c r="I19" s="67"/>
      <c r="J19" s="74" t="str">
        <f t="shared" ca="1" si="0"/>
        <v/>
      </c>
      <c r="K19" s="19" t="s">
        <v>65</v>
      </c>
      <c r="L19" s="57">
        <f>IF(K19="Разм. РПО 3 р. %",5481)</f>
        <v>5481</v>
      </c>
      <c r="M19" s="20" t="s">
        <v>94</v>
      </c>
      <c r="N19" s="17"/>
      <c r="O19" s="27"/>
      <c r="P19" s="23" t="s">
        <v>242</v>
      </c>
      <c r="Q19" s="55">
        <f>IF(P19="Резка и упаковка ленты бумажной для плоттеров 80 г/м2, ф. 1800 мм",8356)</f>
        <v>8356</v>
      </c>
      <c r="R19" s="8"/>
      <c r="S19" s="8"/>
      <c r="T19" s="8"/>
      <c r="U19" s="8"/>
      <c r="V19" s="8"/>
      <c r="W19" s="8"/>
      <c r="X19" s="27"/>
    </row>
    <row r="20" spans="1:24">
      <c r="A20" s="16">
        <v>19</v>
      </c>
      <c r="B20" s="24" t="s">
        <v>115</v>
      </c>
      <c r="C20" s="18">
        <f>IF(B20="Волегов А.Г.",208)</f>
        <v>208</v>
      </c>
      <c r="D20" s="63"/>
      <c r="E20" s="63"/>
      <c r="F20" s="63"/>
      <c r="G20" s="63"/>
      <c r="H20" s="63"/>
      <c r="I20" s="68"/>
      <c r="J20" s="74" t="str">
        <f t="shared" ca="1" si="0"/>
        <v/>
      </c>
      <c r="K20" s="19" t="s">
        <v>51</v>
      </c>
      <c r="L20" s="57">
        <f>IF(K20="Разм. РПО 4 р.",6375)</f>
        <v>6375</v>
      </c>
      <c r="M20" s="20" t="s">
        <v>95</v>
      </c>
      <c r="N20" s="17"/>
      <c r="O20" s="27"/>
      <c r="P20" s="23" t="s">
        <v>243</v>
      </c>
      <c r="Q20" s="55">
        <f>IF(P20="Резка и упаковка ленты бумажной для плоттеров 80 г/м2, ф. 1900 мм",8356)</f>
        <v>8356</v>
      </c>
      <c r="R20" s="8"/>
      <c r="S20" s="8"/>
      <c r="T20" s="8"/>
      <c r="U20" s="8"/>
      <c r="V20" s="8"/>
      <c r="W20" s="8"/>
      <c r="X20" s="27"/>
    </row>
    <row r="21" spans="1:24">
      <c r="A21" s="16">
        <v>20</v>
      </c>
      <c r="B21" s="24" t="s">
        <v>194</v>
      </c>
      <c r="C21" s="20">
        <f>IF(B21="Волегова Г.И.",707)</f>
        <v>707</v>
      </c>
      <c r="D21" s="62"/>
      <c r="E21" s="62"/>
      <c r="F21" s="62"/>
      <c r="G21" s="62"/>
      <c r="H21" s="62"/>
      <c r="I21" s="67"/>
      <c r="J21" s="74" t="str">
        <f t="shared" ca="1" si="0"/>
        <v/>
      </c>
      <c r="K21" s="19" t="s">
        <v>64</v>
      </c>
      <c r="L21" s="57">
        <f>IF(K21="Разм. РПО 4 р. %",6375)</f>
        <v>6375</v>
      </c>
      <c r="M21" s="20" t="s">
        <v>96</v>
      </c>
      <c r="N21" s="17"/>
      <c r="O21" s="27"/>
      <c r="P21" s="23" t="s">
        <v>244</v>
      </c>
      <c r="Q21" s="55">
        <f>IF(P21="Резка и упаковка ленты бумажной для плоттеров 80 г/м2, ф. 2000 мм",8356)</f>
        <v>8356</v>
      </c>
      <c r="R21" s="8"/>
      <c r="S21" s="8"/>
      <c r="T21" s="8"/>
      <c r="U21" s="8"/>
      <c r="V21" s="8"/>
      <c r="W21" s="8"/>
      <c r="X21" s="27"/>
    </row>
    <row r="22" spans="1:24">
      <c r="A22" s="16">
        <v>21</v>
      </c>
      <c r="B22" s="24" t="s">
        <v>123</v>
      </c>
      <c r="C22" s="18">
        <f>IF(B22="Воронцевич М.П.",298)</f>
        <v>298</v>
      </c>
      <c r="D22" s="63"/>
      <c r="E22" s="63"/>
      <c r="F22" s="63"/>
      <c r="G22" s="63"/>
      <c r="H22" s="63"/>
      <c r="I22" s="68"/>
      <c r="J22" s="74" t="str">
        <f t="shared" ca="1" si="0"/>
        <v/>
      </c>
      <c r="K22" s="19" t="s">
        <v>57</v>
      </c>
      <c r="L22" s="57">
        <f>IF(K22="Разм. РПО 5 р.",7024)</f>
        <v>7024</v>
      </c>
      <c r="M22" s="20" t="s">
        <v>97</v>
      </c>
      <c r="N22" s="17"/>
      <c r="O22" s="27"/>
      <c r="P22" s="23" t="s">
        <v>225</v>
      </c>
      <c r="Q22" s="55">
        <f>IF(P22="Смена верхних сушильных сеток 1-5-й сушильных групп",168705)</f>
        <v>168705</v>
      </c>
      <c r="R22" s="8"/>
      <c r="S22" s="8"/>
      <c r="T22" s="8"/>
      <c r="U22" s="8"/>
      <c r="V22" s="8"/>
      <c r="W22" s="8"/>
      <c r="X22" s="27"/>
    </row>
    <row r="23" spans="1:24">
      <c r="A23" s="16">
        <v>22</v>
      </c>
      <c r="B23" s="24" t="s">
        <v>198</v>
      </c>
      <c r="C23" s="20">
        <f>IF(B23="Гарбузов Г.Л.",381)</f>
        <v>381</v>
      </c>
      <c r="D23" s="62"/>
      <c r="E23" s="62"/>
      <c r="F23" s="62"/>
      <c r="G23" s="62"/>
      <c r="H23" s="62"/>
      <c r="I23" s="67"/>
      <c r="J23" s="74" t="str">
        <f t="shared" ca="1" si="0"/>
        <v/>
      </c>
      <c r="K23" s="19" t="s">
        <v>55</v>
      </c>
      <c r="L23" s="57">
        <f>IF(K23="Резчик ПРС 3 р.",5481)</f>
        <v>5481</v>
      </c>
      <c r="M23" s="20" t="s">
        <v>27</v>
      </c>
      <c r="N23" s="17"/>
      <c r="O23" s="27"/>
      <c r="P23" s="23" t="s">
        <v>185</v>
      </c>
      <c r="Q23" s="55">
        <f>IF(P23="Смена канатика",53279)</f>
        <v>53279</v>
      </c>
      <c r="R23" s="8"/>
      <c r="S23" s="8"/>
      <c r="T23" s="8"/>
      <c r="U23" s="8"/>
      <c r="V23" s="8"/>
      <c r="W23" s="8"/>
      <c r="X23" s="27"/>
    </row>
    <row r="24" spans="1:24">
      <c r="A24" s="16">
        <v>23</v>
      </c>
      <c r="B24" s="24" t="s">
        <v>102</v>
      </c>
      <c r="C24" s="18">
        <f>IF(B24="Гвоздь М.П.",561)</f>
        <v>561</v>
      </c>
      <c r="D24" s="63"/>
      <c r="E24" s="63"/>
      <c r="F24" s="63"/>
      <c r="G24" s="63"/>
      <c r="H24" s="63"/>
      <c r="I24" s="68"/>
      <c r="J24" s="74" t="str">
        <f t="shared" ca="1" si="0"/>
        <v/>
      </c>
      <c r="K24" s="19" t="s">
        <v>68</v>
      </c>
      <c r="L24" s="57">
        <f>IF(K24="Резчик ПРС 3 р. %",5481)</f>
        <v>5481</v>
      </c>
      <c r="M24" s="29" t="s">
        <v>29</v>
      </c>
      <c r="N24" s="17"/>
      <c r="O24" s="27"/>
      <c r="P24" s="23" t="s">
        <v>226</v>
      </c>
      <c r="Q24" s="55">
        <f>IF(P24="Смена нижних сушильных сеток 1-5-й сушильных групп",171505)</f>
        <v>171505</v>
      </c>
      <c r="R24" s="8"/>
      <c r="S24" s="8"/>
      <c r="T24" s="8"/>
      <c r="U24" s="8"/>
      <c r="V24" s="8"/>
      <c r="W24" s="8"/>
      <c r="X24" s="27"/>
    </row>
    <row r="25" spans="1:24">
      <c r="A25" s="16">
        <v>24</v>
      </c>
      <c r="B25" s="17" t="s">
        <v>46</v>
      </c>
      <c r="C25" s="20">
        <f>IF(B25="Гендик Н.В.",552)</f>
        <v>552</v>
      </c>
      <c r="D25" s="18"/>
      <c r="E25" s="18"/>
      <c r="F25" s="18"/>
      <c r="G25" s="18"/>
      <c r="H25" s="18"/>
      <c r="I25" s="70"/>
      <c r="J25" s="74" t="str">
        <f t="shared" ca="1" si="0"/>
        <v/>
      </c>
      <c r="K25" s="19" t="s">
        <v>54</v>
      </c>
      <c r="L25" s="57">
        <f>IF(K25="Резчик ПРС 4 р.",6375)</f>
        <v>6375</v>
      </c>
      <c r="M25" s="20" t="s">
        <v>74</v>
      </c>
      <c r="N25" s="12" t="s">
        <v>176</v>
      </c>
      <c r="O25" s="27"/>
      <c r="P25" s="23" t="s">
        <v>191</v>
      </c>
      <c r="Q25" s="55">
        <f>IF(P25="Смена прессовых сукон БДМ№2",43914)</f>
        <v>43914</v>
      </c>
      <c r="R25" s="27"/>
      <c r="S25" s="27"/>
      <c r="T25" s="30"/>
      <c r="U25" s="27"/>
      <c r="V25" s="27"/>
      <c r="W25" s="27"/>
      <c r="X25" s="27"/>
    </row>
    <row r="26" spans="1:24">
      <c r="A26" s="16">
        <v>25</v>
      </c>
      <c r="B26" s="24" t="s">
        <v>101</v>
      </c>
      <c r="C26" s="18">
        <f>IF(B26="Гончарук А.В.",652)</f>
        <v>652</v>
      </c>
      <c r="D26" s="18"/>
      <c r="E26" s="18"/>
      <c r="F26" s="18"/>
      <c r="G26" s="18"/>
      <c r="H26" s="18"/>
      <c r="I26" s="70"/>
      <c r="J26" s="74" t="str">
        <f t="shared" ca="1" si="0"/>
        <v/>
      </c>
      <c r="K26" s="17" t="s">
        <v>67</v>
      </c>
      <c r="L26" s="57">
        <f>IF(K26="Резчик ПРС 4 р. %",6375)</f>
        <v>6375</v>
      </c>
      <c r="M26" s="20" t="s">
        <v>87</v>
      </c>
      <c r="N26" s="23" t="s">
        <v>178</v>
      </c>
      <c r="O26" s="27"/>
      <c r="P26" s="23" t="s">
        <v>245</v>
      </c>
      <c r="Q26" s="55">
        <f>IF(P26="Смена прессовых сукон марки Гешмай со снятием сукна вруч-ю",139841)</f>
        <v>139841</v>
      </c>
      <c r="R26" s="27"/>
      <c r="S26" s="27"/>
      <c r="T26" s="30"/>
      <c r="U26" s="27"/>
      <c r="V26" s="27"/>
      <c r="W26" s="27"/>
      <c r="X26" s="27"/>
    </row>
    <row r="27" spans="1:24">
      <c r="A27" s="16">
        <v>26</v>
      </c>
      <c r="B27" s="24" t="s">
        <v>111</v>
      </c>
      <c r="C27" s="18">
        <f>IF(B27="Гончарук Т.И.",479)</f>
        <v>479</v>
      </c>
      <c r="D27" s="18"/>
      <c r="E27" s="18"/>
      <c r="F27" s="18"/>
      <c r="G27" s="18"/>
      <c r="H27" s="18"/>
      <c r="I27" s="70"/>
      <c r="J27" s="74" t="str">
        <f t="shared" ca="1" si="0"/>
        <v/>
      </c>
      <c r="K27" s="17" t="s">
        <v>49</v>
      </c>
      <c r="L27" s="57">
        <f>IF(K27="Сушильщик 4 р.",6375)</f>
        <v>6375</v>
      </c>
      <c r="M27" s="20" t="s">
        <v>28</v>
      </c>
      <c r="N27" s="23" t="s">
        <v>179</v>
      </c>
      <c r="O27" s="27"/>
      <c r="P27" s="23" t="s">
        <v>184</v>
      </c>
      <c r="Q27" s="55">
        <f>IF(P27="Смена сетки БДМ",285830)</f>
        <v>285830</v>
      </c>
      <c r="R27" s="27"/>
      <c r="S27" s="27"/>
      <c r="T27" s="30"/>
      <c r="U27" s="27"/>
      <c r="V27" s="27"/>
      <c r="W27" s="27"/>
      <c r="X27" s="27"/>
    </row>
    <row r="28" spans="1:24">
      <c r="A28" s="16">
        <v>27</v>
      </c>
      <c r="B28" s="24" t="s">
        <v>209</v>
      </c>
      <c r="C28" s="18">
        <f>IF(B28="Гридюшко П.А.",1499)</f>
        <v>1499</v>
      </c>
      <c r="D28" s="18"/>
      <c r="E28" s="18"/>
      <c r="F28" s="18"/>
      <c r="G28" s="18"/>
      <c r="H28" s="18"/>
      <c r="I28" s="70"/>
      <c r="J28" s="74" t="str">
        <f t="shared" ca="1" si="0"/>
        <v/>
      </c>
      <c r="K28" s="17" t="s">
        <v>62</v>
      </c>
      <c r="L28" s="57">
        <f>IF(K28="Сушильщик 4 р. %",6375)</f>
        <v>6375</v>
      </c>
      <c r="M28" s="20" t="s">
        <v>75</v>
      </c>
      <c r="N28" s="23" t="s">
        <v>177</v>
      </c>
      <c r="O28" s="27"/>
      <c r="P28" s="23" t="s">
        <v>193</v>
      </c>
      <c r="Q28" s="55">
        <f>IF(P28="Смена сетки БДМ№2",203513)</f>
        <v>203513</v>
      </c>
      <c r="R28" s="27"/>
      <c r="S28" s="27"/>
      <c r="T28" s="30"/>
      <c r="U28" s="27"/>
      <c r="V28" s="27"/>
      <c r="W28" s="27"/>
      <c r="X28" s="27"/>
    </row>
    <row r="29" spans="1:24">
      <c r="A29" s="16">
        <v>28</v>
      </c>
      <c r="B29" s="17" t="s">
        <v>40</v>
      </c>
      <c r="C29" s="18">
        <f>IF(B29="Грузд Н.Н.",1311)</f>
        <v>1311</v>
      </c>
      <c r="D29" s="18"/>
      <c r="E29" s="18"/>
      <c r="F29" s="18"/>
      <c r="G29" s="18"/>
      <c r="H29" s="18"/>
      <c r="I29" s="70"/>
      <c r="J29" s="74" t="str">
        <f t="shared" ca="1" si="0"/>
        <v/>
      </c>
      <c r="K29" s="17" t="s">
        <v>85</v>
      </c>
      <c r="L29" s="57"/>
      <c r="M29" s="20" t="s">
        <v>88</v>
      </c>
      <c r="N29" s="23"/>
      <c r="O29" s="27"/>
      <c r="P29" s="23" t="s">
        <v>192</v>
      </c>
      <c r="Q29" s="55">
        <f>IF(P29="Смена сушильных сеток БДМ№2",83586)</f>
        <v>83586</v>
      </c>
      <c r="R29" s="27"/>
      <c r="S29" s="27"/>
      <c r="T29" s="27"/>
      <c r="U29" s="27"/>
      <c r="V29" s="27"/>
      <c r="W29" s="27"/>
      <c r="X29" s="27"/>
    </row>
    <row r="30" spans="1:24">
      <c r="A30" s="16">
        <v>29</v>
      </c>
      <c r="B30" s="24" t="s">
        <v>104</v>
      </c>
      <c r="C30" s="18">
        <f>IF(B30="Дворянкина Е.Л.",508)</f>
        <v>508</v>
      </c>
      <c r="D30" s="18"/>
      <c r="E30" s="18"/>
      <c r="F30" s="18"/>
      <c r="G30" s="18"/>
      <c r="H30" s="18"/>
      <c r="I30" s="70"/>
      <c r="J30" s="74" t="str">
        <f t="shared" ca="1" si="0"/>
        <v/>
      </c>
      <c r="K30" s="17" t="s">
        <v>84</v>
      </c>
      <c r="L30" s="89"/>
      <c r="M30" s="20" t="s">
        <v>76</v>
      </c>
      <c r="N30" s="23"/>
      <c r="O30" s="27"/>
      <c r="P30" s="23" t="s">
        <v>186</v>
      </c>
      <c r="Q30" s="55">
        <f>IF(P30="Снятие сетки БДМ вручную",240807)</f>
        <v>240807</v>
      </c>
      <c r="R30" s="27"/>
      <c r="S30" s="27"/>
      <c r="T30" s="27"/>
      <c r="U30" s="27"/>
      <c r="V30" s="27"/>
      <c r="W30" s="27"/>
      <c r="X30" s="27"/>
    </row>
    <row r="31" spans="1:24">
      <c r="A31" s="16">
        <v>30</v>
      </c>
      <c r="B31" s="24" t="s">
        <v>128</v>
      </c>
      <c r="C31" s="18">
        <f>IF(B31="Дик А.С.",1089)</f>
        <v>1089</v>
      </c>
      <c r="D31" s="20"/>
      <c r="E31" s="20"/>
      <c r="F31" s="20"/>
      <c r="G31" s="20"/>
      <c r="H31" s="20"/>
      <c r="I31" s="71"/>
      <c r="J31" s="74" t="str">
        <f t="shared" ca="1" si="0"/>
        <v/>
      </c>
      <c r="K31" s="17"/>
      <c r="L31" s="57"/>
      <c r="M31" s="20" t="s">
        <v>77</v>
      </c>
      <c r="N31" s="23"/>
      <c r="O31" s="27"/>
      <c r="P31" s="53" t="s">
        <v>246</v>
      </c>
      <c r="Q31" s="55">
        <f>IF(P31="Снятие сукна марки Гешмай",70261)</f>
        <v>70261</v>
      </c>
      <c r="R31" s="27"/>
      <c r="S31" s="27"/>
      <c r="T31" s="30"/>
      <c r="U31" s="27"/>
      <c r="V31" s="27"/>
      <c r="W31" s="27"/>
      <c r="X31" s="27"/>
    </row>
    <row r="32" spans="1:24">
      <c r="A32" s="16">
        <v>31</v>
      </c>
      <c r="B32" s="24" t="s">
        <v>132</v>
      </c>
      <c r="C32" s="20">
        <f>IF(B32="Дорц Д.В.",1147)</f>
        <v>1147</v>
      </c>
      <c r="D32" s="62"/>
      <c r="E32" s="62"/>
      <c r="F32" s="62"/>
      <c r="G32" s="62"/>
      <c r="H32" s="62"/>
      <c r="I32" s="67"/>
      <c r="J32" s="74" t="str">
        <f t="shared" ca="1" si="0"/>
        <v/>
      </c>
      <c r="K32" s="17"/>
      <c r="L32" s="57"/>
      <c r="M32" s="20" t="s">
        <v>172</v>
      </c>
      <c r="N32" s="23"/>
      <c r="O32" s="27"/>
      <c r="P32" s="23" t="s">
        <v>181</v>
      </c>
      <c r="Q32" s="55">
        <f>IF(P32="Упаковка ролевой бумаги",3646)</f>
        <v>3646</v>
      </c>
      <c r="R32" s="27"/>
      <c r="S32" s="27"/>
      <c r="T32" s="30"/>
      <c r="U32" s="27"/>
      <c r="V32" s="27"/>
      <c r="W32" s="27"/>
      <c r="X32" s="27"/>
    </row>
    <row r="33" spans="1:24">
      <c r="A33" s="16">
        <v>32</v>
      </c>
      <c r="B33" s="24" t="s">
        <v>99</v>
      </c>
      <c r="C33" s="18">
        <f>IF(B33="Драгун В.В.",481)</f>
        <v>481</v>
      </c>
      <c r="D33" s="62"/>
      <c r="E33" s="62"/>
      <c r="F33" s="62"/>
      <c r="G33" s="62"/>
      <c r="H33" s="62"/>
      <c r="I33" s="67"/>
      <c r="J33" s="74" t="str">
        <f t="shared" ca="1" si="0"/>
        <v/>
      </c>
      <c r="K33" s="19"/>
      <c r="L33" s="57"/>
      <c r="M33" s="20" t="s">
        <v>91</v>
      </c>
      <c r="N33" s="23"/>
      <c r="O33" s="27"/>
      <c r="P33" s="23" t="s">
        <v>183</v>
      </c>
      <c r="Q33" s="55">
        <f>IF(P33="Упаковка ролевой документной бумаги",2512)</f>
        <v>2512</v>
      </c>
      <c r="R33" s="27"/>
      <c r="S33" s="27"/>
      <c r="T33" s="27"/>
      <c r="U33" s="27"/>
      <c r="V33" s="27"/>
      <c r="W33" s="27"/>
      <c r="X33" s="27"/>
    </row>
    <row r="34" spans="1:24">
      <c r="A34" s="16">
        <v>33</v>
      </c>
      <c r="B34" s="24" t="s">
        <v>208</v>
      </c>
      <c r="C34" s="18">
        <f>IF(B34="Драпезо Ю.Н.",548)</f>
        <v>548</v>
      </c>
      <c r="D34" s="62"/>
      <c r="E34" s="62"/>
      <c r="F34" s="62"/>
      <c r="G34" s="62"/>
      <c r="H34" s="62"/>
      <c r="I34" s="67"/>
      <c r="J34" s="74" t="str">
        <f t="shared" ca="1" si="0"/>
        <v/>
      </c>
      <c r="K34" s="19"/>
      <c r="L34" s="57"/>
      <c r="M34" s="20" t="s">
        <v>173</v>
      </c>
      <c r="N34" s="23"/>
      <c r="O34" s="27"/>
      <c r="P34" s="23" t="s">
        <v>187</v>
      </c>
      <c r="Q34" s="55">
        <f>IF(P34="Установка иглопробивного сукна",83288)</f>
        <v>83288</v>
      </c>
      <c r="R34" s="27"/>
      <c r="S34" s="27"/>
      <c r="T34" s="27"/>
      <c r="U34" s="27"/>
      <c r="V34" s="27"/>
      <c r="W34" s="27"/>
      <c r="X34" s="27"/>
    </row>
    <row r="35" spans="1:24">
      <c r="A35" s="16">
        <v>34</v>
      </c>
      <c r="B35" s="24" t="s">
        <v>137</v>
      </c>
      <c r="C35" s="18">
        <f>IF(B35="Драч М.В.",1659)</f>
        <v>1659</v>
      </c>
      <c r="D35" s="62"/>
      <c r="E35" s="62"/>
      <c r="F35" s="62"/>
      <c r="G35" s="62"/>
      <c r="H35" s="62"/>
      <c r="I35" s="67"/>
      <c r="J35" s="74" t="str">
        <f t="shared" ca="1" si="0"/>
        <v/>
      </c>
      <c r="K35" s="19"/>
      <c r="L35" s="57"/>
      <c r="M35" s="34"/>
      <c r="O35" s="27"/>
      <c r="P35" s="23" t="s">
        <v>224</v>
      </c>
      <c r="Q35" s="55">
        <f>IF(P35="Чистка ГРВ и ГРГ",36134)</f>
        <v>36134</v>
      </c>
      <c r="R35" s="27"/>
      <c r="S35" s="27"/>
      <c r="T35" s="30"/>
      <c r="U35" s="27"/>
      <c r="V35" s="27"/>
      <c r="W35" s="27"/>
      <c r="X35" s="27"/>
    </row>
    <row r="36" spans="1:24">
      <c r="A36" s="16">
        <v>35</v>
      </c>
      <c r="B36" s="24" t="s">
        <v>122</v>
      </c>
      <c r="C36" s="18">
        <f>IF(B36="Дроздецкий В.С.",1335)</f>
        <v>1335</v>
      </c>
      <c r="D36" s="62"/>
      <c r="E36" s="62"/>
      <c r="F36" s="62"/>
      <c r="G36" s="62"/>
      <c r="H36" s="62"/>
      <c r="I36" s="67"/>
      <c r="J36" s="74" t="str">
        <f t="shared" ca="1" si="0"/>
        <v/>
      </c>
      <c r="K36" s="19"/>
      <c r="L36" s="57"/>
      <c r="M36" s="20"/>
      <c r="O36" s="27"/>
      <c r="P36" s="23" t="s">
        <v>247</v>
      </c>
      <c r="Q36" s="55">
        <f>IF(P36="Чистка скребками и промывка бассейнов: машинного,массного",43026)</f>
        <v>43026</v>
      </c>
      <c r="R36" s="27"/>
      <c r="S36" s="27"/>
      <c r="T36" s="30"/>
      <c r="U36" s="27"/>
      <c r="V36" s="27"/>
      <c r="W36" s="27"/>
      <c r="X36" s="27"/>
    </row>
    <row r="37" spans="1:24">
      <c r="A37" s="16">
        <v>36</v>
      </c>
      <c r="B37" s="24" t="s">
        <v>214</v>
      </c>
      <c r="C37" s="18">
        <f>IF(B37="Дунаев С.Е.",2035)</f>
        <v>2035</v>
      </c>
      <c r="D37" s="63"/>
      <c r="E37" s="63"/>
      <c r="F37" s="63"/>
      <c r="G37" s="63"/>
      <c r="H37" s="63"/>
      <c r="I37" s="68"/>
      <c r="J37" s="74" t="str">
        <f t="shared" ca="1" si="0"/>
        <v/>
      </c>
      <c r="K37" s="19"/>
      <c r="L37" s="57"/>
      <c r="M37" s="29"/>
      <c r="O37" s="27"/>
      <c r="P37" s="23" t="s">
        <v>248</v>
      </c>
      <c r="Q37" s="55">
        <f>IF(P37="Чистка скребками и промывка бассейнов: приёмный, размольный",32283)</f>
        <v>32283</v>
      </c>
      <c r="R37" s="27"/>
      <c r="S37" s="27"/>
      <c r="T37" s="30"/>
      <c r="U37" s="27"/>
      <c r="V37" s="27"/>
      <c r="W37" s="27"/>
      <c r="X37" s="27"/>
    </row>
    <row r="38" spans="1:24">
      <c r="A38" s="16">
        <v>37</v>
      </c>
      <c r="B38" s="23" t="s">
        <v>201</v>
      </c>
      <c r="C38" s="20">
        <f>IF(B38="Жавранок И.Г.",712)</f>
        <v>712</v>
      </c>
      <c r="D38" s="62"/>
      <c r="E38" s="62"/>
      <c r="F38" s="62"/>
      <c r="G38" s="62"/>
      <c r="H38" s="62"/>
      <c r="I38" s="67"/>
      <c r="J38" s="74" t="str">
        <f t="shared" ca="1" si="0"/>
        <v/>
      </c>
      <c r="K38" s="19"/>
      <c r="L38" s="57"/>
      <c r="M38" s="29"/>
      <c r="O38" s="27"/>
      <c r="P38" s="53" t="s">
        <v>227</v>
      </c>
      <c r="Q38" s="55">
        <f>IF(P38="Чистка скребками и промывка бассейнов:избыт. и регистр.воды",32283)</f>
        <v>32283</v>
      </c>
      <c r="R38" s="27"/>
      <c r="S38" s="27"/>
      <c r="T38" s="30"/>
      <c r="U38" s="27"/>
      <c r="V38" s="27"/>
      <c r="W38" s="27"/>
      <c r="X38" s="27"/>
    </row>
    <row r="39" spans="1:24">
      <c r="A39" s="16">
        <v>38</v>
      </c>
      <c r="B39" s="24" t="s">
        <v>106</v>
      </c>
      <c r="C39" s="18">
        <f>IF(B39="Жердочкина А.М.",1141)</f>
        <v>1141</v>
      </c>
      <c r="D39" s="62"/>
      <c r="E39" s="62"/>
      <c r="F39" s="62"/>
      <c r="G39" s="62"/>
      <c r="H39" s="62"/>
      <c r="I39" s="67"/>
      <c r="J39" s="74" t="str">
        <f t="shared" ca="1" si="0"/>
        <v/>
      </c>
      <c r="K39" s="31"/>
      <c r="L39" s="59"/>
      <c r="M39" s="29"/>
      <c r="O39" s="27"/>
      <c r="P39" s="27"/>
      <c r="Q39" s="27"/>
      <c r="R39" s="27"/>
      <c r="S39" s="27"/>
      <c r="T39" s="30"/>
      <c r="U39" s="27"/>
      <c r="V39" s="27"/>
      <c r="W39" s="27"/>
      <c r="X39" s="27"/>
    </row>
    <row r="40" spans="1:24">
      <c r="A40" s="16">
        <v>39</v>
      </c>
      <c r="B40" s="17" t="s">
        <v>161</v>
      </c>
      <c r="C40" s="18">
        <f>IF(B40="Жизневская Т.Ф.",491)</f>
        <v>491</v>
      </c>
      <c r="D40" s="63"/>
      <c r="E40" s="63"/>
      <c r="F40" s="63"/>
      <c r="G40" s="63"/>
      <c r="H40" s="63"/>
      <c r="I40" s="68"/>
      <c r="J40" s="74" t="str">
        <f t="shared" ca="1" si="0"/>
        <v/>
      </c>
      <c r="K40" s="31"/>
      <c r="L40" s="59"/>
      <c r="M40" s="29"/>
      <c r="O40" s="27"/>
      <c r="P40" s="27"/>
      <c r="Q40" s="27"/>
      <c r="R40" s="27"/>
      <c r="S40" s="27"/>
      <c r="T40" s="30"/>
      <c r="U40" s="27"/>
      <c r="V40" s="27"/>
      <c r="W40" s="27"/>
      <c r="X40" s="27"/>
    </row>
    <row r="41" spans="1:24">
      <c r="A41" s="16">
        <v>40</v>
      </c>
      <c r="B41" s="24" t="s">
        <v>126</v>
      </c>
      <c r="C41" s="20">
        <f>IF(B41="Жудрак Л.В.",1500)</f>
        <v>1500</v>
      </c>
      <c r="D41" s="62"/>
      <c r="E41" s="62"/>
      <c r="F41" s="62"/>
      <c r="G41" s="62"/>
      <c r="H41" s="62"/>
      <c r="I41" s="67"/>
      <c r="J41" s="74" t="str">
        <f t="shared" ca="1" si="0"/>
        <v/>
      </c>
      <c r="K41" s="31"/>
      <c r="L41" s="59"/>
      <c r="M41" s="29"/>
      <c r="O41" s="27"/>
      <c r="P41" s="27"/>
      <c r="Q41" s="27"/>
      <c r="R41" s="27"/>
      <c r="S41" s="27"/>
      <c r="T41" s="30"/>
      <c r="U41" s="27"/>
      <c r="V41" s="27"/>
      <c r="W41" s="27"/>
      <c r="X41" s="27"/>
    </row>
    <row r="42" spans="1:24">
      <c r="A42" s="16">
        <v>41</v>
      </c>
      <c r="B42" s="17" t="s">
        <v>23</v>
      </c>
      <c r="C42" s="18">
        <f>IF(B42="Залан А.В.",856)</f>
        <v>856</v>
      </c>
      <c r="D42" s="63"/>
      <c r="E42" s="63"/>
      <c r="F42" s="63"/>
      <c r="G42" s="63"/>
      <c r="H42" s="63"/>
      <c r="I42" s="68"/>
      <c r="J42" s="74" t="str">
        <f t="shared" ca="1" si="0"/>
        <v/>
      </c>
      <c r="K42" s="31"/>
      <c r="L42" s="59"/>
      <c r="M42" s="29"/>
      <c r="O42" s="27"/>
      <c r="P42" s="27"/>
      <c r="Q42" s="27"/>
      <c r="R42" s="27"/>
      <c r="S42" s="27"/>
      <c r="T42" s="30"/>
      <c r="U42" s="27"/>
      <c r="V42" s="27"/>
      <c r="W42" s="27"/>
      <c r="X42" s="27"/>
    </row>
    <row r="43" spans="1:24">
      <c r="A43" s="16">
        <v>42</v>
      </c>
      <c r="B43" s="24" t="s">
        <v>98</v>
      </c>
      <c r="C43" s="20">
        <f>IF(B43="Захаров С.А.",853)</f>
        <v>853</v>
      </c>
      <c r="D43" s="62"/>
      <c r="E43" s="62"/>
      <c r="F43" s="62"/>
      <c r="G43" s="62"/>
      <c r="H43" s="62"/>
      <c r="I43" s="67"/>
      <c r="J43" s="74" t="str">
        <f t="shared" ca="1" si="0"/>
        <v/>
      </c>
      <c r="K43" s="31"/>
      <c r="L43" s="59"/>
      <c r="M43" s="29"/>
      <c r="O43" s="27"/>
      <c r="P43" s="27"/>
      <c r="Q43" s="27"/>
      <c r="R43" s="27"/>
      <c r="S43" s="27"/>
      <c r="T43" s="30"/>
      <c r="U43" s="27"/>
      <c r="V43" s="27"/>
      <c r="W43" s="27"/>
      <c r="X43" s="27"/>
    </row>
    <row r="44" spans="1:24">
      <c r="A44" s="16">
        <v>43</v>
      </c>
      <c r="B44" s="17" t="s">
        <v>42</v>
      </c>
      <c r="C44" s="18">
        <f>IF(B44="Заяц Т.Л.",509)</f>
        <v>509</v>
      </c>
      <c r="D44" s="63"/>
      <c r="E44" s="63"/>
      <c r="F44" s="63"/>
      <c r="G44" s="63"/>
      <c r="H44" s="63"/>
      <c r="I44" s="68"/>
      <c r="J44" s="74" t="str">
        <f t="shared" ca="1" si="0"/>
        <v/>
      </c>
      <c r="K44" s="31"/>
      <c r="L44" s="59"/>
      <c r="M44" s="29"/>
      <c r="O44" s="27"/>
      <c r="P44" s="27"/>
      <c r="Q44" s="27"/>
      <c r="R44" s="27"/>
      <c r="S44" s="27"/>
      <c r="T44" s="27"/>
      <c r="U44" s="27"/>
    </row>
    <row r="45" spans="1:24">
      <c r="A45" s="16">
        <v>44</v>
      </c>
      <c r="B45" s="24" t="s">
        <v>219</v>
      </c>
      <c r="C45" s="20">
        <f>IF(B45="Зеленкевич  Нат.В.",501)</f>
        <v>501</v>
      </c>
      <c r="D45" s="62"/>
      <c r="E45" s="62"/>
      <c r="F45" s="62"/>
      <c r="G45" s="62"/>
      <c r="H45" s="62"/>
      <c r="I45" s="67"/>
      <c r="J45" s="74" t="str">
        <f t="shared" ca="1" si="0"/>
        <v/>
      </c>
      <c r="K45" s="31"/>
      <c r="L45" s="59"/>
      <c r="M45" s="29"/>
    </row>
    <row r="46" spans="1:24">
      <c r="A46" s="16">
        <v>45</v>
      </c>
      <c r="B46" s="24" t="s">
        <v>139</v>
      </c>
      <c r="C46" s="18">
        <f>IF(B46="Зеленкевич  Ник.В.",1083)</f>
        <v>1083</v>
      </c>
      <c r="D46" s="62"/>
      <c r="E46" s="62"/>
      <c r="F46" s="62"/>
      <c r="G46" s="62"/>
      <c r="H46" s="62"/>
      <c r="I46" s="67"/>
      <c r="J46" s="74" t="str">
        <f t="shared" ca="1" si="0"/>
        <v/>
      </c>
      <c r="K46" s="31"/>
      <c r="L46" s="59"/>
      <c r="M46" s="29"/>
    </row>
    <row r="47" spans="1:24">
      <c r="A47" s="16">
        <v>46</v>
      </c>
      <c r="B47" s="24" t="s">
        <v>135</v>
      </c>
      <c r="C47" s="18">
        <f>IF(B47="Зеленко В.Л.",1360)</f>
        <v>1360</v>
      </c>
      <c r="D47" s="62"/>
      <c r="E47" s="62"/>
      <c r="F47" s="62"/>
      <c r="G47" s="62"/>
      <c r="H47" s="62"/>
      <c r="I47" s="67"/>
      <c r="J47" s="74" t="str">
        <f t="shared" ca="1" si="0"/>
        <v/>
      </c>
      <c r="K47" s="31"/>
      <c r="L47" s="59"/>
      <c r="M47" s="29"/>
    </row>
    <row r="48" spans="1:24">
      <c r="A48" s="16">
        <v>47</v>
      </c>
      <c r="B48" s="17" t="s">
        <v>43</v>
      </c>
      <c r="C48" s="18">
        <f>IF(B48="Кадевич О.В.",1379)</f>
        <v>1379</v>
      </c>
      <c r="D48" s="63"/>
      <c r="E48" s="63"/>
      <c r="F48" s="63"/>
      <c r="G48" s="63"/>
      <c r="H48" s="63"/>
      <c r="I48" s="68"/>
      <c r="J48" s="74" t="str">
        <f t="shared" ca="1" si="0"/>
        <v/>
      </c>
      <c r="K48" s="31"/>
      <c r="L48" s="59"/>
      <c r="M48" s="29"/>
    </row>
    <row r="49" spans="1:13">
      <c r="A49" s="16">
        <v>48</v>
      </c>
      <c r="B49" s="24" t="s">
        <v>130</v>
      </c>
      <c r="C49" s="20">
        <f>IF(B49="Каляпина К.А.",1537)</f>
        <v>1537</v>
      </c>
      <c r="D49" s="63"/>
      <c r="E49" s="63"/>
      <c r="F49" s="63"/>
      <c r="G49" s="63"/>
      <c r="H49" s="63"/>
      <c r="I49" s="68"/>
      <c r="J49" s="74" t="str">
        <f t="shared" ca="1" si="0"/>
        <v/>
      </c>
      <c r="K49" s="31"/>
      <c r="L49" s="59"/>
      <c r="M49" s="29"/>
    </row>
    <row r="50" spans="1:13">
      <c r="A50" s="16">
        <v>49</v>
      </c>
      <c r="B50" s="24" t="s">
        <v>108</v>
      </c>
      <c r="C50" s="20">
        <f>IF(B50="Карась А.Н.",2100)</f>
        <v>2100</v>
      </c>
      <c r="D50" s="63"/>
      <c r="E50" s="63"/>
      <c r="F50" s="63"/>
      <c r="G50" s="63"/>
      <c r="H50" s="63"/>
      <c r="I50" s="68"/>
      <c r="J50" s="74" t="str">
        <f t="shared" ca="1" si="0"/>
        <v/>
      </c>
      <c r="K50" s="31"/>
      <c r="L50" s="59"/>
      <c r="M50" s="29"/>
    </row>
    <row r="51" spans="1:13">
      <c r="A51" s="16">
        <v>50</v>
      </c>
      <c r="B51" s="23" t="s">
        <v>222</v>
      </c>
      <c r="C51" s="20">
        <f>IF(B51="Кирилуша С.В.",497)</f>
        <v>497</v>
      </c>
      <c r="D51" s="62"/>
      <c r="E51" s="62"/>
      <c r="F51" s="62"/>
      <c r="G51" s="62"/>
      <c r="H51" s="62"/>
      <c r="I51" s="67"/>
      <c r="J51" s="74" t="str">
        <f t="shared" ca="1" si="0"/>
        <v/>
      </c>
      <c r="K51" s="31"/>
      <c r="L51" s="59"/>
      <c r="M51" s="29"/>
    </row>
    <row r="52" spans="1:13">
      <c r="A52" s="16">
        <v>51</v>
      </c>
      <c r="B52" s="24" t="s">
        <v>32</v>
      </c>
      <c r="C52" s="18">
        <f>IF(B52="Ковалёв Д.А.",1538)</f>
        <v>1538</v>
      </c>
      <c r="D52" s="63"/>
      <c r="E52" s="63"/>
      <c r="F52" s="63"/>
      <c r="G52" s="63"/>
      <c r="H52" s="63"/>
      <c r="I52" s="68"/>
      <c r="J52" s="74" t="str">
        <f t="shared" ca="1" si="0"/>
        <v/>
      </c>
      <c r="K52" s="31"/>
      <c r="L52" s="59"/>
      <c r="M52" s="29"/>
    </row>
    <row r="53" spans="1:13">
      <c r="A53" s="16">
        <v>52</v>
      </c>
      <c r="B53" s="24" t="s">
        <v>215</v>
      </c>
      <c r="C53" s="20">
        <f>IF(B53="Коваль О.Г.",1497)</f>
        <v>1497</v>
      </c>
      <c r="D53" s="62"/>
      <c r="E53" s="62"/>
      <c r="F53" s="62"/>
      <c r="G53" s="62"/>
      <c r="H53" s="62"/>
      <c r="I53" s="67"/>
      <c r="J53" s="74" t="str">
        <f t="shared" ca="1" si="0"/>
        <v/>
      </c>
      <c r="K53" s="31"/>
      <c r="L53" s="59"/>
      <c r="M53" s="29"/>
    </row>
    <row r="54" spans="1:13">
      <c r="A54" s="16">
        <v>53</v>
      </c>
      <c r="B54" s="24" t="s">
        <v>216</v>
      </c>
      <c r="C54" s="18">
        <f>IF(B54="Козаков С.Л.",1404)</f>
        <v>1404</v>
      </c>
      <c r="D54" s="62"/>
      <c r="E54" s="62"/>
      <c r="F54" s="62"/>
      <c r="G54" s="62"/>
      <c r="H54" s="62"/>
      <c r="I54" s="67"/>
      <c r="J54" s="74" t="str">
        <f t="shared" ca="1" si="0"/>
        <v/>
      </c>
      <c r="K54" s="31"/>
      <c r="L54" s="59"/>
      <c r="M54" s="29"/>
    </row>
    <row r="55" spans="1:13">
      <c r="A55" s="16">
        <v>54</v>
      </c>
      <c r="B55" s="17" t="s">
        <v>47</v>
      </c>
      <c r="C55" s="18">
        <f>IF(B55="Комадей Д.В.",1454)</f>
        <v>1454</v>
      </c>
      <c r="D55" s="63"/>
      <c r="E55" s="63"/>
      <c r="F55" s="63"/>
      <c r="G55" s="63"/>
      <c r="H55" s="63"/>
      <c r="I55" s="68"/>
      <c r="J55" s="74" t="str">
        <f t="shared" ca="1" si="0"/>
        <v/>
      </c>
      <c r="K55" s="31"/>
      <c r="L55" s="59"/>
      <c r="M55" s="29"/>
    </row>
    <row r="56" spans="1:13">
      <c r="A56" s="16">
        <v>55</v>
      </c>
      <c r="B56" s="23" t="s">
        <v>202</v>
      </c>
      <c r="C56" s="20">
        <f>IF(B56="Конон Н.В.",2338)</f>
        <v>2338</v>
      </c>
      <c r="D56" s="62"/>
      <c r="E56" s="62"/>
      <c r="F56" s="62"/>
      <c r="G56" s="62"/>
      <c r="H56" s="62"/>
      <c r="I56" s="67"/>
      <c r="J56" s="74" t="str">
        <f t="shared" ca="1" si="0"/>
        <v/>
      </c>
      <c r="K56" s="31"/>
      <c r="L56" s="59"/>
      <c r="M56" s="29"/>
    </row>
    <row r="57" spans="1:13">
      <c r="A57" s="16">
        <v>56</v>
      </c>
      <c r="B57" s="24" t="s">
        <v>125</v>
      </c>
      <c r="C57" s="18">
        <f>IF(B57="Короленко А.В.",532)</f>
        <v>532</v>
      </c>
      <c r="D57" s="62"/>
      <c r="E57" s="62"/>
      <c r="F57" s="62"/>
      <c r="G57" s="62"/>
      <c r="H57" s="62"/>
      <c r="I57" s="67"/>
      <c r="J57" s="74" t="str">
        <f t="shared" ca="1" si="0"/>
        <v/>
      </c>
      <c r="K57" s="31"/>
      <c r="L57" s="59"/>
      <c r="M57" s="29"/>
    </row>
    <row r="58" spans="1:13">
      <c r="A58" s="16">
        <v>57</v>
      </c>
      <c r="B58" s="24" t="s">
        <v>217</v>
      </c>
      <c r="C58" s="18">
        <f>IF(B58="Костин А.М.",1653)</f>
        <v>1653</v>
      </c>
      <c r="D58" s="63"/>
      <c r="E58" s="63"/>
      <c r="F58" s="63"/>
      <c r="G58" s="63"/>
      <c r="H58" s="63"/>
      <c r="I58" s="68"/>
      <c r="J58" s="74" t="str">
        <f t="shared" ca="1" si="0"/>
        <v/>
      </c>
      <c r="K58" s="31"/>
      <c r="L58" s="59"/>
      <c r="M58" s="29"/>
    </row>
    <row r="59" spans="1:13">
      <c r="A59" s="16">
        <v>58</v>
      </c>
      <c r="B59" s="17" t="s">
        <v>41</v>
      </c>
      <c r="C59" s="20">
        <f>IF(B59="Кудревич О.М.",170)</f>
        <v>170</v>
      </c>
      <c r="D59" s="63"/>
      <c r="E59" s="63"/>
      <c r="F59" s="63"/>
      <c r="G59" s="63"/>
      <c r="H59" s="63"/>
      <c r="I59" s="68"/>
      <c r="J59" s="74" t="str">
        <f t="shared" ca="1" si="0"/>
        <v/>
      </c>
      <c r="K59" s="31"/>
      <c r="L59" s="59"/>
      <c r="M59" s="29"/>
    </row>
    <row r="60" spans="1:13">
      <c r="A60" s="16">
        <v>59</v>
      </c>
      <c r="B60" s="23" t="s">
        <v>166</v>
      </c>
      <c r="C60" s="20">
        <f>IF(B60="Кузьбар И.Н.",1637)</f>
        <v>1637</v>
      </c>
      <c r="D60" s="62"/>
      <c r="E60" s="62"/>
      <c r="F60" s="62"/>
      <c r="G60" s="62"/>
      <c r="H60" s="62"/>
      <c r="I60" s="67"/>
      <c r="J60" s="74" t="str">
        <f t="shared" ca="1" si="0"/>
        <v/>
      </c>
      <c r="K60" s="31"/>
      <c r="L60" s="59"/>
      <c r="M60" s="29"/>
    </row>
    <row r="61" spans="1:13">
      <c r="A61" s="16">
        <v>60</v>
      </c>
      <c r="B61" s="24" t="s">
        <v>113</v>
      </c>
      <c r="C61" s="18">
        <f>IF(B61="Курносова О.Ф.",478)</f>
        <v>478</v>
      </c>
      <c r="D61" s="62"/>
      <c r="E61" s="62"/>
      <c r="F61" s="62"/>
      <c r="G61" s="62"/>
      <c r="H61" s="62"/>
      <c r="I61" s="67"/>
      <c r="J61" s="74" t="str">
        <f t="shared" ca="1" si="0"/>
        <v/>
      </c>
      <c r="K61" s="31"/>
      <c r="L61" s="59"/>
      <c r="M61" s="29"/>
    </row>
    <row r="62" spans="1:13">
      <c r="A62" s="16">
        <v>61</v>
      </c>
      <c r="B62" s="24" t="s">
        <v>103</v>
      </c>
      <c r="C62" s="18">
        <f>IF(B62="Кучинская Е.М.",708)</f>
        <v>708</v>
      </c>
      <c r="D62" s="63"/>
      <c r="E62" s="63"/>
      <c r="F62" s="63"/>
      <c r="G62" s="63"/>
      <c r="H62" s="63"/>
      <c r="I62" s="68"/>
      <c r="J62" s="74" t="str">
        <f t="shared" ca="1" si="0"/>
        <v/>
      </c>
      <c r="K62" s="31"/>
      <c r="L62" s="59"/>
      <c r="M62" s="29"/>
    </row>
    <row r="63" spans="1:13">
      <c r="A63" s="16">
        <v>62</v>
      </c>
      <c r="B63" s="24" t="s">
        <v>100</v>
      </c>
      <c r="C63" s="20">
        <f>IF(B63="Лебедев О.Л.",514)</f>
        <v>514</v>
      </c>
      <c r="D63" s="63"/>
      <c r="E63" s="63"/>
      <c r="F63" s="63"/>
      <c r="G63" s="63"/>
      <c r="H63" s="63"/>
      <c r="I63" s="68"/>
      <c r="J63" s="74" t="str">
        <f t="shared" ca="1" si="0"/>
        <v/>
      </c>
      <c r="K63" s="31"/>
      <c r="L63" s="59"/>
      <c r="M63" s="29"/>
    </row>
    <row r="64" spans="1:13">
      <c r="A64" s="16">
        <v>63</v>
      </c>
      <c r="B64" s="24" t="s">
        <v>117</v>
      </c>
      <c r="C64" s="20">
        <f>IF(B64="Ливанович С.В.",536)</f>
        <v>536</v>
      </c>
      <c r="D64" s="62"/>
      <c r="E64" s="62"/>
      <c r="F64" s="62"/>
      <c r="G64" s="62"/>
      <c r="H64" s="62"/>
      <c r="I64" s="67"/>
      <c r="J64" s="74" t="str">
        <f t="shared" ca="1" si="0"/>
        <v/>
      </c>
      <c r="K64" s="31"/>
      <c r="L64" s="59"/>
      <c r="M64" s="29"/>
    </row>
    <row r="65" spans="1:13">
      <c r="A65" s="16">
        <v>64</v>
      </c>
      <c r="B65" s="17" t="s">
        <v>39</v>
      </c>
      <c r="C65" s="18">
        <f>IF(B65="Лысковец А.Н.",1291)</f>
        <v>1291</v>
      </c>
      <c r="D65" s="62"/>
      <c r="E65" s="62"/>
      <c r="F65" s="62"/>
      <c r="G65" s="62"/>
      <c r="H65" s="62"/>
      <c r="I65" s="67"/>
      <c r="J65" s="74" t="str">
        <f t="shared" ca="1" si="0"/>
        <v/>
      </c>
      <c r="K65" s="31"/>
      <c r="L65" s="59"/>
      <c r="M65" s="29"/>
    </row>
    <row r="66" spans="1:13">
      <c r="A66" s="16">
        <v>65</v>
      </c>
      <c r="B66" s="24" t="s">
        <v>195</v>
      </c>
      <c r="C66" s="18">
        <f>IF(B66="Лысковец О.И.",1517)</f>
        <v>1517</v>
      </c>
      <c r="D66" s="62"/>
      <c r="E66" s="62"/>
      <c r="F66" s="62"/>
      <c r="G66" s="62"/>
      <c r="H66" s="62"/>
      <c r="I66" s="67"/>
      <c r="J66" s="74" t="str">
        <f t="shared" ca="1" si="0"/>
        <v/>
      </c>
      <c r="K66" s="31"/>
      <c r="L66" s="59"/>
      <c r="M66" s="29"/>
    </row>
    <row r="67" spans="1:13">
      <c r="A67" s="16">
        <v>66</v>
      </c>
      <c r="B67" s="24" t="s">
        <v>127</v>
      </c>
      <c r="C67" s="18">
        <f>IF(B67="Макатерчик А.Н.",1307)</f>
        <v>1307</v>
      </c>
      <c r="D67" s="62"/>
      <c r="E67" s="62"/>
      <c r="F67" s="62"/>
      <c r="G67" s="62"/>
      <c r="H67" s="62"/>
      <c r="I67" s="67"/>
      <c r="J67" s="74" t="str">
        <f t="shared" ref="J67:J104" ca="1" si="1">IF(I67="","",SUM(TODAY()-I67)/365)</f>
        <v/>
      </c>
      <c r="K67" s="31"/>
      <c r="L67" s="59"/>
      <c r="M67" s="29"/>
    </row>
    <row r="68" spans="1:13">
      <c r="A68" s="16">
        <v>67</v>
      </c>
      <c r="B68" s="17" t="s">
        <v>59</v>
      </c>
      <c r="C68" s="18">
        <f>IF(B68="Макрицкий Ю.В.",2108)</f>
        <v>2108</v>
      </c>
      <c r="D68" s="62"/>
      <c r="E68" s="62"/>
      <c r="F68" s="62"/>
      <c r="G68" s="62"/>
      <c r="H68" s="62"/>
      <c r="I68" s="67"/>
      <c r="J68" s="74" t="str">
        <f t="shared" ca="1" si="1"/>
        <v/>
      </c>
      <c r="K68" s="31"/>
      <c r="L68" s="59"/>
      <c r="M68" s="29"/>
    </row>
    <row r="69" spans="1:13">
      <c r="A69" s="16">
        <v>68</v>
      </c>
      <c r="B69" s="24" t="s">
        <v>129</v>
      </c>
      <c r="C69" s="18">
        <f>IF(B69="Маркелов Д.Н.",1675)</f>
        <v>1675</v>
      </c>
      <c r="D69" s="63"/>
      <c r="E69" s="63"/>
      <c r="F69" s="63"/>
      <c r="G69" s="63"/>
      <c r="H69" s="63"/>
      <c r="I69" s="68"/>
      <c r="J69" s="74" t="str">
        <f t="shared" ca="1" si="1"/>
        <v/>
      </c>
      <c r="K69" s="31"/>
      <c r="L69" s="59"/>
      <c r="M69" s="29"/>
    </row>
    <row r="70" spans="1:13">
      <c r="A70" s="16">
        <v>69</v>
      </c>
      <c r="B70" s="24" t="s">
        <v>107</v>
      </c>
      <c r="C70" s="20">
        <f>IF(B70="Мисник Ю.А.",603)</f>
        <v>603</v>
      </c>
      <c r="D70" s="62"/>
      <c r="E70" s="62"/>
      <c r="F70" s="62"/>
      <c r="G70" s="62"/>
      <c r="H70" s="62"/>
      <c r="I70" s="67"/>
      <c r="J70" s="74" t="str">
        <f t="shared" ca="1" si="1"/>
        <v/>
      </c>
      <c r="K70" s="31"/>
      <c r="L70" s="59"/>
      <c r="M70" s="29"/>
    </row>
    <row r="71" spans="1:13">
      <c r="A71" s="16">
        <v>70</v>
      </c>
      <c r="B71" s="17" t="s">
        <v>26</v>
      </c>
      <c r="C71" s="18">
        <f>IF(B71="Мишук А.В.",1677)</f>
        <v>1677</v>
      </c>
      <c r="D71" s="62"/>
      <c r="E71" s="62"/>
      <c r="F71" s="62"/>
      <c r="G71" s="62"/>
      <c r="H71" s="62"/>
      <c r="I71" s="67"/>
      <c r="J71" s="74" t="str">
        <f t="shared" ca="1" si="1"/>
        <v/>
      </c>
      <c r="K71" s="31"/>
      <c r="L71" s="59"/>
      <c r="M71" s="29"/>
    </row>
    <row r="72" spans="1:13">
      <c r="A72" s="16">
        <v>71</v>
      </c>
      <c r="B72" s="23" t="s">
        <v>221</v>
      </c>
      <c r="C72" s="20">
        <f>IF(B72="Мишук В.В.",2037)</f>
        <v>2037</v>
      </c>
      <c r="D72" s="63"/>
      <c r="E72" s="63"/>
      <c r="F72" s="63"/>
      <c r="G72" s="63"/>
      <c r="H72" s="63"/>
      <c r="I72" s="68"/>
      <c r="J72" s="74" t="str">
        <f t="shared" ca="1" si="1"/>
        <v/>
      </c>
      <c r="K72" s="31"/>
      <c r="L72" s="59"/>
      <c r="M72" s="29"/>
    </row>
    <row r="73" spans="1:13">
      <c r="A73" s="16">
        <v>72</v>
      </c>
      <c r="B73" s="24" t="s">
        <v>118</v>
      </c>
      <c r="C73" s="18">
        <f>IF(B73="Мишук О.В.",2127)</f>
        <v>2127</v>
      </c>
      <c r="D73" s="62"/>
      <c r="E73" s="62"/>
      <c r="F73" s="62"/>
      <c r="G73" s="62"/>
      <c r="H73" s="62"/>
      <c r="I73" s="67"/>
      <c r="J73" s="74" t="str">
        <f t="shared" ca="1" si="1"/>
        <v/>
      </c>
      <c r="K73" s="31"/>
      <c r="L73" s="59"/>
      <c r="M73" s="29"/>
    </row>
    <row r="74" spans="1:13">
      <c r="A74" s="16">
        <v>73</v>
      </c>
      <c r="B74" s="17" t="s">
        <v>58</v>
      </c>
      <c r="C74" s="18">
        <f>IF(B74="Мишук Р.В.",300)</f>
        <v>300</v>
      </c>
      <c r="D74" s="62"/>
      <c r="E74" s="62"/>
      <c r="F74" s="62"/>
      <c r="G74" s="62"/>
      <c r="H74" s="62"/>
      <c r="I74" s="67"/>
      <c r="J74" s="74" t="str">
        <f t="shared" ca="1" si="1"/>
        <v/>
      </c>
      <c r="K74" s="31"/>
      <c r="L74" s="59"/>
      <c r="M74" s="29"/>
    </row>
    <row r="75" spans="1:13">
      <c r="A75" s="16">
        <v>74</v>
      </c>
      <c r="B75" s="17" t="s">
        <v>83</v>
      </c>
      <c r="C75" s="18">
        <f>IF(B75="Мороз А.П.",1503)</f>
        <v>1503</v>
      </c>
      <c r="D75" s="62"/>
      <c r="E75" s="62"/>
      <c r="F75" s="62"/>
      <c r="G75" s="62"/>
      <c r="H75" s="62"/>
      <c r="I75" s="67"/>
      <c r="J75" s="74" t="str">
        <f t="shared" ca="1" si="1"/>
        <v/>
      </c>
      <c r="K75" s="31"/>
      <c r="L75" s="59"/>
      <c r="M75" s="29"/>
    </row>
    <row r="76" spans="1:13">
      <c r="A76" s="16">
        <v>75</v>
      </c>
      <c r="B76" s="24" t="s">
        <v>205</v>
      </c>
      <c r="C76" s="18">
        <f>IF(B76="Новоселов А.В.",1508)</f>
        <v>1508</v>
      </c>
      <c r="D76" s="62"/>
      <c r="E76" s="62"/>
      <c r="F76" s="62"/>
      <c r="G76" s="62"/>
      <c r="H76" s="62"/>
      <c r="I76" s="67"/>
      <c r="J76" s="74" t="str">
        <f t="shared" ca="1" si="1"/>
        <v/>
      </c>
      <c r="K76" s="31"/>
      <c r="L76" s="59"/>
      <c r="M76" s="29"/>
    </row>
    <row r="77" spans="1:13">
      <c r="A77" s="16">
        <v>76</v>
      </c>
      <c r="B77" s="17" t="s">
        <v>24</v>
      </c>
      <c r="C77" s="18">
        <f>IF(B77="Орловский А.М.",1674)</f>
        <v>1674</v>
      </c>
      <c r="D77" s="62"/>
      <c r="E77" s="62"/>
      <c r="F77" s="62"/>
      <c r="G77" s="62"/>
      <c r="H77" s="62"/>
      <c r="I77" s="67"/>
      <c r="J77" s="74" t="str">
        <f t="shared" ca="1" si="1"/>
        <v/>
      </c>
      <c r="K77" s="31"/>
      <c r="L77" s="59"/>
      <c r="M77" s="29"/>
    </row>
    <row r="78" spans="1:13">
      <c r="A78" s="16">
        <v>77</v>
      </c>
      <c r="B78" s="24" t="s">
        <v>112</v>
      </c>
      <c r="C78" s="18">
        <f>IF(B78="Пантелей А.В.",833)</f>
        <v>833</v>
      </c>
      <c r="D78" s="62"/>
      <c r="E78" s="62"/>
      <c r="F78" s="62"/>
      <c r="G78" s="62"/>
      <c r="H78" s="62"/>
      <c r="I78" s="67"/>
      <c r="J78" s="74" t="str">
        <f t="shared" ca="1" si="1"/>
        <v/>
      </c>
      <c r="K78" s="31"/>
      <c r="L78" s="59"/>
      <c r="M78" s="29"/>
    </row>
    <row r="79" spans="1:13">
      <c r="A79" s="16">
        <v>78</v>
      </c>
      <c r="B79" s="24" t="s">
        <v>133</v>
      </c>
      <c r="C79" s="18">
        <f>IF(B79="Петров В.А.",1393)</f>
        <v>1393</v>
      </c>
      <c r="D79" s="62"/>
      <c r="E79" s="62"/>
      <c r="F79" s="62"/>
      <c r="G79" s="62"/>
      <c r="H79" s="62"/>
      <c r="I79" s="67"/>
      <c r="J79" s="74" t="str">
        <f t="shared" ca="1" si="1"/>
        <v/>
      </c>
      <c r="K79" s="31"/>
      <c r="L79" s="59"/>
      <c r="M79" s="29"/>
    </row>
    <row r="80" spans="1:13">
      <c r="A80" s="16">
        <v>79</v>
      </c>
      <c r="B80" s="24" t="s">
        <v>203</v>
      </c>
      <c r="C80" s="18">
        <f>IF(B80="Петровых В.В.",2255)</f>
        <v>2255</v>
      </c>
      <c r="D80" s="62"/>
      <c r="E80" s="62"/>
      <c r="F80" s="62"/>
      <c r="G80" s="62"/>
      <c r="H80" s="62"/>
      <c r="I80" s="67"/>
      <c r="J80" s="74" t="str">
        <f t="shared" ca="1" si="1"/>
        <v/>
      </c>
      <c r="K80" s="31"/>
      <c r="L80" s="59"/>
      <c r="M80" s="29"/>
    </row>
    <row r="81" spans="1:13">
      <c r="A81" s="16">
        <v>80</v>
      </c>
      <c r="B81" s="24" t="s">
        <v>204</v>
      </c>
      <c r="C81" s="18">
        <f>IF(B81="Поплавский В.И.",255)</f>
        <v>255</v>
      </c>
      <c r="D81" s="62"/>
      <c r="E81" s="62"/>
      <c r="F81" s="62"/>
      <c r="G81" s="62"/>
      <c r="H81" s="62"/>
      <c r="I81" s="67"/>
      <c r="J81" s="74" t="str">
        <f t="shared" ca="1" si="1"/>
        <v/>
      </c>
      <c r="K81" s="31"/>
      <c r="L81" s="59"/>
      <c r="M81" s="29"/>
    </row>
    <row r="82" spans="1:13">
      <c r="A82" s="16">
        <v>81</v>
      </c>
      <c r="B82" s="24" t="s">
        <v>136</v>
      </c>
      <c r="C82" s="20">
        <f>IF(B82="Пресняков Г.В.",1676)</f>
        <v>1676</v>
      </c>
      <c r="D82" s="63"/>
      <c r="E82" s="63"/>
      <c r="F82" s="63"/>
      <c r="G82" s="63"/>
      <c r="H82" s="63"/>
      <c r="I82" s="68"/>
      <c r="J82" s="74" t="str">
        <f t="shared" ca="1" si="1"/>
        <v/>
      </c>
      <c r="K82" s="31"/>
      <c r="L82" s="59"/>
      <c r="M82" s="29"/>
    </row>
    <row r="83" spans="1:13">
      <c r="A83" s="16">
        <v>82</v>
      </c>
      <c r="B83" s="24" t="s">
        <v>109</v>
      </c>
      <c r="C83" s="18">
        <f>IF(B83="Раловец Л.П.",572)</f>
        <v>572</v>
      </c>
      <c r="D83" s="62"/>
      <c r="E83" s="62"/>
      <c r="F83" s="62"/>
      <c r="G83" s="62"/>
      <c r="H83" s="62"/>
      <c r="I83" s="67"/>
      <c r="J83" s="74" t="str">
        <f t="shared" ca="1" si="1"/>
        <v/>
      </c>
      <c r="K83" s="31"/>
      <c r="L83" s="59"/>
      <c r="M83" s="29"/>
    </row>
    <row r="84" spans="1:13">
      <c r="A84" s="16">
        <v>83</v>
      </c>
      <c r="B84" s="24" t="s">
        <v>174</v>
      </c>
      <c r="C84" s="18">
        <f>IF(B84="Романов В.В.",2095)</f>
        <v>2095</v>
      </c>
      <c r="D84" s="62"/>
      <c r="E84" s="62"/>
      <c r="F84" s="62"/>
      <c r="G84" s="62"/>
      <c r="H84" s="62"/>
      <c r="I84" s="67"/>
      <c r="J84" s="74" t="str">
        <f t="shared" ca="1" si="1"/>
        <v/>
      </c>
      <c r="K84" s="31"/>
      <c r="L84" s="59"/>
      <c r="M84" s="29"/>
    </row>
    <row r="85" spans="1:13">
      <c r="A85" s="16">
        <v>84</v>
      </c>
      <c r="B85" s="17" t="s">
        <v>61</v>
      </c>
      <c r="C85" s="18">
        <f>IF(B85="Романчук В.В.",338)</f>
        <v>338</v>
      </c>
      <c r="D85" s="62"/>
      <c r="E85" s="62"/>
      <c r="F85" s="62"/>
      <c r="G85" s="62"/>
      <c r="H85" s="62"/>
      <c r="I85" s="67"/>
      <c r="J85" s="74" t="str">
        <f t="shared" ca="1" si="1"/>
        <v/>
      </c>
      <c r="K85" s="31"/>
      <c r="L85" s="59"/>
      <c r="M85" s="29"/>
    </row>
    <row r="86" spans="1:13">
      <c r="A86" s="16">
        <v>85</v>
      </c>
      <c r="B86" s="24" t="s">
        <v>119</v>
      </c>
      <c r="C86" s="20">
        <f>IF(B86="Ротченкова С.С.",231)</f>
        <v>231</v>
      </c>
      <c r="D86" s="63"/>
      <c r="E86" s="63"/>
      <c r="F86" s="63"/>
      <c r="G86" s="63"/>
      <c r="H86" s="63"/>
      <c r="I86" s="68"/>
      <c r="J86" s="74" t="str">
        <f t="shared" ca="1" si="1"/>
        <v/>
      </c>
      <c r="K86" s="31"/>
      <c r="L86" s="59"/>
      <c r="M86" s="29"/>
    </row>
    <row r="87" spans="1:13">
      <c r="A87" s="16">
        <v>86</v>
      </c>
      <c r="B87" s="24" t="s">
        <v>200</v>
      </c>
      <c r="C87" s="20">
        <f>IF(B87="Рощупкина Л.И.",1608)</f>
        <v>1608</v>
      </c>
      <c r="D87" s="63"/>
      <c r="E87" s="63"/>
      <c r="F87" s="63"/>
      <c r="G87" s="63"/>
      <c r="H87" s="63"/>
      <c r="I87" s="68"/>
      <c r="J87" s="74" t="str">
        <f t="shared" ca="1" si="1"/>
        <v/>
      </c>
      <c r="K87" s="31"/>
      <c r="L87" s="59"/>
      <c r="M87" s="29"/>
    </row>
    <row r="88" spans="1:13">
      <c r="A88" s="16">
        <v>87</v>
      </c>
      <c r="B88" s="24" t="s">
        <v>22</v>
      </c>
      <c r="C88" s="18">
        <f>IF(B88="Рудницкий С.Н.",465)</f>
        <v>465</v>
      </c>
      <c r="D88" s="62"/>
      <c r="E88" s="62"/>
      <c r="F88" s="62"/>
      <c r="G88" s="62"/>
      <c r="H88" s="62"/>
      <c r="I88" s="67"/>
      <c r="J88" s="74" t="str">
        <f t="shared" ca="1" si="1"/>
        <v/>
      </c>
      <c r="K88" s="31"/>
      <c r="L88" s="59"/>
      <c r="M88" s="29"/>
    </row>
    <row r="89" spans="1:13">
      <c r="A89" s="16">
        <v>88</v>
      </c>
      <c r="B89" s="24" t="s">
        <v>218</v>
      </c>
      <c r="C89" s="18">
        <f>IF(B89="Рябов О.С.",462)</f>
        <v>462</v>
      </c>
      <c r="D89" s="62"/>
      <c r="E89" s="62"/>
      <c r="F89" s="62"/>
      <c r="G89" s="62"/>
      <c r="H89" s="62"/>
      <c r="I89" s="67"/>
      <c r="J89" s="74" t="str">
        <f t="shared" ca="1" si="1"/>
        <v/>
      </c>
      <c r="K89" s="31"/>
      <c r="L89" s="59"/>
      <c r="M89" s="29"/>
    </row>
    <row r="90" spans="1:13">
      <c r="A90" s="16">
        <v>89</v>
      </c>
      <c r="B90" s="24" t="s">
        <v>114</v>
      </c>
      <c r="C90" s="20">
        <f>IF(B90="Савельева Н.И.",534)</f>
        <v>534</v>
      </c>
      <c r="D90" s="63"/>
      <c r="E90" s="63"/>
      <c r="F90" s="63"/>
      <c r="G90" s="63"/>
      <c r="H90" s="63"/>
      <c r="I90" s="68"/>
      <c r="J90" s="74" t="str">
        <f t="shared" ca="1" si="1"/>
        <v/>
      </c>
      <c r="K90" s="31"/>
      <c r="L90" s="59"/>
      <c r="M90" s="29"/>
    </row>
    <row r="91" spans="1:13">
      <c r="A91" s="16">
        <v>90</v>
      </c>
      <c r="B91" s="23" t="s">
        <v>167</v>
      </c>
      <c r="C91" s="20">
        <f>IF(B91="Сандульская Л.А.",420)</f>
        <v>420</v>
      </c>
      <c r="D91" s="63"/>
      <c r="E91" s="63"/>
      <c r="F91" s="63"/>
      <c r="G91" s="63"/>
      <c r="H91" s="63"/>
      <c r="I91" s="68"/>
      <c r="J91" s="74" t="str">
        <f t="shared" ca="1" si="1"/>
        <v/>
      </c>
      <c r="K91" s="31"/>
      <c r="L91" s="59"/>
      <c r="M91" s="29"/>
    </row>
    <row r="92" spans="1:13">
      <c r="A92" s="16">
        <v>91</v>
      </c>
      <c r="B92" s="17" t="s">
        <v>37</v>
      </c>
      <c r="C92" s="18">
        <f>IF(B92="Сацук А.Л.",761)</f>
        <v>761</v>
      </c>
      <c r="D92" s="62"/>
      <c r="E92" s="62"/>
      <c r="F92" s="62"/>
      <c r="G92" s="62"/>
      <c r="H92" s="62"/>
      <c r="I92" s="67"/>
      <c r="J92" s="74" t="str">
        <f t="shared" ca="1" si="1"/>
        <v/>
      </c>
      <c r="K92" s="31"/>
      <c r="L92" s="59"/>
      <c r="M92" s="29"/>
    </row>
    <row r="93" spans="1:13">
      <c r="A93" s="16">
        <v>92</v>
      </c>
      <c r="B93" s="24" t="s">
        <v>206</v>
      </c>
      <c r="C93" s="18">
        <f>IF(B93="Сацукевич С.П.",265)</f>
        <v>265</v>
      </c>
      <c r="D93" s="62"/>
      <c r="E93" s="62"/>
      <c r="F93" s="62"/>
      <c r="G93" s="62"/>
      <c r="H93" s="62"/>
      <c r="I93" s="67"/>
      <c r="J93" s="74" t="str">
        <f t="shared" ca="1" si="1"/>
        <v/>
      </c>
      <c r="K93" s="31"/>
      <c r="L93" s="59"/>
      <c r="M93" s="29"/>
    </row>
    <row r="94" spans="1:13">
      <c r="A94" s="16">
        <v>93</v>
      </c>
      <c r="B94" s="24" t="s">
        <v>196</v>
      </c>
      <c r="C94" s="20">
        <f>IF(B94="Свидрицкая В.С.",1256)</f>
        <v>1256</v>
      </c>
      <c r="D94" s="63"/>
      <c r="E94" s="63"/>
      <c r="F94" s="63"/>
      <c r="G94" s="63"/>
      <c r="H94" s="63"/>
      <c r="I94" s="68"/>
      <c r="J94" s="74" t="str">
        <f t="shared" ca="1" si="1"/>
        <v/>
      </c>
      <c r="K94" s="31"/>
      <c r="L94" s="59"/>
      <c r="M94" s="29"/>
    </row>
    <row r="95" spans="1:13">
      <c r="A95" s="16">
        <v>94</v>
      </c>
      <c r="B95" s="24" t="s">
        <v>197</v>
      </c>
      <c r="C95" s="20">
        <f>IF(B95="Серий В.А.",515)</f>
        <v>515</v>
      </c>
      <c r="D95" s="63"/>
      <c r="E95" s="63"/>
      <c r="F95" s="63"/>
      <c r="G95" s="63"/>
      <c r="H95" s="63"/>
      <c r="I95" s="68"/>
      <c r="J95" s="74" t="str">
        <f t="shared" ca="1" si="1"/>
        <v/>
      </c>
      <c r="K95" s="31"/>
      <c r="L95" s="59"/>
      <c r="M95" s="29"/>
    </row>
    <row r="96" spans="1:13">
      <c r="A96" s="16">
        <v>95</v>
      </c>
      <c r="B96" s="24" t="s">
        <v>110</v>
      </c>
      <c r="C96" s="18">
        <f>IF(B96="Симонова Т.В.",519)</f>
        <v>519</v>
      </c>
      <c r="D96" s="62"/>
      <c r="E96" s="62"/>
      <c r="F96" s="62"/>
      <c r="G96" s="62"/>
      <c r="H96" s="62"/>
      <c r="I96" s="67"/>
      <c r="J96" s="74" t="str">
        <f t="shared" ca="1" si="1"/>
        <v/>
      </c>
      <c r="K96" s="31"/>
      <c r="L96" s="59"/>
      <c r="M96" s="29"/>
    </row>
    <row r="97" spans="1:13">
      <c r="A97" s="16">
        <v>96</v>
      </c>
      <c r="B97" s="24" t="s">
        <v>134</v>
      </c>
      <c r="C97" s="18">
        <f>IF(B97="Скачек А.В.",1649)</f>
        <v>1649</v>
      </c>
      <c r="D97" s="62"/>
      <c r="E97" s="62"/>
      <c r="F97" s="62"/>
      <c r="G97" s="62"/>
      <c r="H97" s="62"/>
      <c r="I97" s="67"/>
      <c r="J97" s="74" t="str">
        <f t="shared" ca="1" si="1"/>
        <v/>
      </c>
      <c r="K97" s="31"/>
      <c r="L97" s="59"/>
      <c r="M97" s="29"/>
    </row>
    <row r="98" spans="1:13">
      <c r="A98" s="16">
        <v>97</v>
      </c>
      <c r="B98" s="23" t="s">
        <v>163</v>
      </c>
      <c r="C98" s="18">
        <f>IF(B98="Хомич Н.Н.",589)</f>
        <v>589</v>
      </c>
      <c r="D98" s="62"/>
      <c r="E98" s="62"/>
      <c r="F98" s="62"/>
      <c r="G98" s="62"/>
      <c r="H98" s="62"/>
      <c r="I98" s="67"/>
      <c r="J98" s="74" t="str">
        <f t="shared" ca="1" si="1"/>
        <v/>
      </c>
      <c r="K98" s="31"/>
      <c r="L98" s="59"/>
      <c r="M98" s="29"/>
    </row>
    <row r="99" spans="1:13">
      <c r="A99" s="16">
        <v>98</v>
      </c>
      <c r="B99" s="24" t="s">
        <v>120</v>
      </c>
      <c r="C99" s="18">
        <f>IF(B99="Хомодеев В.В.",2325)</f>
        <v>2325</v>
      </c>
      <c r="D99" s="62"/>
      <c r="E99" s="62"/>
      <c r="F99" s="62"/>
      <c r="G99" s="62"/>
      <c r="H99" s="62"/>
      <c r="I99" s="67"/>
      <c r="J99" s="74" t="str">
        <f t="shared" ca="1" si="1"/>
        <v/>
      </c>
      <c r="K99" s="31"/>
      <c r="L99" s="59"/>
      <c r="M99" s="29"/>
    </row>
    <row r="100" spans="1:13">
      <c r="A100" s="16">
        <v>99</v>
      </c>
      <c r="B100" s="17" t="s">
        <v>45</v>
      </c>
      <c r="C100" s="18">
        <f>IF(B100="Цедрик Т.Н.",1140)</f>
        <v>1140</v>
      </c>
      <c r="D100" s="62"/>
      <c r="E100" s="62"/>
      <c r="F100" s="62"/>
      <c r="G100" s="62"/>
      <c r="H100" s="62"/>
      <c r="I100" s="67"/>
      <c r="J100" s="74" t="str">
        <f t="shared" ca="1" si="1"/>
        <v/>
      </c>
      <c r="K100" s="31"/>
      <c r="L100" s="59"/>
      <c r="M100" s="29"/>
    </row>
    <row r="101" spans="1:13">
      <c r="A101" s="16">
        <v>100</v>
      </c>
      <c r="B101" s="24" t="s">
        <v>131</v>
      </c>
      <c r="C101" s="18">
        <f>IF(B101="Шаповалов В.А.",1316)</f>
        <v>1316</v>
      </c>
      <c r="D101" s="62"/>
      <c r="E101" s="62"/>
      <c r="F101" s="62"/>
      <c r="G101" s="62"/>
      <c r="H101" s="62"/>
      <c r="I101" s="67"/>
      <c r="J101" s="74" t="str">
        <f t="shared" ca="1" si="1"/>
        <v/>
      </c>
      <c r="K101" s="31"/>
      <c r="L101" s="59"/>
      <c r="M101" s="29"/>
    </row>
    <row r="102" spans="1:13">
      <c r="A102" s="16">
        <v>101</v>
      </c>
      <c r="B102" s="24" t="s">
        <v>207</v>
      </c>
      <c r="C102" s="18">
        <f>IF(B102="Шерий Д.В.",563)</f>
        <v>563</v>
      </c>
      <c r="D102" s="62"/>
      <c r="E102" s="62"/>
      <c r="F102" s="62"/>
      <c r="G102" s="62"/>
      <c r="H102" s="62"/>
      <c r="I102" s="67"/>
      <c r="J102" s="74" t="str">
        <f t="shared" ca="1" si="1"/>
        <v/>
      </c>
      <c r="K102" s="31"/>
      <c r="L102" s="59"/>
      <c r="M102" s="29"/>
    </row>
    <row r="103" spans="1:13">
      <c r="A103" s="16">
        <v>102</v>
      </c>
      <c r="B103" s="24" t="s">
        <v>121</v>
      </c>
      <c r="C103" s="18">
        <f>IF(B103="Ясинский В.С.",70)</f>
        <v>70</v>
      </c>
      <c r="D103" s="62"/>
      <c r="E103" s="62"/>
      <c r="F103" s="62"/>
      <c r="G103" s="62"/>
      <c r="H103" s="62"/>
      <c r="I103" s="67"/>
      <c r="J103" s="74" t="str">
        <f t="shared" ca="1" si="1"/>
        <v/>
      </c>
      <c r="K103" s="31"/>
      <c r="L103" s="59"/>
      <c r="M103" s="29"/>
    </row>
    <row r="104" spans="1:13">
      <c r="A104" s="16">
        <v>103</v>
      </c>
      <c r="B104" s="17"/>
      <c r="C104" s="18"/>
      <c r="D104" s="62"/>
      <c r="E104" s="62"/>
      <c r="F104" s="62"/>
      <c r="G104" s="62"/>
      <c r="H104" s="62"/>
      <c r="I104" s="67"/>
      <c r="J104" s="74" t="str">
        <f t="shared" ca="1" si="1"/>
        <v/>
      </c>
      <c r="K104" s="31"/>
      <c r="L104" s="59"/>
      <c r="M104" s="29"/>
    </row>
    <row r="105" spans="1:13">
      <c r="A105" s="16">
        <v>104</v>
      </c>
      <c r="B105" s="17"/>
      <c r="C105" s="18"/>
      <c r="D105" s="20"/>
      <c r="E105" s="20"/>
      <c r="F105" s="20"/>
      <c r="G105" s="20"/>
      <c r="H105" s="20"/>
      <c r="I105" s="71"/>
      <c r="J105" s="71"/>
      <c r="K105" s="23"/>
      <c r="L105" s="60"/>
      <c r="M105" s="29"/>
    </row>
    <row r="106" spans="1:13">
      <c r="A106" s="16">
        <v>105</v>
      </c>
      <c r="C106" s="23"/>
      <c r="D106" s="23"/>
      <c r="E106" s="23"/>
      <c r="F106" s="23"/>
      <c r="G106" s="23"/>
      <c r="H106" s="23"/>
      <c r="I106" s="72"/>
      <c r="J106" s="74" t="str">
        <f t="shared" ref="J106:J130" ca="1" si="2">IF(I106="","",SUM(TODAY()-I106)/365)</f>
        <v/>
      </c>
      <c r="K106" s="23"/>
      <c r="L106" s="60"/>
      <c r="M106" s="29"/>
    </row>
    <row r="107" spans="1:13">
      <c r="A107" s="16">
        <v>106</v>
      </c>
      <c r="D107" s="63"/>
      <c r="E107" s="63"/>
      <c r="F107" s="63"/>
      <c r="G107" s="63"/>
      <c r="H107" s="63"/>
      <c r="I107" s="68"/>
      <c r="J107" s="74" t="str">
        <f t="shared" ca="1" si="2"/>
        <v/>
      </c>
      <c r="K107" s="31"/>
      <c r="L107" s="59"/>
      <c r="M107" s="29"/>
    </row>
    <row r="108" spans="1:13">
      <c r="A108" s="16">
        <v>107</v>
      </c>
      <c r="B108" s="17"/>
      <c r="C108" s="18"/>
      <c r="D108" s="62"/>
      <c r="E108" s="62"/>
      <c r="F108" s="62"/>
      <c r="G108" s="62"/>
      <c r="H108" s="62"/>
      <c r="I108" s="67"/>
      <c r="J108" s="74" t="str">
        <f t="shared" ca="1" si="2"/>
        <v/>
      </c>
      <c r="K108" s="31"/>
      <c r="L108" s="59"/>
      <c r="M108" s="29"/>
    </row>
    <row r="109" spans="1:13">
      <c r="A109" s="16">
        <v>108</v>
      </c>
      <c r="D109" s="63"/>
      <c r="E109" s="63"/>
      <c r="F109" s="63"/>
      <c r="G109" s="63"/>
      <c r="H109" s="63"/>
      <c r="I109" s="68"/>
      <c r="J109" s="74" t="str">
        <f t="shared" ca="1" si="2"/>
        <v/>
      </c>
      <c r="K109" s="31"/>
      <c r="L109" s="59"/>
      <c r="M109" s="29"/>
    </row>
    <row r="110" spans="1:13">
      <c r="A110" s="16">
        <v>109</v>
      </c>
      <c r="D110" s="63"/>
      <c r="E110" s="63"/>
      <c r="F110" s="63"/>
      <c r="G110" s="63"/>
      <c r="H110" s="63"/>
      <c r="I110" s="68"/>
      <c r="J110" s="74" t="str">
        <f t="shared" ca="1" si="2"/>
        <v/>
      </c>
      <c r="K110" s="31"/>
      <c r="L110" s="59"/>
      <c r="M110" s="29"/>
    </row>
    <row r="111" spans="1:13">
      <c r="A111" s="16">
        <v>110</v>
      </c>
      <c r="D111" s="63"/>
      <c r="E111" s="63"/>
      <c r="F111" s="63"/>
      <c r="G111" s="63"/>
      <c r="H111" s="63"/>
      <c r="I111" s="68"/>
      <c r="J111" s="74" t="str">
        <f t="shared" ca="1" si="2"/>
        <v/>
      </c>
      <c r="K111" s="31"/>
      <c r="L111" s="59"/>
      <c r="M111" s="29"/>
    </row>
    <row r="112" spans="1:13">
      <c r="A112" s="16">
        <v>111</v>
      </c>
      <c r="D112" s="63"/>
      <c r="E112" s="63"/>
      <c r="F112" s="63"/>
      <c r="G112" s="63"/>
      <c r="H112" s="63"/>
      <c r="I112" s="68"/>
      <c r="J112" s="74" t="str">
        <f t="shared" ca="1" si="2"/>
        <v/>
      </c>
      <c r="K112" s="31"/>
      <c r="L112" s="59"/>
      <c r="M112" s="29"/>
    </row>
    <row r="113" spans="1:13">
      <c r="A113" s="16">
        <v>112</v>
      </c>
      <c r="D113" s="63"/>
      <c r="E113" s="63"/>
      <c r="F113" s="63"/>
      <c r="G113" s="63"/>
      <c r="H113" s="63"/>
      <c r="I113" s="68"/>
      <c r="J113" s="74" t="str">
        <f t="shared" ca="1" si="2"/>
        <v/>
      </c>
      <c r="K113" s="31"/>
      <c r="L113" s="59"/>
      <c r="M113" s="29"/>
    </row>
    <row r="114" spans="1:13">
      <c r="A114" s="16">
        <v>113</v>
      </c>
      <c r="D114" s="63"/>
      <c r="E114" s="63"/>
      <c r="F114" s="63"/>
      <c r="G114" s="63"/>
      <c r="H114" s="63"/>
      <c r="I114" s="68"/>
      <c r="J114" s="74" t="str">
        <f t="shared" ca="1" si="2"/>
        <v/>
      </c>
      <c r="K114" s="31"/>
      <c r="L114" s="59"/>
      <c r="M114" s="29"/>
    </row>
    <row r="115" spans="1:13">
      <c r="A115" s="16">
        <v>114</v>
      </c>
      <c r="D115" s="63"/>
      <c r="E115" s="63"/>
      <c r="F115" s="63"/>
      <c r="G115" s="63"/>
      <c r="H115" s="63"/>
      <c r="I115" s="68"/>
      <c r="J115" s="74" t="str">
        <f t="shared" ca="1" si="2"/>
        <v/>
      </c>
      <c r="K115" s="31"/>
      <c r="L115" s="59"/>
      <c r="M115" s="29"/>
    </row>
    <row r="116" spans="1:13">
      <c r="A116" s="16">
        <v>115</v>
      </c>
      <c r="D116" s="63"/>
      <c r="E116" s="63"/>
      <c r="F116" s="63"/>
      <c r="G116" s="63"/>
      <c r="H116" s="63"/>
      <c r="I116" s="68"/>
      <c r="J116" s="74" t="str">
        <f t="shared" ca="1" si="2"/>
        <v/>
      </c>
      <c r="K116" s="31"/>
      <c r="L116" s="59"/>
      <c r="M116" s="29"/>
    </row>
    <row r="117" spans="1:13">
      <c r="A117" s="16">
        <v>116</v>
      </c>
      <c r="D117" s="63"/>
      <c r="E117" s="63"/>
      <c r="F117" s="63"/>
      <c r="G117" s="63"/>
      <c r="H117" s="63"/>
      <c r="I117" s="68"/>
      <c r="J117" s="74" t="str">
        <f t="shared" ca="1" si="2"/>
        <v/>
      </c>
      <c r="K117" s="31"/>
      <c r="L117" s="59"/>
      <c r="M117" s="29"/>
    </row>
    <row r="118" spans="1:13">
      <c r="A118" s="16">
        <v>117</v>
      </c>
      <c r="D118" s="63"/>
      <c r="E118" s="63"/>
      <c r="F118" s="63"/>
      <c r="G118" s="63"/>
      <c r="H118" s="63"/>
      <c r="I118" s="68"/>
      <c r="J118" s="74" t="str">
        <f t="shared" ca="1" si="2"/>
        <v/>
      </c>
      <c r="K118" s="31"/>
      <c r="L118" s="59"/>
      <c r="M118" s="29"/>
    </row>
    <row r="119" spans="1:13">
      <c r="A119" s="16">
        <v>118</v>
      </c>
      <c r="D119" s="63"/>
      <c r="E119" s="63"/>
      <c r="F119" s="63"/>
      <c r="G119" s="63"/>
      <c r="H119" s="63"/>
      <c r="I119" s="68"/>
      <c r="J119" s="74" t="str">
        <f t="shared" ca="1" si="2"/>
        <v/>
      </c>
      <c r="K119" s="31"/>
      <c r="L119" s="59"/>
      <c r="M119" s="29"/>
    </row>
    <row r="120" spans="1:13">
      <c r="A120" s="16">
        <v>119</v>
      </c>
      <c r="D120" s="63"/>
      <c r="E120" s="63"/>
      <c r="F120" s="63"/>
      <c r="G120" s="63"/>
      <c r="H120" s="63"/>
      <c r="I120" s="68"/>
      <c r="J120" s="74" t="str">
        <f t="shared" ca="1" si="2"/>
        <v/>
      </c>
      <c r="K120" s="31"/>
      <c r="L120" s="59"/>
      <c r="M120" s="29"/>
    </row>
    <row r="121" spans="1:13">
      <c r="A121" s="16">
        <v>120</v>
      </c>
      <c r="D121" s="63"/>
      <c r="E121" s="63"/>
      <c r="F121" s="63"/>
      <c r="G121" s="63"/>
      <c r="H121" s="63"/>
      <c r="I121" s="68"/>
      <c r="J121" s="74" t="str">
        <f t="shared" ca="1" si="2"/>
        <v/>
      </c>
      <c r="K121" s="31"/>
      <c r="L121" s="59"/>
      <c r="M121" s="29"/>
    </row>
    <row r="122" spans="1:13">
      <c r="A122" s="16">
        <v>121</v>
      </c>
      <c r="D122" s="63"/>
      <c r="E122" s="63"/>
      <c r="F122" s="63"/>
      <c r="G122" s="63"/>
      <c r="H122" s="63"/>
      <c r="I122" s="68"/>
      <c r="J122" s="74" t="str">
        <f t="shared" ca="1" si="2"/>
        <v/>
      </c>
      <c r="K122" s="31"/>
      <c r="L122" s="59"/>
      <c r="M122" s="29"/>
    </row>
    <row r="123" spans="1:13">
      <c r="A123" s="16">
        <v>122</v>
      </c>
      <c r="D123" s="63"/>
      <c r="E123" s="63"/>
      <c r="F123" s="63"/>
      <c r="G123" s="63"/>
      <c r="H123" s="63"/>
      <c r="I123" s="68"/>
      <c r="J123" s="74" t="str">
        <f t="shared" ca="1" si="2"/>
        <v/>
      </c>
      <c r="K123" s="31"/>
      <c r="L123" s="59"/>
      <c r="M123" s="29"/>
    </row>
    <row r="124" spans="1:13">
      <c r="A124" s="16">
        <v>123</v>
      </c>
      <c r="D124" s="63"/>
      <c r="E124" s="63"/>
      <c r="F124" s="63"/>
      <c r="G124" s="63"/>
      <c r="H124" s="63"/>
      <c r="I124" s="68"/>
      <c r="J124" s="74" t="str">
        <f t="shared" ca="1" si="2"/>
        <v/>
      </c>
      <c r="K124" s="31"/>
      <c r="L124" s="59"/>
      <c r="M124" s="29"/>
    </row>
    <row r="125" spans="1:13">
      <c r="A125" s="16">
        <v>124</v>
      </c>
      <c r="D125" s="63"/>
      <c r="E125" s="63"/>
      <c r="F125" s="63"/>
      <c r="G125" s="63"/>
      <c r="H125" s="63"/>
      <c r="I125" s="68"/>
      <c r="J125" s="74" t="str">
        <f t="shared" ca="1" si="2"/>
        <v/>
      </c>
      <c r="K125" s="31"/>
      <c r="L125" s="59"/>
      <c r="M125" s="29"/>
    </row>
    <row r="126" spans="1:13">
      <c r="A126" s="16">
        <v>125</v>
      </c>
      <c r="D126" s="63"/>
      <c r="E126" s="63"/>
      <c r="F126" s="63"/>
      <c r="G126" s="63"/>
      <c r="H126" s="63"/>
      <c r="I126" s="68"/>
      <c r="J126" s="74" t="str">
        <f t="shared" ca="1" si="2"/>
        <v/>
      </c>
      <c r="K126" s="31"/>
      <c r="L126" s="59"/>
      <c r="M126" s="29"/>
    </row>
    <row r="127" spans="1:13">
      <c r="A127" s="16">
        <v>126</v>
      </c>
      <c r="D127" s="63"/>
      <c r="E127" s="63"/>
      <c r="F127" s="63"/>
      <c r="G127" s="63"/>
      <c r="H127" s="63"/>
      <c r="I127" s="68"/>
      <c r="J127" s="74" t="str">
        <f t="shared" ca="1" si="2"/>
        <v/>
      </c>
      <c r="K127" s="31"/>
      <c r="L127" s="59"/>
      <c r="M127" s="29"/>
    </row>
    <row r="128" spans="1:13">
      <c r="A128" s="16">
        <v>127</v>
      </c>
      <c r="D128" s="63"/>
      <c r="E128" s="63"/>
      <c r="F128" s="63"/>
      <c r="G128" s="63"/>
      <c r="H128" s="63"/>
      <c r="I128" s="68"/>
      <c r="J128" s="74" t="str">
        <f t="shared" ca="1" si="2"/>
        <v/>
      </c>
      <c r="K128" s="31"/>
      <c r="L128" s="59"/>
      <c r="M128" s="29"/>
    </row>
    <row r="129" spans="1:13">
      <c r="A129" s="16">
        <v>128</v>
      </c>
      <c r="D129" s="63"/>
      <c r="E129" s="63"/>
      <c r="F129" s="63"/>
      <c r="G129" s="63"/>
      <c r="H129" s="63"/>
      <c r="I129" s="68"/>
      <c r="J129" s="74" t="str">
        <f t="shared" ca="1" si="2"/>
        <v/>
      </c>
      <c r="K129" s="31"/>
      <c r="L129" s="59"/>
      <c r="M129" s="29"/>
    </row>
    <row r="130" spans="1:13">
      <c r="A130" s="16">
        <v>129</v>
      </c>
      <c r="D130" s="63"/>
      <c r="E130" s="63"/>
      <c r="F130" s="63"/>
      <c r="G130" s="63"/>
      <c r="H130" s="63"/>
      <c r="I130" s="68"/>
      <c r="J130" s="74" t="str">
        <f t="shared" ca="1" si="2"/>
        <v/>
      </c>
      <c r="K130" s="31"/>
      <c r="L130" s="59"/>
      <c r="M130" s="29"/>
    </row>
    <row r="131" spans="1:13">
      <c r="A131" s="16">
        <v>130</v>
      </c>
      <c r="D131" s="63"/>
      <c r="E131" s="63"/>
      <c r="F131" s="63"/>
      <c r="G131" s="63"/>
      <c r="H131" s="63"/>
      <c r="I131" s="68"/>
      <c r="J131" s="74" t="str">
        <f t="shared" ref="J131:J151" ca="1" si="3">IF(I131="","",SUM(TODAY()-I131)/365)</f>
        <v/>
      </c>
      <c r="K131" s="31"/>
      <c r="L131" s="59"/>
      <c r="M131" s="29"/>
    </row>
    <row r="132" spans="1:13">
      <c r="A132" s="16">
        <v>131</v>
      </c>
      <c r="D132" s="63"/>
      <c r="E132" s="63"/>
      <c r="F132" s="63"/>
      <c r="G132" s="63"/>
      <c r="H132" s="63"/>
      <c r="I132" s="68"/>
      <c r="J132" s="74" t="str">
        <f t="shared" ca="1" si="3"/>
        <v/>
      </c>
      <c r="K132" s="31"/>
      <c r="L132" s="59"/>
      <c r="M132" s="29"/>
    </row>
    <row r="133" spans="1:13">
      <c r="A133" s="16">
        <v>132</v>
      </c>
      <c r="D133" s="63"/>
      <c r="E133" s="63"/>
      <c r="F133" s="63"/>
      <c r="G133" s="63"/>
      <c r="H133" s="63"/>
      <c r="I133" s="68"/>
      <c r="J133" s="74" t="str">
        <f t="shared" ca="1" si="3"/>
        <v/>
      </c>
      <c r="K133" s="31"/>
      <c r="L133" s="59"/>
      <c r="M133" s="29"/>
    </row>
    <row r="134" spans="1:13">
      <c r="A134" s="16">
        <v>133</v>
      </c>
      <c r="D134" s="63"/>
      <c r="E134" s="63"/>
      <c r="F134" s="63"/>
      <c r="G134" s="63"/>
      <c r="H134" s="63"/>
      <c r="I134" s="68"/>
      <c r="J134" s="74" t="str">
        <f t="shared" ca="1" si="3"/>
        <v/>
      </c>
      <c r="K134" s="31"/>
      <c r="L134" s="59"/>
      <c r="M134" s="29"/>
    </row>
    <row r="135" spans="1:13">
      <c r="A135" s="16">
        <v>134</v>
      </c>
      <c r="D135" s="63"/>
      <c r="E135" s="63"/>
      <c r="F135" s="63"/>
      <c r="G135" s="63"/>
      <c r="H135" s="63"/>
      <c r="I135" s="68"/>
      <c r="J135" s="74" t="str">
        <f t="shared" ca="1" si="3"/>
        <v/>
      </c>
      <c r="K135" s="31"/>
      <c r="L135" s="59"/>
      <c r="M135" s="29"/>
    </row>
    <row r="136" spans="1:13">
      <c r="A136" s="16">
        <v>135</v>
      </c>
      <c r="D136" s="63"/>
      <c r="E136" s="63"/>
      <c r="F136" s="63"/>
      <c r="G136" s="63"/>
      <c r="H136" s="63"/>
      <c r="I136" s="68"/>
      <c r="J136" s="74" t="str">
        <f t="shared" ca="1" si="3"/>
        <v/>
      </c>
      <c r="K136" s="31"/>
      <c r="L136" s="59"/>
      <c r="M136" s="29"/>
    </row>
    <row r="137" spans="1:13">
      <c r="A137" s="16">
        <v>136</v>
      </c>
      <c r="D137" s="63"/>
      <c r="E137" s="63"/>
      <c r="F137" s="63"/>
      <c r="G137" s="63"/>
      <c r="H137" s="63"/>
      <c r="I137" s="68"/>
      <c r="J137" s="74" t="str">
        <f t="shared" ca="1" si="3"/>
        <v/>
      </c>
      <c r="K137" s="31"/>
      <c r="L137" s="59"/>
      <c r="M137" s="29"/>
    </row>
    <row r="138" spans="1:13">
      <c r="A138" s="16">
        <v>137</v>
      </c>
      <c r="D138" s="63"/>
      <c r="E138" s="63"/>
      <c r="F138" s="63"/>
      <c r="G138" s="63"/>
      <c r="H138" s="63"/>
      <c r="I138" s="68"/>
      <c r="J138" s="74" t="str">
        <f t="shared" ca="1" si="3"/>
        <v/>
      </c>
      <c r="K138" s="31"/>
      <c r="L138" s="59"/>
      <c r="M138" s="29"/>
    </row>
    <row r="139" spans="1:13">
      <c r="A139" s="16">
        <v>138</v>
      </c>
      <c r="D139" s="63"/>
      <c r="E139" s="63"/>
      <c r="F139" s="63"/>
      <c r="G139" s="63"/>
      <c r="H139" s="63"/>
      <c r="I139" s="68"/>
      <c r="J139" s="74" t="str">
        <f t="shared" ca="1" si="3"/>
        <v/>
      </c>
      <c r="K139" s="31"/>
      <c r="L139" s="59"/>
      <c r="M139" s="29"/>
    </row>
    <row r="140" spans="1:13">
      <c r="A140" s="16">
        <v>139</v>
      </c>
      <c r="D140" s="63"/>
      <c r="E140" s="63"/>
      <c r="F140" s="63"/>
      <c r="G140" s="63"/>
      <c r="H140" s="63"/>
      <c r="I140" s="68"/>
      <c r="J140" s="74" t="str">
        <f t="shared" ca="1" si="3"/>
        <v/>
      </c>
      <c r="K140" s="31"/>
      <c r="L140" s="59"/>
      <c r="M140" s="29"/>
    </row>
    <row r="141" spans="1:13">
      <c r="A141" s="16">
        <v>140</v>
      </c>
      <c r="D141" s="63"/>
      <c r="E141" s="63"/>
      <c r="F141" s="63"/>
      <c r="G141" s="63"/>
      <c r="H141" s="63"/>
      <c r="I141" s="68"/>
      <c r="J141" s="74" t="str">
        <f t="shared" ca="1" si="3"/>
        <v/>
      </c>
      <c r="K141" s="31"/>
      <c r="L141" s="59"/>
      <c r="M141" s="29"/>
    </row>
    <row r="142" spans="1:13">
      <c r="A142" s="16">
        <v>141</v>
      </c>
      <c r="D142" s="63"/>
      <c r="E142" s="63"/>
      <c r="F142" s="63"/>
      <c r="G142" s="63"/>
      <c r="H142" s="63"/>
      <c r="I142" s="68"/>
      <c r="J142" s="74" t="str">
        <f t="shared" ca="1" si="3"/>
        <v/>
      </c>
      <c r="K142" s="31"/>
      <c r="L142" s="59"/>
      <c r="M142" s="29"/>
    </row>
    <row r="143" spans="1:13">
      <c r="A143" s="16">
        <v>142</v>
      </c>
      <c r="D143" s="63"/>
      <c r="E143" s="63"/>
      <c r="F143" s="63"/>
      <c r="G143" s="63"/>
      <c r="H143" s="63"/>
      <c r="I143" s="68"/>
      <c r="J143" s="74" t="str">
        <f t="shared" ca="1" si="3"/>
        <v/>
      </c>
      <c r="K143" s="31"/>
      <c r="L143" s="59"/>
      <c r="M143" s="29"/>
    </row>
    <row r="144" spans="1:13">
      <c r="A144" s="16">
        <v>143</v>
      </c>
      <c r="D144" s="63"/>
      <c r="E144" s="63"/>
      <c r="F144" s="63"/>
      <c r="G144" s="63"/>
      <c r="H144" s="63"/>
      <c r="I144" s="68"/>
      <c r="J144" s="74" t="str">
        <f t="shared" ca="1" si="3"/>
        <v/>
      </c>
      <c r="K144" s="31"/>
      <c r="L144" s="59"/>
      <c r="M144" s="29"/>
    </row>
    <row r="145" spans="1:13">
      <c r="A145" s="16">
        <v>144</v>
      </c>
      <c r="D145" s="63"/>
      <c r="E145" s="63"/>
      <c r="F145" s="63"/>
      <c r="G145" s="63"/>
      <c r="H145" s="63"/>
      <c r="I145" s="68"/>
      <c r="J145" s="74" t="str">
        <f t="shared" ca="1" si="3"/>
        <v/>
      </c>
      <c r="K145" s="31"/>
      <c r="L145" s="59"/>
      <c r="M145" s="29"/>
    </row>
    <row r="146" spans="1:13">
      <c r="A146" s="16">
        <v>145</v>
      </c>
      <c r="D146" s="63"/>
      <c r="E146" s="63"/>
      <c r="F146" s="63"/>
      <c r="G146" s="63"/>
      <c r="H146" s="63"/>
      <c r="I146" s="68"/>
      <c r="J146" s="74" t="str">
        <f t="shared" ca="1" si="3"/>
        <v/>
      </c>
      <c r="K146" s="31"/>
      <c r="L146" s="59"/>
      <c r="M146" s="29"/>
    </row>
    <row r="147" spans="1:13">
      <c r="A147" s="16">
        <v>146</v>
      </c>
      <c r="D147" s="63"/>
      <c r="E147" s="63"/>
      <c r="F147" s="63"/>
      <c r="G147" s="63"/>
      <c r="H147" s="63"/>
      <c r="I147" s="68"/>
      <c r="J147" s="74" t="str">
        <f t="shared" ca="1" si="3"/>
        <v/>
      </c>
      <c r="K147" s="31"/>
      <c r="L147" s="59"/>
      <c r="M147" s="29"/>
    </row>
    <row r="148" spans="1:13">
      <c r="A148" s="16">
        <v>147</v>
      </c>
      <c r="D148" s="63"/>
      <c r="E148" s="63"/>
      <c r="F148" s="63"/>
      <c r="G148" s="63"/>
      <c r="H148" s="63"/>
      <c r="I148" s="68"/>
      <c r="J148" s="74" t="str">
        <f t="shared" ca="1" si="3"/>
        <v/>
      </c>
      <c r="K148" s="31"/>
      <c r="L148" s="59"/>
      <c r="M148" s="29"/>
    </row>
    <row r="149" spans="1:13">
      <c r="A149" s="16">
        <v>148</v>
      </c>
      <c r="D149" s="63"/>
      <c r="E149" s="63"/>
      <c r="F149" s="63"/>
      <c r="G149" s="63"/>
      <c r="H149" s="63"/>
      <c r="I149" s="68"/>
      <c r="J149" s="74" t="str">
        <f t="shared" ca="1" si="3"/>
        <v/>
      </c>
      <c r="K149" s="31"/>
      <c r="L149" s="59"/>
      <c r="M149" s="29"/>
    </row>
    <row r="150" spans="1:13">
      <c r="A150" s="16">
        <v>149</v>
      </c>
      <c r="D150" s="63"/>
      <c r="E150" s="63"/>
      <c r="F150" s="63"/>
      <c r="G150" s="63"/>
      <c r="H150" s="63"/>
      <c r="I150" s="68"/>
      <c r="J150" s="74" t="str">
        <f t="shared" ca="1" si="3"/>
        <v/>
      </c>
      <c r="K150" s="31"/>
      <c r="L150" s="59"/>
      <c r="M150" s="29"/>
    </row>
    <row r="151" spans="1:13">
      <c r="A151" s="16">
        <v>150</v>
      </c>
      <c r="D151" s="63"/>
      <c r="E151" s="63"/>
      <c r="F151" s="63"/>
      <c r="G151" s="63"/>
      <c r="H151" s="63"/>
      <c r="I151" s="68"/>
      <c r="J151" s="74" t="str">
        <f t="shared" ca="1" si="3"/>
        <v/>
      </c>
      <c r="K151" s="31"/>
      <c r="L151" s="59"/>
      <c r="M151" s="29"/>
    </row>
  </sheetData>
  <sortState ref="B3:C105">
    <sortCondition ref="B2"/>
  </sortState>
  <customSheetViews>
    <customSheetView guid="{1957AC80-412C-4030-B807-A599A7F9C8EF}" showGridLines="0">
      <selection activeCell="C13" sqref="C1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Останов</vt:lpstr>
      <vt:lpstr>БДМ№1</vt:lpstr>
      <vt:lpstr>БДМ№2</vt:lpstr>
      <vt:lpstr>Всего по сменам</vt:lpstr>
      <vt:lpstr>Формулы</vt:lpstr>
      <vt:lpstr>Список</vt:lpstr>
      <vt:lpstr>№</vt:lpstr>
      <vt:lpstr>Ед.изм</vt:lpstr>
      <vt:lpstr>Знаки</vt:lpstr>
      <vt:lpstr>Мастера</vt:lpstr>
      <vt:lpstr>Месяц</vt:lpstr>
      <vt:lpstr>Наряды</vt:lpstr>
      <vt:lpstr>Профессия</vt:lpstr>
      <vt:lpstr>Прочее</vt:lpstr>
      <vt:lpstr>Таб.№</vt:lpstr>
      <vt:lpstr>ФИО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Бригадный расчёт</dc:title>
  <dc:subject/>
  <dc:creator/>
  <dc:description>Для общего пользования. Версия 1.3</dc:description>
  <cp:lastModifiedBy>Николай</cp:lastModifiedBy>
  <cp:lastPrinted>2015-06-08T09:46:48Z</cp:lastPrinted>
  <dcterms:created xsi:type="dcterms:W3CDTF">2006-09-28T05:33:49Z</dcterms:created>
  <dcterms:modified xsi:type="dcterms:W3CDTF">2015-06-08T17:59:47Z</dcterms:modified>
</cp:coreProperties>
</file>