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autoCompressPictures="0"/>
  <bookViews>
    <workbookView xWindow="0" yWindow="0" windowWidth="16608" windowHeight="9432"/>
  </bookViews>
  <sheets>
    <sheet name="журнал операций" sheetId="5" r:id="rId1"/>
    <sheet name="Акт" sheetId="24" r:id="rId2"/>
    <sheet name="инфо" sheetId="26" r:id="rId3"/>
  </sheets>
  <definedNames>
    <definedName name="карєри">#REF!</definedName>
    <definedName name="_xlnm.Print_Area" localSheetId="0">'журнал операций'!#REF!</definedName>
    <definedName name="повнаназва">#REF!</definedName>
    <definedName name="полноеназвание">инфо!$A$2:$B$6</definedName>
    <definedName name="страна">инфо!$A$2:$A$6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3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E31" i="24"/>
  <c r="D31" i="24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3" i="5"/>
  <c r="N4" i="5"/>
  <c r="N5" i="5"/>
  <c r="N6" i="5"/>
  <c r="M4" i="5"/>
  <c r="M5" i="5"/>
  <c r="G38" i="24"/>
  <c r="F10" i="24"/>
  <c r="B7" i="24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K6" i="5"/>
  <c r="K12" i="5"/>
  <c r="K15" i="5"/>
  <c r="K20" i="5"/>
  <c r="K21" i="5"/>
  <c r="K22" i="5"/>
  <c r="K25" i="5"/>
  <c r="K30" i="5"/>
  <c r="K31" i="5"/>
  <c r="K32" i="5"/>
  <c r="K33" i="5"/>
  <c r="K34" i="5"/>
  <c r="K35" i="5"/>
  <c r="K36" i="5"/>
  <c r="K38" i="5"/>
  <c r="K39" i="5"/>
  <c r="K43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3" i="5"/>
  <c r="O3" i="5"/>
  <c r="B36" i="24"/>
  <c r="C35" i="24"/>
  <c r="C32" i="24"/>
  <c r="D32" i="24"/>
  <c r="E36" i="24"/>
  <c r="K18" i="5"/>
  <c r="K23" i="5"/>
  <c r="K24" i="5"/>
  <c r="K26" i="5"/>
  <c r="K27" i="5"/>
  <c r="K28" i="5"/>
  <c r="K29" i="5"/>
  <c r="K37" i="5"/>
  <c r="K40" i="5"/>
  <c r="K41" i="5"/>
  <c r="K42" i="5"/>
  <c r="K44" i="5"/>
  <c r="K45" i="5"/>
</calcChain>
</file>

<file path=xl/sharedStrings.xml><?xml version="1.0" encoding="utf-8"?>
<sst xmlns="http://schemas.openxmlformats.org/spreadsheetml/2006/main" count="159" uniqueCount="66">
  <si>
    <t>Оплата</t>
  </si>
  <si>
    <t>Дата</t>
  </si>
  <si>
    <t>№ накл</t>
  </si>
  <si>
    <t>Сума закуп</t>
  </si>
  <si>
    <t>№ п/п</t>
  </si>
  <si>
    <t>Дебет</t>
  </si>
  <si>
    <t>Кредит</t>
  </si>
  <si>
    <t xml:space="preserve"> </t>
  </si>
  <si>
    <t>(                  )</t>
  </si>
  <si>
    <t>бразилия</t>
  </si>
  <si>
    <t>ватикан</t>
  </si>
  <si>
    <t>словакия</t>
  </si>
  <si>
    <t>тунис</t>
  </si>
  <si>
    <t>панама</t>
  </si>
  <si>
    <t>Полное название</t>
  </si>
  <si>
    <t>название</t>
  </si>
  <si>
    <t>АКТ СВЕРКИ</t>
  </si>
  <si>
    <t>Сальдо начальное</t>
  </si>
  <si>
    <t>Название операции</t>
  </si>
  <si>
    <t>Обороты за период</t>
  </si>
  <si>
    <t>По данным ПП"Муха"</t>
  </si>
  <si>
    <t>ООО бразилия</t>
  </si>
  <si>
    <t>ООО ватикан</t>
  </si>
  <si>
    <t>ООО словакия</t>
  </si>
  <si>
    <t>ООО тунис</t>
  </si>
  <si>
    <t>ООО панама</t>
  </si>
  <si>
    <t>долг</t>
  </si>
  <si>
    <t>на 07.07.2015 задолгованість на користь</t>
  </si>
  <si>
    <t>продавец</t>
  </si>
  <si>
    <t>покупатель</t>
  </si>
  <si>
    <t>кг</t>
  </si>
  <si>
    <t>Сумма с НДС</t>
  </si>
  <si>
    <t>Продажа/Оплата</t>
  </si>
  <si>
    <t>склад</t>
  </si>
  <si>
    <t>лондон</t>
  </si>
  <si>
    <t>рим</t>
  </si>
  <si>
    <t>мадрид</t>
  </si>
  <si>
    <t>будапешт</t>
  </si>
  <si>
    <t>дублин</t>
  </si>
  <si>
    <t>монако</t>
  </si>
  <si>
    <t>2</t>
  </si>
  <si>
    <t>3</t>
  </si>
  <si>
    <t>9</t>
  </si>
  <si>
    <t>10</t>
  </si>
  <si>
    <t>11</t>
  </si>
  <si>
    <t>цена</t>
  </si>
  <si>
    <t>Оплата   03.02.15</t>
  </si>
  <si>
    <t/>
  </si>
  <si>
    <t>Оплата   06.02.15</t>
  </si>
  <si>
    <t>Продажа 11.02.15 № 00006</t>
  </si>
  <si>
    <t>Продажа 13.02.15 № 00007</t>
  </si>
  <si>
    <t>Продажа 14.02.15 № 00009</t>
  </si>
  <si>
    <t>Оплата   02.03.15</t>
  </si>
  <si>
    <t>Оплата   17.03.15</t>
  </si>
  <si>
    <t>Оплата   14.04.15</t>
  </si>
  <si>
    <t>Оплата   15.04.15</t>
  </si>
  <si>
    <t>Продажа 23.04.15 № 000054</t>
  </si>
  <si>
    <t>Продажа 26.04.15 № 000061</t>
  </si>
  <si>
    <t>Оплата   28.04.15</t>
  </si>
  <si>
    <t>Оплата   05.05.15</t>
  </si>
  <si>
    <t>Оплата   24.06.15</t>
  </si>
  <si>
    <t>Продажа 24.06.15 № 0000221</t>
  </si>
  <si>
    <t>Продажа 27.06.15 № 0000227</t>
  </si>
  <si>
    <t>Продажа 28.06.15 № 0000235</t>
  </si>
  <si>
    <t>Данные для акта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</si>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</sst>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#,##0.00_ ;[Red]\-#,##0.00\ "/>
    <numFmt numFmtId="166" formatCode="0.000"/>
    <numFmt numFmtId="167" formatCode="#,##0.00\ _г_р_н_.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10"/>
      <color rgb="FF00B050"/>
      <name val="Arial"/>
      <family val="2"/>
    </font>
    <font>
      <sz val="11"/>
      <color rgb="FFC00000"/>
      <name val="Calibri"/>
      <family val="2"/>
      <scheme val="minor"/>
    </font>
    <font>
      <sz val="2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 tint="0.499984740745262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  <charset val="204"/>
    </font>
    <font>
      <sz val="10"/>
      <color theme="5" tint="-0.499984740745262"/>
      <name val="Arial"/>
      <family val="2"/>
      <charset val="204"/>
    </font>
    <font>
      <sz val="10"/>
      <color rgb="FF336699"/>
      <name val="Arial"/>
      <family val="2"/>
      <charset val="204"/>
    </font>
    <font>
      <sz val="11"/>
      <color rgb="FF33669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36">
    <xf numFmtId="0" fontId="0" fillId="0" borderId="0" xfId="0"/>
    <xf numFmtId="49" fontId="1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8" fillId="0" borderId="0" xfId="0" applyFont="1" applyFill="1"/>
    <xf numFmtId="4" fontId="6" fillId="0" borderId="0" xfId="0" applyNumberFormat="1" applyFont="1" applyFill="1" applyAlignment="1">
      <alignment horizontal="right"/>
    </xf>
    <xf numFmtId="164" fontId="2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left"/>
    </xf>
    <xf numFmtId="0" fontId="10" fillId="2" borderId="0" xfId="0" applyNumberFormat="1" applyFont="1" applyFill="1" applyBorder="1" applyAlignment="1">
      <alignment horizontal="left" vertical="center" wrapText="1"/>
    </xf>
    <xf numFmtId="1" fontId="10" fillId="2" borderId="0" xfId="0" applyNumberFormat="1" applyFont="1" applyFill="1" applyBorder="1" applyAlignment="1">
      <alignment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right" vertical="center" wrapText="1"/>
    </xf>
    <xf numFmtId="4" fontId="10" fillId="2" borderId="0" xfId="0" applyNumberFormat="1" applyFont="1" applyFill="1" applyBorder="1" applyAlignment="1">
      <alignment horizontal="left" vertical="center" wrapText="1"/>
    </xf>
    <xf numFmtId="0" fontId="2" fillId="2" borderId="0" xfId="1" applyNumberFormat="1" applyFont="1" applyFill="1" applyBorder="1" applyAlignment="1"/>
    <xf numFmtId="165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left" vertical="center" wrapText="1"/>
    </xf>
    <xf numFmtId="165" fontId="1" fillId="2" borderId="0" xfId="1" applyNumberFormat="1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Fill="1"/>
    <xf numFmtId="4" fontId="2" fillId="3" borderId="0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left"/>
    </xf>
    <xf numFmtId="165" fontId="2" fillId="3" borderId="0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right"/>
    </xf>
    <xf numFmtId="1" fontId="2" fillId="3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/>
    <xf numFmtId="0" fontId="2" fillId="3" borderId="0" xfId="1" applyNumberFormat="1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 applyBorder="1" applyAlignment="1">
      <alignment horizontal="center"/>
    </xf>
    <xf numFmtId="0" fontId="10" fillId="3" borderId="0" xfId="1" applyNumberFormat="1" applyFont="1" applyFill="1" applyBorder="1" applyAlignment="1">
      <alignment horizontal="left"/>
    </xf>
    <xf numFmtId="49" fontId="10" fillId="3" borderId="0" xfId="0" applyNumberFormat="1" applyFont="1" applyFill="1" applyBorder="1" applyAlignment="1">
      <alignment horizontal="center" vertical="center" wrapText="1"/>
    </xf>
    <xf numFmtId="49" fontId="10" fillId="3" borderId="0" xfId="0" applyNumberFormat="1" applyFont="1" applyFill="1" applyBorder="1" applyAlignment="1">
      <alignment horizontal="right"/>
    </xf>
    <xf numFmtId="1" fontId="10" fillId="3" borderId="0" xfId="0" applyNumberFormat="1" applyFont="1" applyFill="1" applyBorder="1" applyAlignment="1">
      <alignment vertical="center" wrapText="1"/>
    </xf>
    <xf numFmtId="4" fontId="10" fillId="3" borderId="0" xfId="0" applyNumberFormat="1" applyFont="1" applyFill="1" applyBorder="1"/>
    <xf numFmtId="0" fontId="10" fillId="3" borderId="0" xfId="0" applyNumberFormat="1" applyFont="1" applyFill="1" applyBorder="1" applyAlignment="1">
      <alignment horizontal="left" vertical="center" wrapText="1"/>
    </xf>
    <xf numFmtId="49" fontId="10" fillId="3" borderId="0" xfId="0" applyNumberFormat="1" applyFont="1" applyFill="1" applyBorder="1" applyAlignment="1">
      <alignment horizontal="right" vertical="center" wrapText="1"/>
    </xf>
    <xf numFmtId="4" fontId="10" fillId="3" borderId="0" xfId="0" applyNumberFormat="1" applyFont="1" applyFill="1" applyBorder="1" applyAlignment="1">
      <alignment horizontal="left" vertical="center" wrapText="1"/>
    </xf>
    <xf numFmtId="0" fontId="2" fillId="3" borderId="0" xfId="0" applyNumberFormat="1" applyFont="1" applyFill="1" applyBorder="1" applyAlignment="1">
      <alignment horizontal="left" vertical="center" wrapText="1"/>
    </xf>
    <xf numFmtId="165" fontId="1" fillId="3" borderId="0" xfId="1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right"/>
    </xf>
    <xf numFmtId="165" fontId="1" fillId="3" borderId="0" xfId="2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/>
    <xf numFmtId="49" fontId="10" fillId="3" borderId="0" xfId="1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right"/>
    </xf>
    <xf numFmtId="0" fontId="3" fillId="2" borderId="0" xfId="1" applyNumberFormat="1" applyFont="1" applyFill="1" applyBorder="1" applyAlignment="1"/>
    <xf numFmtId="166" fontId="2" fillId="2" borderId="0" xfId="0" applyNumberFormat="1" applyFont="1" applyFill="1" applyBorder="1" applyAlignment="1">
      <alignment vertical="center" wrapText="1"/>
    </xf>
    <xf numFmtId="166" fontId="2" fillId="2" borderId="0" xfId="0" applyNumberFormat="1" applyFont="1" applyFill="1" applyBorder="1" applyAlignment="1"/>
    <xf numFmtId="166" fontId="10" fillId="2" borderId="0" xfId="0" applyNumberFormat="1" applyFont="1" applyFill="1" applyBorder="1" applyAlignment="1">
      <alignment vertical="center" wrapText="1"/>
    </xf>
    <xf numFmtId="166" fontId="2" fillId="3" borderId="0" xfId="0" applyNumberFormat="1" applyFont="1" applyFill="1" applyBorder="1" applyAlignment="1">
      <alignment vertical="center" wrapText="1"/>
    </xf>
    <xf numFmtId="166" fontId="10" fillId="3" borderId="0" xfId="0" applyNumberFormat="1" applyFont="1" applyFill="1" applyBorder="1" applyAlignment="1">
      <alignment vertical="center" wrapText="1"/>
    </xf>
    <xf numFmtId="166" fontId="2" fillId="3" borderId="0" xfId="0" applyNumberFormat="1" applyFont="1" applyFill="1" applyBorder="1" applyAlignment="1"/>
    <xf numFmtId="166" fontId="0" fillId="0" borderId="0" xfId="0" applyNumberFormat="1" applyFill="1"/>
    <xf numFmtId="166" fontId="2" fillId="2" borderId="0" xfId="0" applyNumberFormat="1" applyFont="1" applyFill="1" applyBorder="1" applyAlignment="1">
      <alignment horizontal="center" vertical="center" wrapText="1"/>
    </xf>
    <xf numFmtId="166" fontId="10" fillId="3" borderId="0" xfId="0" applyNumberFormat="1" applyFont="1" applyFill="1" applyBorder="1" applyAlignment="1">
      <alignment horizontal="left" vertical="center" wrapText="1"/>
    </xf>
    <xf numFmtId="166" fontId="2" fillId="3" borderId="0" xfId="0" applyNumberFormat="1" applyFont="1" applyFill="1" applyBorder="1" applyAlignment="1">
      <alignment horizontal="center" vertical="center" wrapText="1"/>
    </xf>
    <xf numFmtId="166" fontId="10" fillId="3" borderId="0" xfId="0" applyNumberFormat="1" applyFont="1" applyFill="1" applyBorder="1" applyAlignment="1">
      <alignment horizontal="center" vertical="center" wrapText="1"/>
    </xf>
    <xf numFmtId="166" fontId="10" fillId="2" borderId="0" xfId="0" applyNumberFormat="1" applyFont="1" applyFill="1" applyBorder="1" applyAlignment="1">
      <alignment horizontal="left" vertical="center" wrapText="1"/>
    </xf>
    <xf numFmtId="0" fontId="0" fillId="0" borderId="0" xfId="0" applyAlignment="1"/>
    <xf numFmtId="4" fontId="0" fillId="0" borderId="0" xfId="0" applyNumberFormat="1" applyAlignment="1"/>
    <xf numFmtId="0" fontId="12" fillId="0" borderId="0" xfId="0" applyFont="1" applyAlignment="1"/>
    <xf numFmtId="167" fontId="12" fillId="0" borderId="0" xfId="0" applyNumberFormat="1" applyFont="1" applyAlignment="1">
      <alignment horizontal="right"/>
    </xf>
    <xf numFmtId="4" fontId="12" fillId="0" borderId="0" xfId="0" applyNumberFormat="1" applyFont="1" applyAlignment="1"/>
    <xf numFmtId="0" fontId="12" fillId="0" borderId="0" xfId="0" applyFont="1" applyAlignment="1">
      <alignment vertical="top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/>
    <xf numFmtId="165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4" fontId="13" fillId="0" borderId="1" xfId="0" applyNumberFormat="1" applyFont="1" applyBorder="1" applyAlignment="1"/>
    <xf numFmtId="0" fontId="13" fillId="0" borderId="1" xfId="0" applyFont="1" applyBorder="1" applyAlignment="1">
      <alignment horizontal="right"/>
    </xf>
    <xf numFmtId="4" fontId="14" fillId="0" borderId="1" xfId="0" applyNumberFormat="1" applyFont="1" applyBorder="1" applyAlignment="1"/>
    <xf numFmtId="0" fontId="14" fillId="0" borderId="1" xfId="0" applyFont="1" applyBorder="1" applyAlignment="1">
      <alignment horizontal="right"/>
    </xf>
    <xf numFmtId="4" fontId="15" fillId="0" borderId="1" xfId="0" applyNumberFormat="1" applyFont="1" applyBorder="1" applyAlignment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4" fontId="12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left" vertical="top" wrapText="1"/>
    </xf>
    <xf numFmtId="4" fontId="13" fillId="0" borderId="0" xfId="0" applyNumberFormat="1" applyFont="1" applyAlignment="1">
      <alignment vertical="top" wrapText="1"/>
    </xf>
    <xf numFmtId="167" fontId="12" fillId="0" borderId="0" xfId="0" applyNumberFormat="1" applyFont="1" applyAlignment="1">
      <alignment horizontal="right" wrapText="1"/>
    </xf>
    <xf numFmtId="4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vertical="top" wrapText="1"/>
    </xf>
    <xf numFmtId="4" fontId="12" fillId="0" borderId="0" xfId="0" applyNumberFormat="1" applyFont="1" applyAlignment="1">
      <alignment vertical="top" wrapText="1"/>
    </xf>
    <xf numFmtId="0" fontId="12" fillId="0" borderId="0" xfId="0" applyFont="1" applyBorder="1" applyAlignment="1"/>
    <xf numFmtId="0" fontId="12" fillId="0" borderId="2" xfId="0" applyFont="1" applyBorder="1" applyAlignment="1"/>
    <xf numFmtId="4" fontId="12" fillId="0" borderId="2" xfId="0" applyNumberFormat="1" applyFont="1" applyBorder="1" applyAlignment="1"/>
    <xf numFmtId="0" fontId="12" fillId="0" borderId="0" xfId="0" applyFont="1" applyAlignment="1">
      <alignment horizontal="right"/>
    </xf>
    <xf numFmtId="0" fontId="0" fillId="0" borderId="0" xfId="0" applyAlignment="1">
      <alignment horizontal="left"/>
    </xf>
    <xf numFmtId="14" fontId="12" fillId="0" borderId="0" xfId="0" applyNumberFormat="1" applyFont="1" applyAlignment="1">
      <alignment horizontal="left"/>
    </xf>
    <xf numFmtId="0" fontId="13" fillId="0" borderId="0" xfId="0" applyFont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6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7" fillId="0" borderId="1" xfId="1" applyNumberFormat="1" applyFont="1" applyFill="1" applyBorder="1" applyAlignment="1"/>
    <xf numFmtId="167" fontId="18" fillId="0" borderId="0" xfId="0" applyNumberFormat="1" applyFont="1" applyAlignment="1">
      <alignment horizontal="right"/>
    </xf>
    <xf numFmtId="0" fontId="15" fillId="0" borderId="1" xfId="0" applyFont="1" applyBorder="1" applyAlignment="1"/>
    <xf numFmtId="166" fontId="4" fillId="0" borderId="0" xfId="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4" fontId="0" fillId="4" borderId="1" xfId="0" applyNumberFormat="1" applyFill="1" applyBorder="1"/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4" fontId="13" fillId="0" borderId="0" xfId="0" applyNumberFormat="1" applyFont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right"/>
    </xf>
    <xf numFmtId="14" fontId="1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7" fontId="13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wrapText="1"/>
    </xf>
  </cellXfs>
  <cellStyles count="11">
    <cellStyle name="Обычный" xfId="0" builtinId="0"/>
    <cellStyle name="Обычный 12" xfId="10"/>
    <cellStyle name="Обычный 13" xfId="5"/>
    <cellStyle name="Обычный 13 2" xfId="8"/>
    <cellStyle name="Обычный 15" xfId="3"/>
    <cellStyle name="Обычный 15 2" xfId="7"/>
    <cellStyle name="Обычный 16" xfId="4"/>
    <cellStyle name="Обычный 17" xfId="6"/>
    <cellStyle name="Обычный 17 2" xfId="9"/>
    <cellStyle name="Обычный 4" xfId="2"/>
    <cellStyle name="Обычный 40" xfId="1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66" formatCode="0.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00"/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dd/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dd/mm/yy;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000000"/>
      </font>
      <border>
        <bottom style="medium">
          <color rgb="FF000000"/>
        </bottom>
      </border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</dxfs>
  <tableStyles count="1" defaultTableStyle="TableStyleMedium2" defaultPivotStyle="PivotStyleLight16">
    <tableStyle name="TableStyleLight15 2" pivot="0" count="7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colors>
    <mruColors>
      <color rgb="FFFFFF99"/>
      <color rgb="FF3399FF"/>
      <color rgb="FF66FF66"/>
      <color rgb="FF336699"/>
      <color rgb="FF00CCFF"/>
      <color rgb="FF99FF66"/>
      <color rgb="FFF3EDA5"/>
      <color rgb="FFCCFFFF"/>
      <color rgb="FFFF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1" name="журнал32" displayName="журнал32" ref="B2:K45" totalsRowShown="0" headerRowDxfId="22" dataDxfId="21" totalsRowDxfId="20">
  <autoFilter ref="B2:K45"/>
  <sortState ref="B3:K293">
    <sortCondition ref="C2:C293"/>
  </sortState>
  <tableColumns count="10">
    <tableColumn id="16" name="Оплата" dataDxfId="19" totalsRowDxfId="18"/>
    <tableColumn id="22" name="Дата" dataDxfId="17" totalsRowDxfId="16"/>
    <tableColumn id="25" name="продавец" dataDxfId="15" totalsRowDxfId="14"/>
    <tableColumn id="24" name="покупатель" dataDxfId="13" totalsRowDxfId="12"/>
    <tableColumn id="23" name="склад" dataDxfId="11" totalsRowDxfId="10"/>
    <tableColumn id="1" name="№ накл" dataDxfId="9" totalsRowDxfId="8"/>
    <tableColumn id="4" name="кг" dataDxfId="7" totalsRowDxfId="6"/>
    <tableColumn id="11" name="Сума закуп" dataDxfId="5" totalsRowDxfId="4"/>
    <tableColumn id="13" name="цена" dataDxfId="3" totalsRowDxfId="2"/>
    <tableColumn id="15" name="Сумма с НДС" dataDxfId="1" totalsRowDxfId="0">
      <calculatedColumnFormula>журнал32[[#This Row],[цена]]*журнал32[[#This Row],[кг]]*1.2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6"/>
  <sheetViews>
    <sheetView tabSelected="1" workbookViewId="0">
      <selection activeCell="E46" sqref="E46"/>
    </sheetView>
  </sheetViews>
  <sheetFormatPr defaultColWidth="8.88671875" defaultRowHeight="14.4" x14ac:dyDescent="0.3"/>
  <cols>
    <col min="1" max="1" width="8.88671875" style="9"/>
    <col min="2" max="2" width="14" style="9" bestFit="1" customWidth="1"/>
    <col min="3" max="3" width="9.44140625" style="12" bestFit="1" customWidth="1"/>
    <col min="4" max="4" width="11.33203125" style="9" customWidth="1"/>
    <col min="5" max="5" width="13.109375" style="11" customWidth="1"/>
    <col min="6" max="6" width="8.88671875" style="9"/>
    <col min="7" max="7" width="5.88671875" style="9" customWidth="1"/>
    <col min="8" max="8" width="9.88671875" style="69" customWidth="1"/>
    <col min="9" max="9" width="13.88671875" style="9" bestFit="1" customWidth="1"/>
    <col min="10" max="10" width="7.88671875" style="36" customWidth="1"/>
    <col min="11" max="11" width="13.109375" style="9" customWidth="1"/>
    <col min="12" max="12" width="8.88671875" style="9" customWidth="1"/>
    <col min="13" max="13" width="27.33203125" style="9" bestFit="1" customWidth="1"/>
    <col min="14" max="14" width="10" style="10" customWidth="1"/>
    <col min="15" max="15" width="11.44140625" style="10" customWidth="1"/>
    <col min="16" max="16384" width="8.88671875" style="9"/>
  </cols>
  <sheetData>
    <row r="1" spans="1:15" ht="36.6" x14ac:dyDescent="0.7">
      <c r="B1" s="121">
        <v>2015</v>
      </c>
      <c r="C1" s="121"/>
      <c r="D1" s="121"/>
      <c r="E1" s="121"/>
      <c r="F1" s="121"/>
      <c r="G1" s="121"/>
      <c r="H1" s="121"/>
      <c r="I1" s="121"/>
      <c r="J1" s="121"/>
      <c r="K1" s="121"/>
      <c r="M1" s="122" t="s">
        <v>64</v>
      </c>
      <c r="N1" s="122"/>
      <c r="O1" s="122"/>
    </row>
    <row r="2" spans="1:15" ht="26.4" x14ac:dyDescent="0.3">
      <c r="B2" s="2" t="s">
        <v>0</v>
      </c>
      <c r="C2" s="3" t="s">
        <v>1</v>
      </c>
      <c r="D2" s="1" t="s">
        <v>28</v>
      </c>
      <c r="E2" s="8" t="s">
        <v>29</v>
      </c>
      <c r="F2" s="4" t="s">
        <v>33</v>
      </c>
      <c r="G2" s="5" t="s">
        <v>2</v>
      </c>
      <c r="H2" s="118" t="s">
        <v>30</v>
      </c>
      <c r="I2" s="6" t="s">
        <v>3</v>
      </c>
      <c r="J2" s="7" t="s">
        <v>45</v>
      </c>
      <c r="K2" s="6" t="s">
        <v>31</v>
      </c>
      <c r="M2" s="9" t="s">
        <v>32</v>
      </c>
      <c r="N2" s="10" t="s">
        <v>65</v>
      </c>
      <c r="O2" s="10" t="s">
        <v>65</v>
      </c>
    </row>
    <row r="3" spans="1:15" x14ac:dyDescent="0.3">
      <c r="A3" s="9">
        <f>IF(журнал32[[#This Row],[продавец]]=Акт!$D$1,MAX($A$2:A2)+1)</f>
        <v>1</v>
      </c>
      <c r="B3" s="61">
        <v>-600000.00000000373</v>
      </c>
      <c r="C3" s="14">
        <v>42005</v>
      </c>
      <c r="D3" s="62" t="s">
        <v>9</v>
      </c>
      <c r="E3" s="21"/>
      <c r="F3" s="15" t="s">
        <v>26</v>
      </c>
      <c r="G3" s="16"/>
      <c r="H3" s="63"/>
      <c r="I3" s="17"/>
      <c r="J3" s="70"/>
      <c r="K3" s="18"/>
      <c r="M3" s="9" t="str">
        <f>IF(F3="долг","",IF(AND(B3&gt;0,G3=0),CONCATENATE("Оплата","   ",TEXT(C3,"DD.MM.YY")),IF(G3=G2,"",CONCATENATE("Продажа"," ",TEXT(C3,"DD.MM.YY")," ","№ ",0,0,0,0,G3))))</f>
        <v/>
      </c>
      <c r="N3" s="10" t="str">
        <f>IF(G3="№ накл","",IF(G3=0,"",IF(G3=G2,"",SUMIF(G3:G45,G3,I3:I45))))</f>
        <v/>
      </c>
      <c r="O3" s="10" t="str">
        <f t="shared" ref="O3:O45" si="0">IF(F3="долг","",IF(B3="Оплата","",IF(B3&lt;=0,"",B3)))</f>
        <v/>
      </c>
    </row>
    <row r="4" spans="1:15" x14ac:dyDescent="0.3">
      <c r="A4" s="9" t="b">
        <f>IF(журнал32[[#This Row],[продавец]]=Акт!$D$1,MAX($A$2:A3)+1)</f>
        <v>0</v>
      </c>
      <c r="B4" s="19">
        <v>20000</v>
      </c>
      <c r="C4" s="14">
        <v>42025</v>
      </c>
      <c r="D4" s="29"/>
      <c r="E4" s="33" t="s">
        <v>34</v>
      </c>
      <c r="F4" s="15"/>
      <c r="G4" s="20"/>
      <c r="H4" s="64"/>
      <c r="I4" s="22"/>
      <c r="J4" s="70"/>
      <c r="K4" s="18"/>
      <c r="M4" s="9" t="str">
        <f t="shared" ref="M4:M5" si="1">IF(F4="долг","",IF(AND(B4&gt;0,G4=0),CONCATENATE("Оплата","   ",TEXT(C4,"DD.MM.YY")),IF(G4=G3,"",CONCATENATE("Продажа"," ",TEXT(C4,"DD.MM.YY")," ","№ ",0,0,0,0,G4))))</f>
        <v>Оплата   DD.MM.YY</v>
      </c>
      <c r="N4" s="10" t="str">
        <f>IF(G4="№ накл","",IF(G4=0,"",IF(G4=G3,"",SUMIF(G4:G45,G4,I4:I45))))</f>
        <v/>
      </c>
      <c r="O4" s="10">
        <f t="shared" si="0"/>
        <v>20000</v>
      </c>
    </row>
    <row r="5" spans="1:15" x14ac:dyDescent="0.3">
      <c r="A5" s="9" t="b">
        <f>IF(журнал32[[#This Row],[продавец]]=Акт!$D$1,MAX($A$2:A4)+1)</f>
        <v>0</v>
      </c>
      <c r="B5" s="17">
        <v>100000</v>
      </c>
      <c r="C5" s="14">
        <v>42025</v>
      </c>
      <c r="D5" s="23"/>
      <c r="E5" s="30" t="s">
        <v>35</v>
      </c>
      <c r="F5" s="31"/>
      <c r="G5" s="16"/>
      <c r="H5" s="63"/>
      <c r="I5" s="17"/>
      <c r="J5" s="70"/>
      <c r="K5" s="18"/>
      <c r="M5" s="9" t="str">
        <f t="shared" si="1"/>
        <v>Оплата   DD.MM.YY</v>
      </c>
      <c r="N5" s="10" t="str">
        <f>IF(G5="№ накл","",IF(G5=0,"",IF(G5=G4,"",SUMIF(G5:G45,G5,I5:I45))))</f>
        <v/>
      </c>
      <c r="O5" s="10">
        <f t="shared" si="0"/>
        <v>100000</v>
      </c>
    </row>
    <row r="6" spans="1:15" x14ac:dyDescent="0.3">
      <c r="A6" s="9" t="b">
        <f>IF(журнал32[[#This Row],[продавец]]=Акт!$D$1,MAX($A$2:A5)+1)</f>
        <v>0</v>
      </c>
      <c r="B6" s="17"/>
      <c r="C6" s="14">
        <v>42026</v>
      </c>
      <c r="D6" s="32" t="s">
        <v>11</v>
      </c>
      <c r="E6" s="33" t="s">
        <v>34</v>
      </c>
      <c r="F6" s="31" t="s">
        <v>42</v>
      </c>
      <c r="G6" s="16">
        <v>1</v>
      </c>
      <c r="H6" s="63">
        <v>351</v>
      </c>
      <c r="I6" s="17">
        <v>41888.339999999997</v>
      </c>
      <c r="J6" s="70">
        <v>127.7</v>
      </c>
      <c r="K6" s="18">
        <f>журнал32[[#This Row],[цена]]*журнал32[[#This Row],[кг]]*1.2</f>
        <v>53787.240000000005</v>
      </c>
      <c r="M6" s="9" t="str">
        <f t="shared" ref="M6:M45" si="2">IF(F6="долг","",IF(AND(B6&gt;0,G6=0),CONCATENATE("Оплата","   ",TEXT(C6,"DD.MM.YY")),IF(G6=G5,"",CONCATENATE("Продажа"," ",TEXT(C6,"DD.MM.YY")," ","№ ",0,0,0,0,G6))))</f>
        <v>Продажа DD.MM.YY № 00001</v>
      </c>
      <c r="N6" s="10">
        <f>IF(G6="№ накл","",IF(G6=0,"",IF(G6=G5,"",SUMIF(G6:G45,G6,I6:I45))))</f>
        <v>41888.339999999997</v>
      </c>
      <c r="O6" s="10" t="str">
        <f t="shared" si="0"/>
        <v/>
      </c>
    </row>
    <row r="7" spans="1:15" x14ac:dyDescent="0.3">
      <c r="A7" s="9" t="b">
        <f>IF(журнал32[[#This Row],[продавец]]=Акт!$D$1,MAX($A$2:A6)+1)</f>
        <v>0</v>
      </c>
      <c r="B7" s="17">
        <v>42000</v>
      </c>
      <c r="C7" s="14">
        <v>42026</v>
      </c>
      <c r="D7" s="23" t="s">
        <v>11</v>
      </c>
      <c r="E7" s="30"/>
      <c r="F7" s="31"/>
      <c r="G7" s="16"/>
      <c r="H7" s="63"/>
      <c r="I7" s="17"/>
      <c r="J7" s="70"/>
      <c r="K7" s="18"/>
      <c r="M7" s="9" t="str">
        <f t="shared" si="2"/>
        <v>Оплата   DD.MM.YY</v>
      </c>
      <c r="N7" s="10" t="str">
        <f>IF(G7="№ накл","",IF(G7=0,"",IF(G7=G6,"",SUMIF(G7:G45,G7,I7:I45))))</f>
        <v/>
      </c>
      <c r="O7" s="10">
        <f t="shared" si="0"/>
        <v>42000</v>
      </c>
    </row>
    <row r="8" spans="1:15" x14ac:dyDescent="0.3">
      <c r="A8" s="9" t="b">
        <f>IF(журнал32[[#This Row],[продавец]]=Акт!$D$1,MAX($A$2:A7)+1)</f>
        <v>0</v>
      </c>
      <c r="B8" s="17">
        <v>34000</v>
      </c>
      <c r="C8" s="14">
        <v>42027</v>
      </c>
      <c r="D8" s="32"/>
      <c r="E8" s="33" t="s">
        <v>34</v>
      </c>
      <c r="F8" s="31"/>
      <c r="G8" s="16"/>
      <c r="H8" s="63"/>
      <c r="I8" s="17"/>
      <c r="J8" s="70"/>
      <c r="K8" s="18"/>
      <c r="M8" s="9" t="str">
        <f t="shared" si="2"/>
        <v>Оплата   DD.MM.YY</v>
      </c>
      <c r="N8" s="10" t="str">
        <f>IF(G8="№ накл","",IF(G8=0,"",IF(G8=G7,"",SUMIF(G8:G45,G8,I8:I45))))</f>
        <v/>
      </c>
      <c r="O8" s="10">
        <f t="shared" si="0"/>
        <v>34000</v>
      </c>
    </row>
    <row r="9" spans="1:15" x14ac:dyDescent="0.3">
      <c r="A9" s="9" t="b">
        <f>IF(журнал32[[#This Row],[продавец]]=Акт!$D$1,MAX($A$2:A8)+1)</f>
        <v>0</v>
      </c>
      <c r="B9" s="17">
        <v>34000</v>
      </c>
      <c r="C9" s="14">
        <v>42031</v>
      </c>
      <c r="D9" s="32" t="s">
        <v>11</v>
      </c>
      <c r="E9" s="33"/>
      <c r="F9" s="31"/>
      <c r="G9" s="16"/>
      <c r="H9" s="63"/>
      <c r="I9" s="17"/>
      <c r="J9" s="70"/>
      <c r="K9" s="18"/>
      <c r="M9" s="9" t="str">
        <f t="shared" si="2"/>
        <v>Оплата   DD.MM.YY</v>
      </c>
      <c r="N9" s="10" t="str">
        <f>IF(G9="№ накл","",IF(G9=0,"",IF(G9=G8,"",SUMIF(G9:G45,G9,I9:I45))))</f>
        <v/>
      </c>
      <c r="O9" s="10">
        <f t="shared" si="0"/>
        <v>34000</v>
      </c>
    </row>
    <row r="10" spans="1:15" x14ac:dyDescent="0.3">
      <c r="A10" s="9" t="b">
        <f>IF(журнал32[[#This Row],[продавец]]=Акт!$D$1,MAX($A$2:A9)+1)</f>
        <v>0</v>
      </c>
      <c r="B10" s="27">
        <v>8000</v>
      </c>
      <c r="C10" s="34">
        <v>42032</v>
      </c>
      <c r="D10" s="24" t="s">
        <v>11</v>
      </c>
      <c r="E10" s="26"/>
      <c r="F10" s="35"/>
      <c r="G10" s="25"/>
      <c r="H10" s="65"/>
      <c r="I10" s="27"/>
      <c r="J10" s="74"/>
      <c r="K10" s="28"/>
      <c r="M10" s="9" t="str">
        <f t="shared" si="2"/>
        <v>Оплата   DD.MM.YY</v>
      </c>
      <c r="N10" s="10" t="str">
        <f>IF(G10="№ накл","",IF(G10=0,"",IF(G10=G9,"",SUMIF(G10:G45,G10,I10:I45))))</f>
        <v/>
      </c>
      <c r="O10" s="10">
        <f t="shared" si="0"/>
        <v>8000</v>
      </c>
    </row>
    <row r="11" spans="1:15" x14ac:dyDescent="0.3">
      <c r="A11" s="9" t="b">
        <f>IF(журнал32[[#This Row],[продавец]]=Акт!$D$1,MAX($A$2:A10)+1)</f>
        <v>0</v>
      </c>
      <c r="B11" s="27">
        <v>54000</v>
      </c>
      <c r="C11" s="34">
        <v>42032</v>
      </c>
      <c r="D11" s="24"/>
      <c r="E11" s="26" t="s">
        <v>34</v>
      </c>
      <c r="F11" s="35"/>
      <c r="G11" s="25"/>
      <c r="H11" s="65"/>
      <c r="I11" s="27"/>
      <c r="J11" s="74"/>
      <c r="K11" s="28"/>
      <c r="M11" s="9" t="str">
        <f t="shared" si="2"/>
        <v>Оплата   DD.MM.YY</v>
      </c>
      <c r="N11" s="10" t="str">
        <f>IF(G11="№ накл","",IF(G11=0,"",IF(G11=G10,"",SUMIF(G11:G45,G11,I11:I45))))</f>
        <v/>
      </c>
      <c r="O11" s="10">
        <f t="shared" si="0"/>
        <v>54000</v>
      </c>
    </row>
    <row r="12" spans="1:15" x14ac:dyDescent="0.3">
      <c r="A12" s="9" t="b">
        <f>IF(журнал32[[#This Row],[продавец]]=Акт!$D$1,MAX($A$2:A11)+1)</f>
        <v>0</v>
      </c>
      <c r="B12" s="17"/>
      <c r="C12" s="14">
        <v>42033</v>
      </c>
      <c r="D12" s="23" t="s">
        <v>11</v>
      </c>
      <c r="E12" s="30" t="s">
        <v>34</v>
      </c>
      <c r="F12" s="31" t="s">
        <v>42</v>
      </c>
      <c r="G12" s="16">
        <v>2</v>
      </c>
      <c r="H12" s="63">
        <v>349.3</v>
      </c>
      <c r="I12" s="17">
        <v>41685.46</v>
      </c>
      <c r="J12" s="70">
        <v>127.7</v>
      </c>
      <c r="K12" s="18">
        <f>журнал32[[#This Row],[цена]]*журнал32[[#This Row],[кг]]*1.2</f>
        <v>53526.731999999996</v>
      </c>
      <c r="M12" s="9" t="str">
        <f t="shared" si="2"/>
        <v>Продажа DD.MM.YY № 00002</v>
      </c>
      <c r="N12" s="10">
        <f>IF(G12="№ накл","",IF(G12=0,"",IF(G12=G11,"",SUMIF(G12:G45,G12,I12:I45))))</f>
        <v>41685.46</v>
      </c>
      <c r="O12" s="10" t="str">
        <f t="shared" si="0"/>
        <v/>
      </c>
    </row>
    <row r="13" spans="1:15" x14ac:dyDescent="0.3">
      <c r="A13" s="9" t="b">
        <f>IF(журнал32[[#This Row],[продавец]]=Акт!$D$1,MAX($A$2:A12)+1)</f>
        <v>0</v>
      </c>
      <c r="B13" s="17">
        <v>42000</v>
      </c>
      <c r="C13" s="14">
        <v>42034</v>
      </c>
      <c r="D13" s="23" t="s">
        <v>11</v>
      </c>
      <c r="E13" s="30"/>
      <c r="F13" s="31"/>
      <c r="G13" s="16"/>
      <c r="H13" s="63"/>
      <c r="I13" s="17"/>
      <c r="J13" s="70"/>
      <c r="K13" s="18"/>
      <c r="M13" s="9" t="str">
        <f t="shared" si="2"/>
        <v>Оплата   DD.MM.YY</v>
      </c>
      <c r="N13" s="10" t="str">
        <f>IF(G13="№ накл","",IF(G13=0,"",IF(G13=G12,"",SUMIF(G13:G45,G13,I13:I45))))</f>
        <v/>
      </c>
      <c r="O13" s="10">
        <f t="shared" si="0"/>
        <v>42000</v>
      </c>
    </row>
    <row r="14" spans="1:15" ht="15" customHeight="1" x14ac:dyDescent="0.3">
      <c r="A14" s="9" t="b">
        <f>IF(журнал32[[#This Row],[продавец]]=Акт!$D$1,MAX($A$2:A13)+1)</f>
        <v>0</v>
      </c>
      <c r="B14" s="17">
        <v>54000</v>
      </c>
      <c r="C14" s="14">
        <v>42034</v>
      </c>
      <c r="D14" s="23"/>
      <c r="E14" s="30" t="s">
        <v>34</v>
      </c>
      <c r="F14" s="31"/>
      <c r="G14" s="16"/>
      <c r="H14" s="63"/>
      <c r="I14" s="17"/>
      <c r="J14" s="70"/>
      <c r="K14" s="18"/>
      <c r="M14" s="9" t="str">
        <f t="shared" si="2"/>
        <v>Оплата   DD.MM.YY</v>
      </c>
      <c r="N14" s="10" t="str">
        <f>IF(G14="№ накл","",IF(G14=0,"",IF(G14=G13,"",SUMIF(G14:G45,G14,I14:I45))))</f>
        <v/>
      </c>
      <c r="O14" s="10">
        <f t="shared" si="0"/>
        <v>54000</v>
      </c>
    </row>
    <row r="15" spans="1:15" x14ac:dyDescent="0.3">
      <c r="A15" s="9" t="b">
        <f>IF(журнал32[[#This Row],[продавец]]=Акт!$D$1,MAX($A$2:A14)+1)</f>
        <v>0</v>
      </c>
      <c r="B15" s="17"/>
      <c r="C15" s="14">
        <v>42035</v>
      </c>
      <c r="D15" s="23" t="s">
        <v>11</v>
      </c>
      <c r="E15" s="30" t="s">
        <v>34</v>
      </c>
      <c r="F15" s="31" t="s">
        <v>42</v>
      </c>
      <c r="G15" s="16">
        <v>3</v>
      </c>
      <c r="H15" s="63">
        <v>350</v>
      </c>
      <c r="I15" s="17">
        <v>45486</v>
      </c>
      <c r="J15" s="70">
        <v>127.7</v>
      </c>
      <c r="K15" s="18">
        <f>журнал32[[#This Row],[цена]]*журнал32[[#This Row],[кг]]*1.2</f>
        <v>53634</v>
      </c>
      <c r="M15" s="9" t="str">
        <f t="shared" si="2"/>
        <v>Продажа DD.MM.YY № 00003</v>
      </c>
      <c r="N15" s="10">
        <f>IF(G15="№ накл","",IF(G15=0,"",IF(G15=G14,"",SUMIF(G15:G45,G15,I15:I45))))</f>
        <v>45486</v>
      </c>
      <c r="O15" s="10" t="str">
        <f t="shared" si="0"/>
        <v/>
      </c>
    </row>
    <row r="16" spans="1:15" x14ac:dyDescent="0.3">
      <c r="A16" s="9" t="b">
        <f>IF(журнал32[[#This Row],[продавец]]=Акт!$D$1,MAX($A$2:A15)+1)</f>
        <v>0</v>
      </c>
      <c r="B16" s="37">
        <v>2000000</v>
      </c>
      <c r="C16" s="38">
        <v>42037</v>
      </c>
      <c r="D16" s="39"/>
      <c r="E16" s="40" t="s">
        <v>35</v>
      </c>
      <c r="F16" s="41"/>
      <c r="G16" s="42"/>
      <c r="H16" s="66"/>
      <c r="I16" s="37"/>
      <c r="J16" s="72"/>
      <c r="K16" s="43"/>
      <c r="M16" s="9" t="str">
        <f t="shared" si="2"/>
        <v>Оплата   DD.MM.YY</v>
      </c>
      <c r="N16" s="10" t="str">
        <f>IF(G16="№ накл","",IF(G16=0,"",IF(G16=G15,"",SUMIF(G16:G45,G16,I16:I45))))</f>
        <v/>
      </c>
      <c r="O16" s="10">
        <f t="shared" si="0"/>
        <v>2000000</v>
      </c>
    </row>
    <row r="17" spans="1:15" x14ac:dyDescent="0.3">
      <c r="A17" s="9">
        <f>IF(журнал32[[#This Row],[продавец]]=Акт!$D$1,MAX($A$2:A16)+1)</f>
        <v>2</v>
      </c>
      <c r="B17" s="37">
        <v>200000</v>
      </c>
      <c r="C17" s="38">
        <v>42038</v>
      </c>
      <c r="D17" s="44" t="s">
        <v>9</v>
      </c>
      <c r="E17" s="40"/>
      <c r="F17" s="41"/>
      <c r="G17" s="42"/>
      <c r="H17" s="66"/>
      <c r="I17" s="37"/>
      <c r="J17" s="72"/>
      <c r="K17" s="43"/>
      <c r="M17" s="9" t="str">
        <f t="shared" si="2"/>
        <v>Оплата   DD.MM.YY</v>
      </c>
      <c r="N17" s="10" t="str">
        <f>IF(G17="№ накл","",IF(G17=0,"",IF(G17=G16,"",SUMIF(G17:G45,G17,I17:I45))))</f>
        <v/>
      </c>
      <c r="O17" s="10">
        <f t="shared" si="0"/>
        <v>200000</v>
      </c>
    </row>
    <row r="18" spans="1:15" x14ac:dyDescent="0.3">
      <c r="A18" s="9" t="b">
        <f>IF(журнал32[[#This Row],[продавец]]=Акт!$D$1,MAX($A$2:A17)+1)</f>
        <v>0</v>
      </c>
      <c r="B18" s="45">
        <v>3059.8</v>
      </c>
      <c r="C18" s="46">
        <v>42038</v>
      </c>
      <c r="D18" s="47" t="s">
        <v>11</v>
      </c>
      <c r="E18" s="48"/>
      <c r="F18" s="49"/>
      <c r="G18" s="50"/>
      <c r="H18" s="67"/>
      <c r="I18" s="45"/>
      <c r="J18" s="73"/>
      <c r="K18" s="51">
        <f>журнал32[[#This Row],[цена]]*журнал32[[#This Row],[кг]]*1.2</f>
        <v>0</v>
      </c>
      <c r="M18" s="9" t="str">
        <f t="shared" si="2"/>
        <v>Оплата   DD.MM.YY</v>
      </c>
      <c r="N18" s="10" t="str">
        <f>IF(G18="№ накл","",IF(G18=0,"",IF(G18=G17,"",SUMIF(G18:G45,G18,I18:I45))))</f>
        <v/>
      </c>
      <c r="O18" s="10">
        <f t="shared" si="0"/>
        <v>3059.8</v>
      </c>
    </row>
    <row r="19" spans="1:15" x14ac:dyDescent="0.3">
      <c r="A19" s="9">
        <f>IF(журнал32[[#This Row],[продавец]]=Акт!$D$1,MAX($A$2:A18)+1)</f>
        <v>3</v>
      </c>
      <c r="B19" s="37">
        <v>150000</v>
      </c>
      <c r="C19" s="38">
        <v>42041</v>
      </c>
      <c r="D19" s="44" t="s">
        <v>9</v>
      </c>
      <c r="E19" s="40"/>
      <c r="F19" s="41"/>
      <c r="G19" s="42"/>
      <c r="H19" s="66"/>
      <c r="I19" s="37"/>
      <c r="J19" s="72"/>
      <c r="K19" s="43"/>
      <c r="M19" s="9" t="str">
        <f t="shared" si="2"/>
        <v>Оплата   DD.MM.YY</v>
      </c>
      <c r="N19" s="10" t="str">
        <f>IF(G19="№ накл","",IF(G19=0,"",IF(G19=G18,"",SUMIF(G19:G45,G19,I19:I45))))</f>
        <v/>
      </c>
      <c r="O19" s="10">
        <f t="shared" si="0"/>
        <v>150000</v>
      </c>
    </row>
    <row r="20" spans="1:15" x14ac:dyDescent="0.3">
      <c r="A20" s="9">
        <f>IF(журнал32[[#This Row],[продавец]]=Акт!$D$1,MAX($A$2:A19)+1)</f>
        <v>4</v>
      </c>
      <c r="B20" s="37"/>
      <c r="C20" s="38">
        <v>42046</v>
      </c>
      <c r="D20" s="39" t="s">
        <v>9</v>
      </c>
      <c r="E20" s="40" t="s">
        <v>35</v>
      </c>
      <c r="F20" s="41" t="s">
        <v>43</v>
      </c>
      <c r="G20" s="42">
        <v>6</v>
      </c>
      <c r="H20" s="66">
        <v>1317</v>
      </c>
      <c r="I20" s="37">
        <v>175155.73</v>
      </c>
      <c r="J20" s="72">
        <v>127.92</v>
      </c>
      <c r="K20" s="54">
        <f>журнал32[[#This Row],[цена]]*журнал32[[#This Row],[кг]]*1.2</f>
        <v>202164.76800000001</v>
      </c>
      <c r="M20" s="9" t="str">
        <f t="shared" si="2"/>
        <v>Продажа DD.MM.YY № 00006</v>
      </c>
      <c r="N20" s="10">
        <f>IF(G20="№ накл","",IF(G20=0,"",IF(G20=G19,"",SUMIF(G20:G45,G20,I20:I45))))</f>
        <v>175155.73</v>
      </c>
      <c r="O20" s="10" t="str">
        <f t="shared" si="0"/>
        <v/>
      </c>
    </row>
    <row r="21" spans="1:15" x14ac:dyDescent="0.3">
      <c r="A21" s="9">
        <f>IF(журнал32[[#This Row],[продавец]]=Акт!$D$1,MAX($A$2:A20)+1)</f>
        <v>5</v>
      </c>
      <c r="B21" s="45"/>
      <c r="C21" s="46">
        <v>42048</v>
      </c>
      <c r="D21" s="52" t="s">
        <v>9</v>
      </c>
      <c r="E21" s="48" t="s">
        <v>35</v>
      </c>
      <c r="F21" s="41" t="s">
        <v>43</v>
      </c>
      <c r="G21" s="50">
        <v>7</v>
      </c>
      <c r="H21" s="67">
        <v>693</v>
      </c>
      <c r="I21" s="45">
        <v>92166.23</v>
      </c>
      <c r="J21" s="71">
        <v>127.92</v>
      </c>
      <c r="K21" s="54">
        <f>журнал32[[#This Row],[цена]]*журнал32[[#This Row],[кг]]*1.2</f>
        <v>106378.272</v>
      </c>
      <c r="M21" s="9" t="str">
        <f t="shared" si="2"/>
        <v>Продажа DD.MM.YY № 00007</v>
      </c>
      <c r="N21" s="10">
        <f>IF(G21="№ накл","",IF(G21=0,"",IF(G21=G20,"",SUMIF(G21:G45,G21,I21:I45))))</f>
        <v>92166.23</v>
      </c>
      <c r="O21" s="10" t="str">
        <f t="shared" si="0"/>
        <v/>
      </c>
    </row>
    <row r="22" spans="1:15" x14ac:dyDescent="0.3">
      <c r="A22" s="9">
        <f>IF(журнал32[[#This Row],[продавец]]=Акт!$D$1,MAX($A$2:A21)+1)</f>
        <v>6</v>
      </c>
      <c r="B22" s="37"/>
      <c r="C22" s="38">
        <v>42049</v>
      </c>
      <c r="D22" s="39" t="s">
        <v>9</v>
      </c>
      <c r="E22" s="40" t="s">
        <v>35</v>
      </c>
      <c r="F22" s="41" t="s">
        <v>43</v>
      </c>
      <c r="G22" s="42">
        <v>9</v>
      </c>
      <c r="H22" s="66">
        <v>690</v>
      </c>
      <c r="I22" s="37">
        <v>91767.24</v>
      </c>
      <c r="J22" s="72">
        <v>127.92</v>
      </c>
      <c r="K22" s="43">
        <f>журнал32[[#This Row],[цена]]*журнал32[[#This Row],[кг]]*1.2</f>
        <v>105917.75999999999</v>
      </c>
      <c r="M22" s="9" t="str">
        <f t="shared" si="2"/>
        <v>Продажа DD.MM.YY № 00009</v>
      </c>
      <c r="N22" s="10">
        <f>IF(G22="№ накл","",IF(G22=0,"",IF(G22=G21,"",SUMIF(G22:G45,G22,I22:I45))))</f>
        <v>91767.24</v>
      </c>
      <c r="O22" s="10" t="str">
        <f t="shared" si="0"/>
        <v/>
      </c>
    </row>
    <row r="23" spans="1:15" x14ac:dyDescent="0.3">
      <c r="A23" s="9" t="b">
        <f>IF(журнал32[[#This Row],[продавец]]=Акт!$D$1,MAX($A$2:A22)+1)</f>
        <v>0</v>
      </c>
      <c r="B23" s="45">
        <v>46000</v>
      </c>
      <c r="C23" s="46">
        <v>42052</v>
      </c>
      <c r="D23" s="52" t="s">
        <v>11</v>
      </c>
      <c r="E23" s="48"/>
      <c r="F23" s="53"/>
      <c r="G23" s="50"/>
      <c r="H23" s="67"/>
      <c r="I23" s="45"/>
      <c r="J23" s="71"/>
      <c r="K23" s="54">
        <f>журнал32[[#This Row],[цена]]*журнал32[[#This Row],[кг]]*1.2</f>
        <v>0</v>
      </c>
      <c r="M23" s="9" t="str">
        <f t="shared" si="2"/>
        <v>Оплата   DD.MM.YY</v>
      </c>
      <c r="N23" s="10" t="str">
        <f>IF(G23="№ накл","",IF(G23=0,"",IF(G23=G22,"",SUMIF(G23:G45,G23,I23:I45))))</f>
        <v/>
      </c>
      <c r="O23" s="10">
        <f t="shared" si="0"/>
        <v>46000</v>
      </c>
    </row>
    <row r="24" spans="1:15" x14ac:dyDescent="0.3">
      <c r="A24" s="9" t="b">
        <f>IF(журнал32[[#This Row],[продавец]]=Акт!$D$1,MAX($A$2:A23)+1)</f>
        <v>0</v>
      </c>
      <c r="B24" s="37">
        <v>30000</v>
      </c>
      <c r="C24" s="38">
        <v>42052</v>
      </c>
      <c r="D24" s="39"/>
      <c r="E24" s="40" t="s">
        <v>34</v>
      </c>
      <c r="F24" s="41"/>
      <c r="G24" s="42"/>
      <c r="H24" s="66"/>
      <c r="I24" s="37"/>
      <c r="J24" s="72"/>
      <c r="K24" s="43">
        <f>журнал32[[#This Row],[цена]]*журнал32[[#This Row],[кг]]*1.2</f>
        <v>0</v>
      </c>
      <c r="M24" s="9" t="str">
        <f t="shared" si="2"/>
        <v>Оплата   DD.MM.YY</v>
      </c>
      <c r="N24" s="10" t="str">
        <f>IF(G24="№ накл","",IF(G24=0,"",IF(G24=G23,"",SUMIF(G24:G45,G24,I24:I45))))</f>
        <v/>
      </c>
      <c r="O24" s="10">
        <f t="shared" si="0"/>
        <v>30000</v>
      </c>
    </row>
    <row r="25" spans="1:15" x14ac:dyDescent="0.3">
      <c r="A25" s="9" t="b">
        <f>IF(журнал32[[#This Row],[продавец]]=Акт!$D$1,MAX($A$2:A24)+1)</f>
        <v>0</v>
      </c>
      <c r="B25" s="37"/>
      <c r="C25" s="38">
        <v>42053</v>
      </c>
      <c r="D25" s="39" t="s">
        <v>11</v>
      </c>
      <c r="E25" s="40" t="s">
        <v>34</v>
      </c>
      <c r="F25" s="41" t="s">
        <v>42</v>
      </c>
      <c r="G25" s="42">
        <v>11</v>
      </c>
      <c r="H25" s="66">
        <v>347.3</v>
      </c>
      <c r="I25" s="37">
        <v>45135.11</v>
      </c>
      <c r="J25" s="72">
        <v>130</v>
      </c>
      <c r="K25" s="43">
        <f>журнал32[[#This Row],[цена]]*журнал32[[#This Row],[кг]]*1.2</f>
        <v>54178.799999999996</v>
      </c>
      <c r="M25" s="9" t="str">
        <f t="shared" si="2"/>
        <v>Продажа DD.MM.YY № 000011</v>
      </c>
      <c r="N25" s="10">
        <f>IF(G25="№ накл","",IF(G25=0,"",IF(G25=G24,"",SUMIF(G25:G45,G25,I25:I45))))</f>
        <v>45135.11</v>
      </c>
      <c r="O25" s="10" t="str">
        <f t="shared" si="0"/>
        <v/>
      </c>
    </row>
    <row r="26" spans="1:15" x14ac:dyDescent="0.3">
      <c r="A26" s="9" t="b">
        <f>IF(журнал32[[#This Row],[продавец]]=Акт!$D$1,MAX($A$2:A25)+1)</f>
        <v>0</v>
      </c>
      <c r="B26" s="37">
        <v>24178.799999999999</v>
      </c>
      <c r="C26" s="38">
        <v>42055</v>
      </c>
      <c r="D26" s="55"/>
      <c r="E26" s="58" t="s">
        <v>34</v>
      </c>
      <c r="F26" s="41"/>
      <c r="G26" s="42"/>
      <c r="H26" s="66"/>
      <c r="I26" s="37"/>
      <c r="J26" s="72"/>
      <c r="K26" s="43">
        <f>журнал32[[#This Row],[цена]]*журнал32[[#This Row],[кг]]*1.2</f>
        <v>0</v>
      </c>
      <c r="M26" s="9" t="str">
        <f t="shared" si="2"/>
        <v>Оплата   DD.MM.YY</v>
      </c>
      <c r="N26" s="10" t="str">
        <f>IF(G26="№ накл","",IF(G26=0,"",IF(G26=G25,"",SUMIF(G26:G45,G26,I26:I45))))</f>
        <v/>
      </c>
      <c r="O26" s="10">
        <f t="shared" si="0"/>
        <v>24178.799999999999</v>
      </c>
    </row>
    <row r="27" spans="1:15" x14ac:dyDescent="0.3">
      <c r="A27" s="9" t="b">
        <f>IF(журнал32[[#This Row],[продавец]]=Акт!$D$1,MAX($A$2:A26)+1)</f>
        <v>0</v>
      </c>
      <c r="B27" s="37">
        <v>50000</v>
      </c>
      <c r="C27" s="38">
        <v>42058</v>
      </c>
      <c r="D27" s="55"/>
      <c r="E27" s="56" t="s">
        <v>34</v>
      </c>
      <c r="F27" s="41"/>
      <c r="G27" s="42"/>
      <c r="H27" s="66"/>
      <c r="I27" s="37"/>
      <c r="J27" s="72"/>
      <c r="K27" s="43">
        <f>журнал32[[#This Row],[цена]]*журнал32[[#This Row],[кг]]*1.2</f>
        <v>0</v>
      </c>
      <c r="M27" s="9" t="str">
        <f t="shared" si="2"/>
        <v>Оплата   DD.MM.YY</v>
      </c>
      <c r="N27" s="10" t="str">
        <f>IF(G27="№ накл","",IF(G27=0,"",IF(G27=G26,"",SUMIF(G27:G45,G27,I27:I45))))</f>
        <v/>
      </c>
      <c r="O27" s="10">
        <f t="shared" si="0"/>
        <v>50000</v>
      </c>
    </row>
    <row r="28" spans="1:15" x14ac:dyDescent="0.3">
      <c r="A28" s="9" t="b">
        <f>IF(журнал32[[#This Row],[продавец]]=Акт!$D$1,MAX($A$2:A27)+1)</f>
        <v>0</v>
      </c>
      <c r="B28" s="37">
        <v>400000</v>
      </c>
      <c r="C28" s="38">
        <v>42058</v>
      </c>
      <c r="D28" s="39"/>
      <c r="E28" s="40" t="s">
        <v>37</v>
      </c>
      <c r="F28" s="41"/>
      <c r="G28" s="42"/>
      <c r="H28" s="66"/>
      <c r="I28" s="37"/>
      <c r="J28" s="72"/>
      <c r="K28" s="43">
        <f>журнал32[[#This Row],[цена]]*журнал32[[#This Row],[кг]]*1.2</f>
        <v>0</v>
      </c>
      <c r="M28" s="9" t="str">
        <f t="shared" si="2"/>
        <v>Оплата   DD.MM.YY</v>
      </c>
      <c r="N28" s="10" t="str">
        <f>IF(G28="№ накл","",IF(G28=0,"",IF(G28=G27,"",SUMIF(G28:G45,G28,I28:I45))))</f>
        <v/>
      </c>
      <c r="O28" s="10">
        <f t="shared" si="0"/>
        <v>400000</v>
      </c>
    </row>
    <row r="29" spans="1:15" x14ac:dyDescent="0.3">
      <c r="A29" s="9" t="b">
        <f>IF(журнал32[[#This Row],[продавец]]=Акт!$D$1,MAX($A$2:A28)+1)</f>
        <v>0</v>
      </c>
      <c r="B29" s="37">
        <v>800000</v>
      </c>
      <c r="C29" s="38">
        <v>42058</v>
      </c>
      <c r="D29" s="39"/>
      <c r="E29" s="40" t="s">
        <v>36</v>
      </c>
      <c r="F29" s="41"/>
      <c r="G29" s="42"/>
      <c r="H29" s="66"/>
      <c r="I29" s="37"/>
      <c r="J29" s="72"/>
      <c r="K29" s="43">
        <f>журнал32[[#This Row],[цена]]*журнал32[[#This Row],[кг]]*1.2</f>
        <v>0</v>
      </c>
      <c r="M29" s="9" t="str">
        <f t="shared" si="2"/>
        <v>Оплата   DD.MM.YY</v>
      </c>
      <c r="N29" s="10" t="str">
        <f>IF(G29="№ накл","",IF(G29=0,"",IF(G29=G28,"",SUMIF(G29:G45,G29,I29:I45))))</f>
        <v/>
      </c>
      <c r="O29" s="10">
        <f t="shared" si="0"/>
        <v>800000</v>
      </c>
    </row>
    <row r="30" spans="1:15" x14ac:dyDescent="0.3">
      <c r="A30" s="9" t="b">
        <f>IF(журнал32[[#This Row],[продавец]]=Акт!$D$1,MAX($A$2:A29)+1)</f>
        <v>0</v>
      </c>
      <c r="B30" s="37"/>
      <c r="C30" s="38">
        <v>42059</v>
      </c>
      <c r="D30" s="39" t="s">
        <v>11</v>
      </c>
      <c r="E30" s="40" t="s">
        <v>34</v>
      </c>
      <c r="F30" s="41" t="s">
        <v>42</v>
      </c>
      <c r="G30" s="42">
        <v>12</v>
      </c>
      <c r="H30" s="66">
        <v>349</v>
      </c>
      <c r="I30" s="37">
        <v>45356.04</v>
      </c>
      <c r="J30" s="72">
        <v>130</v>
      </c>
      <c r="K30" s="43">
        <f>журнал32[[#This Row],[цена]]*журнал32[[#This Row],[кг]]*1.2</f>
        <v>54444</v>
      </c>
      <c r="M30" s="9" t="str">
        <f t="shared" si="2"/>
        <v>Продажа DD.MM.YY № 000012</v>
      </c>
      <c r="N30" s="10">
        <f>IF(G30="№ накл","",IF(G30=0,"",IF(G30=G29,"",SUMIF(G30:G45,G30,I30:I45))))</f>
        <v>45356.04</v>
      </c>
      <c r="O30" s="10" t="str">
        <f t="shared" si="0"/>
        <v/>
      </c>
    </row>
    <row r="31" spans="1:15" x14ac:dyDescent="0.3">
      <c r="A31" s="9" t="b">
        <f>IF(журнал32[[#This Row],[продавец]]=Акт!$D$1,MAX($A$2:A30)+1)</f>
        <v>0</v>
      </c>
      <c r="B31" s="37"/>
      <c r="C31" s="38">
        <v>42059</v>
      </c>
      <c r="D31" s="39" t="s">
        <v>11</v>
      </c>
      <c r="E31" s="40" t="s">
        <v>36</v>
      </c>
      <c r="F31" s="41" t="s">
        <v>44</v>
      </c>
      <c r="G31" s="42">
        <v>13</v>
      </c>
      <c r="H31" s="66">
        <v>418</v>
      </c>
      <c r="I31" s="37">
        <v>62875.56</v>
      </c>
      <c r="J31" s="72">
        <v>139.6</v>
      </c>
      <c r="K31" s="43">
        <f>журнал32[[#This Row],[цена]]*журнал32[[#This Row],[кг]]*1.2</f>
        <v>70023.359999999986</v>
      </c>
      <c r="M31" s="9" t="str">
        <f t="shared" si="2"/>
        <v>Продажа DD.MM.YY № 000013</v>
      </c>
      <c r="N31" s="10">
        <f>IF(G31="№ накл","",IF(G31=0,"",IF(G31=G30,"",SUMIF(G31:G45,G31,I31:I45))))</f>
        <v>114270.36</v>
      </c>
      <c r="O31" s="10" t="str">
        <f t="shared" si="0"/>
        <v/>
      </c>
    </row>
    <row r="32" spans="1:15" x14ac:dyDescent="0.3">
      <c r="A32" s="9" t="b">
        <f>IF(журнал32[[#This Row],[продавец]]=Акт!$D$1,MAX($A$2:A31)+1)</f>
        <v>0</v>
      </c>
      <c r="B32" s="45"/>
      <c r="C32" s="46">
        <v>42059</v>
      </c>
      <c r="D32" s="52" t="s">
        <v>11</v>
      </c>
      <c r="E32" s="60" t="s">
        <v>36</v>
      </c>
      <c r="F32" s="41" t="s">
        <v>44</v>
      </c>
      <c r="G32" s="50">
        <v>13</v>
      </c>
      <c r="H32" s="67">
        <v>140</v>
      </c>
      <c r="I32" s="45">
        <v>17094</v>
      </c>
      <c r="J32" s="73">
        <v>128.25</v>
      </c>
      <c r="K32" s="51">
        <f>журнал32[[#This Row],[цена]]*журнал32[[#This Row],[кг]]*1.2</f>
        <v>21546</v>
      </c>
      <c r="M32" s="9" t="str">
        <f t="shared" si="2"/>
        <v/>
      </c>
      <c r="N32" s="10" t="str">
        <f>IF(G32="№ накл","",IF(G32=0,"",IF(G32=G31,"",SUMIF(G32:G45,G32,I32:I45))))</f>
        <v/>
      </c>
      <c r="O32" s="10" t="str">
        <f t="shared" si="0"/>
        <v/>
      </c>
    </row>
    <row r="33" spans="1:15" x14ac:dyDescent="0.3">
      <c r="A33" s="9" t="b">
        <f>IF(журнал32[[#This Row],[продавец]]=Акт!$D$1,MAX($A$2:A32)+1)</f>
        <v>0</v>
      </c>
      <c r="B33" s="45"/>
      <c r="C33" s="46">
        <v>42059</v>
      </c>
      <c r="D33" s="52" t="s">
        <v>11</v>
      </c>
      <c r="E33" s="60" t="s">
        <v>36</v>
      </c>
      <c r="F33" s="41" t="s">
        <v>44</v>
      </c>
      <c r="G33" s="50">
        <v>13</v>
      </c>
      <c r="H33" s="67">
        <v>360</v>
      </c>
      <c r="I33" s="45">
        <v>34300.800000000003</v>
      </c>
      <c r="J33" s="73">
        <v>105.5</v>
      </c>
      <c r="K33" s="51">
        <f>журнал32[[#This Row],[цена]]*журнал32[[#This Row],[кг]]*1.2</f>
        <v>45576</v>
      </c>
      <c r="M33" s="9" t="str">
        <f t="shared" si="2"/>
        <v/>
      </c>
      <c r="N33" s="10" t="str">
        <f>IF(G33="№ накл","",IF(G33=0,"",IF(G33=G32,"",SUMIF(G33:G45,G33,I33:I45))))</f>
        <v/>
      </c>
      <c r="O33" s="10" t="str">
        <f t="shared" si="0"/>
        <v/>
      </c>
    </row>
    <row r="34" spans="1:15" x14ac:dyDescent="0.3">
      <c r="A34" s="9" t="b">
        <f>IF(журнал32[[#This Row],[продавец]]=Акт!$D$1,MAX($A$2:A33)+1)</f>
        <v>0</v>
      </c>
      <c r="B34" s="45"/>
      <c r="C34" s="46">
        <v>42059</v>
      </c>
      <c r="D34" s="52" t="s">
        <v>11</v>
      </c>
      <c r="E34" s="60" t="s">
        <v>37</v>
      </c>
      <c r="F34" s="41" t="s">
        <v>41</v>
      </c>
      <c r="G34" s="50">
        <v>14</v>
      </c>
      <c r="H34" s="67">
        <v>419</v>
      </c>
      <c r="I34" s="45">
        <v>63025.98</v>
      </c>
      <c r="J34" s="73">
        <v>140</v>
      </c>
      <c r="K34" s="51">
        <f>журнал32[[#This Row],[цена]]*журнал32[[#This Row],[кг]]*1.2</f>
        <v>70392</v>
      </c>
      <c r="M34" s="9" t="str">
        <f t="shared" si="2"/>
        <v>Продажа DD.MM.YY № 000014</v>
      </c>
      <c r="N34" s="10">
        <f>IF(G34="№ накл","",IF(G34=0,"",IF(G34=G33,"",SUMIF(G34:G45,G34,I34:I45))))</f>
        <v>189077.94</v>
      </c>
      <c r="O34" s="10" t="str">
        <f t="shared" si="0"/>
        <v/>
      </c>
    </row>
    <row r="35" spans="1:15" x14ac:dyDescent="0.3">
      <c r="A35" s="9" t="b">
        <f>IF(журнал32[[#This Row],[продавец]]=Акт!$D$1,MAX($A$2:A34)+1)</f>
        <v>0</v>
      </c>
      <c r="B35" s="37"/>
      <c r="C35" s="38">
        <v>42059</v>
      </c>
      <c r="D35" s="39" t="s">
        <v>11</v>
      </c>
      <c r="E35" s="40" t="s">
        <v>37</v>
      </c>
      <c r="F35" s="41" t="s">
        <v>40</v>
      </c>
      <c r="G35" s="42">
        <v>14</v>
      </c>
      <c r="H35" s="66">
        <v>144</v>
      </c>
      <c r="I35" s="45">
        <v>63025.98</v>
      </c>
      <c r="J35" s="72">
        <v>128.65</v>
      </c>
      <c r="K35" s="43">
        <f>журнал32[[#This Row],[цена]]*журнал32[[#This Row],[кг]]*1.2</f>
        <v>22230.720000000001</v>
      </c>
      <c r="M35" s="9" t="str">
        <f t="shared" si="2"/>
        <v/>
      </c>
      <c r="N35" s="10" t="str">
        <f>IF(G35="№ накл","",IF(G35=0,"",IF(G35=G34,"",SUMIF(G35:G45,G35,I35:I45))))</f>
        <v/>
      </c>
      <c r="O35" s="10" t="str">
        <f t="shared" si="0"/>
        <v/>
      </c>
    </row>
    <row r="36" spans="1:15" x14ac:dyDescent="0.3">
      <c r="A36" s="9" t="b">
        <f>IF(журнал32[[#This Row],[продавец]]=Акт!$D$1,MAX($A$2:A35)+1)</f>
        <v>0</v>
      </c>
      <c r="B36" s="37"/>
      <c r="C36" s="38">
        <v>42059</v>
      </c>
      <c r="D36" s="44" t="s">
        <v>11</v>
      </c>
      <c r="E36" s="40" t="s">
        <v>37</v>
      </c>
      <c r="F36" s="41" t="s">
        <v>40</v>
      </c>
      <c r="G36" s="42">
        <v>14</v>
      </c>
      <c r="H36" s="66">
        <v>432</v>
      </c>
      <c r="I36" s="45">
        <v>63025.98</v>
      </c>
      <c r="J36" s="72">
        <v>105.9</v>
      </c>
      <c r="K36" s="43">
        <f>журнал32[[#This Row],[цена]]*журнал32[[#This Row],[кг]]*1.2</f>
        <v>54898.560000000005</v>
      </c>
      <c r="M36" s="9" t="str">
        <f t="shared" si="2"/>
        <v/>
      </c>
      <c r="N36" s="10" t="str">
        <f>IF(G36="№ накл","",IF(G36=0,"",IF(G36=G35,"",SUMIF(G36:G45,G36,I36:I45))))</f>
        <v/>
      </c>
      <c r="O36" s="10" t="str">
        <f t="shared" si="0"/>
        <v/>
      </c>
    </row>
    <row r="37" spans="1:15" x14ac:dyDescent="0.3">
      <c r="A37" s="9" t="b">
        <f>IF(журнал32[[#This Row],[продавец]]=Акт!$D$1,MAX($A$2:A36)+1)</f>
        <v>0</v>
      </c>
      <c r="B37" s="37">
        <v>1150000</v>
      </c>
      <c r="C37" s="38">
        <v>42059</v>
      </c>
      <c r="D37" s="39" t="s">
        <v>11</v>
      </c>
      <c r="E37" s="40"/>
      <c r="F37" s="41"/>
      <c r="G37" s="42"/>
      <c r="H37" s="66"/>
      <c r="I37" s="37"/>
      <c r="J37" s="72"/>
      <c r="K37" s="43">
        <f>журнал32[[#This Row],[цена]]*журнал32[[#This Row],[кг]]*1.2</f>
        <v>0</v>
      </c>
      <c r="M37" s="9" t="str">
        <f t="shared" si="2"/>
        <v>Оплата   DD.MM.YY</v>
      </c>
      <c r="N37" s="10" t="str">
        <f>IF(G37="№ накл","",IF(G37=0,"",IF(G37=G36,"",SUMIF(G37:G45,G37,I37:I45))))</f>
        <v/>
      </c>
      <c r="O37" s="10">
        <f t="shared" si="0"/>
        <v>1150000</v>
      </c>
    </row>
    <row r="38" spans="1:15" x14ac:dyDescent="0.3">
      <c r="A38" s="9" t="b">
        <f>IF(журнал32[[#This Row],[продавец]]=Акт!$D$1,MAX($A$2:A37)+1)</f>
        <v>0</v>
      </c>
      <c r="B38" s="45"/>
      <c r="C38" s="46">
        <v>42061</v>
      </c>
      <c r="D38" s="52" t="s">
        <v>11</v>
      </c>
      <c r="E38" s="60" t="s">
        <v>34</v>
      </c>
      <c r="F38" s="41" t="s">
        <v>42</v>
      </c>
      <c r="G38" s="50">
        <v>15</v>
      </c>
      <c r="H38" s="67">
        <v>350.3</v>
      </c>
      <c r="I38" s="45">
        <v>45524.99</v>
      </c>
      <c r="J38" s="73">
        <v>130</v>
      </c>
      <c r="K38" s="51">
        <f>журнал32[[#This Row],[цена]]*журнал32[[#This Row],[кг]]*1.2</f>
        <v>54646.799999999996</v>
      </c>
      <c r="M38" s="9" t="str">
        <f t="shared" si="2"/>
        <v>Продажа DD.MM.YY № 000015</v>
      </c>
      <c r="N38" s="10">
        <f>IF(G38="№ накл","",IF(G38=0,"",IF(G38=G37,"",SUMIF(G38:G45,G38,I38:I45))))</f>
        <v>45524.99</v>
      </c>
      <c r="O38" s="10" t="str">
        <f t="shared" si="0"/>
        <v/>
      </c>
    </row>
    <row r="39" spans="1:15" x14ac:dyDescent="0.3">
      <c r="A39" s="9" t="b">
        <f>IF(журнал32[[#This Row],[продавец]]=Акт!$D$1,MAX($A$2:A38)+1)</f>
        <v>0</v>
      </c>
      <c r="B39" s="37"/>
      <c r="C39" s="38">
        <v>42061</v>
      </c>
      <c r="D39" s="39" t="s">
        <v>11</v>
      </c>
      <c r="E39" s="40" t="s">
        <v>37</v>
      </c>
      <c r="F39" s="41" t="s">
        <v>40</v>
      </c>
      <c r="G39" s="42">
        <v>16</v>
      </c>
      <c r="H39" s="66">
        <v>558</v>
      </c>
      <c r="I39" s="37">
        <v>83934.36</v>
      </c>
      <c r="J39" s="72">
        <v>140</v>
      </c>
      <c r="K39" s="43">
        <f>журнал32[[#This Row],[цена]]*журнал32[[#This Row],[кг]]*1.2</f>
        <v>93744</v>
      </c>
      <c r="M39" s="9" t="str">
        <f t="shared" si="2"/>
        <v>Продажа DD.MM.YY № 000016</v>
      </c>
      <c r="N39" s="10">
        <f>IF(G39="№ накл","",IF(G39=0,"",IF(G39=G38,"",SUMIF(G39:G45,G39,I39:I45))))</f>
        <v>83934.36</v>
      </c>
      <c r="O39" s="10" t="str">
        <f t="shared" si="0"/>
        <v/>
      </c>
    </row>
    <row r="40" spans="1:15" x14ac:dyDescent="0.3">
      <c r="A40" s="9" t="b">
        <f>IF(журнал32[[#This Row],[продавец]]=Акт!$D$1,MAX($A$2:A39)+1)</f>
        <v>0</v>
      </c>
      <c r="B40" s="37">
        <v>-1.8</v>
      </c>
      <c r="C40" s="38">
        <v>42061</v>
      </c>
      <c r="D40" s="55"/>
      <c r="E40" s="58" t="s">
        <v>38</v>
      </c>
      <c r="F40" s="41"/>
      <c r="G40" s="42"/>
      <c r="H40" s="66"/>
      <c r="I40" s="37"/>
      <c r="J40" s="72"/>
      <c r="K40" s="43">
        <f>журнал32[[#This Row],[цена]]*журнал32[[#This Row],[кг]]*1.2</f>
        <v>0</v>
      </c>
      <c r="M40" s="9" t="str">
        <f t="shared" si="2"/>
        <v>Продажа DD.MM.YY № 0000</v>
      </c>
      <c r="N40" s="10" t="str">
        <f>IF(G40="№ накл","",IF(G40=0,"",IF(G40=G39,"",SUMIF(G40:G45,G40,I40:I45))))</f>
        <v/>
      </c>
      <c r="O40" s="10" t="str">
        <f t="shared" si="0"/>
        <v/>
      </c>
    </row>
    <row r="41" spans="1:15" x14ac:dyDescent="0.3">
      <c r="A41" s="9" t="b">
        <f>IF(журнал32[[#This Row],[продавец]]=Акт!$D$1,MAX($A$2:A40)+1)</f>
        <v>0</v>
      </c>
      <c r="B41" s="57">
        <v>-1.39</v>
      </c>
      <c r="C41" s="38">
        <v>42061</v>
      </c>
      <c r="D41" s="44"/>
      <c r="E41" s="58" t="s">
        <v>39</v>
      </c>
      <c r="F41" s="41"/>
      <c r="G41" s="59"/>
      <c r="H41" s="68"/>
      <c r="I41" s="57"/>
      <c r="J41" s="72"/>
      <c r="K41" s="43">
        <f>журнал32[[#This Row],[цена]]*журнал32[[#This Row],[кг]]*1.2</f>
        <v>0</v>
      </c>
      <c r="M41" s="9" t="str">
        <f t="shared" si="2"/>
        <v/>
      </c>
      <c r="N41" s="10" t="str">
        <f>IF(G41="№ накл","",IF(G41=0,"",IF(G41=G40,"",SUMIF(G41:G45,G41,I41:I45))))</f>
        <v/>
      </c>
      <c r="O41" s="10" t="str">
        <f t="shared" si="0"/>
        <v/>
      </c>
    </row>
    <row r="42" spans="1:15" x14ac:dyDescent="0.3">
      <c r="A42" s="9" t="b">
        <f>IF(журнал32[[#This Row],[продавец]]=Акт!$D$1,MAX($A$2:A41)+1)</f>
        <v>0</v>
      </c>
      <c r="B42" s="37">
        <v>58888</v>
      </c>
      <c r="C42" s="38">
        <v>42061</v>
      </c>
      <c r="D42" s="39"/>
      <c r="E42" s="40" t="s">
        <v>34</v>
      </c>
      <c r="F42" s="41"/>
      <c r="G42" s="42"/>
      <c r="H42" s="66"/>
      <c r="I42" s="37"/>
      <c r="J42" s="72"/>
      <c r="K42" s="43">
        <f>журнал32[[#This Row],[цена]]*журнал32[[#This Row],[кг]]*1.2</f>
        <v>0</v>
      </c>
      <c r="M42" s="9" t="str">
        <f t="shared" si="2"/>
        <v>Оплата   DD.MM.YY</v>
      </c>
      <c r="N42" s="10" t="str">
        <f>IF(G42="№ накл","",IF(G42=0,"",IF(G42=G41,"",SUMIF(G42:G45,G42,I42:I45))))</f>
        <v/>
      </c>
      <c r="O42" s="10">
        <f t="shared" si="0"/>
        <v>58888</v>
      </c>
    </row>
    <row r="43" spans="1:15" x14ac:dyDescent="0.3">
      <c r="A43" s="9" t="b">
        <f>IF(журнал32[[#This Row],[продавец]]=Акт!$D$1,MAX($A$2:A42)+1)</f>
        <v>0</v>
      </c>
      <c r="B43" s="37"/>
      <c r="C43" s="38">
        <v>42062</v>
      </c>
      <c r="D43" s="44" t="s">
        <v>11</v>
      </c>
      <c r="E43" s="40" t="s">
        <v>37</v>
      </c>
      <c r="F43" s="41" t="s">
        <v>40</v>
      </c>
      <c r="G43" s="42">
        <v>17</v>
      </c>
      <c r="H43" s="66">
        <v>555</v>
      </c>
      <c r="I43" s="37">
        <v>83483.100000000006</v>
      </c>
      <c r="J43" s="72">
        <v>140</v>
      </c>
      <c r="K43" s="43">
        <f>журнал32[[#This Row],[цена]]*журнал32[[#This Row],[кг]]*1.2</f>
        <v>93240</v>
      </c>
      <c r="M43" s="9" t="str">
        <f t="shared" si="2"/>
        <v>Продажа DD.MM.YY № 000017</v>
      </c>
      <c r="N43" s="10">
        <f>IF(G43="№ накл","",IF(G43=0,"",IF(G43=G42,"",SUMIF(G43:G45,G43,I43:I45))))</f>
        <v>83483.100000000006</v>
      </c>
      <c r="O43" s="10" t="str">
        <f t="shared" si="0"/>
        <v/>
      </c>
    </row>
    <row r="44" spans="1:15" x14ac:dyDescent="0.3">
      <c r="A44" s="9" t="b">
        <f>IF(журнал32[[#This Row],[продавец]]=Акт!$D$1,MAX($A$2:A43)+1)</f>
        <v>0</v>
      </c>
      <c r="B44" s="37">
        <v>1000000</v>
      </c>
      <c r="C44" s="38">
        <v>42062</v>
      </c>
      <c r="D44" s="44"/>
      <c r="E44" s="40" t="s">
        <v>37</v>
      </c>
      <c r="F44" s="41"/>
      <c r="G44" s="42"/>
      <c r="H44" s="66"/>
      <c r="I44" s="37"/>
      <c r="J44" s="72"/>
      <c r="K44" s="43">
        <f>журнал32[[#This Row],[цена]]*журнал32[[#This Row],[кг]]*1.2</f>
        <v>0</v>
      </c>
      <c r="M44" s="9" t="str">
        <f t="shared" si="2"/>
        <v>Оплата   DD.MM.YY</v>
      </c>
      <c r="N44" s="10" t="str">
        <f>IF(G44="№ накл","",IF(G44=0,"",IF(G44=G43,"",SUMIF(G44:G45,G44,I44:I45))))</f>
        <v/>
      </c>
      <c r="O44" s="10">
        <f t="shared" si="0"/>
        <v>1000000</v>
      </c>
    </row>
    <row r="45" spans="1:15" x14ac:dyDescent="0.3">
      <c r="A45" s="9" t="b">
        <f>IF(журнал32[[#This Row],[продавец]]=Акт!$D$1,MAX($A$2:A44)+1)</f>
        <v>0</v>
      </c>
      <c r="B45" s="37">
        <v>900000</v>
      </c>
      <c r="C45" s="38">
        <v>42062</v>
      </c>
      <c r="D45" s="39" t="s">
        <v>11</v>
      </c>
      <c r="E45" s="40"/>
      <c r="F45" s="41"/>
      <c r="G45" s="42"/>
      <c r="H45" s="66"/>
      <c r="I45" s="37"/>
      <c r="J45" s="72"/>
      <c r="K45" s="43">
        <f>журнал32[[#This Row],[цена]]*журнал32[[#This Row],[кг]]*1.2</f>
        <v>0</v>
      </c>
      <c r="M45" s="9" t="str">
        <f t="shared" si="2"/>
        <v>Оплата   DD.MM.YY</v>
      </c>
      <c r="N45" s="10" t="str">
        <f>IF(G45="№ накл","",IF(G45=0,"",IF(G45=G44,"",SUMIF(G45:G45,G45,I45:I45))))</f>
        <v/>
      </c>
      <c r="O45" s="10">
        <f t="shared" si="0"/>
        <v>900000</v>
      </c>
    </row>
    <row r="46" spans="1:15" x14ac:dyDescent="0.3">
      <c r="B46" s="13"/>
    </row>
  </sheetData>
  <mergeCells count="2">
    <mergeCell ref="B1:K1"/>
    <mergeCell ref="M1:O1"/>
  </mergeCells>
  <pageMargins left="0.7" right="0.7" top="0.75" bottom="0.75" header="0.3" footer="0.3"/>
  <pageSetup paperSize="9" orientation="landscape" horizontalDpi="4294967293" verticalDpi="4294967293"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C13" sqref="C13"/>
    </sheetView>
  </sheetViews>
  <sheetFormatPr defaultRowHeight="14.4" x14ac:dyDescent="0.3"/>
  <cols>
    <col min="1" max="1" width="1.44140625" customWidth="1"/>
    <col min="2" max="2" width="4.5546875" customWidth="1"/>
    <col min="3" max="3" width="28.5546875" customWidth="1"/>
    <col min="4" max="4" width="14.88671875" customWidth="1"/>
    <col min="5" max="5" width="15.33203125" customWidth="1"/>
    <col min="6" max="6" width="5.109375" customWidth="1"/>
    <col min="7" max="7" width="23.6640625" customWidth="1"/>
    <col min="8" max="8" width="9.6640625" customWidth="1"/>
    <col min="9" max="9" width="11.6640625" customWidth="1"/>
    <col min="13" max="13" width="14.33203125" bestFit="1" customWidth="1"/>
  </cols>
  <sheetData>
    <row r="1" spans="1:12" x14ac:dyDescent="0.3">
      <c r="A1" s="75"/>
      <c r="B1" s="125"/>
      <c r="C1" s="126"/>
      <c r="D1" s="116" t="s">
        <v>9</v>
      </c>
      <c r="E1" s="76"/>
      <c r="F1" s="75"/>
      <c r="G1" s="76"/>
      <c r="H1" s="75"/>
      <c r="I1" s="75"/>
    </row>
    <row r="2" spans="1:12" x14ac:dyDescent="0.3">
      <c r="A2" s="77"/>
      <c r="B2" s="132" t="s">
        <v>16</v>
      </c>
      <c r="C2" s="132"/>
      <c r="D2" s="132"/>
      <c r="E2" s="132"/>
      <c r="F2" s="132"/>
      <c r="G2" s="132"/>
      <c r="H2" s="132"/>
      <c r="I2" s="132"/>
    </row>
    <row r="3" spans="1:12" ht="15" x14ac:dyDescent="0.25">
      <c r="A3" s="77"/>
      <c r="B3" s="129"/>
      <c r="C3" s="129"/>
      <c r="D3" s="129"/>
      <c r="E3" s="129"/>
      <c r="F3" s="130">
        <v>42186</v>
      </c>
      <c r="G3" s="130"/>
      <c r="H3" s="130"/>
      <c r="I3" s="130"/>
    </row>
    <row r="4" spans="1:12" ht="15" x14ac:dyDescent="0.25">
      <c r="A4" s="77"/>
      <c r="B4" s="108"/>
      <c r="C4" s="108"/>
      <c r="D4" s="108"/>
      <c r="E4" s="108"/>
      <c r="F4" s="110"/>
      <c r="G4" s="110"/>
      <c r="H4" s="110"/>
      <c r="I4" s="110"/>
    </row>
    <row r="5" spans="1:12" ht="15" x14ac:dyDescent="0.25">
      <c r="A5" s="77"/>
      <c r="B5" s="131"/>
      <c r="C5" s="131"/>
      <c r="D5" s="131"/>
      <c r="E5" s="131"/>
      <c r="F5" s="131"/>
      <c r="G5" s="131"/>
      <c r="H5" s="131"/>
      <c r="I5" s="131"/>
    </row>
    <row r="6" spans="1:12" ht="15" x14ac:dyDescent="0.25">
      <c r="A6" s="77"/>
      <c r="B6" s="131"/>
      <c r="C6" s="131"/>
      <c r="D6" s="131"/>
      <c r="E6" s="131"/>
      <c r="F6" s="131"/>
      <c r="G6" s="131"/>
      <c r="H6" s="131"/>
      <c r="I6" s="131"/>
    </row>
    <row r="7" spans="1:12" ht="15" x14ac:dyDescent="0.25">
      <c r="A7" s="77"/>
      <c r="B7" s="131" t="str">
        <f>VLOOKUP(D1,инфо!A2:B6,2,FALSE)</f>
        <v>ООО бразилия</v>
      </c>
      <c r="C7" s="131"/>
      <c r="D7" s="131"/>
      <c r="E7" s="131"/>
      <c r="F7" s="131"/>
      <c r="G7" s="131"/>
      <c r="H7" s="131"/>
      <c r="I7" s="131"/>
    </row>
    <row r="8" spans="1:12" ht="15" x14ac:dyDescent="0.25">
      <c r="A8" s="77"/>
      <c r="B8" s="131"/>
      <c r="C8" s="131"/>
      <c r="D8" s="131"/>
      <c r="E8" s="131"/>
      <c r="F8" s="131"/>
      <c r="G8" s="131"/>
      <c r="H8" s="131"/>
      <c r="I8" s="131"/>
    </row>
    <row r="9" spans="1:12" ht="15" x14ac:dyDescent="0.25">
      <c r="A9" s="77"/>
      <c r="B9" s="77"/>
      <c r="C9" s="77"/>
      <c r="D9" s="78"/>
      <c r="E9" s="79"/>
      <c r="F9" s="77"/>
      <c r="G9" s="79"/>
      <c r="H9" s="77"/>
      <c r="I9" s="77"/>
    </row>
    <row r="10" spans="1:12" ht="32.25" customHeight="1" x14ac:dyDescent="0.25">
      <c r="A10" s="80"/>
      <c r="B10" s="133"/>
      <c r="C10" s="133"/>
      <c r="D10" s="133"/>
      <c r="E10" s="133"/>
      <c r="F10" s="134" t="str">
        <f>VLOOKUP(D1,инфо!A2:B6,2,FALSE)</f>
        <v>ООО бразилия</v>
      </c>
      <c r="G10" s="134"/>
      <c r="H10" s="134"/>
      <c r="I10" s="134"/>
    </row>
    <row r="11" spans="1:12" ht="27.6" x14ac:dyDescent="0.3">
      <c r="A11" s="81"/>
      <c r="B11" s="82" t="s">
        <v>4</v>
      </c>
      <c r="C11" s="82" t="s">
        <v>18</v>
      </c>
      <c r="D11" s="83" t="s">
        <v>5</v>
      </c>
      <c r="E11" s="84" t="s">
        <v>6</v>
      </c>
      <c r="F11" s="82" t="s">
        <v>4</v>
      </c>
      <c r="G11" s="82" t="s">
        <v>18</v>
      </c>
      <c r="H11" s="82" t="s">
        <v>5</v>
      </c>
      <c r="I11" s="82" t="s">
        <v>6</v>
      </c>
    </row>
    <row r="12" spans="1:12" x14ac:dyDescent="0.3">
      <c r="A12" s="85"/>
      <c r="B12" s="86">
        <v>1</v>
      </c>
      <c r="C12" s="117" t="s">
        <v>17</v>
      </c>
      <c r="D12" s="88">
        <v>600000</v>
      </c>
      <c r="E12" s="87"/>
      <c r="F12" s="89" t="s">
        <v>7</v>
      </c>
      <c r="G12" s="90"/>
      <c r="H12" s="91"/>
      <c r="I12" s="91" t="s">
        <v>7</v>
      </c>
    </row>
    <row r="13" spans="1:12" x14ac:dyDescent="0.3">
      <c r="A13" s="85"/>
      <c r="B13" s="86">
        <v>2</v>
      </c>
      <c r="C13" s="119" t="s">
        <v>46</v>
      </c>
      <c r="D13" s="120" t="s">
        <v>47</v>
      </c>
      <c r="E13" s="120">
        <v>200000</v>
      </c>
      <c r="F13" s="89"/>
      <c r="G13" s="90"/>
      <c r="H13" s="91"/>
      <c r="I13" s="91"/>
      <c r="L13" s="109"/>
    </row>
    <row r="14" spans="1:12" x14ac:dyDescent="0.3">
      <c r="A14" s="85"/>
      <c r="B14" s="86">
        <v>3</v>
      </c>
      <c r="C14" s="119" t="s">
        <v>48</v>
      </c>
      <c r="D14" s="120" t="s">
        <v>47</v>
      </c>
      <c r="E14" s="120">
        <v>150000</v>
      </c>
      <c r="F14" s="89"/>
      <c r="G14" s="90"/>
      <c r="H14" s="91"/>
      <c r="I14" s="91"/>
      <c r="L14" s="109"/>
    </row>
    <row r="15" spans="1:12" x14ac:dyDescent="0.3">
      <c r="A15" s="85"/>
      <c r="B15" s="86">
        <v>4</v>
      </c>
      <c r="C15" s="119" t="s">
        <v>49</v>
      </c>
      <c r="D15" s="120">
        <v>175155.73</v>
      </c>
      <c r="E15" s="120" t="s">
        <v>47</v>
      </c>
      <c r="F15" s="89"/>
      <c r="G15" s="90"/>
      <c r="H15" s="91"/>
      <c r="I15" s="91"/>
      <c r="L15" s="109"/>
    </row>
    <row r="16" spans="1:12" x14ac:dyDescent="0.3">
      <c r="A16" s="85"/>
      <c r="B16" s="86">
        <v>5</v>
      </c>
      <c r="C16" s="119" t="s">
        <v>50</v>
      </c>
      <c r="D16" s="120">
        <v>92166.23</v>
      </c>
      <c r="E16" s="120" t="s">
        <v>47</v>
      </c>
      <c r="F16" s="89"/>
      <c r="G16" s="90"/>
      <c r="H16" s="91"/>
      <c r="I16" s="91"/>
      <c r="L16" s="109"/>
    </row>
    <row r="17" spans="1:9" x14ac:dyDescent="0.3">
      <c r="A17" s="85"/>
      <c r="B17" s="86">
        <v>6</v>
      </c>
      <c r="C17" s="119" t="s">
        <v>51</v>
      </c>
      <c r="D17" s="120">
        <v>91767.24</v>
      </c>
      <c r="E17" s="120" t="s">
        <v>47</v>
      </c>
      <c r="F17" s="89"/>
      <c r="G17" s="90"/>
      <c r="H17" s="91"/>
      <c r="I17" s="91"/>
    </row>
    <row r="18" spans="1:9" x14ac:dyDescent="0.3">
      <c r="A18" s="85"/>
      <c r="B18" s="86">
        <v>7</v>
      </c>
      <c r="C18" s="119" t="s">
        <v>52</v>
      </c>
      <c r="D18" s="120" t="s">
        <v>47</v>
      </c>
      <c r="E18" s="120">
        <v>90000</v>
      </c>
      <c r="F18" s="89"/>
      <c r="G18" s="90"/>
      <c r="H18" s="91"/>
      <c r="I18" s="91"/>
    </row>
    <row r="19" spans="1:9" x14ac:dyDescent="0.3">
      <c r="A19" s="85"/>
      <c r="B19" s="86">
        <v>8</v>
      </c>
      <c r="C19" s="119" t="s">
        <v>52</v>
      </c>
      <c r="D19" s="120" t="s">
        <v>47</v>
      </c>
      <c r="E19" s="120">
        <v>110000</v>
      </c>
      <c r="F19" s="89"/>
      <c r="G19" s="90"/>
      <c r="H19" s="91"/>
      <c r="I19" s="91"/>
    </row>
    <row r="20" spans="1:9" x14ac:dyDescent="0.3">
      <c r="A20" s="85"/>
      <c r="B20" s="86">
        <v>9</v>
      </c>
      <c r="C20" s="119" t="s">
        <v>53</v>
      </c>
      <c r="D20" s="120" t="s">
        <v>47</v>
      </c>
      <c r="E20" s="120">
        <v>50000</v>
      </c>
      <c r="F20" s="89"/>
      <c r="G20" s="90"/>
      <c r="H20" s="91"/>
      <c r="I20" s="91"/>
    </row>
    <row r="21" spans="1:9" x14ac:dyDescent="0.3">
      <c r="A21" s="85"/>
      <c r="B21" s="86">
        <v>10</v>
      </c>
      <c r="C21" s="119" t="s">
        <v>54</v>
      </c>
      <c r="D21" s="120" t="s">
        <v>47</v>
      </c>
      <c r="E21" s="120">
        <v>159089.20000000001</v>
      </c>
      <c r="F21" s="89"/>
      <c r="G21" s="90"/>
      <c r="H21" s="91"/>
      <c r="I21" s="91"/>
    </row>
    <row r="22" spans="1:9" x14ac:dyDescent="0.3">
      <c r="A22" s="85"/>
      <c r="B22" s="86">
        <v>11</v>
      </c>
      <c r="C22" s="119" t="s">
        <v>55</v>
      </c>
      <c r="D22" s="120" t="s">
        <v>47</v>
      </c>
      <c r="E22" s="120">
        <v>200000</v>
      </c>
      <c r="F22" s="89"/>
      <c r="G22" s="90"/>
      <c r="H22" s="91"/>
      <c r="I22" s="91"/>
    </row>
    <row r="23" spans="1:9" x14ac:dyDescent="0.3">
      <c r="A23" s="85"/>
      <c r="B23" s="86">
        <v>12</v>
      </c>
      <c r="C23" s="119" t="s">
        <v>56</v>
      </c>
      <c r="D23" s="120">
        <v>117790.21</v>
      </c>
      <c r="E23" s="120" t="s">
        <v>47</v>
      </c>
      <c r="F23" s="89"/>
      <c r="G23" s="90"/>
      <c r="H23" s="91"/>
      <c r="I23" s="91"/>
    </row>
    <row r="24" spans="1:9" x14ac:dyDescent="0.3">
      <c r="A24" s="85"/>
      <c r="B24" s="86">
        <v>13</v>
      </c>
      <c r="C24" s="119" t="s">
        <v>57</v>
      </c>
      <c r="D24" s="120">
        <v>110028</v>
      </c>
      <c r="E24" s="120" t="s">
        <v>47</v>
      </c>
      <c r="F24" s="89"/>
      <c r="G24" s="90"/>
      <c r="H24" s="91"/>
      <c r="I24" s="91"/>
    </row>
    <row r="25" spans="1:9" x14ac:dyDescent="0.3">
      <c r="A25" s="85"/>
      <c r="B25" s="86">
        <v>14</v>
      </c>
      <c r="C25" s="119" t="s">
        <v>58</v>
      </c>
      <c r="D25" s="120" t="s">
        <v>47</v>
      </c>
      <c r="E25" s="120">
        <v>100000</v>
      </c>
      <c r="F25" s="89"/>
      <c r="G25" s="90"/>
      <c r="H25" s="91"/>
      <c r="I25" s="91"/>
    </row>
    <row r="26" spans="1:9" x14ac:dyDescent="0.3">
      <c r="A26" s="85"/>
      <c r="B26" s="86">
        <v>15</v>
      </c>
      <c r="C26" s="119" t="s">
        <v>59</v>
      </c>
      <c r="D26" s="120" t="s">
        <v>47</v>
      </c>
      <c r="E26" s="120">
        <v>127818.21</v>
      </c>
      <c r="F26" s="89"/>
      <c r="G26" s="90"/>
      <c r="H26" s="91"/>
      <c r="I26" s="91"/>
    </row>
    <row r="27" spans="1:9" x14ac:dyDescent="0.3">
      <c r="A27" s="85"/>
      <c r="B27" s="86">
        <v>16</v>
      </c>
      <c r="C27" s="119" t="s">
        <v>60</v>
      </c>
      <c r="D27" s="120" t="s">
        <v>47</v>
      </c>
      <c r="E27" s="120">
        <v>160000</v>
      </c>
      <c r="F27" s="89"/>
      <c r="G27" s="90"/>
      <c r="H27" s="91"/>
      <c r="I27" s="91"/>
    </row>
    <row r="28" spans="1:9" x14ac:dyDescent="0.3">
      <c r="A28" s="85"/>
      <c r="B28" s="86">
        <v>17</v>
      </c>
      <c r="C28" s="119" t="s">
        <v>61</v>
      </c>
      <c r="D28" s="120">
        <v>110664</v>
      </c>
      <c r="E28" s="120" t="s">
        <v>47</v>
      </c>
      <c r="F28" s="89"/>
      <c r="G28" s="90"/>
      <c r="H28" s="91"/>
      <c r="I28" s="91"/>
    </row>
    <row r="29" spans="1:9" x14ac:dyDescent="0.3">
      <c r="A29" s="85"/>
      <c r="B29" s="86">
        <v>18</v>
      </c>
      <c r="C29" s="119" t="s">
        <v>62</v>
      </c>
      <c r="D29" s="120">
        <v>109869</v>
      </c>
      <c r="E29" s="120" t="s">
        <v>47</v>
      </c>
      <c r="F29" s="89"/>
      <c r="G29" s="90"/>
      <c r="H29" s="91"/>
      <c r="I29" s="91"/>
    </row>
    <row r="30" spans="1:9" x14ac:dyDescent="0.3">
      <c r="A30" s="85"/>
      <c r="B30" s="86">
        <v>19</v>
      </c>
      <c r="C30" s="119" t="s">
        <v>63</v>
      </c>
      <c r="D30" s="120">
        <v>110346</v>
      </c>
      <c r="E30" s="120" t="s">
        <v>47</v>
      </c>
      <c r="F30" s="89"/>
      <c r="G30" s="90"/>
      <c r="H30" s="91"/>
      <c r="I30" s="91"/>
    </row>
    <row r="31" spans="1:9" x14ac:dyDescent="0.3">
      <c r="A31" s="75"/>
      <c r="B31" s="86"/>
      <c r="C31" s="87" t="s">
        <v>19</v>
      </c>
      <c r="D31" s="90">
        <f>SUM(D12:D30)</f>
        <v>1517786.41</v>
      </c>
      <c r="E31" s="90">
        <f>SUM(E12:E30)</f>
        <v>1346907.41</v>
      </c>
      <c r="F31" s="86"/>
      <c r="G31" s="92"/>
      <c r="H31" s="93"/>
      <c r="I31" s="93"/>
    </row>
    <row r="32" spans="1:9" x14ac:dyDescent="0.3">
      <c r="A32" s="75"/>
      <c r="B32" s="86"/>
      <c r="C32" s="87" t="str">
        <f>CONCATENATE("Сальдо"," ","на"," ",TEXT(F3,"DD.MM.YYYY"))</f>
        <v>Сальдо на 01.07.2015</v>
      </c>
      <c r="D32" s="94">
        <f>E31-D31</f>
        <v>-170879</v>
      </c>
      <c r="E32" s="90"/>
      <c r="F32" s="86"/>
      <c r="G32" s="92"/>
      <c r="H32" s="93"/>
      <c r="I32" s="93"/>
    </row>
    <row r="33" spans="1:10" x14ac:dyDescent="0.3">
      <c r="A33" s="75"/>
      <c r="B33" s="77"/>
      <c r="C33" s="77"/>
      <c r="D33" s="78"/>
      <c r="E33" s="79"/>
      <c r="F33" s="77"/>
      <c r="G33" s="79"/>
      <c r="H33" s="77"/>
      <c r="I33" s="77"/>
    </row>
    <row r="34" spans="1:10" x14ac:dyDescent="0.3">
      <c r="A34" s="75"/>
      <c r="B34" s="135" t="s">
        <v>20</v>
      </c>
      <c r="C34" s="135"/>
      <c r="D34" s="135"/>
      <c r="E34" s="95"/>
      <c r="F34" s="96" t="s">
        <v>7</v>
      </c>
      <c r="G34" s="97"/>
      <c r="H34" s="96"/>
      <c r="I34" s="96"/>
    </row>
    <row r="35" spans="1:10" ht="15" customHeight="1" x14ac:dyDescent="0.3">
      <c r="A35" s="75"/>
      <c r="B35" s="111" t="s">
        <v>27</v>
      </c>
      <c r="C35" s="123" t="str">
        <f>CONCATENATE(TEXT(F3,"DD.MM.YYYY")," ","задолженность"," ","в пользу")</f>
        <v>01.07.2015 задолженность в пользу</v>
      </c>
      <c r="D35" s="123"/>
      <c r="E35" s="98"/>
      <c r="F35" s="96"/>
      <c r="G35" s="99"/>
      <c r="H35" s="96"/>
      <c r="I35" s="96"/>
    </row>
    <row r="36" spans="1:10" ht="33.75" customHeight="1" x14ac:dyDescent="0.3">
      <c r="A36" s="75"/>
      <c r="B36" s="127" t="str">
        <f>IF(E31&gt;D31,"ПП Муха",G38)</f>
        <v>ООО бразилия</v>
      </c>
      <c r="C36" s="127"/>
      <c r="D36" s="127"/>
      <c r="E36" s="100">
        <f>D32</f>
        <v>-170879</v>
      </c>
      <c r="F36" s="96"/>
      <c r="G36" s="99"/>
      <c r="H36" s="96"/>
      <c r="I36" s="96"/>
    </row>
    <row r="37" spans="1:10" x14ac:dyDescent="0.3">
      <c r="A37" s="75"/>
      <c r="B37" s="77"/>
      <c r="C37" s="98"/>
      <c r="D37" s="78"/>
      <c r="E37" s="79"/>
      <c r="F37" s="77"/>
      <c r="G37" s="79"/>
      <c r="H37" s="77"/>
      <c r="I37" s="77"/>
    </row>
    <row r="38" spans="1:10" ht="33.75" customHeight="1" x14ac:dyDescent="0.3">
      <c r="A38" s="75"/>
      <c r="B38" s="128"/>
      <c r="C38" s="128"/>
      <c r="D38" s="128"/>
      <c r="E38" s="95"/>
      <c r="F38" s="103"/>
      <c r="G38" s="124" t="str">
        <f>VLOOKUP(D1,инфо!A2:B6,2,FALSE)</f>
        <v>ООО бразилия</v>
      </c>
      <c r="H38" s="124"/>
      <c r="I38" s="124"/>
      <c r="J38" s="112"/>
    </row>
    <row r="39" spans="1:10" x14ac:dyDescent="0.3">
      <c r="A39" s="75"/>
      <c r="B39" s="95" t="s">
        <v>7</v>
      </c>
      <c r="C39" s="95"/>
      <c r="D39" s="101"/>
      <c r="E39" s="102"/>
      <c r="F39" s="103"/>
      <c r="G39" s="104"/>
      <c r="H39" s="103"/>
      <c r="I39" s="103"/>
    </row>
    <row r="40" spans="1:10" x14ac:dyDescent="0.3">
      <c r="A40" s="75"/>
      <c r="B40" s="77"/>
      <c r="C40" s="95"/>
      <c r="D40" s="78"/>
      <c r="E40" s="79"/>
      <c r="F40" s="77"/>
      <c r="G40" s="79"/>
      <c r="H40" s="77"/>
      <c r="I40" s="77"/>
    </row>
    <row r="41" spans="1:10" x14ac:dyDescent="0.3">
      <c r="A41" s="75"/>
      <c r="B41" s="105"/>
      <c r="C41" s="106"/>
      <c r="D41" s="78"/>
      <c r="E41" s="79"/>
      <c r="F41" s="106"/>
      <c r="G41" s="107"/>
      <c r="H41" s="77" t="s">
        <v>8</v>
      </c>
      <c r="I41" s="77"/>
    </row>
    <row r="42" spans="1:10" x14ac:dyDescent="0.3">
      <c r="A42" s="75"/>
      <c r="B42" s="77"/>
      <c r="C42" s="77"/>
      <c r="D42" s="78"/>
      <c r="E42" s="79"/>
      <c r="F42" s="77"/>
      <c r="G42" s="79"/>
      <c r="H42" s="77"/>
      <c r="I42" s="77"/>
    </row>
    <row r="43" spans="1:10" x14ac:dyDescent="0.3">
      <c r="A43" s="75"/>
      <c r="B43" s="77"/>
      <c r="C43" s="77"/>
      <c r="D43" s="78"/>
      <c r="E43" s="79"/>
      <c r="F43" s="77"/>
      <c r="G43" s="79"/>
      <c r="H43" s="77"/>
      <c r="I43" s="77"/>
    </row>
    <row r="44" spans="1:10" x14ac:dyDescent="0.3">
      <c r="A44" s="75"/>
      <c r="B44" s="77"/>
      <c r="C44" s="77"/>
      <c r="D44" s="77"/>
      <c r="E44" s="77"/>
      <c r="F44" s="77"/>
      <c r="G44" s="77"/>
      <c r="H44" s="77"/>
      <c r="I44" s="77"/>
    </row>
  </sheetData>
  <sortState ref="M3:M19">
    <sortCondition ref="M2"/>
  </sortState>
  <dataConsolidate/>
  <mergeCells count="15">
    <mergeCell ref="C35:D35"/>
    <mergeCell ref="G38:I38"/>
    <mergeCell ref="B1:C1"/>
    <mergeCell ref="B36:D36"/>
    <mergeCell ref="B38:D38"/>
    <mergeCell ref="B3:E3"/>
    <mergeCell ref="F3:I3"/>
    <mergeCell ref="B5:I5"/>
    <mergeCell ref="B6:I6"/>
    <mergeCell ref="B7:I7"/>
    <mergeCell ref="B8:I8"/>
    <mergeCell ref="B2:I2"/>
    <mergeCell ref="B10:E10"/>
    <mergeCell ref="F10:I10"/>
    <mergeCell ref="B34:D34"/>
  </mergeCells>
  <dataValidations count="1">
    <dataValidation type="list" allowBlank="1" showInputMessage="1" showErrorMessage="1" sqref="D1">
      <formula1>страна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F15" sqref="F15"/>
    </sheetView>
  </sheetViews>
  <sheetFormatPr defaultRowHeight="14.4" x14ac:dyDescent="0.3"/>
  <cols>
    <col min="1" max="1" width="8.88671875" bestFit="1" customWidth="1"/>
    <col min="2" max="2" width="17" bestFit="1" customWidth="1"/>
  </cols>
  <sheetData>
    <row r="1" spans="1:2" x14ac:dyDescent="0.3">
      <c r="A1" s="113" t="s">
        <v>15</v>
      </c>
      <c r="B1" s="114" t="s">
        <v>14</v>
      </c>
    </row>
    <row r="2" spans="1:2" x14ac:dyDescent="0.3">
      <c r="A2" s="115" t="s">
        <v>9</v>
      </c>
      <c r="B2" s="114" t="s">
        <v>21</v>
      </c>
    </row>
    <row r="3" spans="1:2" x14ac:dyDescent="0.3">
      <c r="A3" s="115" t="s">
        <v>10</v>
      </c>
      <c r="B3" s="114" t="s">
        <v>22</v>
      </c>
    </row>
    <row r="4" spans="1:2" x14ac:dyDescent="0.3">
      <c r="A4" s="115" t="s">
        <v>11</v>
      </c>
      <c r="B4" s="114" t="s">
        <v>23</v>
      </c>
    </row>
    <row r="5" spans="1:2" x14ac:dyDescent="0.3">
      <c r="A5" s="115" t="s">
        <v>12</v>
      </c>
      <c r="B5" s="114" t="s">
        <v>24</v>
      </c>
    </row>
    <row r="6" spans="1:2" x14ac:dyDescent="0.3">
      <c r="A6" s="115" t="s">
        <v>13</v>
      </c>
      <c r="B6" s="114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журнал операций</vt:lpstr>
      <vt:lpstr>Акт</vt:lpstr>
      <vt:lpstr>инфо</vt:lpstr>
      <vt:lpstr>полноеназвание</vt:lpstr>
      <vt:lpstr>страна</vt:lpstr>
    </vt:vector>
  </TitlesOfParts>
  <Company>DNA Project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X64</dc:creator>
  <cp:lastModifiedBy>vikttur</cp:lastModifiedBy>
  <cp:lastPrinted>2015-06-30T15:11:42Z</cp:lastPrinted>
  <dcterms:created xsi:type="dcterms:W3CDTF">2013-01-04T20:09:35Z</dcterms:created>
  <dcterms:modified xsi:type="dcterms:W3CDTF">2015-07-14T09:29:57Z</dcterms:modified>
</cp:coreProperties>
</file>