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2980" windowHeight="5508" activeTab="1"/>
  </bookViews>
  <sheets>
    <sheet name="Динамика" sheetId="1" r:id="rId1"/>
    <sheet name="План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L40" i="2" l="1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10" i="2"/>
  <c r="K40" i="2" s="1"/>
  <c r="H10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C21" i="2"/>
  <c r="D21" i="2"/>
  <c r="E21" i="2"/>
  <c r="C22" i="2"/>
  <c r="D22" i="2"/>
  <c r="E22" i="2"/>
  <c r="C23" i="2"/>
  <c r="D23" i="2"/>
  <c r="E23" i="2"/>
  <c r="C24" i="2"/>
  <c r="D24" i="2"/>
  <c r="E24" i="2"/>
  <c r="C25" i="2"/>
  <c r="D25" i="2"/>
  <c r="E25" i="2"/>
  <c r="C26" i="2"/>
  <c r="D26" i="2"/>
  <c r="E26" i="2"/>
  <c r="C27" i="2"/>
  <c r="D27" i="2"/>
  <c r="E27" i="2"/>
  <c r="C28" i="2"/>
  <c r="D28" i="2"/>
  <c r="E28" i="2"/>
  <c r="C29" i="2"/>
  <c r="D29" i="2"/>
  <c r="E29" i="2"/>
  <c r="C30" i="2"/>
  <c r="D30" i="2"/>
  <c r="E30" i="2"/>
  <c r="C31" i="2"/>
  <c r="D31" i="2"/>
  <c r="E31" i="2"/>
  <c r="C32" i="2"/>
  <c r="D32" i="2"/>
  <c r="E32" i="2"/>
  <c r="C33" i="2"/>
  <c r="D33" i="2"/>
  <c r="E33" i="2"/>
  <c r="C34" i="2"/>
  <c r="D34" i="2"/>
  <c r="E34" i="2"/>
  <c r="C35" i="2"/>
  <c r="D35" i="2"/>
  <c r="E35" i="2"/>
  <c r="C36" i="2"/>
  <c r="D36" i="2"/>
  <c r="E36" i="2"/>
  <c r="C37" i="2"/>
  <c r="D37" i="2"/>
  <c r="E37" i="2"/>
  <c r="C38" i="2"/>
  <c r="D38" i="2"/>
  <c r="E38" i="2"/>
  <c r="C39" i="2"/>
  <c r="D39" i="2"/>
  <c r="E39" i="2"/>
  <c r="D9" i="2"/>
  <c r="E9" i="2"/>
  <c r="C9" i="2"/>
  <c r="H3" i="2" l="1"/>
  <c r="H4" i="2"/>
  <c r="F4" i="2"/>
  <c r="E4" i="2"/>
  <c r="D4" i="2"/>
  <c r="M2" i="2" l="1"/>
  <c r="P2" i="2"/>
  <c r="J2" i="2"/>
  <c r="S21" i="1" l="1"/>
  <c r="Q6" i="1" l="1"/>
  <c r="O6" i="1"/>
  <c r="M6" i="1"/>
  <c r="N21" i="1"/>
  <c r="O21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P19" i="1"/>
  <c r="Q19" i="1" s="1"/>
  <c r="P20" i="1"/>
  <c r="Q20" i="1" s="1"/>
  <c r="P21" i="1"/>
  <c r="Q21" i="1" s="1"/>
  <c r="P22" i="1"/>
  <c r="Q22" i="1" s="1"/>
  <c r="P23" i="1"/>
  <c r="Q23" i="1" s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9" i="1"/>
  <c r="Q9" i="1" s="1"/>
  <c r="S10" i="1"/>
  <c r="S11" i="1"/>
  <c r="S12" i="1"/>
  <c r="S13" i="1"/>
  <c r="S14" i="1"/>
  <c r="S15" i="1"/>
  <c r="S16" i="1"/>
  <c r="S17" i="1"/>
  <c r="S18" i="1"/>
  <c r="S19" i="1"/>
  <c r="S20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9" i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2" i="1"/>
  <c r="O22" i="1" s="1"/>
  <c r="N23" i="1"/>
  <c r="O23" i="1" s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9" i="1"/>
  <c r="O9" i="1" s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10" i="1"/>
  <c r="E9" i="1"/>
  <c r="C3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9" i="1"/>
  <c r="G10" i="1"/>
  <c r="I10" i="1" s="1"/>
  <c r="G11" i="1"/>
  <c r="I11" i="1" s="1"/>
  <c r="G12" i="1"/>
  <c r="K12" i="1" s="1"/>
  <c r="G13" i="1"/>
  <c r="I13" i="1" s="1"/>
  <c r="G14" i="1"/>
  <c r="K14" i="1" s="1"/>
  <c r="G15" i="1"/>
  <c r="I15" i="1" s="1"/>
  <c r="G16" i="1"/>
  <c r="K16" i="1" s="1"/>
  <c r="G17" i="1"/>
  <c r="K17" i="1" s="1"/>
  <c r="G18" i="1"/>
  <c r="I18" i="1" s="1"/>
  <c r="G19" i="1"/>
  <c r="I19" i="1" s="1"/>
  <c r="G20" i="1"/>
  <c r="K20" i="1" s="1"/>
  <c r="G21" i="1"/>
  <c r="I21" i="1" s="1"/>
  <c r="G22" i="1"/>
  <c r="I22" i="1" s="1"/>
  <c r="G23" i="1"/>
  <c r="I23" i="1" s="1"/>
  <c r="G24" i="1"/>
  <c r="K24" i="1" s="1"/>
  <c r="G25" i="1"/>
  <c r="K25" i="1" s="1"/>
  <c r="G26" i="1"/>
  <c r="K26" i="1" s="1"/>
  <c r="G27" i="1"/>
  <c r="I27" i="1" s="1"/>
  <c r="G28" i="1"/>
  <c r="I28" i="1" s="1"/>
  <c r="G29" i="1"/>
  <c r="K29" i="1" s="1"/>
  <c r="G30" i="1"/>
  <c r="I30" i="1" s="1"/>
  <c r="G31" i="1"/>
  <c r="I31" i="1" s="1"/>
  <c r="G32" i="1"/>
  <c r="I32" i="1" s="1"/>
  <c r="G33" i="1"/>
  <c r="K33" i="1" s="1"/>
  <c r="G34" i="1"/>
  <c r="I34" i="1" s="1"/>
  <c r="G35" i="1"/>
  <c r="I35" i="1" s="1"/>
  <c r="G36" i="1"/>
  <c r="I36" i="1" s="1"/>
  <c r="G37" i="1"/>
  <c r="K37" i="1" s="1"/>
  <c r="G38" i="1"/>
  <c r="I38" i="1" s="1"/>
  <c r="G39" i="1"/>
  <c r="I39" i="1" s="1"/>
  <c r="G9" i="1"/>
  <c r="I25" i="1" l="1"/>
  <c r="J11" i="1"/>
  <c r="J6" i="1"/>
  <c r="J4" i="1" s="1"/>
  <c r="J9" i="1"/>
  <c r="J38" i="1"/>
  <c r="J36" i="1"/>
  <c r="J34" i="1"/>
  <c r="J32" i="1"/>
  <c r="J30" i="1"/>
  <c r="J28" i="1"/>
  <c r="J26" i="1"/>
  <c r="J24" i="1"/>
  <c r="J22" i="1"/>
  <c r="J20" i="1"/>
  <c r="J18" i="1"/>
  <c r="J16" i="1"/>
  <c r="J14" i="1"/>
  <c r="J12" i="1"/>
  <c r="J10" i="1"/>
  <c r="J39" i="1"/>
  <c r="J37" i="1"/>
  <c r="J35" i="1"/>
  <c r="J33" i="1"/>
  <c r="J31" i="1"/>
  <c r="J29" i="1"/>
  <c r="J27" i="1"/>
  <c r="J25" i="1"/>
  <c r="J23" i="1"/>
  <c r="J21" i="1"/>
  <c r="J19" i="1"/>
  <c r="J17" i="1"/>
  <c r="J15" i="1"/>
  <c r="J13" i="1"/>
  <c r="I20" i="1"/>
  <c r="I26" i="1"/>
  <c r="I24" i="1"/>
  <c r="I14" i="1"/>
  <c r="I17" i="1"/>
  <c r="K9" i="1"/>
  <c r="K11" i="1"/>
  <c r="K39" i="1"/>
  <c r="K35" i="1"/>
  <c r="K31" i="1"/>
  <c r="K27" i="1"/>
  <c r="K23" i="1"/>
  <c r="K21" i="1"/>
  <c r="K19" i="1"/>
  <c r="K15" i="1"/>
  <c r="K13" i="1"/>
  <c r="K10" i="1"/>
  <c r="K38" i="1"/>
  <c r="K36" i="1"/>
  <c r="K34" i="1"/>
  <c r="K32" i="1"/>
  <c r="K30" i="1"/>
  <c r="K28" i="1"/>
  <c r="K22" i="1"/>
  <c r="K18" i="1"/>
  <c r="I16" i="1"/>
  <c r="I12" i="1"/>
  <c r="I37" i="1"/>
  <c r="I33" i="1"/>
  <c r="I29" i="1"/>
  <c r="I9" i="1"/>
</calcChain>
</file>

<file path=xl/sharedStrings.xml><?xml version="1.0" encoding="utf-8"?>
<sst xmlns="http://schemas.openxmlformats.org/spreadsheetml/2006/main" count="58" uniqueCount="42">
  <si>
    <t>ТО</t>
  </si>
  <si>
    <t>Сезонность</t>
  </si>
  <si>
    <t>Дата</t>
  </si>
  <si>
    <t>Компенсатор</t>
  </si>
  <si>
    <t>план</t>
  </si>
  <si>
    <t>БОНУСЫ *5</t>
  </si>
  <si>
    <t>СВД</t>
  </si>
  <si>
    <t>НУР</t>
  </si>
  <si>
    <t>факт</t>
  </si>
  <si>
    <t>сегодня</t>
  </si>
  <si>
    <t>Трафик</t>
  </si>
  <si>
    <t>ср/чек</t>
  </si>
  <si>
    <t>трафик</t>
  </si>
  <si>
    <t>об/пос</t>
  </si>
  <si>
    <t>Средний чек</t>
  </si>
  <si>
    <t>К/К</t>
  </si>
  <si>
    <t>к/к</t>
  </si>
  <si>
    <t>%</t>
  </si>
  <si>
    <t>кол-во документов продаж</t>
  </si>
  <si>
    <t>AirBag</t>
  </si>
  <si>
    <t>компенсатор</t>
  </si>
  <si>
    <t>выполнение плана</t>
  </si>
  <si>
    <t>результат за месяц</t>
  </si>
  <si>
    <t>Оборот на пос</t>
  </si>
  <si>
    <t>Ср/чек</t>
  </si>
  <si>
    <t>динамика выполнения ТО</t>
  </si>
  <si>
    <t>план ТО</t>
  </si>
  <si>
    <t>сезонность</t>
  </si>
  <si>
    <t>ТВА</t>
  </si>
  <si>
    <t>КН</t>
  </si>
  <si>
    <t>БТ</t>
  </si>
  <si>
    <t>тва</t>
  </si>
  <si>
    <t>кн</t>
  </si>
  <si>
    <t>бт</t>
  </si>
  <si>
    <t>Сорочинский А.А.</t>
  </si>
  <si>
    <t>Мовчан Р.Б.</t>
  </si>
  <si>
    <t>Лунгу И.П.</t>
  </si>
  <si>
    <t>Мигранов Ф.Ф.</t>
  </si>
  <si>
    <t>Багаутдинова Л.Р.</t>
  </si>
  <si>
    <t>Лунгу М.Ю.</t>
  </si>
  <si>
    <t>План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</si>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</sst>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&quot;р.&quot;;[Red]\-#,##0&quot;р.&quot;"/>
    <numFmt numFmtId="165" formatCode="#,##0.00&quot;р.&quot;;\-#,##0.00&quot;р.&quot;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169" formatCode="0.0%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sz val="11"/>
      <color theme="8" tint="-0.249977111117893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10">
    <xf numFmtId="0" fontId="0" fillId="0" borderId="0" xfId="0"/>
    <xf numFmtId="1" fontId="0" fillId="0" borderId="0" xfId="1" applyNumberFormat="1" applyFont="1"/>
    <xf numFmtId="0" fontId="2" fillId="2" borderId="2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left" wrapText="1"/>
    </xf>
    <xf numFmtId="14" fontId="0" fillId="6" borderId="16" xfId="0" applyNumberFormat="1" applyFill="1" applyBorder="1" applyProtection="1"/>
    <xf numFmtId="14" fontId="0" fillId="6" borderId="17" xfId="0" applyNumberFormat="1" applyFill="1" applyBorder="1" applyProtection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168" fontId="3" fillId="3" borderId="5" xfId="2" applyNumberFormat="1" applyFont="1" applyFill="1" applyBorder="1"/>
    <xf numFmtId="168" fontId="0" fillId="0" borderId="13" xfId="0" applyNumberFormat="1" applyBorder="1"/>
    <xf numFmtId="168" fontId="0" fillId="0" borderId="2" xfId="0" applyNumberFormat="1" applyBorder="1" applyAlignment="1" applyProtection="1">
      <alignment horizontal="center"/>
    </xf>
    <xf numFmtId="168" fontId="0" fillId="0" borderId="5" xfId="0" applyNumberFormat="1" applyBorder="1"/>
    <xf numFmtId="168" fontId="0" fillId="0" borderId="6" xfId="0" applyNumberFormat="1" applyBorder="1" applyAlignment="1">
      <alignment horizontal="center"/>
    </xf>
    <xf numFmtId="168" fontId="3" fillId="3" borderId="7" xfId="2" applyNumberFormat="1" applyFont="1" applyFill="1" applyBorder="1"/>
    <xf numFmtId="168" fontId="0" fillId="0" borderId="7" xfId="0" applyNumberFormat="1" applyBorder="1"/>
    <xf numFmtId="168" fontId="0" fillId="0" borderId="8" xfId="0" applyNumberFormat="1" applyBorder="1" applyAlignment="1">
      <alignment horizontal="center"/>
    </xf>
    <xf numFmtId="0" fontId="0" fillId="0" borderId="0" xfId="0" applyAlignment="1"/>
    <xf numFmtId="168" fontId="3" fillId="3" borderId="2" xfId="2" applyNumberFormat="1" applyFont="1" applyFill="1" applyBorder="1"/>
    <xf numFmtId="168" fontId="3" fillId="3" borderId="14" xfId="2" applyNumberFormat="1" applyFont="1" applyFill="1" applyBorder="1"/>
    <xf numFmtId="168" fontId="0" fillId="0" borderId="1" xfId="1" applyNumberFormat="1" applyFont="1" applyBorder="1" applyAlignment="1" applyProtection="1">
      <alignment horizontal="center"/>
    </xf>
    <xf numFmtId="168" fontId="0" fillId="0" borderId="9" xfId="1" applyNumberFormat="1" applyFont="1" applyBorder="1" applyAlignment="1" applyProtection="1">
      <alignment horizontal="center"/>
    </xf>
    <xf numFmtId="168" fontId="0" fillId="0" borderId="14" xfId="0" applyNumberFormat="1" applyBorder="1" applyAlignment="1" applyProtection="1">
      <alignment horizontal="center"/>
    </xf>
    <xf numFmtId="0" fontId="0" fillId="0" borderId="20" xfId="0" applyBorder="1" applyAlignment="1">
      <alignment horizontal="center"/>
    </xf>
    <xf numFmtId="168" fontId="3" fillId="3" borderId="13" xfId="2" applyNumberFormat="1" applyFont="1" applyFill="1" applyBorder="1"/>
    <xf numFmtId="168" fontId="3" fillId="3" borderId="22" xfId="2" applyNumberFormat="1" applyFont="1" applyFill="1" applyBorder="1"/>
    <xf numFmtId="0" fontId="4" fillId="6" borderId="20" xfId="0" applyFont="1" applyFill="1" applyBorder="1" applyAlignment="1">
      <alignment horizontal="center" vertical="center"/>
    </xf>
    <xf numFmtId="168" fontId="0" fillId="0" borderId="3" xfId="1" applyNumberFormat="1" applyFont="1" applyBorder="1" applyAlignment="1" applyProtection="1">
      <alignment horizontal="center"/>
    </xf>
    <xf numFmtId="168" fontId="0" fillId="0" borderId="22" xfId="0" applyNumberFormat="1" applyBorder="1" applyAlignment="1" applyProtection="1">
      <alignment horizontal="center"/>
    </xf>
    <xf numFmtId="168" fontId="0" fillId="0" borderId="19" xfId="0" applyNumberFormat="1" applyBorder="1" applyAlignment="1" applyProtection="1">
      <alignment horizontal="center"/>
    </xf>
    <xf numFmtId="168" fontId="0" fillId="0" borderId="19" xfId="0" applyNumberForma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4" fontId="6" fillId="5" borderId="9" xfId="0" applyNumberFormat="1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9" xfId="3" applyNumberFormat="1" applyFont="1" applyFill="1" applyBorder="1" applyAlignment="1">
      <alignment horizontal="center" vertical="center"/>
    </xf>
    <xf numFmtId="0" fontId="6" fillId="5" borderId="8" xfId="3" applyNumberFormat="1" applyFont="1" applyFill="1" applyBorder="1" applyAlignment="1">
      <alignment horizontal="center" vertical="center"/>
    </xf>
    <xf numFmtId="168" fontId="0" fillId="0" borderId="20" xfId="0" applyNumberFormat="1" applyBorder="1" applyAlignment="1">
      <alignment horizontal="center"/>
    </xf>
    <xf numFmtId="0" fontId="4" fillId="6" borderId="7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23" xfId="0" applyFont="1" applyFill="1" applyBorder="1"/>
    <xf numFmtId="168" fontId="0" fillId="0" borderId="23" xfId="0" applyNumberFormat="1" applyBorder="1" applyAlignment="1">
      <alignment horizontal="center"/>
    </xf>
    <xf numFmtId="168" fontId="0" fillId="0" borderId="35" xfId="0" applyNumberFormat="1" applyBorder="1" applyAlignment="1" applyProtection="1">
      <alignment horizontal="center"/>
    </xf>
    <xf numFmtId="169" fontId="3" fillId="2" borderId="1" xfId="2" applyNumberFormat="1" applyFont="1" applyFill="1" applyBorder="1"/>
    <xf numFmtId="169" fontId="3" fillId="3" borderId="1" xfId="2" applyNumberFormat="1" applyFont="1" applyFill="1" applyBorder="1"/>
    <xf numFmtId="169" fontId="3" fillId="4" borderId="1" xfId="2" applyNumberFormat="1" applyFont="1" applyFill="1" applyBorder="1"/>
    <xf numFmtId="2" fontId="0" fillId="0" borderId="0" xfId="0" applyNumberFormat="1"/>
    <xf numFmtId="165" fontId="0" fillId="0" borderId="13" xfId="1" applyNumberFormat="1" applyFont="1" applyBorder="1" applyProtection="1"/>
    <xf numFmtId="165" fontId="0" fillId="0" borderId="5" xfId="1" applyNumberFormat="1" applyFont="1" applyBorder="1" applyProtection="1"/>
    <xf numFmtId="165" fontId="0" fillId="0" borderId="7" xfId="1" applyNumberFormat="1" applyFont="1" applyBorder="1" applyProtection="1"/>
    <xf numFmtId="166" fontId="0" fillId="0" borderId="3" xfId="1" applyNumberFormat="1" applyFont="1" applyBorder="1"/>
    <xf numFmtId="166" fontId="0" fillId="0" borderId="1" xfId="1" applyNumberFormat="1" applyFont="1" applyBorder="1"/>
    <xf numFmtId="166" fontId="0" fillId="0" borderId="9" xfId="1" applyNumberFormat="1" applyFont="1" applyBorder="1"/>
    <xf numFmtId="166" fontId="0" fillId="0" borderId="19" xfId="1" applyNumberFormat="1" applyFont="1" applyBorder="1" applyAlignment="1" applyProtection="1">
      <alignment horizontal="center"/>
    </xf>
    <xf numFmtId="166" fontId="0" fillId="0" borderId="13" xfId="0" applyNumberFormat="1" applyBorder="1" applyProtection="1"/>
    <xf numFmtId="166" fontId="0" fillId="0" borderId="3" xfId="0" applyNumberFormat="1" applyBorder="1" applyProtection="1"/>
    <xf numFmtId="166" fontId="0" fillId="0" borderId="6" xfId="1" applyNumberFormat="1" applyFont="1" applyBorder="1" applyAlignment="1" applyProtection="1">
      <alignment horizontal="center"/>
    </xf>
    <xf numFmtId="166" fontId="0" fillId="0" borderId="5" xfId="0" applyNumberFormat="1" applyBorder="1" applyProtection="1"/>
    <xf numFmtId="166" fontId="0" fillId="0" borderId="1" xfId="0" applyNumberFormat="1" applyBorder="1" applyProtection="1"/>
    <xf numFmtId="166" fontId="0" fillId="0" borderId="8" xfId="1" applyNumberFormat="1" applyFont="1" applyBorder="1" applyAlignment="1" applyProtection="1">
      <alignment horizontal="center"/>
    </xf>
    <xf numFmtId="166" fontId="0" fillId="0" borderId="7" xfId="0" applyNumberFormat="1" applyBorder="1" applyProtection="1"/>
    <xf numFmtId="166" fontId="0" fillId="0" borderId="9" xfId="0" applyNumberFormat="1" applyBorder="1" applyProtection="1"/>
    <xf numFmtId="166" fontId="0" fillId="0" borderId="13" xfId="0" applyNumberFormat="1" applyBorder="1"/>
    <xf numFmtId="166" fontId="0" fillId="0" borderId="34" xfId="0" applyNumberFormat="1" applyBorder="1"/>
    <xf numFmtId="166" fontId="0" fillId="0" borderId="5" xfId="0" applyNumberFormat="1" applyBorder="1"/>
    <xf numFmtId="166" fontId="0" fillId="0" borderId="7" xfId="0" applyNumberFormat="1" applyBorder="1"/>
    <xf numFmtId="164" fontId="6" fillId="5" borderId="7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/>
    <xf numFmtId="9" fontId="0" fillId="0" borderId="0" xfId="0" applyNumberFormat="1"/>
    <xf numFmtId="164" fontId="0" fillId="0" borderId="0" xfId="0" applyNumberFormat="1"/>
    <xf numFmtId="0" fontId="4" fillId="6" borderId="3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wrapText="1"/>
    </xf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169" fontId="0" fillId="0" borderId="37" xfId="0" applyNumberFormat="1" applyBorder="1" applyAlignment="1">
      <alignment vertical="center"/>
    </xf>
    <xf numFmtId="0" fontId="7" fillId="7" borderId="39" xfId="0" applyFont="1" applyFill="1" applyBorder="1" applyAlignment="1">
      <alignment horizontal="center" vertical="center"/>
    </xf>
    <xf numFmtId="0" fontId="7" fillId="7" borderId="40" xfId="0" applyFont="1" applyFill="1" applyBorder="1" applyAlignment="1">
      <alignment horizontal="center" vertical="center"/>
    </xf>
    <xf numFmtId="14" fontId="10" fillId="0" borderId="41" xfId="0" applyNumberFormat="1" applyFont="1" applyBorder="1" applyAlignment="1">
      <alignment vertical="center"/>
    </xf>
    <xf numFmtId="169" fontId="8" fillId="0" borderId="42" xfId="0" applyNumberFormat="1" applyFont="1" applyBorder="1" applyAlignment="1">
      <alignment vertical="center"/>
    </xf>
    <xf numFmtId="0" fontId="0" fillId="0" borderId="43" xfId="0" applyBorder="1"/>
    <xf numFmtId="169" fontId="2" fillId="0" borderId="44" xfId="0" applyNumberFormat="1" applyFont="1" applyBorder="1"/>
    <xf numFmtId="169" fontId="9" fillId="0" borderId="45" xfId="0" applyNumberFormat="1" applyFont="1" applyBorder="1"/>
    <xf numFmtId="0" fontId="7" fillId="7" borderId="38" xfId="0" applyFont="1" applyFill="1" applyBorder="1" applyAlignment="1">
      <alignment horizontal="center" vertical="center"/>
    </xf>
  </cellXfs>
  <cellStyles count="4">
    <cellStyle name="Денежный" xfId="3" builtinId="4"/>
    <cellStyle name="Обычный" xfId="0" builtinId="0"/>
    <cellStyle name="Процентный" xfId="2" builtinId="5"/>
    <cellStyle name="Финансовый" xfId="1" builtinId="3"/>
  </cellStyles>
  <dxfs count="9"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00FF00"/>
      <color rgb="FF0DFF35"/>
      <color rgb="FF02D80C"/>
      <color rgb="FFFA0000"/>
      <color rgb="FF37FF37"/>
      <color rgb="FFE335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S41"/>
  <sheetViews>
    <sheetView workbookViewId="0">
      <selection activeCell="B2" sqref="B2"/>
    </sheetView>
  </sheetViews>
  <sheetFormatPr defaultRowHeight="14.4" x14ac:dyDescent="0.3"/>
  <cols>
    <col min="2" max="2" width="14" customWidth="1"/>
    <col min="3" max="3" width="12.44140625" customWidth="1"/>
    <col min="4" max="4" width="12.5546875" customWidth="1"/>
    <col min="5" max="6" width="11.5546875" customWidth="1"/>
    <col min="7" max="7" width="13.88671875" customWidth="1"/>
    <col min="8" max="8" width="14.33203125" customWidth="1"/>
    <col min="9" max="9" width="6.88671875" style="7" customWidth="1"/>
    <col min="10" max="10" width="14.6640625" style="7" customWidth="1"/>
    <col min="11" max="11" width="13.6640625" bestFit="1" customWidth="1"/>
    <col min="12" max="12" width="13.44140625" customWidth="1"/>
    <col min="13" max="13" width="6.109375" style="7" customWidth="1"/>
    <col min="14" max="14" width="12" customWidth="1"/>
    <col min="15" max="15" width="6.33203125" style="7" customWidth="1"/>
    <col min="16" max="16" width="11.109375" bestFit="1" customWidth="1"/>
    <col min="17" max="17" width="9.33203125" style="7" customWidth="1"/>
    <col min="19" max="19" width="5.44140625" style="7" customWidth="1"/>
  </cols>
  <sheetData>
    <row r="1" spans="2:19" ht="15" thickBot="1" x14ac:dyDescent="0.35"/>
    <row r="2" spans="2:19" x14ac:dyDescent="0.3">
      <c r="B2" s="32" t="s">
        <v>0</v>
      </c>
      <c r="C2" s="33" t="s">
        <v>9</v>
      </c>
      <c r="D2" s="33" t="s">
        <v>12</v>
      </c>
      <c r="E2" s="33" t="s">
        <v>11</v>
      </c>
      <c r="F2" s="33" t="s">
        <v>13</v>
      </c>
      <c r="G2" s="34" t="s">
        <v>16</v>
      </c>
      <c r="H2" s="35" t="s">
        <v>20</v>
      </c>
      <c r="M2" s="8"/>
    </row>
    <row r="3" spans="2:19" ht="16.2" thickBot="1" x14ac:dyDescent="0.35">
      <c r="B3" s="76">
        <v>10502000</v>
      </c>
      <c r="C3" s="36">
        <f ca="1">NOW()</f>
        <v>42211.938364930553</v>
      </c>
      <c r="D3" s="37">
        <v>16081</v>
      </c>
      <c r="E3" s="37">
        <v>4779</v>
      </c>
      <c r="F3" s="37">
        <v>653</v>
      </c>
      <c r="G3" s="38">
        <v>14</v>
      </c>
      <c r="H3" s="39">
        <v>0.31</v>
      </c>
      <c r="K3" s="56"/>
    </row>
    <row r="4" spans="2:19" x14ac:dyDescent="0.3">
      <c r="J4" s="77">
        <f>SUM(D9:D23)*100-J6</f>
        <v>5.7904693027250502</v>
      </c>
      <c r="K4" s="78"/>
      <c r="L4" s="7"/>
    </row>
    <row r="5" spans="2:19" ht="15" thickBot="1" x14ac:dyDescent="0.35">
      <c r="G5" s="81" t="s">
        <v>25</v>
      </c>
      <c r="H5" s="81"/>
      <c r="I5" s="81"/>
      <c r="J5" s="77"/>
      <c r="K5" s="18"/>
      <c r="L5" s="7"/>
    </row>
    <row r="6" spans="2:19" ht="15" thickBot="1" x14ac:dyDescent="0.35">
      <c r="G6" s="89" t="s">
        <v>21</v>
      </c>
      <c r="H6" s="91"/>
      <c r="I6" s="90"/>
      <c r="J6" s="40">
        <f>SUM(H9:H39)*100/SUM(G9:G39)</f>
        <v>43.486380059302874</v>
      </c>
      <c r="K6" s="89" t="s">
        <v>22</v>
      </c>
      <c r="L6" s="90"/>
      <c r="M6" s="51">
        <f>SUM(L9:L39)*100/SUM(H9:H39)</f>
        <v>25.837634876195708</v>
      </c>
      <c r="N6" s="50" t="s">
        <v>13</v>
      </c>
      <c r="O6" s="24">
        <f>SUM(H9:H39)/SUM(F9:F39)</f>
        <v>697.14028392611817</v>
      </c>
      <c r="P6" s="27" t="s">
        <v>24</v>
      </c>
      <c r="Q6" s="24">
        <f>SUM(H9:H39)/SUM(R9:R39)</f>
        <v>4557.8502994011978</v>
      </c>
    </row>
    <row r="7" spans="2:19" x14ac:dyDescent="0.3">
      <c r="B7" s="18"/>
      <c r="C7" s="85" t="s">
        <v>2</v>
      </c>
      <c r="D7" s="87" t="s">
        <v>1</v>
      </c>
      <c r="E7" s="94" t="s">
        <v>10</v>
      </c>
      <c r="F7" s="95"/>
      <c r="G7" s="98" t="s">
        <v>0</v>
      </c>
      <c r="H7" s="99"/>
      <c r="I7" s="99"/>
      <c r="J7" s="100"/>
      <c r="K7" s="95" t="s">
        <v>3</v>
      </c>
      <c r="L7" s="95"/>
      <c r="M7" s="95"/>
      <c r="N7" s="92" t="s">
        <v>23</v>
      </c>
      <c r="O7" s="93"/>
      <c r="P7" s="96" t="s">
        <v>14</v>
      </c>
      <c r="Q7" s="97"/>
      <c r="R7" s="92" t="s">
        <v>15</v>
      </c>
      <c r="S7" s="93"/>
    </row>
    <row r="8" spans="2:19" ht="70.5" customHeight="1" thickBot="1" x14ac:dyDescent="0.35">
      <c r="B8" s="18"/>
      <c r="C8" s="86"/>
      <c r="D8" s="88"/>
      <c r="E8" s="41" t="s">
        <v>4</v>
      </c>
      <c r="F8" s="45" t="s">
        <v>8</v>
      </c>
      <c r="G8" s="47" t="s">
        <v>4</v>
      </c>
      <c r="H8" s="43" t="s">
        <v>8</v>
      </c>
      <c r="I8" s="43" t="s">
        <v>17</v>
      </c>
      <c r="J8" s="48" t="s">
        <v>19</v>
      </c>
      <c r="K8" s="46" t="s">
        <v>4</v>
      </c>
      <c r="L8" s="42" t="s">
        <v>8</v>
      </c>
      <c r="M8" s="45" t="s">
        <v>17</v>
      </c>
      <c r="N8" s="41" t="s">
        <v>8</v>
      </c>
      <c r="O8" s="44" t="s">
        <v>17</v>
      </c>
      <c r="P8" s="46" t="s">
        <v>8</v>
      </c>
      <c r="Q8" s="45" t="s">
        <v>17</v>
      </c>
      <c r="R8" s="49" t="s">
        <v>18</v>
      </c>
      <c r="S8" s="44" t="s">
        <v>17</v>
      </c>
    </row>
    <row r="9" spans="2:19" x14ac:dyDescent="0.3">
      <c r="B9" s="2" t="s">
        <v>5</v>
      </c>
      <c r="C9" s="5">
        <v>42186</v>
      </c>
      <c r="D9" s="53">
        <v>3.6785711187550002E-2</v>
      </c>
      <c r="E9" s="25">
        <f>$D$3*D9</f>
        <v>591.55102160699153</v>
      </c>
      <c r="F9" s="26">
        <v>409</v>
      </c>
      <c r="G9" s="57">
        <f>$B$3*D9</f>
        <v>386323.5388916501</v>
      </c>
      <c r="H9" s="60">
        <v>439946</v>
      </c>
      <c r="I9" s="28">
        <f>H9*100/G9</f>
        <v>113.88019514994893</v>
      </c>
      <c r="J9" s="63">
        <f>SUM($H$9:H9)-SUM($G$9:G9)</f>
        <v>53622.461108349904</v>
      </c>
      <c r="K9" s="64">
        <f>G9*$H$3</f>
        <v>119760.29705641152</v>
      </c>
      <c r="L9" s="65">
        <v>114926</v>
      </c>
      <c r="M9" s="29">
        <f>L9*100/H9</f>
        <v>26.122751428584419</v>
      </c>
      <c r="N9" s="72">
        <f>H9/F9</f>
        <v>1075.6625916870416</v>
      </c>
      <c r="O9" s="30">
        <f>N9*100/$F$3</f>
        <v>164.72627744058829</v>
      </c>
      <c r="P9" s="72">
        <f t="shared" ref="P9:P39" si="0">H9/R9</f>
        <v>5865.9466666666667</v>
      </c>
      <c r="Q9" s="31">
        <f>P9*100/$E$3</f>
        <v>122.74422822068772</v>
      </c>
      <c r="R9" s="11">
        <v>75</v>
      </c>
      <c r="S9" s="31">
        <f t="shared" ref="S9:S39" si="1">R9*100/F9</f>
        <v>18.337408312958434</v>
      </c>
    </row>
    <row r="10" spans="2:19" x14ac:dyDescent="0.3">
      <c r="B10" s="3"/>
      <c r="C10" s="5">
        <v>42187</v>
      </c>
      <c r="D10" s="54">
        <v>2.6314065292180867E-2</v>
      </c>
      <c r="E10" s="10">
        <f>$D$3*D10</f>
        <v>423.1564839635605</v>
      </c>
      <c r="F10" s="19">
        <v>244</v>
      </c>
      <c r="G10" s="58">
        <f t="shared" ref="G10:G26" si="2">$B$3*D10</f>
        <v>276350.31369848346</v>
      </c>
      <c r="H10" s="61">
        <v>236991</v>
      </c>
      <c r="I10" s="21">
        <f>H10*100/G10</f>
        <v>85.757456479160325</v>
      </c>
      <c r="J10" s="66">
        <f>SUM($H$9:H10)-SUM($G$9:G10)</f>
        <v>14263.147409866448</v>
      </c>
      <c r="K10" s="67">
        <f t="shared" ref="K10:K39" si="3">G10*$H$3</f>
        <v>85668.597246529869</v>
      </c>
      <c r="L10" s="68">
        <v>70079</v>
      </c>
      <c r="M10" s="12">
        <f t="shared" ref="M10:M39" si="4">L10*100/H10</f>
        <v>29.570321235827521</v>
      </c>
      <c r="N10" s="72">
        <f t="shared" ref="N10:N39" si="5">H10/F10</f>
        <v>971.27459016393448</v>
      </c>
      <c r="O10" s="30">
        <f t="shared" ref="O10:O23" si="6">N10*100/$F$3</f>
        <v>148.74036602816761</v>
      </c>
      <c r="P10" s="74">
        <f t="shared" si="0"/>
        <v>3646.0153846153844</v>
      </c>
      <c r="Q10" s="14">
        <f t="shared" ref="Q10:Q23" si="7">P10*100/$E$3</f>
        <v>76.292433241585783</v>
      </c>
      <c r="R10" s="13">
        <v>65</v>
      </c>
      <c r="S10" s="14">
        <f t="shared" si="1"/>
        <v>26.639344262295083</v>
      </c>
    </row>
    <row r="11" spans="2:19" x14ac:dyDescent="0.3">
      <c r="B11" s="3"/>
      <c r="C11" s="5">
        <v>42188</v>
      </c>
      <c r="D11" s="54">
        <v>2.7137875265840508E-2</v>
      </c>
      <c r="E11" s="10">
        <f t="shared" ref="E11:E39" si="8">$D$3*D11</f>
        <v>436.40417214998121</v>
      </c>
      <c r="F11" s="19">
        <v>487</v>
      </c>
      <c r="G11" s="58">
        <f t="shared" si="2"/>
        <v>285001.96604185703</v>
      </c>
      <c r="H11" s="61">
        <v>97223</v>
      </c>
      <c r="I11" s="21">
        <f t="shared" ref="I11:I39" si="9">H11*100/G11</f>
        <v>34.113098007794541</v>
      </c>
      <c r="J11" s="66">
        <f>SUM($H$9:H11)-SUM($G$9:G11)</f>
        <v>-173515.81863199058</v>
      </c>
      <c r="K11" s="67">
        <f t="shared" si="3"/>
        <v>88350.609472975673</v>
      </c>
      <c r="L11" s="68">
        <v>73970</v>
      </c>
      <c r="M11" s="12">
        <f t="shared" si="4"/>
        <v>76.082819908869297</v>
      </c>
      <c r="N11" s="72">
        <f t="shared" si="5"/>
        <v>199.63655030800822</v>
      </c>
      <c r="O11" s="30">
        <f t="shared" si="6"/>
        <v>30.572212910874153</v>
      </c>
      <c r="P11" s="74">
        <f t="shared" si="0"/>
        <v>1834.3962264150944</v>
      </c>
      <c r="Q11" s="14">
        <f t="shared" si="7"/>
        <v>38.384520326743967</v>
      </c>
      <c r="R11" s="13">
        <v>53</v>
      </c>
      <c r="S11" s="14">
        <f t="shared" si="1"/>
        <v>10.882956878850102</v>
      </c>
    </row>
    <row r="12" spans="2:19" x14ac:dyDescent="0.3">
      <c r="B12" s="4"/>
      <c r="C12" s="5">
        <v>42189</v>
      </c>
      <c r="D12" s="55">
        <v>5.1695792006373739E-2</v>
      </c>
      <c r="E12" s="10">
        <f t="shared" si="8"/>
        <v>831.32003125449614</v>
      </c>
      <c r="F12" s="19">
        <v>589</v>
      </c>
      <c r="G12" s="58">
        <f t="shared" si="2"/>
        <v>542909.20765093702</v>
      </c>
      <c r="H12" s="61">
        <v>405172</v>
      </c>
      <c r="I12" s="21">
        <f t="shared" si="9"/>
        <v>74.629789712556317</v>
      </c>
      <c r="J12" s="66">
        <f>SUM($H$9:H12)-SUM($G$9:G12)</f>
        <v>-311253.02628292749</v>
      </c>
      <c r="K12" s="67">
        <f t="shared" si="3"/>
        <v>168301.85437179048</v>
      </c>
      <c r="L12" s="68">
        <v>94183</v>
      </c>
      <c r="M12" s="12">
        <f t="shared" si="4"/>
        <v>23.245189697215011</v>
      </c>
      <c r="N12" s="72">
        <f t="shared" si="5"/>
        <v>687.89813242784385</v>
      </c>
      <c r="O12" s="30">
        <f t="shared" si="6"/>
        <v>105.34427755403428</v>
      </c>
      <c r="P12" s="74">
        <f t="shared" si="0"/>
        <v>3786.6542056074768</v>
      </c>
      <c r="Q12" s="14">
        <f t="shared" si="7"/>
        <v>79.235283649455468</v>
      </c>
      <c r="R12" s="13">
        <v>107</v>
      </c>
      <c r="S12" s="14">
        <f t="shared" si="1"/>
        <v>18.166383701188455</v>
      </c>
    </row>
    <row r="13" spans="2:19" x14ac:dyDescent="0.3">
      <c r="B13" s="4"/>
      <c r="C13" s="5">
        <v>42190</v>
      </c>
      <c r="D13" s="55">
        <v>5.7115171034169479E-2</v>
      </c>
      <c r="E13" s="10">
        <f t="shared" si="8"/>
        <v>918.46906540047939</v>
      </c>
      <c r="F13" s="19">
        <v>944</v>
      </c>
      <c r="G13" s="58">
        <f t="shared" si="2"/>
        <v>599823.52620084782</v>
      </c>
      <c r="H13" s="61">
        <v>498299</v>
      </c>
      <c r="I13" s="21">
        <f t="shared" si="9"/>
        <v>83.074267385962315</v>
      </c>
      <c r="J13" s="66">
        <f>SUM($H$9:H13)-SUM($G$9:G13)</f>
        <v>-412777.55248377519</v>
      </c>
      <c r="K13" s="67">
        <f t="shared" si="3"/>
        <v>185945.29312226281</v>
      </c>
      <c r="L13" s="68">
        <v>139187</v>
      </c>
      <c r="M13" s="12">
        <f t="shared" si="4"/>
        <v>27.932426113638599</v>
      </c>
      <c r="N13" s="72">
        <f t="shared" si="5"/>
        <v>527.85911016949149</v>
      </c>
      <c r="O13" s="30">
        <f t="shared" si="6"/>
        <v>80.836004620136521</v>
      </c>
      <c r="P13" s="74">
        <f t="shared" si="0"/>
        <v>3746.6090225563908</v>
      </c>
      <c r="Q13" s="14">
        <f t="shared" si="7"/>
        <v>78.397343012270156</v>
      </c>
      <c r="R13" s="13">
        <v>133</v>
      </c>
      <c r="S13" s="14">
        <f t="shared" si="1"/>
        <v>14.088983050847459</v>
      </c>
    </row>
    <row r="14" spans="2:19" x14ac:dyDescent="0.3">
      <c r="B14" s="3"/>
      <c r="C14" s="5">
        <v>42191</v>
      </c>
      <c r="D14" s="54">
        <v>4.6650224526250941E-3</v>
      </c>
      <c r="E14" s="10">
        <f t="shared" si="8"/>
        <v>75.018226060664134</v>
      </c>
      <c r="F14" s="19">
        <v>112</v>
      </c>
      <c r="G14" s="58">
        <f t="shared" si="2"/>
        <v>48992.065797468735</v>
      </c>
      <c r="H14" s="61">
        <v>198745</v>
      </c>
      <c r="I14" s="21">
        <f t="shared" si="9"/>
        <v>405.66772754919947</v>
      </c>
      <c r="J14" s="66">
        <f>SUM($H$9:H14)-SUM($G$9:G14)</f>
        <v>-263024.61828124383</v>
      </c>
      <c r="K14" s="67">
        <f t="shared" si="3"/>
        <v>15187.540397215307</v>
      </c>
      <c r="L14" s="68">
        <v>32037</v>
      </c>
      <c r="M14" s="12">
        <f t="shared" si="4"/>
        <v>16.11965080882538</v>
      </c>
      <c r="N14" s="72">
        <f t="shared" si="5"/>
        <v>1774.5089285714287</v>
      </c>
      <c r="O14" s="30">
        <f t="shared" si="6"/>
        <v>271.74715598337349</v>
      </c>
      <c r="P14" s="74">
        <f t="shared" si="0"/>
        <v>6411.1290322580644</v>
      </c>
      <c r="Q14" s="14">
        <f t="shared" si="7"/>
        <v>134.15210362540415</v>
      </c>
      <c r="R14" s="13">
        <v>31</v>
      </c>
      <c r="S14" s="14">
        <f t="shared" si="1"/>
        <v>27.678571428571427</v>
      </c>
    </row>
    <row r="15" spans="2:19" x14ac:dyDescent="0.3">
      <c r="B15" s="3"/>
      <c r="C15" s="5">
        <v>42192</v>
      </c>
      <c r="D15" s="54">
        <v>2.665266399063862E-2</v>
      </c>
      <c r="E15" s="10">
        <f t="shared" si="8"/>
        <v>428.60148963345966</v>
      </c>
      <c r="F15" s="19">
        <v>360</v>
      </c>
      <c r="G15" s="58">
        <f t="shared" si="2"/>
        <v>279906.27722968679</v>
      </c>
      <c r="H15" s="61">
        <v>418259</v>
      </c>
      <c r="I15" s="21">
        <f t="shared" si="9"/>
        <v>149.428231527935</v>
      </c>
      <c r="J15" s="66">
        <f>SUM($H$9:H15)-SUM($G$9:G15)</f>
        <v>-124671.89551093057</v>
      </c>
      <c r="K15" s="67">
        <f t="shared" si="3"/>
        <v>86770.94594120291</v>
      </c>
      <c r="L15" s="68">
        <v>65094</v>
      </c>
      <c r="M15" s="12">
        <f t="shared" si="4"/>
        <v>15.563084117735661</v>
      </c>
      <c r="N15" s="72">
        <f t="shared" si="5"/>
        <v>1161.8305555555555</v>
      </c>
      <c r="O15" s="30">
        <f t="shared" si="6"/>
        <v>177.92198400544495</v>
      </c>
      <c r="P15" s="74">
        <f t="shared" si="0"/>
        <v>6856.7049180327867</v>
      </c>
      <c r="Q15" s="14">
        <f t="shared" si="7"/>
        <v>143.47572542441486</v>
      </c>
      <c r="R15" s="13">
        <v>61</v>
      </c>
      <c r="S15" s="14">
        <f t="shared" si="1"/>
        <v>16.944444444444443</v>
      </c>
    </row>
    <row r="16" spans="2:19" x14ac:dyDescent="0.3">
      <c r="B16" s="3"/>
      <c r="C16" s="5">
        <v>42193</v>
      </c>
      <c r="D16" s="54">
        <v>2.4638521261828372E-2</v>
      </c>
      <c r="E16" s="10">
        <f t="shared" si="8"/>
        <v>396.21206041146206</v>
      </c>
      <c r="F16" s="19">
        <v>303</v>
      </c>
      <c r="G16" s="58">
        <f t="shared" si="2"/>
        <v>258753.75029172155</v>
      </c>
      <c r="H16" s="61">
        <v>99292</v>
      </c>
      <c r="I16" s="21">
        <f t="shared" si="9"/>
        <v>38.37316363069413</v>
      </c>
      <c r="J16" s="66">
        <f>SUM($H$9:H16)-SUM($G$9:G16)</f>
        <v>-284133.645802652</v>
      </c>
      <c r="K16" s="67">
        <f t="shared" si="3"/>
        <v>80213.662590433683</v>
      </c>
      <c r="L16" s="68">
        <v>53477</v>
      </c>
      <c r="M16" s="12">
        <f t="shared" si="4"/>
        <v>53.85831688353543</v>
      </c>
      <c r="N16" s="72">
        <f t="shared" si="5"/>
        <v>327.69636963696371</v>
      </c>
      <c r="O16" s="30">
        <f t="shared" si="6"/>
        <v>50.183211276717259</v>
      </c>
      <c r="P16" s="74">
        <f t="shared" si="0"/>
        <v>2364.0952380952381</v>
      </c>
      <c r="Q16" s="14">
        <f t="shared" si="7"/>
        <v>49.468408413794478</v>
      </c>
      <c r="R16" s="13">
        <v>42</v>
      </c>
      <c r="S16" s="14">
        <f t="shared" si="1"/>
        <v>13.861386138613861</v>
      </c>
    </row>
    <row r="17" spans="2:19" x14ac:dyDescent="0.3">
      <c r="B17" s="3"/>
      <c r="C17" s="5">
        <v>42194</v>
      </c>
      <c r="D17" s="54">
        <v>2.6314065292180867E-2</v>
      </c>
      <c r="E17" s="10">
        <f t="shared" si="8"/>
        <v>423.1564839635605</v>
      </c>
      <c r="F17" s="19">
        <v>300</v>
      </c>
      <c r="G17" s="58">
        <f t="shared" si="2"/>
        <v>276350.31369848346</v>
      </c>
      <c r="H17" s="61">
        <v>187636</v>
      </c>
      <c r="I17" s="21">
        <f t="shared" si="9"/>
        <v>67.897878417002033</v>
      </c>
      <c r="J17" s="66">
        <f>SUM($H$9:H17)-SUM($G$9:G17)</f>
        <v>-372847.95950113563</v>
      </c>
      <c r="K17" s="67">
        <f t="shared" si="3"/>
        <v>85668.597246529869</v>
      </c>
      <c r="L17" s="68">
        <v>36680</v>
      </c>
      <c r="M17" s="12">
        <f t="shared" si="4"/>
        <v>19.548487497068791</v>
      </c>
      <c r="N17" s="72">
        <f t="shared" si="5"/>
        <v>625.45333333333338</v>
      </c>
      <c r="O17" s="30">
        <f t="shared" si="6"/>
        <v>95.781521184277693</v>
      </c>
      <c r="P17" s="74">
        <f t="shared" si="0"/>
        <v>4363.6279069767443</v>
      </c>
      <c r="Q17" s="14">
        <f t="shared" si="7"/>
        <v>91.308388930252022</v>
      </c>
      <c r="R17" s="13">
        <v>43</v>
      </c>
      <c r="S17" s="14">
        <f t="shared" si="1"/>
        <v>14.333333333333334</v>
      </c>
    </row>
    <row r="18" spans="2:19" x14ac:dyDescent="0.3">
      <c r="B18" s="3"/>
      <c r="C18" s="5">
        <v>42195</v>
      </c>
      <c r="D18" s="54">
        <v>2.7137875265840508E-2</v>
      </c>
      <c r="E18" s="10">
        <f t="shared" si="8"/>
        <v>436.40417214998121</v>
      </c>
      <c r="F18" s="19">
        <v>335</v>
      </c>
      <c r="G18" s="58">
        <f t="shared" si="2"/>
        <v>285001.96604185703</v>
      </c>
      <c r="H18" s="61">
        <v>200964</v>
      </c>
      <c r="I18" s="21">
        <f t="shared" si="9"/>
        <v>70.513197782812938</v>
      </c>
      <c r="J18" s="66">
        <f>SUM($H$9:H18)-SUM($G$9:G18)</f>
        <v>-456885.92554299254</v>
      </c>
      <c r="K18" s="67">
        <f t="shared" si="3"/>
        <v>88350.609472975673</v>
      </c>
      <c r="L18" s="68">
        <v>31706</v>
      </c>
      <c r="M18" s="12">
        <f t="shared" si="4"/>
        <v>15.77695507653112</v>
      </c>
      <c r="N18" s="72">
        <f t="shared" si="5"/>
        <v>599.89253731343285</v>
      </c>
      <c r="O18" s="30">
        <f t="shared" si="6"/>
        <v>91.867157322118359</v>
      </c>
      <c r="P18" s="74">
        <f t="shared" si="0"/>
        <v>4368.782608695652</v>
      </c>
      <c r="Q18" s="14">
        <f t="shared" si="7"/>
        <v>91.416250443516461</v>
      </c>
      <c r="R18" s="13">
        <v>46</v>
      </c>
      <c r="S18" s="14">
        <f t="shared" si="1"/>
        <v>13.73134328358209</v>
      </c>
    </row>
    <row r="19" spans="2:19" x14ac:dyDescent="0.3">
      <c r="B19" s="82" t="s">
        <v>6</v>
      </c>
      <c r="C19" s="5">
        <v>42196</v>
      </c>
      <c r="D19" s="53">
        <v>6.1978212917386068E-2</v>
      </c>
      <c r="E19" s="10">
        <f t="shared" si="8"/>
        <v>996.67164192448536</v>
      </c>
      <c r="F19" s="19">
        <v>723</v>
      </c>
      <c r="G19" s="58">
        <f t="shared" si="2"/>
        <v>650895.19205838849</v>
      </c>
      <c r="H19" s="61">
        <v>747577</v>
      </c>
      <c r="I19" s="21">
        <f t="shared" si="9"/>
        <v>114.85366755220073</v>
      </c>
      <c r="J19" s="66">
        <f>SUM($H$9:H19)-SUM($G$9:G19)</f>
        <v>-360204.11760138115</v>
      </c>
      <c r="K19" s="67">
        <f t="shared" si="3"/>
        <v>201777.50953810042</v>
      </c>
      <c r="L19" s="68">
        <v>194540</v>
      </c>
      <c r="M19" s="12">
        <f t="shared" si="4"/>
        <v>26.022737457144881</v>
      </c>
      <c r="N19" s="72">
        <f t="shared" si="5"/>
        <v>1033.9930843706777</v>
      </c>
      <c r="O19" s="30">
        <f t="shared" si="6"/>
        <v>158.34503589137483</v>
      </c>
      <c r="P19" s="74">
        <f t="shared" si="0"/>
        <v>6389.5470085470088</v>
      </c>
      <c r="Q19" s="14">
        <f t="shared" si="7"/>
        <v>133.70050237595748</v>
      </c>
      <c r="R19" s="13">
        <v>117</v>
      </c>
      <c r="S19" s="14">
        <f t="shared" si="1"/>
        <v>16.182572614107883</v>
      </c>
    </row>
    <row r="20" spans="2:19" x14ac:dyDescent="0.3">
      <c r="B20" s="83"/>
      <c r="C20" s="5">
        <v>42197</v>
      </c>
      <c r="D20" s="53">
        <v>6.6377309948573091E-2</v>
      </c>
      <c r="E20" s="10">
        <f t="shared" si="8"/>
        <v>1067.4135212830038</v>
      </c>
      <c r="F20" s="19">
        <v>850</v>
      </c>
      <c r="G20" s="58">
        <f t="shared" si="2"/>
        <v>697094.50907991454</v>
      </c>
      <c r="H20" s="61">
        <v>472476</v>
      </c>
      <c r="I20" s="21">
        <f t="shared" si="9"/>
        <v>67.777897235715514</v>
      </c>
      <c r="J20" s="66">
        <f>SUM($H$9:H20)-SUM($G$9:G20)</f>
        <v>-584822.62668129615</v>
      </c>
      <c r="K20" s="67">
        <f t="shared" si="3"/>
        <v>216099.29781477351</v>
      </c>
      <c r="L20" s="68">
        <v>123603</v>
      </c>
      <c r="M20" s="12">
        <f t="shared" si="4"/>
        <v>26.160693876514362</v>
      </c>
      <c r="N20" s="72">
        <f t="shared" si="5"/>
        <v>555.85411764705884</v>
      </c>
      <c r="O20" s="30">
        <f t="shared" si="6"/>
        <v>85.123142059273931</v>
      </c>
      <c r="P20" s="74">
        <f t="shared" si="0"/>
        <v>4499.7714285714283</v>
      </c>
      <c r="Q20" s="14">
        <f t="shared" si="7"/>
        <v>94.157175739096644</v>
      </c>
      <c r="R20" s="13">
        <v>105</v>
      </c>
      <c r="S20" s="14">
        <f t="shared" si="1"/>
        <v>12.352941176470589</v>
      </c>
    </row>
    <row r="21" spans="2:19" x14ac:dyDescent="0.3">
      <c r="B21" s="3"/>
      <c r="C21" s="5">
        <v>42198</v>
      </c>
      <c r="D21" s="54">
        <v>4.6650224526250941E-3</v>
      </c>
      <c r="E21" s="10">
        <f t="shared" si="8"/>
        <v>75.018226060664134</v>
      </c>
      <c r="F21" s="19">
        <v>84</v>
      </c>
      <c r="G21" s="58">
        <f t="shared" si="2"/>
        <v>48992.065797468735</v>
      </c>
      <c r="H21" s="61">
        <v>137947</v>
      </c>
      <c r="I21" s="21">
        <f t="shared" si="9"/>
        <v>281.57008232775377</v>
      </c>
      <c r="J21" s="66">
        <f>SUM($H$9:H21)-SUM($G$9:G21)</f>
        <v>-495867.6924787648</v>
      </c>
      <c r="K21" s="67">
        <f t="shared" si="3"/>
        <v>15187.540397215307</v>
      </c>
      <c r="L21" s="68">
        <v>28374</v>
      </c>
      <c r="M21" s="12">
        <f t="shared" si="4"/>
        <v>20.568769164969154</v>
      </c>
      <c r="N21" s="72">
        <f t="shared" si="5"/>
        <v>1642.2261904761904</v>
      </c>
      <c r="O21" s="30">
        <f t="shared" si="6"/>
        <v>251.48946255378104</v>
      </c>
      <c r="P21" s="74">
        <f t="shared" si="0"/>
        <v>6568.9047619047615</v>
      </c>
      <c r="Q21" s="14">
        <f t="shared" si="7"/>
        <v>137.45354178499187</v>
      </c>
      <c r="R21" s="13">
        <v>21</v>
      </c>
      <c r="S21" s="14">
        <f t="shared" si="1"/>
        <v>25</v>
      </c>
    </row>
    <row r="22" spans="2:19" x14ac:dyDescent="0.3">
      <c r="B22" s="3"/>
      <c r="C22" s="5">
        <v>42199</v>
      </c>
      <c r="D22" s="54">
        <v>2.665266399063862E-2</v>
      </c>
      <c r="E22" s="10">
        <f t="shared" si="8"/>
        <v>428.60148963345966</v>
      </c>
      <c r="F22" s="19">
        <v>360</v>
      </c>
      <c r="G22" s="58">
        <f t="shared" si="2"/>
        <v>279906.27722968679</v>
      </c>
      <c r="H22" s="61">
        <v>207785</v>
      </c>
      <c r="I22" s="21">
        <f t="shared" si="9"/>
        <v>74.233776411343158</v>
      </c>
      <c r="J22" s="66">
        <f>SUM($H$9:H22)-SUM($G$9:G22)</f>
        <v>-567988.969708452</v>
      </c>
      <c r="K22" s="67">
        <f t="shared" si="3"/>
        <v>86770.94594120291</v>
      </c>
      <c r="L22" s="68">
        <v>70746</v>
      </c>
      <c r="M22" s="12">
        <f t="shared" si="4"/>
        <v>34.047693529369297</v>
      </c>
      <c r="N22" s="72">
        <f t="shared" si="5"/>
        <v>577.18055555555554</v>
      </c>
      <c r="O22" s="30">
        <f t="shared" si="6"/>
        <v>88.389059043729787</v>
      </c>
      <c r="P22" s="74">
        <f t="shared" si="0"/>
        <v>4155.7</v>
      </c>
      <c r="Q22" s="14">
        <f t="shared" si="7"/>
        <v>86.957522494245652</v>
      </c>
      <c r="R22" s="13">
        <v>50</v>
      </c>
      <c r="S22" s="14">
        <f t="shared" si="1"/>
        <v>13.888888888888889</v>
      </c>
    </row>
    <row r="23" spans="2:19" x14ac:dyDescent="0.3">
      <c r="B23" s="3"/>
      <c r="C23" s="5">
        <v>42200</v>
      </c>
      <c r="D23" s="54">
        <v>2.4638521261828372E-2</v>
      </c>
      <c r="E23" s="10">
        <f t="shared" si="8"/>
        <v>396.21206041146206</v>
      </c>
      <c r="F23" s="19">
        <v>451</v>
      </c>
      <c r="G23" s="58">
        <f t="shared" si="2"/>
        <v>258753.75029172155</v>
      </c>
      <c r="H23" s="61">
        <v>218654</v>
      </c>
      <c r="I23" s="21">
        <f t="shared" si="9"/>
        <v>84.502736580044655</v>
      </c>
      <c r="J23" s="66">
        <f>SUM($H$9:H23)-SUM($G$9:G23)</f>
        <v>-608088.7200001739</v>
      </c>
      <c r="K23" s="67">
        <f t="shared" si="3"/>
        <v>80213.662590433683</v>
      </c>
      <c r="L23" s="68">
        <v>51394</v>
      </c>
      <c r="M23" s="12">
        <f t="shared" si="4"/>
        <v>23.504715212161681</v>
      </c>
      <c r="N23" s="72">
        <f t="shared" si="5"/>
        <v>484.82039911308203</v>
      </c>
      <c r="O23" s="30">
        <f t="shared" si="6"/>
        <v>74.245084090824193</v>
      </c>
      <c r="P23" s="74">
        <f t="shared" si="0"/>
        <v>4125.5471698113206</v>
      </c>
      <c r="Q23" s="14">
        <f t="shared" si="7"/>
        <v>86.326578150477516</v>
      </c>
      <c r="R23" s="13">
        <v>53</v>
      </c>
      <c r="S23" s="14">
        <f t="shared" si="1"/>
        <v>11.751662971175167</v>
      </c>
    </row>
    <row r="24" spans="2:19" x14ac:dyDescent="0.3">
      <c r="B24" s="3"/>
      <c r="C24" s="5">
        <v>42201</v>
      </c>
      <c r="D24" s="54">
        <v>2.6314065292180867E-2</v>
      </c>
      <c r="E24" s="10">
        <f t="shared" si="8"/>
        <v>423.1564839635605</v>
      </c>
      <c r="F24" s="19">
        <v>0</v>
      </c>
      <c r="G24" s="58">
        <f t="shared" si="2"/>
        <v>276350.31369848346</v>
      </c>
      <c r="H24" s="61">
        <v>0</v>
      </c>
      <c r="I24" s="21">
        <f t="shared" si="9"/>
        <v>0</v>
      </c>
      <c r="J24" s="66">
        <f>SUM($H$9:H24)-SUM($G$9:G24)</f>
        <v>-884439.03369865753</v>
      </c>
      <c r="K24" s="67">
        <f t="shared" si="3"/>
        <v>85668.597246529869</v>
      </c>
      <c r="L24" s="68">
        <v>0</v>
      </c>
      <c r="M24" s="12" t="e">
        <f t="shared" si="4"/>
        <v>#DIV/0!</v>
      </c>
      <c r="N24" s="72" t="e">
        <f t="shared" si="5"/>
        <v>#DIV/0!</v>
      </c>
      <c r="O24" s="30"/>
      <c r="P24" s="74" t="e">
        <f t="shared" si="0"/>
        <v>#DIV/0!</v>
      </c>
      <c r="Q24" s="14"/>
      <c r="R24" s="13"/>
      <c r="S24" s="14" t="e">
        <f t="shared" si="1"/>
        <v>#DIV/0!</v>
      </c>
    </row>
    <row r="25" spans="2:19" x14ac:dyDescent="0.3">
      <c r="B25" s="3"/>
      <c r="C25" s="5">
        <v>42202</v>
      </c>
      <c r="D25" s="54">
        <v>2.7137875265840508E-2</v>
      </c>
      <c r="E25" s="10">
        <f t="shared" si="8"/>
        <v>436.40417214998121</v>
      </c>
      <c r="F25" s="19">
        <v>0</v>
      </c>
      <c r="G25" s="58">
        <f t="shared" si="2"/>
        <v>285001.96604185703</v>
      </c>
      <c r="H25" s="61">
        <v>0</v>
      </c>
      <c r="I25" s="21">
        <f t="shared" si="9"/>
        <v>0</v>
      </c>
      <c r="J25" s="66">
        <f>SUM($H$9:H25)-SUM($G$9:G25)</f>
        <v>-1169440.9997405149</v>
      </c>
      <c r="K25" s="67">
        <f t="shared" si="3"/>
        <v>88350.609472975673</v>
      </c>
      <c r="L25" s="68">
        <v>0</v>
      </c>
      <c r="M25" s="12" t="e">
        <f t="shared" si="4"/>
        <v>#DIV/0!</v>
      </c>
      <c r="N25" s="72" t="e">
        <f t="shared" si="5"/>
        <v>#DIV/0!</v>
      </c>
      <c r="O25" s="30"/>
      <c r="P25" s="74" t="e">
        <f t="shared" si="0"/>
        <v>#DIV/0!</v>
      </c>
      <c r="Q25" s="14"/>
      <c r="R25" s="13"/>
      <c r="S25" s="14" t="e">
        <f t="shared" si="1"/>
        <v>#DIV/0!</v>
      </c>
    </row>
    <row r="26" spans="2:19" x14ac:dyDescent="0.3">
      <c r="B26" s="4"/>
      <c r="C26" s="5">
        <v>42203</v>
      </c>
      <c r="D26" s="55">
        <v>5.6788733182844324E-2</v>
      </c>
      <c r="E26" s="10">
        <f t="shared" si="8"/>
        <v>913.21961831331953</v>
      </c>
      <c r="F26" s="19">
        <v>0</v>
      </c>
      <c r="G26" s="58">
        <f t="shared" si="2"/>
        <v>596395.2758862311</v>
      </c>
      <c r="H26" s="61">
        <v>0</v>
      </c>
      <c r="I26" s="21">
        <f t="shared" si="9"/>
        <v>0</v>
      </c>
      <c r="J26" s="66">
        <f>SUM($H$9:H26)-SUM($G$9:G26)</f>
        <v>-1765836.275626746</v>
      </c>
      <c r="K26" s="67">
        <f t="shared" si="3"/>
        <v>184882.53552473165</v>
      </c>
      <c r="L26" s="68">
        <v>0</v>
      </c>
      <c r="M26" s="12" t="e">
        <f t="shared" si="4"/>
        <v>#DIV/0!</v>
      </c>
      <c r="N26" s="72" t="e">
        <f t="shared" si="5"/>
        <v>#DIV/0!</v>
      </c>
      <c r="O26" s="30"/>
      <c r="P26" s="74" t="e">
        <f t="shared" si="0"/>
        <v>#DIV/0!</v>
      </c>
      <c r="Q26" s="14"/>
      <c r="R26" s="13"/>
      <c r="S26" s="14" t="e">
        <f t="shared" si="1"/>
        <v>#DIV/0!</v>
      </c>
    </row>
    <row r="27" spans="2:19" x14ac:dyDescent="0.3">
      <c r="B27" s="4"/>
      <c r="C27" s="5">
        <v>42204</v>
      </c>
      <c r="D27" s="55">
        <v>6.2208112210640064E-2</v>
      </c>
      <c r="E27" s="10">
        <f t="shared" si="8"/>
        <v>1000.3686524593029</v>
      </c>
      <c r="F27" s="19">
        <v>0</v>
      </c>
      <c r="G27" s="58">
        <f t="shared" ref="G27:G39" si="10">$B$3*D27</f>
        <v>653309.5944361419</v>
      </c>
      <c r="H27" s="61">
        <v>0</v>
      </c>
      <c r="I27" s="21">
        <f t="shared" si="9"/>
        <v>0</v>
      </c>
      <c r="J27" s="66">
        <f>SUM($H$9:H27)-SUM($G$9:G27)</f>
        <v>-2419145.8700628877</v>
      </c>
      <c r="K27" s="67">
        <f t="shared" si="3"/>
        <v>202525.97427520397</v>
      </c>
      <c r="L27" s="68">
        <v>0</v>
      </c>
      <c r="M27" s="12" t="e">
        <f t="shared" si="4"/>
        <v>#DIV/0!</v>
      </c>
      <c r="N27" s="72" t="e">
        <f t="shared" si="5"/>
        <v>#DIV/0!</v>
      </c>
      <c r="O27" s="30"/>
      <c r="P27" s="74" t="e">
        <f t="shared" si="0"/>
        <v>#DIV/0!</v>
      </c>
      <c r="Q27" s="14"/>
      <c r="R27" s="13"/>
      <c r="S27" s="14" t="e">
        <f t="shared" si="1"/>
        <v>#DIV/0!</v>
      </c>
    </row>
    <row r="28" spans="2:19" x14ac:dyDescent="0.3">
      <c r="B28" s="3"/>
      <c r="C28" s="5">
        <v>42205</v>
      </c>
      <c r="D28" s="54">
        <v>4.6650224526250941E-3</v>
      </c>
      <c r="E28" s="10">
        <f t="shared" si="8"/>
        <v>75.018226060664134</v>
      </c>
      <c r="F28" s="19">
        <v>0</v>
      </c>
      <c r="G28" s="58">
        <f t="shared" si="10"/>
        <v>48992.065797468735</v>
      </c>
      <c r="H28" s="61">
        <v>0</v>
      </c>
      <c r="I28" s="21">
        <f t="shared" si="9"/>
        <v>0</v>
      </c>
      <c r="J28" s="66">
        <f>SUM($H$9:H28)-SUM($G$9:G28)</f>
        <v>-2468137.9358603563</v>
      </c>
      <c r="K28" s="67">
        <f t="shared" si="3"/>
        <v>15187.540397215307</v>
      </c>
      <c r="L28" s="68">
        <v>0</v>
      </c>
      <c r="M28" s="12" t="e">
        <f t="shared" si="4"/>
        <v>#DIV/0!</v>
      </c>
      <c r="N28" s="72" t="e">
        <f t="shared" si="5"/>
        <v>#DIV/0!</v>
      </c>
      <c r="O28" s="30"/>
      <c r="P28" s="74" t="e">
        <f t="shared" si="0"/>
        <v>#DIV/0!</v>
      </c>
      <c r="Q28" s="14"/>
      <c r="R28" s="13"/>
      <c r="S28" s="14" t="e">
        <f t="shared" si="1"/>
        <v>#DIV/0!</v>
      </c>
    </row>
    <row r="29" spans="2:19" x14ac:dyDescent="0.3">
      <c r="B29" s="3"/>
      <c r="C29" s="5">
        <v>42206</v>
      </c>
      <c r="D29" s="54">
        <v>2.665266399063862E-2</v>
      </c>
      <c r="E29" s="10">
        <f t="shared" si="8"/>
        <v>428.60148963345966</v>
      </c>
      <c r="F29" s="19">
        <v>0</v>
      </c>
      <c r="G29" s="58">
        <f t="shared" si="10"/>
        <v>279906.27722968679</v>
      </c>
      <c r="H29" s="61">
        <v>0</v>
      </c>
      <c r="I29" s="21">
        <f t="shared" si="9"/>
        <v>0</v>
      </c>
      <c r="J29" s="66">
        <f>SUM($H$9:H29)-SUM($G$9:G29)</f>
        <v>-2748044.2130900435</v>
      </c>
      <c r="K29" s="67">
        <f t="shared" si="3"/>
        <v>86770.94594120291</v>
      </c>
      <c r="L29" s="68">
        <v>0</v>
      </c>
      <c r="M29" s="12" t="e">
        <f t="shared" si="4"/>
        <v>#DIV/0!</v>
      </c>
      <c r="N29" s="72" t="e">
        <f t="shared" si="5"/>
        <v>#DIV/0!</v>
      </c>
      <c r="O29" s="30"/>
      <c r="P29" s="74" t="e">
        <f t="shared" si="0"/>
        <v>#DIV/0!</v>
      </c>
      <c r="Q29" s="14"/>
      <c r="R29" s="13"/>
      <c r="S29" s="14" t="e">
        <f t="shared" si="1"/>
        <v>#DIV/0!</v>
      </c>
    </row>
    <row r="30" spans="2:19" x14ac:dyDescent="0.3">
      <c r="B30" s="3"/>
      <c r="C30" s="5">
        <v>42207</v>
      </c>
      <c r="D30" s="54">
        <v>2.4638521261828372E-2</v>
      </c>
      <c r="E30" s="10">
        <f t="shared" si="8"/>
        <v>396.21206041146206</v>
      </c>
      <c r="F30" s="19">
        <v>0</v>
      </c>
      <c r="G30" s="58">
        <f t="shared" si="10"/>
        <v>258753.75029172155</v>
      </c>
      <c r="H30" s="61">
        <v>0</v>
      </c>
      <c r="I30" s="21">
        <f t="shared" si="9"/>
        <v>0</v>
      </c>
      <c r="J30" s="66">
        <f>SUM($H$9:H30)-SUM($G$9:G30)</f>
        <v>-3006797.9633817654</v>
      </c>
      <c r="K30" s="67">
        <f t="shared" si="3"/>
        <v>80213.662590433683</v>
      </c>
      <c r="L30" s="68">
        <v>0</v>
      </c>
      <c r="M30" s="12" t="e">
        <f t="shared" si="4"/>
        <v>#DIV/0!</v>
      </c>
      <c r="N30" s="72" t="e">
        <f t="shared" si="5"/>
        <v>#DIV/0!</v>
      </c>
      <c r="O30" s="30"/>
      <c r="P30" s="74" t="e">
        <f t="shared" si="0"/>
        <v>#DIV/0!</v>
      </c>
      <c r="Q30" s="14"/>
      <c r="R30" s="13"/>
      <c r="S30" s="14" t="e">
        <f t="shared" si="1"/>
        <v>#DIV/0!</v>
      </c>
    </row>
    <row r="31" spans="2:19" x14ac:dyDescent="0.3">
      <c r="B31" s="9" t="s">
        <v>7</v>
      </c>
      <c r="C31" s="5">
        <v>42208</v>
      </c>
      <c r="D31" s="53">
        <v>4.0758205305197061E-2</v>
      </c>
      <c r="E31" s="10">
        <f t="shared" si="8"/>
        <v>655.43269951287391</v>
      </c>
      <c r="F31" s="19">
        <v>0</v>
      </c>
      <c r="G31" s="58">
        <f t="shared" si="10"/>
        <v>428042.67211517954</v>
      </c>
      <c r="H31" s="61">
        <v>0</v>
      </c>
      <c r="I31" s="21">
        <f t="shared" si="9"/>
        <v>0</v>
      </c>
      <c r="J31" s="66">
        <f>SUM($H$9:H31)-SUM($G$9:G31)</f>
        <v>-3434840.6354969451</v>
      </c>
      <c r="K31" s="67">
        <f t="shared" si="3"/>
        <v>132693.22835570565</v>
      </c>
      <c r="L31" s="68">
        <v>0</v>
      </c>
      <c r="M31" s="12" t="e">
        <f t="shared" si="4"/>
        <v>#DIV/0!</v>
      </c>
      <c r="N31" s="72" t="e">
        <f t="shared" si="5"/>
        <v>#DIV/0!</v>
      </c>
      <c r="O31" s="30"/>
      <c r="P31" s="74" t="e">
        <f t="shared" si="0"/>
        <v>#DIV/0!</v>
      </c>
      <c r="Q31" s="14"/>
      <c r="R31" s="13"/>
      <c r="S31" s="14" t="e">
        <f t="shared" si="1"/>
        <v>#DIV/0!</v>
      </c>
    </row>
    <row r="32" spans="2:19" x14ac:dyDescent="0.3">
      <c r="B32" s="3"/>
      <c r="C32" s="5">
        <v>42209</v>
      </c>
      <c r="D32" s="54">
        <v>2.7137875265840508E-2</v>
      </c>
      <c r="E32" s="10">
        <f t="shared" si="8"/>
        <v>436.40417214998121</v>
      </c>
      <c r="F32" s="19">
        <v>0</v>
      </c>
      <c r="G32" s="58">
        <f t="shared" si="10"/>
        <v>285001.96604185703</v>
      </c>
      <c r="H32" s="61">
        <v>0</v>
      </c>
      <c r="I32" s="21">
        <f t="shared" si="9"/>
        <v>0</v>
      </c>
      <c r="J32" s="66">
        <f>SUM($H$9:H32)-SUM($G$9:G32)</f>
        <v>-3719842.6015388025</v>
      </c>
      <c r="K32" s="67">
        <f t="shared" si="3"/>
        <v>88350.609472975673</v>
      </c>
      <c r="L32" s="68">
        <v>0</v>
      </c>
      <c r="M32" s="12" t="e">
        <f t="shared" si="4"/>
        <v>#DIV/0!</v>
      </c>
      <c r="N32" s="72" t="e">
        <f t="shared" si="5"/>
        <v>#DIV/0!</v>
      </c>
      <c r="O32" s="30"/>
      <c r="P32" s="74" t="e">
        <f t="shared" si="0"/>
        <v>#DIV/0!</v>
      </c>
      <c r="Q32" s="14"/>
      <c r="R32" s="13"/>
      <c r="S32" s="14" t="e">
        <f t="shared" si="1"/>
        <v>#DIV/0!</v>
      </c>
    </row>
    <row r="33" spans="2:19" x14ac:dyDescent="0.3">
      <c r="B33" s="4"/>
      <c r="C33" s="5">
        <v>42210</v>
      </c>
      <c r="D33" s="55">
        <v>5.062627435931491E-2</v>
      </c>
      <c r="E33" s="10">
        <f t="shared" si="8"/>
        <v>814.12111797214311</v>
      </c>
      <c r="F33" s="19">
        <v>0</v>
      </c>
      <c r="G33" s="58">
        <f t="shared" si="10"/>
        <v>531677.13332152518</v>
      </c>
      <c r="H33" s="61">
        <v>0</v>
      </c>
      <c r="I33" s="21">
        <f t="shared" si="9"/>
        <v>0</v>
      </c>
      <c r="J33" s="66">
        <f>SUM($H$9:H33)-SUM($G$9:G33)</f>
        <v>-4251519.7348603271</v>
      </c>
      <c r="K33" s="67">
        <f t="shared" si="3"/>
        <v>164819.91132967282</v>
      </c>
      <c r="L33" s="68">
        <v>0</v>
      </c>
      <c r="M33" s="12" t="e">
        <f t="shared" si="4"/>
        <v>#DIV/0!</v>
      </c>
      <c r="N33" s="72" t="e">
        <f t="shared" si="5"/>
        <v>#DIV/0!</v>
      </c>
      <c r="O33" s="30"/>
      <c r="P33" s="74" t="e">
        <f t="shared" si="0"/>
        <v>#DIV/0!</v>
      </c>
      <c r="Q33" s="14"/>
      <c r="R33" s="13"/>
      <c r="S33" s="14" t="e">
        <f t="shared" si="1"/>
        <v>#DIV/0!</v>
      </c>
    </row>
    <row r="34" spans="2:19" x14ac:dyDescent="0.3">
      <c r="B34" s="4"/>
      <c r="C34" s="5">
        <v>42211</v>
      </c>
      <c r="D34" s="55">
        <v>5.0901782798875361E-2</v>
      </c>
      <c r="E34" s="10">
        <f t="shared" si="8"/>
        <v>818.55156918871467</v>
      </c>
      <c r="F34" s="19">
        <v>0</v>
      </c>
      <c r="G34" s="58">
        <f t="shared" si="10"/>
        <v>534570.5229537891</v>
      </c>
      <c r="H34" s="61">
        <v>0</v>
      </c>
      <c r="I34" s="21">
        <f t="shared" si="9"/>
        <v>0</v>
      </c>
      <c r="J34" s="66">
        <f>SUM($H$9:H34)-SUM($G$9:G34)</f>
        <v>-4786090.2578141168</v>
      </c>
      <c r="K34" s="67">
        <f t="shared" si="3"/>
        <v>165716.86211567462</v>
      </c>
      <c r="L34" s="68">
        <v>0</v>
      </c>
      <c r="M34" s="12" t="e">
        <f t="shared" si="4"/>
        <v>#DIV/0!</v>
      </c>
      <c r="N34" s="72" t="e">
        <f t="shared" si="5"/>
        <v>#DIV/0!</v>
      </c>
      <c r="O34" s="30"/>
      <c r="P34" s="74" t="e">
        <f t="shared" si="0"/>
        <v>#DIV/0!</v>
      </c>
      <c r="Q34" s="14"/>
      <c r="R34" s="13"/>
      <c r="S34" s="14" t="e">
        <f t="shared" si="1"/>
        <v>#DIV/0!</v>
      </c>
    </row>
    <row r="35" spans="2:19" x14ac:dyDescent="0.3">
      <c r="B35" s="84"/>
      <c r="C35" s="5">
        <v>42212</v>
      </c>
      <c r="D35" s="54">
        <v>4.6650224526250941E-3</v>
      </c>
      <c r="E35" s="10">
        <f t="shared" si="8"/>
        <v>75.018226060664134</v>
      </c>
      <c r="F35" s="19">
        <v>0</v>
      </c>
      <c r="G35" s="58">
        <f t="shared" si="10"/>
        <v>48992.065797468735</v>
      </c>
      <c r="H35" s="61">
        <v>0</v>
      </c>
      <c r="I35" s="21">
        <f t="shared" si="9"/>
        <v>0</v>
      </c>
      <c r="J35" s="66">
        <f>SUM($H$9:H35)-SUM($G$9:G35)</f>
        <v>-4835082.3236115854</v>
      </c>
      <c r="K35" s="67">
        <f t="shared" si="3"/>
        <v>15187.540397215307</v>
      </c>
      <c r="L35" s="68">
        <v>0</v>
      </c>
      <c r="M35" s="12" t="e">
        <f t="shared" si="4"/>
        <v>#DIV/0!</v>
      </c>
      <c r="N35" s="72" t="e">
        <f t="shared" si="5"/>
        <v>#DIV/0!</v>
      </c>
      <c r="O35" s="30"/>
      <c r="P35" s="74" t="e">
        <f t="shared" si="0"/>
        <v>#DIV/0!</v>
      </c>
      <c r="Q35" s="14"/>
      <c r="R35" s="13"/>
      <c r="S35" s="14" t="e">
        <f t="shared" si="1"/>
        <v>#DIV/0!</v>
      </c>
    </row>
    <row r="36" spans="2:19" x14ac:dyDescent="0.3">
      <c r="B36" s="84"/>
      <c r="C36" s="5">
        <v>42213</v>
      </c>
      <c r="D36" s="54">
        <v>2.665266399063862E-2</v>
      </c>
      <c r="E36" s="10">
        <f t="shared" si="8"/>
        <v>428.60148963345966</v>
      </c>
      <c r="F36" s="19">
        <v>0</v>
      </c>
      <c r="G36" s="58">
        <f t="shared" si="10"/>
        <v>279906.27722968679</v>
      </c>
      <c r="H36" s="61">
        <v>0</v>
      </c>
      <c r="I36" s="21">
        <f t="shared" si="9"/>
        <v>0</v>
      </c>
      <c r="J36" s="66">
        <f>SUM($H$9:H36)-SUM($G$9:G36)</f>
        <v>-5114988.6008412726</v>
      </c>
      <c r="K36" s="67">
        <f t="shared" si="3"/>
        <v>86770.94594120291</v>
      </c>
      <c r="L36" s="68">
        <v>0</v>
      </c>
      <c r="M36" s="12" t="e">
        <f t="shared" si="4"/>
        <v>#DIV/0!</v>
      </c>
      <c r="N36" s="72" t="e">
        <f t="shared" si="5"/>
        <v>#DIV/0!</v>
      </c>
      <c r="O36" s="30"/>
      <c r="P36" s="74" t="e">
        <f t="shared" si="0"/>
        <v>#DIV/0!</v>
      </c>
      <c r="Q36" s="14"/>
      <c r="R36" s="13"/>
      <c r="S36" s="14" t="e">
        <f t="shared" si="1"/>
        <v>#DIV/0!</v>
      </c>
    </row>
    <row r="37" spans="2:19" x14ac:dyDescent="0.3">
      <c r="B37" s="3"/>
      <c r="C37" s="5">
        <v>42214</v>
      </c>
      <c r="D37" s="54">
        <v>2.4638521261828372E-2</v>
      </c>
      <c r="E37" s="10">
        <f t="shared" si="8"/>
        <v>396.21206041146206</v>
      </c>
      <c r="F37" s="19">
        <v>0</v>
      </c>
      <c r="G37" s="58">
        <f t="shared" si="10"/>
        <v>258753.75029172155</v>
      </c>
      <c r="H37" s="61">
        <v>0</v>
      </c>
      <c r="I37" s="21">
        <f t="shared" si="9"/>
        <v>0</v>
      </c>
      <c r="J37" s="66">
        <f>SUM($H$9:H37)-SUM($G$9:G37)</f>
        <v>-5373742.3511329945</v>
      </c>
      <c r="K37" s="67">
        <f t="shared" si="3"/>
        <v>80213.662590433683</v>
      </c>
      <c r="L37" s="68">
        <v>0</v>
      </c>
      <c r="M37" s="12" t="e">
        <f t="shared" si="4"/>
        <v>#DIV/0!</v>
      </c>
      <c r="N37" s="72" t="e">
        <f t="shared" si="5"/>
        <v>#DIV/0!</v>
      </c>
      <c r="O37" s="30"/>
      <c r="P37" s="74" t="e">
        <f t="shared" si="0"/>
        <v>#DIV/0!</v>
      </c>
      <c r="Q37" s="14"/>
      <c r="R37" s="13"/>
      <c r="S37" s="14" t="e">
        <f t="shared" si="1"/>
        <v>#DIV/0!</v>
      </c>
    </row>
    <row r="38" spans="2:19" x14ac:dyDescent="0.3">
      <c r="B38" s="3"/>
      <c r="C38" s="5">
        <v>42215</v>
      </c>
      <c r="D38" s="54">
        <v>2.6314065292180867E-2</v>
      </c>
      <c r="E38" s="10">
        <f t="shared" si="8"/>
        <v>423.1564839635605</v>
      </c>
      <c r="F38" s="19">
        <v>0</v>
      </c>
      <c r="G38" s="58">
        <f t="shared" si="10"/>
        <v>276350.31369848346</v>
      </c>
      <c r="H38" s="61">
        <v>0</v>
      </c>
      <c r="I38" s="21">
        <f t="shared" si="9"/>
        <v>0</v>
      </c>
      <c r="J38" s="66">
        <f>SUM($H$9:H38)-SUM($G$9:G38)</f>
        <v>-5650092.6648314781</v>
      </c>
      <c r="K38" s="67">
        <f t="shared" si="3"/>
        <v>85668.597246529869</v>
      </c>
      <c r="L38" s="68">
        <v>0</v>
      </c>
      <c r="M38" s="12" t="e">
        <f t="shared" si="4"/>
        <v>#DIV/0!</v>
      </c>
      <c r="N38" s="72" t="e">
        <f t="shared" si="5"/>
        <v>#DIV/0!</v>
      </c>
      <c r="O38" s="30"/>
      <c r="P38" s="74" t="e">
        <f t="shared" si="0"/>
        <v>#DIV/0!</v>
      </c>
      <c r="Q38" s="14"/>
      <c r="R38" s="13"/>
      <c r="S38" s="14" t="e">
        <f t="shared" si="1"/>
        <v>#DIV/0!</v>
      </c>
    </row>
    <row r="39" spans="2:19" ht="15" thickBot="1" x14ac:dyDescent="0.35">
      <c r="B39" s="3"/>
      <c r="C39" s="6">
        <v>42216</v>
      </c>
      <c r="D39" s="54">
        <v>2.7137875265840508E-2</v>
      </c>
      <c r="E39" s="15">
        <f t="shared" si="8"/>
        <v>436.40417214998121</v>
      </c>
      <c r="F39" s="20">
        <v>0</v>
      </c>
      <c r="G39" s="59">
        <f t="shared" si="10"/>
        <v>285001.96604185703</v>
      </c>
      <c r="H39" s="62">
        <v>0</v>
      </c>
      <c r="I39" s="22">
        <f t="shared" si="9"/>
        <v>0</v>
      </c>
      <c r="J39" s="69">
        <f>SUM($H$9:H39)-SUM($G$9:G39)</f>
        <v>-5935094.6308733355</v>
      </c>
      <c r="K39" s="70">
        <f t="shared" si="3"/>
        <v>88350.609472975673</v>
      </c>
      <c r="L39" s="71">
        <v>0</v>
      </c>
      <c r="M39" s="23" t="e">
        <f t="shared" si="4"/>
        <v>#DIV/0!</v>
      </c>
      <c r="N39" s="73" t="e">
        <f t="shared" si="5"/>
        <v>#DIV/0!</v>
      </c>
      <c r="O39" s="52"/>
      <c r="P39" s="75" t="e">
        <f t="shared" si="0"/>
        <v>#DIV/0!</v>
      </c>
      <c r="Q39" s="17"/>
      <c r="R39" s="16"/>
      <c r="S39" s="17" t="e">
        <f t="shared" si="1"/>
        <v>#DIV/0!</v>
      </c>
    </row>
    <row r="40" spans="2:19" x14ac:dyDescent="0.3">
      <c r="K40" s="1"/>
    </row>
    <row r="41" spans="2:19" x14ac:dyDescent="0.3">
      <c r="K41" s="1"/>
    </row>
  </sheetData>
  <protectedRanges>
    <protectedRange password="CE28" sqref="H9:H39" name="Диапазон1"/>
  </protectedRanges>
  <mergeCells count="13">
    <mergeCell ref="K6:L6"/>
    <mergeCell ref="G6:I6"/>
    <mergeCell ref="R7:S7"/>
    <mergeCell ref="E7:F7"/>
    <mergeCell ref="N7:O7"/>
    <mergeCell ref="P7:Q7"/>
    <mergeCell ref="G7:J7"/>
    <mergeCell ref="K7:M7"/>
    <mergeCell ref="G5:I5"/>
    <mergeCell ref="B19:B20"/>
    <mergeCell ref="B35:B36"/>
    <mergeCell ref="C7:C8"/>
    <mergeCell ref="D7:D8"/>
  </mergeCells>
  <conditionalFormatting sqref="M9:M39">
    <cfRule type="colorScale" priority="21">
      <colorScale>
        <cfvo type="num" val="0"/>
        <cfvo type="num" val="25"/>
        <cfvo type="num" val="31"/>
        <color rgb="FFFA0000"/>
        <color rgb="FFFFFF00"/>
        <color rgb="FF02D80C"/>
      </colorScale>
    </cfRule>
    <cfRule type="containsErrors" dxfId="8" priority="23">
      <formula>ISERROR(M9)</formula>
    </cfRule>
  </conditionalFormatting>
  <conditionalFormatting sqref="Q9:Q39">
    <cfRule type="containsErrors" dxfId="7" priority="14">
      <formula>ISERROR(Q9)</formula>
    </cfRule>
    <cfRule type="colorScale" priority="15">
      <colorScale>
        <cfvo type="percentile" val="15"/>
        <cfvo type="percentile" val="85"/>
        <cfvo type="num" val="100"/>
        <color rgb="FFFF0000"/>
        <color rgb="FFFFFF00"/>
        <color rgb="FF02D80C"/>
      </colorScale>
    </cfRule>
  </conditionalFormatting>
  <conditionalFormatting sqref="Q15:Q39">
    <cfRule type="cellIs" dxfId="6" priority="13" stopIfTrue="1" operator="equal">
      <formula>0</formula>
    </cfRule>
  </conditionalFormatting>
  <conditionalFormatting sqref="S9:S39">
    <cfRule type="containsErrors" dxfId="5" priority="9">
      <formula>ISERROR(S9)</formula>
    </cfRule>
    <cfRule type="colorScale" priority="11">
      <colorScale>
        <cfvo type="num" val="0"/>
        <cfvo type="num" val="12"/>
        <cfvo type="num" val="15"/>
        <color rgb="FFFF0000"/>
        <color rgb="FFFFFF00"/>
        <color rgb="FF02D80C"/>
      </colorScale>
    </cfRule>
  </conditionalFormatting>
  <conditionalFormatting sqref="P1:P1048576 N9:O39">
    <cfRule type="containsErrors" dxfId="4" priority="10">
      <formula>ISERROR(N1)</formula>
    </cfRule>
  </conditionalFormatting>
  <conditionalFormatting sqref="O9:O39">
    <cfRule type="containsErrors" dxfId="3" priority="7">
      <formula>ISERROR(O9)</formula>
    </cfRule>
    <cfRule type="colorScale" priority="8">
      <colorScale>
        <cfvo type="percentile" val="15"/>
        <cfvo type="percentile" val="85"/>
        <cfvo type="num" val="100"/>
        <color rgb="FFFA0000"/>
        <color rgb="FFFFFF00"/>
        <color rgb="FF02D80C"/>
      </colorScale>
    </cfRule>
  </conditionalFormatting>
  <conditionalFormatting sqref="I9:I39">
    <cfRule type="cellIs" dxfId="2" priority="18" operator="equal">
      <formula>0</formula>
    </cfRule>
    <cfRule type="colorScale" priority="22">
      <colorScale>
        <cfvo type="percentile" val="15"/>
        <cfvo type="percentile" val="85"/>
        <cfvo type="num" val="100"/>
        <color rgb="FFFA0000"/>
        <color rgb="FFFFFF00"/>
        <color rgb="FF02D80C"/>
      </colorScale>
    </cfRule>
  </conditionalFormatting>
  <conditionalFormatting sqref="J1:J1048576">
    <cfRule type="cellIs" dxfId="1" priority="2" operator="lessThan">
      <formula>0</formula>
    </cfRule>
  </conditionalFormatting>
  <conditionalFormatting sqref="J9:J39">
    <cfRule type="cellIs" dxfId="0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R40"/>
  <sheetViews>
    <sheetView tabSelected="1" topLeftCell="B1" workbookViewId="0">
      <selection activeCell="K10" sqref="K10"/>
    </sheetView>
  </sheetViews>
  <sheetFormatPr defaultRowHeight="14.4" x14ac:dyDescent="0.3"/>
  <cols>
    <col min="2" max="2" width="13" customWidth="1"/>
    <col min="3" max="3" width="13.6640625" customWidth="1"/>
    <col min="4" max="4" width="11.5546875" customWidth="1"/>
    <col min="5" max="5" width="11.33203125" customWidth="1"/>
    <col min="6" max="6" width="11.88671875" customWidth="1"/>
    <col min="9" max="9" width="18.5546875" customWidth="1"/>
    <col min="10" max="10" width="10.44140625" bestFit="1" customWidth="1"/>
    <col min="11" max="11" width="8.88671875" customWidth="1"/>
    <col min="13" max="13" width="10.5546875" bestFit="1" customWidth="1"/>
    <col min="16" max="16" width="13.33203125" customWidth="1"/>
  </cols>
  <sheetData>
    <row r="2" spans="2:18" x14ac:dyDescent="0.3">
      <c r="B2" t="s">
        <v>26</v>
      </c>
      <c r="D2" t="s">
        <v>28</v>
      </c>
      <c r="E2" t="s">
        <v>29</v>
      </c>
      <c r="F2" t="s">
        <v>30</v>
      </c>
      <c r="H2" s="79">
        <v>1</v>
      </c>
      <c r="I2" t="s">
        <v>31</v>
      </c>
      <c r="J2" s="80">
        <f>$D$4</f>
        <v>2100400</v>
      </c>
      <c r="K2" s="79">
        <v>1</v>
      </c>
      <c r="L2" t="s">
        <v>32</v>
      </c>
      <c r="M2" s="80">
        <f>$E$4</f>
        <v>1575300</v>
      </c>
      <c r="N2" s="79">
        <v>1</v>
      </c>
      <c r="O2" t="s">
        <v>33</v>
      </c>
      <c r="P2" s="80">
        <f>$F$4</f>
        <v>6826300</v>
      </c>
      <c r="Q2" s="56"/>
      <c r="R2" s="56"/>
    </row>
    <row r="3" spans="2:18" ht="16.2" thickBot="1" x14ac:dyDescent="0.35">
      <c r="B3" s="76">
        <v>10502000</v>
      </c>
      <c r="D3" s="79">
        <v>0.2</v>
      </c>
      <c r="E3" s="79">
        <v>0.15</v>
      </c>
      <c r="F3" s="79">
        <v>0.65</v>
      </c>
      <c r="H3" s="79">
        <f>$H$2/2</f>
        <v>0.5</v>
      </c>
      <c r="I3" t="s">
        <v>34</v>
      </c>
      <c r="K3" s="79">
        <v>1</v>
      </c>
      <c r="L3" t="s">
        <v>36</v>
      </c>
      <c r="N3" s="79">
        <v>0.33</v>
      </c>
      <c r="O3" t="s">
        <v>37</v>
      </c>
    </row>
    <row r="4" spans="2:18" x14ac:dyDescent="0.3">
      <c r="D4" s="80">
        <f>B3*D3</f>
        <v>2100400</v>
      </c>
      <c r="E4" s="80">
        <f>B3*E3</f>
        <v>1575300</v>
      </c>
      <c r="F4" s="80">
        <f>B3*F3</f>
        <v>6826300</v>
      </c>
      <c r="H4" s="79">
        <f>$H$2/2</f>
        <v>0.5</v>
      </c>
      <c r="I4" t="s">
        <v>35</v>
      </c>
      <c r="N4" s="79">
        <v>0.33</v>
      </c>
      <c r="O4" t="s">
        <v>38</v>
      </c>
    </row>
    <row r="5" spans="2:18" x14ac:dyDescent="0.3">
      <c r="N5" s="79">
        <v>0.33</v>
      </c>
      <c r="O5" t="s">
        <v>39</v>
      </c>
    </row>
    <row r="7" spans="2:18" ht="15" thickBot="1" x14ac:dyDescent="0.35"/>
    <row r="8" spans="2:18" x14ac:dyDescent="0.3">
      <c r="B8" t="s">
        <v>27</v>
      </c>
      <c r="C8" t="s">
        <v>31</v>
      </c>
      <c r="D8" t="s">
        <v>32</v>
      </c>
      <c r="E8" t="s">
        <v>33</v>
      </c>
      <c r="J8" s="109" t="s">
        <v>2</v>
      </c>
      <c r="K8" s="102" t="s">
        <v>40</v>
      </c>
      <c r="L8" s="103" t="s">
        <v>41</v>
      </c>
    </row>
    <row r="9" spans="2:18" x14ac:dyDescent="0.3">
      <c r="B9" s="53">
        <v>3.6785711187550002E-2</v>
      </c>
      <c r="C9" s="80">
        <f>D$4*$B9</f>
        <v>77264.707778330019</v>
      </c>
      <c r="D9" s="80">
        <f t="shared" ref="D9:E9" si="0">E$4*$B9</f>
        <v>57948.530833747522</v>
      </c>
      <c r="E9" s="80">
        <f t="shared" si="0"/>
        <v>251110.30027957258</v>
      </c>
      <c r="J9" s="104">
        <v>42186</v>
      </c>
      <c r="K9" s="101">
        <v>1</v>
      </c>
      <c r="L9" s="105">
        <v>0.6</v>
      </c>
    </row>
    <row r="10" spans="2:18" x14ac:dyDescent="0.3">
      <c r="B10" s="54">
        <v>2.6314065292180867E-2</v>
      </c>
      <c r="C10" s="80">
        <f t="shared" ref="C10:E10" si="1">D$4*$B10</f>
        <v>55270.062739696696</v>
      </c>
      <c r="D10" s="80">
        <f t="shared" si="1"/>
        <v>41452.54705477252</v>
      </c>
      <c r="E10" s="80">
        <f t="shared" si="1"/>
        <v>179627.70390401426</v>
      </c>
      <c r="H10">
        <f>22*9</f>
        <v>198</v>
      </c>
      <c r="I10" s="80"/>
      <c r="J10" s="104">
        <v>42187</v>
      </c>
      <c r="K10" s="101">
        <f>IF(L10,1,(COUNT($J$9:$J$39)-SUM($L$9:L9))/(COUNT($J$9:$J$39)-COUNT($L$9:$L$39)))</f>
        <v>1</v>
      </c>
      <c r="L10" s="105">
        <v>1.5</v>
      </c>
    </row>
    <row r="11" spans="2:18" x14ac:dyDescent="0.3">
      <c r="B11" s="54">
        <v>2.7137875265840508E-2</v>
      </c>
      <c r="C11" s="80">
        <f t="shared" ref="C11:E11" si="2">D$4*$B11</f>
        <v>57000.393208371403</v>
      </c>
      <c r="D11" s="80">
        <f t="shared" si="2"/>
        <v>42750.294906278556</v>
      </c>
      <c r="E11" s="80">
        <f t="shared" si="2"/>
        <v>185251.27792720706</v>
      </c>
      <c r="J11" s="104">
        <v>42188</v>
      </c>
      <c r="K11" s="101">
        <f>IF(L11,1,(COUNT($J$9:$J$39)-SUM($L$9:L10))/(COUNT($J$9:$J$39)-COUNT($L$9:$L$39)))</f>
        <v>0.99655172413793103</v>
      </c>
      <c r="L11" s="105"/>
    </row>
    <row r="12" spans="2:18" x14ac:dyDescent="0.3">
      <c r="B12" s="55">
        <v>5.1695792006373739E-2</v>
      </c>
      <c r="C12" s="80">
        <f t="shared" ref="C12:E12" si="3">D$4*$B12</f>
        <v>108581.8415301874</v>
      </c>
      <c r="D12" s="80">
        <f t="shared" si="3"/>
        <v>81436.381147640554</v>
      </c>
      <c r="E12" s="80">
        <f t="shared" si="3"/>
        <v>352890.98497310904</v>
      </c>
      <c r="J12" s="104">
        <v>42189</v>
      </c>
      <c r="K12" s="101">
        <f>IF(L12,1,(COUNT($J$9:$J$39)-SUM($L$9:L11))/(COUNT($J$9:$J$39)-COUNT($L$9:$L$39)))</f>
        <v>0.99655172413793103</v>
      </c>
      <c r="L12" s="105"/>
    </row>
    <row r="13" spans="2:18" x14ac:dyDescent="0.3">
      <c r="B13" s="55">
        <v>5.7115171034169479E-2</v>
      </c>
      <c r="C13" s="80">
        <f t="shared" ref="C13:E13" si="4">D$4*$B13</f>
        <v>119964.70524016957</v>
      </c>
      <c r="D13" s="80">
        <f t="shared" si="4"/>
        <v>89973.528930127184</v>
      </c>
      <c r="E13" s="80">
        <f t="shared" si="4"/>
        <v>389885.29203055112</v>
      </c>
      <c r="J13" s="104">
        <v>42190</v>
      </c>
      <c r="K13" s="101">
        <f>IF(L13,1,(COUNT($J$9:$J$39)-SUM($L$9:L12))/(COUNT($J$9:$J$39)-COUNT($L$9:$L$39)))</f>
        <v>0.99655172413793103</v>
      </c>
      <c r="L13" s="105"/>
    </row>
    <row r="14" spans="2:18" x14ac:dyDescent="0.3">
      <c r="B14" s="54">
        <v>4.6650224526250941E-3</v>
      </c>
      <c r="C14" s="80">
        <f t="shared" ref="C14:E14" si="5">D$4*$B14</f>
        <v>9798.413159493748</v>
      </c>
      <c r="D14" s="80">
        <f t="shared" si="5"/>
        <v>7348.8098696203106</v>
      </c>
      <c r="E14" s="80">
        <f t="shared" si="5"/>
        <v>31844.84276835468</v>
      </c>
      <c r="J14" s="104">
        <v>42191</v>
      </c>
      <c r="K14" s="101">
        <f>IF(L14,1,(COUNT($J$9:$J$39)-SUM($L$9:L13))/(COUNT($J$9:$J$39)-COUNT($L$9:$L$39)))</f>
        <v>0.99655172413793103</v>
      </c>
      <c r="L14" s="105"/>
    </row>
    <row r="15" spans="2:18" x14ac:dyDescent="0.3">
      <c r="B15" s="54">
        <v>2.665266399063862E-2</v>
      </c>
      <c r="C15" s="80">
        <f t="shared" ref="C15:E15" si="6">D$4*$B15</f>
        <v>55981.255445937357</v>
      </c>
      <c r="D15" s="80">
        <f t="shared" si="6"/>
        <v>41985.941584453016</v>
      </c>
      <c r="E15" s="80">
        <f t="shared" si="6"/>
        <v>181939.08019929641</v>
      </c>
      <c r="J15" s="104">
        <v>42192</v>
      </c>
      <c r="K15" s="101">
        <f>IF(L15,1,(COUNT($J$9:$J$39)-SUM($L$9:L14))/(COUNT($J$9:$J$39)-COUNT($L$9:$L$39)))</f>
        <v>0.99655172413793103</v>
      </c>
      <c r="L15" s="105"/>
    </row>
    <row r="16" spans="2:18" x14ac:dyDescent="0.3">
      <c r="B16" s="54">
        <v>2.4638521261828372E-2</v>
      </c>
      <c r="C16" s="80">
        <f t="shared" ref="C16:E16" si="7">D$4*$B16</f>
        <v>51750.750058344311</v>
      </c>
      <c r="D16" s="80">
        <f t="shared" si="7"/>
        <v>38813.062543758235</v>
      </c>
      <c r="E16" s="80">
        <f t="shared" si="7"/>
        <v>168189.93768961902</v>
      </c>
      <c r="J16" s="104">
        <v>42193</v>
      </c>
      <c r="K16" s="101">
        <f>IF(L16,1,(COUNT($J$9:$J$39)-SUM($L$9:L15))/(COUNT($J$9:$J$39)-COUNT($L$9:$L$39)))</f>
        <v>0.99655172413793103</v>
      </c>
      <c r="L16" s="105"/>
    </row>
    <row r="17" spans="2:12" x14ac:dyDescent="0.3">
      <c r="B17" s="54">
        <v>2.6314065292180867E-2</v>
      </c>
      <c r="C17" s="80">
        <f t="shared" ref="C17:E17" si="8">D$4*$B17</f>
        <v>55270.062739696696</v>
      </c>
      <c r="D17" s="80">
        <f t="shared" si="8"/>
        <v>41452.54705477252</v>
      </c>
      <c r="E17" s="80">
        <f t="shared" si="8"/>
        <v>179627.70390401426</v>
      </c>
      <c r="J17" s="104">
        <v>42194</v>
      </c>
      <c r="K17" s="101">
        <f>IF(L17,1,(COUNT($J$9:$J$39)-SUM($L$9:L16))/(COUNT($J$9:$J$39)-COUNT($L$9:$L$39)))</f>
        <v>0.99655172413793103</v>
      </c>
      <c r="L17" s="105"/>
    </row>
    <row r="18" spans="2:12" x14ac:dyDescent="0.3">
      <c r="B18" s="54">
        <v>2.7137875265840508E-2</v>
      </c>
      <c r="C18" s="80">
        <f t="shared" ref="C18:E18" si="9">D$4*$B18</f>
        <v>57000.393208371403</v>
      </c>
      <c r="D18" s="80">
        <f t="shared" si="9"/>
        <v>42750.294906278556</v>
      </c>
      <c r="E18" s="80">
        <f t="shared" si="9"/>
        <v>185251.27792720706</v>
      </c>
      <c r="J18" s="104">
        <v>42195</v>
      </c>
      <c r="K18" s="101">
        <f>IF(L18,1,(COUNT($J$9:$J$39)-SUM($L$9:L17))/(COUNT($J$9:$J$39)-COUNT($L$9:$L$39)))</f>
        <v>0.99655172413793103</v>
      </c>
      <c r="L18" s="105"/>
    </row>
    <row r="19" spans="2:12" x14ac:dyDescent="0.3">
      <c r="B19" s="53">
        <v>6.1978212917386068E-2</v>
      </c>
      <c r="C19" s="80">
        <f t="shared" ref="C19:E19" si="10">D$4*$B19</f>
        <v>130179.0384116777</v>
      </c>
      <c r="D19" s="80">
        <f t="shared" si="10"/>
        <v>97634.278808758274</v>
      </c>
      <c r="E19" s="80">
        <f t="shared" si="10"/>
        <v>423081.87483795249</v>
      </c>
      <c r="J19" s="104">
        <v>42196</v>
      </c>
      <c r="K19" s="101">
        <f>IF(L19,1,(COUNT($J$9:$J$39)-SUM($L$9:L18))/(COUNT($J$9:$J$39)-COUNT($L$9:$L$39)))</f>
        <v>0.99655172413793103</v>
      </c>
      <c r="L19" s="105"/>
    </row>
    <row r="20" spans="2:12" x14ac:dyDescent="0.3">
      <c r="B20" s="53">
        <v>6.6377309948573091E-2</v>
      </c>
      <c r="C20" s="80">
        <f t="shared" ref="C20:E20" si="11">D$4*$B20</f>
        <v>139418.90181598291</v>
      </c>
      <c r="D20" s="80">
        <f t="shared" si="11"/>
        <v>104564.17636198719</v>
      </c>
      <c r="E20" s="80">
        <f t="shared" si="11"/>
        <v>453111.43090194446</v>
      </c>
      <c r="J20" s="104">
        <v>42197</v>
      </c>
      <c r="K20" s="101">
        <f>IF(L20,1,(COUNT($J$9:$J$39)-SUM($L$9:L19))/(COUNT($J$9:$J$39)-COUNT($L$9:$L$39)))</f>
        <v>0.99655172413793103</v>
      </c>
      <c r="L20" s="105"/>
    </row>
    <row r="21" spans="2:12" x14ac:dyDescent="0.3">
      <c r="B21" s="54">
        <v>4.6650224526250941E-3</v>
      </c>
      <c r="C21" s="80">
        <f t="shared" ref="C21:E21" si="12">D$4*$B21</f>
        <v>9798.413159493748</v>
      </c>
      <c r="D21" s="80">
        <f t="shared" si="12"/>
        <v>7348.8098696203106</v>
      </c>
      <c r="E21" s="80">
        <f t="shared" si="12"/>
        <v>31844.84276835468</v>
      </c>
      <c r="J21" s="104">
        <v>42198</v>
      </c>
      <c r="K21" s="101">
        <f>IF(L21,1,(COUNT($J$9:$J$39)-SUM($L$9:L20))/(COUNT($J$9:$J$39)-COUNT($L$9:$L$39)))</f>
        <v>0.99655172413793103</v>
      </c>
      <c r="L21" s="105"/>
    </row>
    <row r="22" spans="2:12" x14ac:dyDescent="0.3">
      <c r="B22" s="54">
        <v>2.665266399063862E-2</v>
      </c>
      <c r="C22" s="80">
        <f t="shared" ref="C22:E22" si="13">D$4*$B22</f>
        <v>55981.255445937357</v>
      </c>
      <c r="D22" s="80">
        <f t="shared" si="13"/>
        <v>41985.941584453016</v>
      </c>
      <c r="E22" s="80">
        <f t="shared" si="13"/>
        <v>181939.08019929641</v>
      </c>
      <c r="J22" s="104">
        <v>42199</v>
      </c>
      <c r="K22" s="101">
        <f>IF(L22,1,(COUNT($J$9:$J$39)-SUM($L$9:L21))/(COUNT($J$9:$J$39)-COUNT($L$9:$L$39)))</f>
        <v>0.99655172413793103</v>
      </c>
      <c r="L22" s="105"/>
    </row>
    <row r="23" spans="2:12" x14ac:dyDescent="0.3">
      <c r="B23" s="54">
        <v>2.4638521261828372E-2</v>
      </c>
      <c r="C23" s="80">
        <f t="shared" ref="C23:E23" si="14">D$4*$B23</f>
        <v>51750.750058344311</v>
      </c>
      <c r="D23" s="80">
        <f t="shared" si="14"/>
        <v>38813.062543758235</v>
      </c>
      <c r="E23" s="80">
        <f t="shared" si="14"/>
        <v>168189.93768961902</v>
      </c>
      <c r="J23" s="104">
        <v>42200</v>
      </c>
      <c r="K23" s="101">
        <f>IF(L23,1,(COUNT($J$9:$J$39)-SUM($L$9:L22))/(COUNT($J$9:$J$39)-COUNT($L$9:$L$39)))</f>
        <v>0.99655172413793103</v>
      </c>
      <c r="L23" s="105"/>
    </row>
    <row r="24" spans="2:12" x14ac:dyDescent="0.3">
      <c r="B24" s="54">
        <v>2.6314065292180867E-2</v>
      </c>
      <c r="C24" s="80">
        <f t="shared" ref="C24:E24" si="15">D$4*$B24</f>
        <v>55270.062739696696</v>
      </c>
      <c r="D24" s="80">
        <f t="shared" si="15"/>
        <v>41452.54705477252</v>
      </c>
      <c r="E24" s="80">
        <f t="shared" si="15"/>
        <v>179627.70390401426</v>
      </c>
      <c r="J24" s="104">
        <v>42201</v>
      </c>
      <c r="K24" s="101">
        <f>IF(L24,1,(COUNT($J$9:$J$39)-SUM($L$9:L23))/(COUNT($J$9:$J$39)-COUNT($L$9:$L$39)))</f>
        <v>0.99655172413793103</v>
      </c>
      <c r="L24" s="105"/>
    </row>
    <row r="25" spans="2:12" x14ac:dyDescent="0.3">
      <c r="B25" s="54">
        <v>2.7137875265840508E-2</v>
      </c>
      <c r="C25" s="80">
        <f t="shared" ref="C25:E25" si="16">D$4*$B25</f>
        <v>57000.393208371403</v>
      </c>
      <c r="D25" s="80">
        <f t="shared" si="16"/>
        <v>42750.294906278556</v>
      </c>
      <c r="E25" s="80">
        <f t="shared" si="16"/>
        <v>185251.27792720706</v>
      </c>
      <c r="J25" s="104">
        <v>42202</v>
      </c>
      <c r="K25" s="101">
        <f>IF(L25,1,(COUNT($J$9:$J$39)-SUM($L$9:L24))/(COUNT($J$9:$J$39)-COUNT($L$9:$L$39)))</f>
        <v>0.99655172413793103</v>
      </c>
      <c r="L25" s="105"/>
    </row>
    <row r="26" spans="2:12" x14ac:dyDescent="0.3">
      <c r="B26" s="55">
        <v>5.6788733182844324E-2</v>
      </c>
      <c r="C26" s="80">
        <f t="shared" ref="C26:E26" si="17">D$4*$B26</f>
        <v>119279.05517724622</v>
      </c>
      <c r="D26" s="80">
        <f t="shared" si="17"/>
        <v>89459.291382934665</v>
      </c>
      <c r="E26" s="80">
        <f t="shared" si="17"/>
        <v>387656.92932605022</v>
      </c>
      <c r="J26" s="104">
        <v>42203</v>
      </c>
      <c r="K26" s="101">
        <f>IF(L26,1,(COUNT($J$9:$J$39)-SUM($L$9:L25))/(COUNT($J$9:$J$39)-COUNT($L$9:$L$39)))</f>
        <v>0.99655172413793103</v>
      </c>
      <c r="L26" s="105"/>
    </row>
    <row r="27" spans="2:12" x14ac:dyDescent="0.3">
      <c r="B27" s="55">
        <v>6.2208112210640064E-2</v>
      </c>
      <c r="C27" s="80">
        <f t="shared" ref="C27:E27" si="18">D$4*$B27</f>
        <v>130661.91888722838</v>
      </c>
      <c r="D27" s="80">
        <f t="shared" si="18"/>
        <v>97996.439165421296</v>
      </c>
      <c r="E27" s="80">
        <f t="shared" si="18"/>
        <v>424651.23638349224</v>
      </c>
      <c r="J27" s="104">
        <v>42204</v>
      </c>
      <c r="K27" s="101">
        <f>IF(L27,1,(COUNT($J$9:$J$39)-SUM($L$9:L26))/(COUNT($J$9:$J$39)-COUNT($L$9:$L$39)))</f>
        <v>0.99655172413793103</v>
      </c>
      <c r="L27" s="105"/>
    </row>
    <row r="28" spans="2:12" x14ac:dyDescent="0.3">
      <c r="B28" s="54">
        <v>4.6650224526250941E-3</v>
      </c>
      <c r="C28" s="80">
        <f t="shared" ref="C28:E28" si="19">D$4*$B28</f>
        <v>9798.413159493748</v>
      </c>
      <c r="D28" s="80">
        <f t="shared" si="19"/>
        <v>7348.8098696203106</v>
      </c>
      <c r="E28" s="80">
        <f t="shared" si="19"/>
        <v>31844.84276835468</v>
      </c>
      <c r="J28" s="104">
        <v>42205</v>
      </c>
      <c r="K28" s="101">
        <f>IF(L28,1,(COUNT($J$9:$J$39)-SUM($L$9:L27))/(COUNT($J$9:$J$39)-COUNT($L$9:$L$39)))</f>
        <v>0.99655172413793103</v>
      </c>
      <c r="L28" s="105"/>
    </row>
    <row r="29" spans="2:12" x14ac:dyDescent="0.3">
      <c r="B29" s="54">
        <v>2.665266399063862E-2</v>
      </c>
      <c r="C29" s="80">
        <f t="shared" ref="C29:E29" si="20">D$4*$B29</f>
        <v>55981.255445937357</v>
      </c>
      <c r="D29" s="80">
        <f t="shared" si="20"/>
        <v>41985.941584453016</v>
      </c>
      <c r="E29" s="80">
        <f t="shared" si="20"/>
        <v>181939.08019929641</v>
      </c>
      <c r="J29" s="104">
        <v>42206</v>
      </c>
      <c r="K29" s="101">
        <f>IF(L29,1,(COUNT($J$9:$J$39)-SUM($L$9:L28))/(COUNT($J$9:$J$39)-COUNT($L$9:$L$39)))</f>
        <v>0.99655172413793103</v>
      </c>
      <c r="L29" s="105"/>
    </row>
    <row r="30" spans="2:12" x14ac:dyDescent="0.3">
      <c r="B30" s="54">
        <v>2.4638521261828372E-2</v>
      </c>
      <c r="C30" s="80">
        <f t="shared" ref="C30:E30" si="21">D$4*$B30</f>
        <v>51750.750058344311</v>
      </c>
      <c r="D30" s="80">
        <f t="shared" si="21"/>
        <v>38813.062543758235</v>
      </c>
      <c r="E30" s="80">
        <f t="shared" si="21"/>
        <v>168189.93768961902</v>
      </c>
      <c r="J30" s="104">
        <v>42207</v>
      </c>
      <c r="K30" s="101">
        <f>IF(L30,1,(COUNT($J$9:$J$39)-SUM($L$9:L29))/(COUNT($J$9:$J$39)-COUNT($L$9:$L$39)))</f>
        <v>0.99655172413793103</v>
      </c>
      <c r="L30" s="105"/>
    </row>
    <row r="31" spans="2:12" x14ac:dyDescent="0.3">
      <c r="B31" s="53">
        <v>4.0758205305197061E-2</v>
      </c>
      <c r="C31" s="80">
        <f t="shared" ref="C31:E31" si="22">D$4*$B31</f>
        <v>85608.534423035904</v>
      </c>
      <c r="D31" s="80">
        <f t="shared" si="22"/>
        <v>64206.400817276932</v>
      </c>
      <c r="E31" s="80">
        <f t="shared" si="22"/>
        <v>278227.73687486671</v>
      </c>
      <c r="J31" s="104">
        <v>42208</v>
      </c>
      <c r="K31" s="101">
        <f>IF(L31,1,(COUNT($J$9:$J$39)-SUM($L$9:L30))/(COUNT($J$9:$J$39)-COUNT($L$9:$L$39)))</f>
        <v>0.99655172413793103</v>
      </c>
      <c r="L31" s="105"/>
    </row>
    <row r="32" spans="2:12" x14ac:dyDescent="0.3">
      <c r="B32" s="54">
        <v>2.7137875265840508E-2</v>
      </c>
      <c r="C32" s="80">
        <f t="shared" ref="C32:E32" si="23">D$4*$B32</f>
        <v>57000.393208371403</v>
      </c>
      <c r="D32" s="80">
        <f t="shared" si="23"/>
        <v>42750.294906278556</v>
      </c>
      <c r="E32" s="80">
        <f t="shared" si="23"/>
        <v>185251.27792720706</v>
      </c>
      <c r="J32" s="104">
        <v>42209</v>
      </c>
      <c r="K32" s="101">
        <f>IF(L32,1,(COUNT($J$9:$J$39)-SUM($L$9:L31))/(COUNT($J$9:$J$39)-COUNT($L$9:$L$39)))</f>
        <v>0.99655172413793103</v>
      </c>
      <c r="L32" s="105"/>
    </row>
    <row r="33" spans="2:12" x14ac:dyDescent="0.3">
      <c r="B33" s="55">
        <v>5.062627435931491E-2</v>
      </c>
      <c r="C33" s="80">
        <f t="shared" ref="C33:E33" si="24">D$4*$B33</f>
        <v>106335.42666430504</v>
      </c>
      <c r="D33" s="80">
        <f t="shared" si="24"/>
        <v>79751.569998228777</v>
      </c>
      <c r="E33" s="80">
        <f t="shared" si="24"/>
        <v>345590.1366589914</v>
      </c>
      <c r="J33" s="104">
        <v>42210</v>
      </c>
      <c r="K33" s="101">
        <f>IF(L33,1,(COUNT($J$9:$J$39)-SUM($L$9:L32))/(COUNT($J$9:$J$39)-COUNT($L$9:$L$39)))</f>
        <v>0.99655172413793103</v>
      </c>
      <c r="L33" s="105"/>
    </row>
    <row r="34" spans="2:12" x14ac:dyDescent="0.3">
      <c r="B34" s="55">
        <v>5.0901782798875361E-2</v>
      </c>
      <c r="C34" s="80">
        <f t="shared" ref="C34:E34" si="25">D$4*$B34</f>
        <v>106914.10459075781</v>
      </c>
      <c r="D34" s="80">
        <f t="shared" si="25"/>
        <v>80185.578443068356</v>
      </c>
      <c r="E34" s="80">
        <f t="shared" si="25"/>
        <v>347470.83991996286</v>
      </c>
      <c r="J34" s="104">
        <v>42211</v>
      </c>
      <c r="K34" s="101">
        <f>IF(L34,1,(COUNT($J$9:$J$39)-SUM($L$9:L33))/(COUNT($J$9:$J$39)-COUNT($L$9:$L$39)))</f>
        <v>0.99655172413793103</v>
      </c>
      <c r="L34" s="105"/>
    </row>
    <row r="35" spans="2:12" x14ac:dyDescent="0.3">
      <c r="B35" s="54">
        <v>4.6650224526250941E-3</v>
      </c>
      <c r="C35" s="80">
        <f t="shared" ref="C35:E35" si="26">D$4*$B35</f>
        <v>9798.413159493748</v>
      </c>
      <c r="D35" s="80">
        <f t="shared" si="26"/>
        <v>7348.8098696203106</v>
      </c>
      <c r="E35" s="80">
        <f t="shared" si="26"/>
        <v>31844.84276835468</v>
      </c>
      <c r="J35" s="104">
        <v>42212</v>
      </c>
      <c r="K35" s="101">
        <f>IF(L35,1,(COUNT($J$9:$J$39)-SUM($L$9:L34))/(COUNT($J$9:$J$39)-COUNT($L$9:$L$39)))</f>
        <v>0.99655172413793103</v>
      </c>
      <c r="L35" s="105"/>
    </row>
    <row r="36" spans="2:12" x14ac:dyDescent="0.3">
      <c r="B36" s="54">
        <v>2.665266399063862E-2</v>
      </c>
      <c r="C36" s="80">
        <f t="shared" ref="C36:E36" si="27">D$4*$B36</f>
        <v>55981.255445937357</v>
      </c>
      <c r="D36" s="80">
        <f t="shared" si="27"/>
        <v>41985.941584453016</v>
      </c>
      <c r="E36" s="80">
        <f t="shared" si="27"/>
        <v>181939.08019929641</v>
      </c>
      <c r="J36" s="104">
        <v>42213</v>
      </c>
      <c r="K36" s="101">
        <f>IF(L36,1,(COUNT($J$9:$J$39)-SUM($L$9:L35))/(COUNT($J$9:$J$39)-COUNT($L$9:$L$39)))</f>
        <v>0.99655172413793103</v>
      </c>
      <c r="L36" s="105"/>
    </row>
    <row r="37" spans="2:12" x14ac:dyDescent="0.3">
      <c r="B37" s="54">
        <v>2.4638521261828372E-2</v>
      </c>
      <c r="C37" s="80">
        <f t="shared" ref="C37:E37" si="28">D$4*$B37</f>
        <v>51750.750058344311</v>
      </c>
      <c r="D37" s="80">
        <f t="shared" si="28"/>
        <v>38813.062543758235</v>
      </c>
      <c r="E37" s="80">
        <f t="shared" si="28"/>
        <v>168189.93768961902</v>
      </c>
      <c r="J37" s="104">
        <v>42214</v>
      </c>
      <c r="K37" s="101">
        <f>IF(L37,1,(COUNT($J$9:$J$39)-SUM($L$9:L36))/(COUNT($J$9:$J$39)-COUNT($L$9:$L$39)))</f>
        <v>0.99655172413793103</v>
      </c>
      <c r="L37" s="105"/>
    </row>
    <row r="38" spans="2:12" x14ac:dyDescent="0.3">
      <c r="B38" s="54">
        <v>2.6314065292180867E-2</v>
      </c>
      <c r="C38" s="80">
        <f t="shared" ref="C38:E38" si="29">D$4*$B38</f>
        <v>55270.062739696696</v>
      </c>
      <c r="D38" s="80">
        <f t="shared" si="29"/>
        <v>41452.54705477252</v>
      </c>
      <c r="E38" s="80">
        <f t="shared" si="29"/>
        <v>179627.70390401426</v>
      </c>
      <c r="J38" s="104">
        <v>42215</v>
      </c>
      <c r="K38" s="101">
        <f>IF(L38,1,(COUNT($J$9:$J$39)-SUM($L$9:L37))/(COUNT($J$9:$J$39)-COUNT($L$9:$L$39)))</f>
        <v>0.99655172413793103</v>
      </c>
      <c r="L38" s="105"/>
    </row>
    <row r="39" spans="2:12" x14ac:dyDescent="0.3">
      <c r="B39" s="54">
        <v>2.7137875265840508E-2</v>
      </c>
      <c r="C39" s="80">
        <f t="shared" ref="C39:E39" si="30">D$4*$B39</f>
        <v>57000.393208371403</v>
      </c>
      <c r="D39" s="80">
        <f t="shared" si="30"/>
        <v>42750.294906278556</v>
      </c>
      <c r="E39" s="80">
        <f t="shared" si="30"/>
        <v>185251.27792720706</v>
      </c>
      <c r="J39" s="104">
        <v>42216</v>
      </c>
      <c r="K39" s="101">
        <f>IF(L39,1,(COUNT($J$9:$J$39)-SUM($L$9:L38))/(COUNT($J$9:$J$39)-COUNT($L$9:$L$39)))</f>
        <v>0.99655172413793103</v>
      </c>
      <c r="L39" s="105"/>
    </row>
    <row r="40" spans="2:12" ht="15" thickBot="1" x14ac:dyDescent="0.35">
      <c r="J40" s="106"/>
      <c r="K40" s="107">
        <f>SUM(K9:K39)</f>
        <v>30.899999999999984</v>
      </c>
      <c r="L40" s="108">
        <f>SUM(L9:L39)</f>
        <v>2.1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Динамика</vt:lpstr>
      <vt:lpstr>План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2015-07-26T19:32:17Z</dcterms:modified>
</cp:coreProperties>
</file>