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Input Data" sheetId="1" r:id="rId1"/>
    <sheet name="Лист2" sheetId="2" r:id="rId2"/>
    <sheet name="Лист3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'Input Data'!$M$92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W86" i="1" l="1"/>
  <c r="W84" i="1"/>
  <c r="W82" i="1"/>
  <c r="W80" i="1"/>
  <c r="W78" i="1"/>
  <c r="W76" i="1"/>
  <c r="W74" i="1"/>
  <c r="W72" i="1"/>
  <c r="W70" i="1"/>
  <c r="W68" i="1"/>
  <c r="W66" i="1"/>
  <c r="W64" i="1"/>
  <c r="W62" i="1"/>
  <c r="W60" i="1"/>
  <c r="W58" i="1"/>
  <c r="W56" i="1"/>
  <c r="C12" i="1" l="1"/>
  <c r="D12" i="1" s="1"/>
  <c r="E12" i="1" s="1"/>
  <c r="F12" i="1" s="1"/>
  <c r="G12" i="1" s="1"/>
  <c r="V85" i="1"/>
  <c r="V83" i="1"/>
  <c r="V79" i="1"/>
  <c r="V73" i="1"/>
  <c r="V71" i="1"/>
  <c r="V63" i="1"/>
  <c r="V61" i="1"/>
  <c r="V81" i="1"/>
  <c r="V77" i="1"/>
  <c r="V75" i="1"/>
  <c r="V69" i="1"/>
  <c r="V67" i="1"/>
  <c r="V65" i="1"/>
  <c r="V59" i="1"/>
  <c r="V57" i="1"/>
  <c r="T85" i="1"/>
  <c r="T83" i="1"/>
  <c r="T79" i="1"/>
  <c r="T73" i="1"/>
  <c r="T71" i="1"/>
  <c r="T81" i="1"/>
  <c r="T77" i="1"/>
  <c r="T75" i="1"/>
  <c r="T69" i="1"/>
  <c r="T67" i="1"/>
  <c r="T65" i="1"/>
  <c r="T63" i="1"/>
  <c r="T61" i="1"/>
  <c r="T59" i="1"/>
  <c r="T57" i="1"/>
  <c r="V55" i="1"/>
  <c r="T55" i="1"/>
  <c r="K55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C7" i="1"/>
  <c r="D7" i="1" s="1"/>
  <c r="G15" i="1"/>
  <c r="C16" i="1"/>
  <c r="D16" i="1" s="1"/>
  <c r="L4" i="1"/>
  <c r="L5" i="1" s="1"/>
  <c r="L28" i="1" l="1"/>
  <c r="L29" i="1"/>
  <c r="M8" i="1"/>
  <c r="M26" i="1" s="1"/>
  <c r="N8" i="1"/>
  <c r="N26" i="1" s="1"/>
  <c r="O8" i="1"/>
  <c r="O26" i="1" s="1"/>
  <c r="P8" i="1"/>
  <c r="P26" i="1" s="1"/>
  <c r="L8" i="1"/>
  <c r="L26" i="1" s="1"/>
  <c r="L30" i="1" l="1"/>
  <c r="J38" i="1"/>
  <c r="J37" i="1"/>
  <c r="K16" i="1"/>
  <c r="K6" i="1"/>
  <c r="K8" i="1"/>
  <c r="L7" i="1"/>
  <c r="E16" i="1"/>
  <c r="F16" i="1" s="1"/>
  <c r="G16" i="1" s="1"/>
  <c r="M7" i="1" l="1"/>
  <c r="L25" i="1"/>
  <c r="L27" i="1" s="1"/>
  <c r="E7" i="1"/>
  <c r="F7" i="1" s="1"/>
  <c r="O4" i="1" s="1"/>
  <c r="M4" i="1"/>
  <c r="L16" i="1"/>
  <c r="L22" i="1" s="1"/>
  <c r="L39" i="1" s="1"/>
  <c r="K22" i="1"/>
  <c r="K39" i="1" s="1"/>
  <c r="K9" i="1"/>
  <c r="K11" i="1" s="1"/>
  <c r="L6" i="1"/>
  <c r="L9" i="1" s="1"/>
  <c r="K17" i="1"/>
  <c r="L18" i="1" s="1"/>
  <c r="L10" i="1" s="1"/>
  <c r="M16" i="1" l="1"/>
  <c r="M22" i="1" s="1"/>
  <c r="M39" i="1" s="1"/>
  <c r="M25" i="1"/>
  <c r="M27" i="1" s="1"/>
  <c r="N7" i="1"/>
  <c r="G7" i="1"/>
  <c r="P4" i="1" s="1"/>
  <c r="P5" i="1" s="1"/>
  <c r="N4" i="1"/>
  <c r="N5" i="1" s="1"/>
  <c r="K12" i="1"/>
  <c r="M29" i="1"/>
  <c r="M5" i="1"/>
  <c r="O29" i="1"/>
  <c r="O5" i="1"/>
  <c r="L38" i="1"/>
  <c r="L11" i="1"/>
  <c r="L12" i="1" s="1"/>
  <c r="L17" i="1"/>
  <c r="N16" i="1" l="1"/>
  <c r="N22" i="1" s="1"/>
  <c r="N39" i="1" s="1"/>
  <c r="O7" i="1"/>
  <c r="N25" i="1"/>
  <c r="N27" i="1" s="1"/>
  <c r="K13" i="1"/>
  <c r="K37" i="1" s="1"/>
  <c r="K41" i="1" s="1"/>
  <c r="N29" i="1"/>
  <c r="P29" i="1"/>
  <c r="N6" i="1"/>
  <c r="N9" i="1" s="1"/>
  <c r="M17" i="1"/>
  <c r="N18" i="1" s="1"/>
  <c r="M18" i="1"/>
  <c r="P28" i="1"/>
  <c r="P30" i="1"/>
  <c r="N30" i="1"/>
  <c r="N28" i="1"/>
  <c r="M28" i="1"/>
  <c r="M30" i="1"/>
  <c r="M6" i="1"/>
  <c r="M9" i="1" s="1"/>
  <c r="O28" i="1"/>
  <c r="O30" i="1"/>
  <c r="L31" i="1"/>
  <c r="L33" i="1" s="1"/>
  <c r="L40" i="1" s="1"/>
  <c r="L13" i="1"/>
  <c r="L37" i="1" s="1"/>
  <c r="P6" i="1"/>
  <c r="O6" i="1"/>
  <c r="O16" i="1" l="1"/>
  <c r="P16" i="1" s="1"/>
  <c r="N17" i="1"/>
  <c r="O18" i="1" s="1"/>
  <c r="O10" i="1" s="1"/>
  <c r="O9" i="1"/>
  <c r="O25" i="1"/>
  <c r="O27" i="1" s="1"/>
  <c r="O31" i="1" s="1"/>
  <c r="P7" i="1"/>
  <c r="P25" i="1" s="1"/>
  <c r="P27" i="1" s="1"/>
  <c r="P32" i="1" s="1"/>
  <c r="K43" i="1"/>
  <c r="K44" i="1" s="1"/>
  <c r="K42" i="1"/>
  <c r="M31" i="1"/>
  <c r="M33" i="1" s="1"/>
  <c r="M40" i="1" s="1"/>
  <c r="L41" i="1"/>
  <c r="N31" i="1"/>
  <c r="N38" i="1"/>
  <c r="N10" i="1"/>
  <c r="N11" i="1" s="1"/>
  <c r="N12" i="1" s="1"/>
  <c r="M38" i="1"/>
  <c r="M10" i="1"/>
  <c r="M11" i="1" s="1"/>
  <c r="M12" i="1" s="1"/>
  <c r="O22" i="1" l="1"/>
  <c r="O39" i="1" s="1"/>
  <c r="O38" i="1"/>
  <c r="O17" i="1"/>
  <c r="P18" i="1" s="1"/>
  <c r="P10" i="1" s="1"/>
  <c r="O11" i="1"/>
  <c r="O12" i="1" s="1"/>
  <c r="P31" i="1"/>
  <c r="P33" i="1" s="1"/>
  <c r="P40" i="1" s="1"/>
  <c r="P9" i="1"/>
  <c r="L42" i="1"/>
  <c r="N33" i="1"/>
  <c r="N40" i="1" s="1"/>
  <c r="L43" i="1"/>
  <c r="L44" i="1" s="1"/>
  <c r="O33" i="1"/>
  <c r="O40" i="1" s="1"/>
  <c r="N13" i="1"/>
  <c r="N37" i="1" s="1"/>
  <c r="M13" i="1"/>
  <c r="M37" i="1" s="1"/>
  <c r="M41" i="1" s="1"/>
  <c r="P38" i="1" l="1"/>
  <c r="P11" i="1"/>
  <c r="P12" i="1" s="1"/>
  <c r="O13" i="1"/>
  <c r="O37" i="1" s="1"/>
  <c r="O41" i="1" s="1"/>
  <c r="O43" i="1" s="1"/>
  <c r="N41" i="1"/>
  <c r="M43" i="1"/>
  <c r="M44" i="1" s="1"/>
  <c r="M42" i="1"/>
  <c r="P13" i="1" l="1"/>
  <c r="P37" i="1" s="1"/>
  <c r="N43" i="1"/>
  <c r="N44" i="1" s="1"/>
  <c r="O44" i="1" s="1"/>
  <c r="N42" i="1"/>
  <c r="O42" i="1" s="1"/>
  <c r="P17" i="1" l="1"/>
  <c r="P19" i="1" s="1"/>
  <c r="P20" i="1" l="1"/>
  <c r="P21" i="1" s="1"/>
  <c r="P22" i="1" s="1"/>
  <c r="P39" i="1" s="1"/>
  <c r="P41" i="1" s="1"/>
  <c r="K49" i="1" s="1"/>
  <c r="N56" i="1" s="1"/>
  <c r="S78" i="1" l="1"/>
  <c r="K76" i="1"/>
  <c r="K66" i="1"/>
  <c r="N74" i="1"/>
  <c r="S62" i="1"/>
  <c r="S82" i="1"/>
  <c r="S68" i="1"/>
  <c r="S84" i="1"/>
  <c r="K86" i="1"/>
  <c r="N64" i="1"/>
  <c r="K74" i="1"/>
  <c r="S70" i="1"/>
  <c r="S56" i="1"/>
  <c r="S72" i="1"/>
  <c r="S66" i="1"/>
  <c r="N70" i="1"/>
  <c r="N72" i="1"/>
  <c r="N78" i="1"/>
  <c r="N80" i="1"/>
  <c r="K80" i="1"/>
  <c r="N82" i="1"/>
  <c r="K82" i="1"/>
  <c r="N84" i="1"/>
  <c r="S74" i="1"/>
  <c r="S60" i="1"/>
  <c r="S76" i="1"/>
  <c r="S86" i="1"/>
  <c r="N86" i="1"/>
  <c r="K60" i="1"/>
  <c r="K62" i="1"/>
  <c r="K56" i="1"/>
  <c r="N58" i="1"/>
  <c r="K58" i="1"/>
  <c r="N60" i="1"/>
  <c r="S58" i="1"/>
  <c r="S64" i="1"/>
  <c r="S80" i="1"/>
  <c r="K68" i="1"/>
  <c r="K70" i="1"/>
  <c r="K78" i="1"/>
  <c r="K64" i="1"/>
  <c r="N66" i="1"/>
  <c r="N68" i="1"/>
  <c r="K84" i="1"/>
  <c r="N62" i="1"/>
  <c r="K72" i="1"/>
  <c r="N76" i="1"/>
  <c r="P42" i="1"/>
  <c r="P43" i="1"/>
  <c r="P44" i="1" s="1"/>
  <c r="K50" i="1"/>
  <c r="L50" i="1" s="1"/>
  <c r="L74" i="1" l="1"/>
  <c r="L66" i="1"/>
  <c r="L60" i="1"/>
  <c r="L68" i="1"/>
  <c r="L62" i="1"/>
  <c r="L70" i="1"/>
  <c r="L78" i="1"/>
  <c r="L86" i="1"/>
  <c r="L64" i="1"/>
  <c r="L72" i="1"/>
  <c r="L80" i="1"/>
  <c r="L56" i="1"/>
  <c r="L58" i="1"/>
  <c r="L82" i="1"/>
  <c r="L76" i="1"/>
  <c r="L84" i="1"/>
</calcChain>
</file>

<file path=xl/sharedStrings.xml><?xml version="1.0" encoding="utf-8"?>
<sst xmlns="http://schemas.openxmlformats.org/spreadsheetml/2006/main" count="122" uniqueCount="115">
  <si>
    <t>Project Assumptions</t>
  </si>
  <si>
    <t>Revenue Forecasts</t>
  </si>
  <si>
    <t>Year</t>
  </si>
  <si>
    <t xml:space="preserve">  Market Forecasts</t>
  </si>
  <si>
    <t xml:space="preserve">     Intial Market Size (Units, million)</t>
  </si>
  <si>
    <t xml:space="preserve">     Market Growth Rate</t>
  </si>
  <si>
    <t xml:space="preserve">     Market Size (Units, million)</t>
  </si>
  <si>
    <t>0 (F2008)</t>
  </si>
  <si>
    <t xml:space="preserve">          (Actual Market Size, Units Mil)</t>
  </si>
  <si>
    <t xml:space="preserve">  Corp   Market Share</t>
  </si>
  <si>
    <t xml:space="preserve">     Intial Market Share</t>
  </si>
  <si>
    <t xml:space="preserve">     Market Share Annual Growth Rate</t>
  </si>
  <si>
    <t xml:space="preserve">     Market Share</t>
  </si>
  <si>
    <t xml:space="preserve">  Pricing Strategy</t>
  </si>
  <si>
    <t xml:space="preserve">     Bi-Annual Price Increases ($/unit)</t>
  </si>
  <si>
    <t xml:space="preserve">     Intial Unit Price ($/unit)</t>
  </si>
  <si>
    <t xml:space="preserve">     Unit Price ($/unit)</t>
  </si>
  <si>
    <t>Operating Expenses</t>
  </si>
  <si>
    <t xml:space="preserve">     COGS</t>
  </si>
  <si>
    <t xml:space="preserve">          COGS / Sales (% Sales)</t>
  </si>
  <si>
    <t xml:space="preserve">     SG&amp;A</t>
  </si>
  <si>
    <t xml:space="preserve">          1% of 2008 Company SG&amp;A ($mil)</t>
  </si>
  <si>
    <t xml:space="preserve">          SG&amp;A Expense Growth Rate</t>
  </si>
  <si>
    <t xml:space="preserve">     R&amp;D</t>
  </si>
  <si>
    <t xml:space="preserve">          R&amp;D Unfront ($mil)</t>
  </si>
  <si>
    <t xml:space="preserve">          R&amp;D for Versioning ($mil)</t>
  </si>
  <si>
    <t>Capital Expenditures &amp; PP&amp;E Information</t>
  </si>
  <si>
    <t xml:space="preserve">     Intial Investment (Fixed Cost, $mil)</t>
  </si>
  <si>
    <t xml:space="preserve">     Future Investment (% of intial Investment)</t>
  </si>
  <si>
    <t xml:space="preserve">     Future Investment (Annual Growth)</t>
  </si>
  <si>
    <t xml:space="preserve">     PP&amp;E Liquidation Value</t>
  </si>
  <si>
    <t>Working Capital Assumptions</t>
  </si>
  <si>
    <t xml:space="preserve">     Cash Requirements</t>
  </si>
  <si>
    <t xml:space="preserve">          % of SG&amp;A</t>
  </si>
  <si>
    <t xml:space="preserve">          % R&amp;D Expenditures</t>
  </si>
  <si>
    <t xml:space="preserve">     Inventory</t>
  </si>
  <si>
    <t xml:space="preserve">          Inventory Days (365 x Inventory / COGS)</t>
  </si>
  <si>
    <t xml:space="preserve">          Excess Inventory liquidation value (% of Inventory Cost)</t>
  </si>
  <si>
    <t xml:space="preserve">     Accounts Receiveable</t>
  </si>
  <si>
    <t xml:space="preserve">     Accounts Payable</t>
  </si>
  <si>
    <t xml:space="preserve">          Days Receiveable (365 x Accounts Receivable / Sales)</t>
  </si>
  <si>
    <t xml:space="preserve">          Days Payable (365 x Accounts Payable / COGS)</t>
  </si>
  <si>
    <t>Incremenal Earnings Forecast</t>
  </si>
  <si>
    <t>Sales</t>
  </si>
  <si>
    <t>COGS</t>
  </si>
  <si>
    <t>SG&amp;A</t>
  </si>
  <si>
    <t>R&amp;D</t>
  </si>
  <si>
    <t>Gross Profit = Sales - COGS</t>
  </si>
  <si>
    <t>EBITDA = (5)-(6)-(7)</t>
  </si>
  <si>
    <t>Capital Expenditure Forecasts</t>
  </si>
  <si>
    <t>Project CapEx</t>
  </si>
  <si>
    <t>Accumulated CapEx</t>
  </si>
  <si>
    <t>Depreciation</t>
  </si>
  <si>
    <t>Book Value of CapEx</t>
  </si>
  <si>
    <t>Liquidation Value (LV)</t>
  </si>
  <si>
    <t>After tax proceeds from asset sale</t>
  </si>
  <si>
    <t>Taxes</t>
  </si>
  <si>
    <t>Net Project CapEx</t>
  </si>
  <si>
    <t>Working Capital Forecasts</t>
  </si>
  <si>
    <t xml:space="preserve">     Cash Requirements - SG&amp;A Funding</t>
  </si>
  <si>
    <t xml:space="preserve">     Cash Requirements - R&amp;D Funding</t>
  </si>
  <si>
    <t>Cash</t>
  </si>
  <si>
    <t>Project Forecasts</t>
  </si>
  <si>
    <t>Inventory</t>
  </si>
  <si>
    <t>Accounts Receiveable</t>
  </si>
  <si>
    <t>Accounts Payable</t>
  </si>
  <si>
    <t>Net Working Capital</t>
  </si>
  <si>
    <t>Recovered NWC at the end of Project</t>
  </si>
  <si>
    <t>Change in NWC</t>
  </si>
  <si>
    <t>EBIT= (9) - (10)</t>
  </si>
  <si>
    <t>NOPAT (11)-(12) (aka EBIAT, Unlevered Net Income)</t>
  </si>
  <si>
    <t>Free Cash Flow Forecast</t>
  </si>
  <si>
    <t>Capital Expenditures</t>
  </si>
  <si>
    <t>Changes in NWC</t>
  </si>
  <si>
    <t>Free Cash Flows = (37) + (38) - (39) - (40)</t>
  </si>
  <si>
    <t>NPV=ЧПС</t>
  </si>
  <si>
    <t>IRR=ВСД</t>
  </si>
  <si>
    <t xml:space="preserve">     Cumulative Free Cash Flows</t>
  </si>
  <si>
    <t>Alternative Decision Criteria</t>
  </si>
  <si>
    <t>Net Present Value (NVP)</t>
  </si>
  <si>
    <t>Internal Rate of Return (IRR)</t>
  </si>
  <si>
    <t>Payback Period</t>
  </si>
  <si>
    <t>CFCF &gt; 0 in year 3</t>
  </si>
  <si>
    <t>Discounted Free Cash Flows</t>
  </si>
  <si>
    <t xml:space="preserve">     Cumulative Discounted Free Cash Flows</t>
  </si>
  <si>
    <t>Discounted Payback Period</t>
  </si>
  <si>
    <t>CFCF &gt; 0 in year 4</t>
  </si>
  <si>
    <r>
      <t xml:space="preserve">Discount rate </t>
    </r>
    <r>
      <rPr>
        <sz val="11"/>
        <color theme="1"/>
        <rFont val="Calibri"/>
        <family val="2"/>
        <charset val="204"/>
        <scheme val="minor"/>
      </rPr>
      <t>(Cost of Capital)</t>
    </r>
  </si>
  <si>
    <t>Base</t>
  </si>
  <si>
    <t>BE</t>
  </si>
  <si>
    <t>BE = BreakEven</t>
  </si>
  <si>
    <t>Cost of Capital</t>
  </si>
  <si>
    <t>Initial Investment ($mil)</t>
  </si>
  <si>
    <t>PP&amp;E Liquidation Value</t>
  </si>
  <si>
    <t>Tax Rate</t>
  </si>
  <si>
    <t>R&amp;D for Versioning ($mil)</t>
  </si>
  <si>
    <t>R&amp;D Unfront ($mil)</t>
  </si>
  <si>
    <t>SG&amp;A Expense Growth Rate</t>
  </si>
  <si>
    <t>COGS / Sales (% Sales)</t>
  </si>
  <si>
    <t>Bi-Annual Price Increases ($/unit)</t>
  </si>
  <si>
    <t>Intial Unit Price ($/unit)</t>
  </si>
  <si>
    <t>Intial Market Share</t>
  </si>
  <si>
    <t>Market Growth Rate</t>
  </si>
  <si>
    <t>Intial Market Size (Units, million)</t>
  </si>
  <si>
    <t>`</t>
  </si>
  <si>
    <t>PP&amp;E Life for depreciation (Years)</t>
  </si>
  <si>
    <t xml:space="preserve">     PP&amp;E Life for depreciation (Years)</t>
  </si>
  <si>
    <t>Market Share Growth Rate</t>
  </si>
  <si>
    <t>SG&amp;A First-Year ($mil)</t>
  </si>
  <si>
    <t>Worst</t>
  </si>
  <si>
    <t>Best</t>
  </si>
  <si>
    <t>Base-1%</t>
  </si>
  <si>
    <t>Base+1%</t>
  </si>
  <si>
    <t>Elasticity</t>
  </si>
  <si>
    <t>Total Scenario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</si>
</sst>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_р_._-;\-* #,##0.0_р_._-;_-* &quot;-&quot;?_р_._-;_-@_-"/>
    <numFmt numFmtId="165" formatCode="0.0"/>
    <numFmt numFmtId="166" formatCode="0.0%"/>
    <numFmt numFmtId="167" formatCode="#,##0.0"/>
    <numFmt numFmtId="172" formatCode="0.00000000000000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E46D0A"/>
      <name val="Calibri"/>
      <family val="2"/>
      <charset val="204"/>
      <scheme val="minor"/>
    </font>
    <font>
      <b/>
      <sz val="11"/>
      <color rgb="FFE46D0A"/>
      <name val="Calibri"/>
      <family val="2"/>
      <charset val="204"/>
      <scheme val="minor"/>
    </font>
    <font>
      <sz val="11"/>
      <color rgb="FFF6862A"/>
      <name val="Calibri"/>
      <family val="2"/>
      <charset val="204"/>
      <scheme val="minor"/>
    </font>
    <font>
      <sz val="11"/>
      <color rgb="FFA0A0A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0" applyNumberFormat="1"/>
    <xf numFmtId="10" fontId="0" fillId="2" borderId="1" xfId="0" applyNumberFormat="1" applyFill="1" applyBorder="1"/>
    <xf numFmtId="166" fontId="7" fillId="0" borderId="0" xfId="1" applyNumberFormat="1" applyFont="1" applyBorder="1"/>
    <xf numFmtId="166" fontId="7" fillId="0" borderId="0" xfId="0" applyNumberFormat="1" applyFont="1" applyBorder="1"/>
    <xf numFmtId="165" fontId="7" fillId="0" borderId="0" xfId="0" applyNumberFormat="1" applyFont="1" applyBorder="1"/>
    <xf numFmtId="165" fontId="2" fillId="3" borderId="0" xfId="0" applyNumberFormat="1" applyFont="1" applyFill="1" applyBorder="1"/>
    <xf numFmtId="164" fontId="0" fillId="0" borderId="0" xfId="0" applyNumberFormat="1" applyFont="1"/>
    <xf numFmtId="164" fontId="0" fillId="0" borderId="0" xfId="0" applyNumberFormat="1" applyFont="1" applyBorder="1"/>
    <xf numFmtId="165" fontId="6" fillId="0" borderId="0" xfId="0" applyNumberFormat="1" applyFont="1" applyBorder="1"/>
    <xf numFmtId="0" fontId="0" fillId="0" borderId="0" xfId="0" applyFont="1" applyBorder="1"/>
    <xf numFmtId="9" fontId="6" fillId="6" borderId="0" xfId="0" applyNumberFormat="1" applyFont="1" applyFill="1" applyBorder="1"/>
    <xf numFmtId="10" fontId="6" fillId="6" borderId="0" xfId="0" applyNumberFormat="1" applyFont="1" applyFill="1" applyBorder="1"/>
    <xf numFmtId="0" fontId="0" fillId="5" borderId="0" xfId="0" applyFont="1" applyFill="1" applyBorder="1" applyAlignment="1">
      <alignment horizontal="right"/>
    </xf>
    <xf numFmtId="0" fontId="0" fillId="0" borderId="0" xfId="0" applyFont="1" applyFill="1" applyBorder="1"/>
    <xf numFmtId="0" fontId="8" fillId="6" borderId="0" xfId="0" applyFont="1" applyFill="1" applyBorder="1"/>
    <xf numFmtId="2" fontId="9" fillId="0" borderId="0" xfId="0" applyNumberFormat="1" applyFont="1" applyBorder="1"/>
    <xf numFmtId="2" fontId="8" fillId="6" borderId="0" xfId="0" applyNumberFormat="1" applyFont="1" applyFill="1" applyBorder="1"/>
    <xf numFmtId="0" fontId="0" fillId="0" borderId="5" xfId="0" applyBorder="1"/>
    <xf numFmtId="0" fontId="0" fillId="0" borderId="0" xfId="0" applyFill="1" applyBorder="1"/>
    <xf numFmtId="10" fontId="8" fillId="6" borderId="0" xfId="0" applyNumberFormat="1" applyFont="1" applyFill="1"/>
    <xf numFmtId="166" fontId="0" fillId="2" borderId="1" xfId="0" applyNumberFormat="1" applyFont="1" applyFill="1" applyBorder="1"/>
    <xf numFmtId="10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2" borderId="1" xfId="0" applyFill="1" applyBorder="1"/>
    <xf numFmtId="0" fontId="0" fillId="2" borderId="1" xfId="0" applyFont="1" applyFill="1" applyBorder="1"/>
    <xf numFmtId="2" fontId="8" fillId="6" borderId="0" xfId="0" applyNumberFormat="1" applyFont="1" applyFill="1"/>
    <xf numFmtId="166" fontId="0" fillId="4" borderId="0" xfId="0" applyNumberFormat="1" applyFill="1"/>
    <xf numFmtId="2" fontId="0" fillId="2" borderId="1" xfId="0" applyNumberFormat="1" applyFill="1" applyBorder="1"/>
    <xf numFmtId="0" fontId="8" fillId="6" borderId="0" xfId="0" applyFont="1" applyFill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5" fontId="9" fillId="0" borderId="0" xfId="0" applyNumberFormat="1" applyFont="1"/>
    <xf numFmtId="167" fontId="9" fillId="0" borderId="0" xfId="0" applyNumberFormat="1" applyFont="1"/>
    <xf numFmtId="0" fontId="9" fillId="0" borderId="0" xfId="0" applyFont="1"/>
    <xf numFmtId="167" fontId="8" fillId="6" borderId="0" xfId="0" applyNumberFormat="1" applyFont="1" applyFill="1"/>
    <xf numFmtId="0" fontId="4" fillId="0" borderId="5" xfId="0" applyFont="1" applyBorder="1"/>
    <xf numFmtId="167" fontId="9" fillId="0" borderId="5" xfId="0" applyNumberFormat="1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166" fontId="9" fillId="0" borderId="0" xfId="0" applyNumberFormat="1" applyFont="1"/>
    <xf numFmtId="10" fontId="5" fillId="2" borderId="1" xfId="0" applyNumberFormat="1" applyFont="1" applyFill="1" applyBorder="1"/>
    <xf numFmtId="165" fontId="8" fillId="6" borderId="0" xfId="0" applyNumberFormat="1" applyFont="1" applyFill="1"/>
    <xf numFmtId="10" fontId="1" fillId="2" borderId="1" xfId="1" applyNumberFormat="1" applyFont="1" applyFill="1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8" fillId="6" borderId="6" xfId="0" applyNumberFormat="1" applyFont="1" applyFill="1" applyBorder="1"/>
    <xf numFmtId="10" fontId="5" fillId="4" borderId="0" xfId="0" applyNumberFormat="1" applyFont="1" applyFill="1" applyBorder="1"/>
    <xf numFmtId="167" fontId="9" fillId="0" borderId="6" xfId="0" applyNumberFormat="1" applyFont="1" applyBorder="1"/>
    <xf numFmtId="167" fontId="8" fillId="6" borderId="6" xfId="0" applyNumberFormat="1" applyFont="1" applyFill="1" applyBorder="1"/>
    <xf numFmtId="10" fontId="10" fillId="6" borderId="6" xfId="0" applyNumberFormat="1" applyFont="1" applyFill="1" applyBorder="1"/>
    <xf numFmtId="2" fontId="10" fillId="6" borderId="6" xfId="0" applyNumberFormat="1" applyFont="1" applyFill="1" applyBorder="1"/>
    <xf numFmtId="165" fontId="10" fillId="6" borderId="6" xfId="0" applyNumberFormat="1" applyFont="1" applyFill="1" applyBorder="1"/>
    <xf numFmtId="0" fontId="10" fillId="6" borderId="6" xfId="0" applyFont="1" applyFill="1" applyBorder="1"/>
    <xf numFmtId="2" fontId="5" fillId="4" borderId="0" xfId="0" applyNumberFormat="1" applyFont="1" applyFill="1" applyBorder="1"/>
    <xf numFmtId="0" fontId="0" fillId="0" borderId="7" xfId="0" applyBorder="1" applyAlignment="1">
      <alignment horizontal="center" vertical="center"/>
    </xf>
    <xf numFmtId="10" fontId="5" fillId="4" borderId="7" xfId="0" applyNumberFormat="1" applyFont="1" applyFill="1" applyBorder="1"/>
    <xf numFmtId="167" fontId="9" fillId="0" borderId="7" xfId="0" applyNumberFormat="1" applyFont="1" applyBorder="1"/>
    <xf numFmtId="167" fontId="5" fillId="4" borderId="7" xfId="0" applyNumberFormat="1" applyFont="1" applyFill="1" applyBorder="1"/>
    <xf numFmtId="9" fontId="5" fillId="4" borderId="7" xfId="0" applyNumberFormat="1" applyFont="1" applyFill="1" applyBorder="1"/>
    <xf numFmtId="0" fontId="5" fillId="4" borderId="7" xfId="0" applyFont="1" applyFill="1" applyBorder="1"/>
    <xf numFmtId="166" fontId="5" fillId="4" borderId="7" xfId="0" applyNumberFormat="1" applyFont="1" applyFill="1" applyBorder="1"/>
    <xf numFmtId="2" fontId="5" fillId="4" borderId="7" xfId="0" applyNumberFormat="1" applyFont="1" applyFill="1" applyBorder="1"/>
    <xf numFmtId="10" fontId="0" fillId="4" borderId="0" xfId="0" applyNumberFormat="1" applyFill="1" applyBorder="1"/>
    <xf numFmtId="10" fontId="8" fillId="6" borderId="0" xfId="0" applyNumberFormat="1" applyFont="1" applyFill="1" applyBorder="1"/>
    <xf numFmtId="10" fontId="0" fillId="4" borderId="7" xfId="0" applyNumberFormat="1" applyFill="1" applyBorder="1"/>
    <xf numFmtId="167" fontId="8" fillId="6" borderId="0" xfId="0" applyNumberFormat="1" applyFont="1" applyFill="1" applyBorder="1"/>
    <xf numFmtId="165" fontId="9" fillId="0" borderId="0" xfId="0" applyNumberFormat="1" applyFont="1" applyBorder="1"/>
    <xf numFmtId="165" fontId="9" fillId="0" borderId="7" xfId="0" applyNumberFormat="1" applyFont="1" applyBorder="1"/>
    <xf numFmtId="165" fontId="0" fillId="4" borderId="0" xfId="0" applyNumberFormat="1" applyFill="1" applyBorder="1"/>
    <xf numFmtId="165" fontId="0" fillId="4" borderId="7" xfId="0" applyNumberFormat="1" applyFill="1" applyBorder="1"/>
    <xf numFmtId="9" fontId="0" fillId="4" borderId="0" xfId="0" applyNumberFormat="1" applyFill="1" applyBorder="1"/>
    <xf numFmtId="10" fontId="10" fillId="6" borderId="0" xfId="0" applyNumberFormat="1" applyFont="1" applyFill="1" applyBorder="1"/>
    <xf numFmtId="9" fontId="0" fillId="4" borderId="7" xfId="0" applyNumberFormat="1" applyFill="1" applyBorder="1"/>
    <xf numFmtId="2" fontId="10" fillId="6" borderId="0" xfId="0" applyNumberFormat="1" applyFont="1" applyFill="1" applyBorder="1"/>
    <xf numFmtId="0" fontId="0" fillId="4" borderId="0" xfId="0" applyNumberFormat="1" applyFill="1" applyBorder="1"/>
    <xf numFmtId="165" fontId="10" fillId="6" borderId="0" xfId="0" applyNumberFormat="1" applyFont="1" applyFill="1" applyBorder="1"/>
    <xf numFmtId="0" fontId="10" fillId="6" borderId="0" xfId="0" applyFont="1" applyFill="1" applyBorder="1"/>
    <xf numFmtId="0" fontId="0" fillId="4" borderId="7" xfId="0" applyNumberFormat="1" applyFill="1" applyBorder="1"/>
    <xf numFmtId="0" fontId="0" fillId="0" borderId="6" xfId="0" applyBorder="1"/>
    <xf numFmtId="0" fontId="0" fillId="0" borderId="6" xfId="0" applyFont="1" applyBorder="1"/>
    <xf numFmtId="0" fontId="0" fillId="0" borderId="7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9" fillId="0" borderId="7" xfId="0" applyNumberFormat="1" applyFont="1" applyBorder="1"/>
    <xf numFmtId="2" fontId="0" fillId="0" borderId="7" xfId="0" applyNumberFormat="1" applyBorder="1"/>
    <xf numFmtId="0" fontId="4" fillId="0" borderId="5" xfId="0" applyFont="1" applyBorder="1" applyAlignment="1">
      <alignment horizontal="right"/>
    </xf>
    <xf numFmtId="0" fontId="5" fillId="4" borderId="5" xfId="0" applyFont="1" applyFill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/>
    <xf numFmtId="10" fontId="0" fillId="0" borderId="0" xfId="0" applyNumberFormat="1"/>
    <xf numFmtId="172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E46D0A"/>
      <color rgb="FFFFFFCC"/>
      <color rgb="FFF6862A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topLeftCell="A69" zoomScaleNormal="100" workbookViewId="0">
      <selection activeCell="N89" sqref="N89"/>
    </sheetView>
  </sheetViews>
  <sheetFormatPr defaultRowHeight="15" x14ac:dyDescent="0.25"/>
  <cols>
    <col min="1" max="1" width="56" bestFit="1" customWidth="1"/>
    <col min="2" max="2" width="9.140625" customWidth="1"/>
    <col min="3" max="3" width="9.7109375" bestFit="1" customWidth="1"/>
    <col min="4" max="4" width="10.28515625" bestFit="1" customWidth="1"/>
    <col min="5" max="7" width="9.7109375" bestFit="1" customWidth="1"/>
    <col min="10" max="10" width="47.85546875" bestFit="1" customWidth="1"/>
    <col min="11" max="11" width="9.140625" bestFit="1" customWidth="1"/>
    <col min="12" max="12" width="9.85546875" bestFit="1" customWidth="1"/>
    <col min="15" max="15" width="9.140625" customWidth="1"/>
    <col min="20" max="20" width="9.140625" customWidth="1"/>
    <col min="23" max="23" width="11.42578125" bestFit="1" customWidth="1"/>
  </cols>
  <sheetData>
    <row r="1" spans="1:16" x14ac:dyDescent="0.25">
      <c r="B1" s="93" t="s">
        <v>2</v>
      </c>
      <c r="C1" s="94"/>
      <c r="D1" s="94"/>
      <c r="E1" s="94"/>
      <c r="F1" s="94"/>
      <c r="G1" s="95"/>
      <c r="K1" s="93" t="s">
        <v>2</v>
      </c>
      <c r="L1" s="94"/>
      <c r="M1" s="94"/>
      <c r="N1" s="94"/>
      <c r="O1" s="94"/>
      <c r="P1" s="95"/>
    </row>
    <row r="2" spans="1:16" x14ac:dyDescent="0.25">
      <c r="A2" s="1" t="s">
        <v>0</v>
      </c>
      <c r="B2" s="32" t="s">
        <v>7</v>
      </c>
      <c r="C2" s="33">
        <v>1</v>
      </c>
      <c r="D2" s="33">
        <v>2</v>
      </c>
      <c r="E2" s="33">
        <v>3</v>
      </c>
      <c r="F2" s="33">
        <v>4</v>
      </c>
      <c r="G2" s="34">
        <v>5</v>
      </c>
      <c r="J2" s="1" t="s">
        <v>62</v>
      </c>
      <c r="K2" s="32">
        <v>0</v>
      </c>
      <c r="L2" s="33">
        <v>1</v>
      </c>
      <c r="M2" s="33">
        <v>2</v>
      </c>
      <c r="N2" s="33">
        <v>3</v>
      </c>
      <c r="O2" s="33">
        <v>4</v>
      </c>
      <c r="P2" s="34">
        <v>5</v>
      </c>
    </row>
    <row r="3" spans="1:16" x14ac:dyDescent="0.25">
      <c r="A3" s="1" t="s">
        <v>1</v>
      </c>
      <c r="B3" s="3"/>
      <c r="C3" s="3"/>
      <c r="D3" s="3"/>
      <c r="E3" s="3"/>
      <c r="F3" s="3"/>
      <c r="G3" s="3"/>
      <c r="J3" s="1" t="s">
        <v>42</v>
      </c>
    </row>
    <row r="4" spans="1:16" x14ac:dyDescent="0.25">
      <c r="A4" s="2" t="s">
        <v>3</v>
      </c>
      <c r="B4" s="3"/>
      <c r="C4" s="9"/>
      <c r="D4" s="9"/>
      <c r="E4" s="9"/>
      <c r="F4" s="9"/>
      <c r="G4" s="9"/>
      <c r="J4" t="s">
        <v>43</v>
      </c>
      <c r="L4" s="35">
        <f>C5*C10*C14</f>
        <v>50</v>
      </c>
      <c r="M4" s="36">
        <f>D7*D12*D16</f>
        <v>1365</v>
      </c>
      <c r="N4" s="36">
        <f>E7*E12*E16</f>
        <v>4084.5991095000013</v>
      </c>
      <c r="O4" s="36">
        <f>F7*F12*F16</f>
        <v>4691.9789970826523</v>
      </c>
      <c r="P4" s="36">
        <f>G7*G12*G16</f>
        <v>6118.6466353068927</v>
      </c>
    </row>
    <row r="5" spans="1:16" x14ac:dyDescent="0.25">
      <c r="A5" t="s">
        <v>4</v>
      </c>
      <c r="B5" s="3"/>
      <c r="C5" s="25">
        <v>1</v>
      </c>
      <c r="D5" s="10"/>
      <c r="E5" s="10"/>
      <c r="F5" s="10"/>
      <c r="G5" s="10"/>
      <c r="J5" t="s">
        <v>44</v>
      </c>
      <c r="L5" s="36">
        <f>L4*$B$19</f>
        <v>40.33</v>
      </c>
      <c r="M5" s="36">
        <f t="shared" ref="M5:P5" si="0">M4*$B$19</f>
        <v>1101.009</v>
      </c>
      <c r="N5" s="36">
        <f t="shared" si="0"/>
        <v>3294.6376417227011</v>
      </c>
      <c r="O5" s="36">
        <f t="shared" si="0"/>
        <v>3784.5502590468673</v>
      </c>
      <c r="P5" s="36">
        <f t="shared" si="0"/>
        <v>4935.30037603854</v>
      </c>
    </row>
    <row r="6" spans="1:16" x14ac:dyDescent="0.25">
      <c r="A6" t="s">
        <v>5</v>
      </c>
      <c r="B6" s="3"/>
      <c r="C6" s="10"/>
      <c r="D6" s="47">
        <v>25</v>
      </c>
      <c r="E6" s="5">
        <v>1.28</v>
      </c>
      <c r="F6" s="5">
        <v>9.4E-2</v>
      </c>
      <c r="G6" s="6">
        <v>3.5000000000000003E-2</v>
      </c>
      <c r="J6" s="39" t="s">
        <v>47</v>
      </c>
      <c r="K6" s="40">
        <f>K4-K5</f>
        <v>0</v>
      </c>
      <c r="L6" s="40">
        <f t="shared" ref="L6:P6" si="1">L4-L5</f>
        <v>9.6700000000000017</v>
      </c>
      <c r="M6" s="40">
        <f t="shared" si="1"/>
        <v>263.99099999999999</v>
      </c>
      <c r="N6" s="40">
        <f t="shared" si="1"/>
        <v>789.96146777730019</v>
      </c>
      <c r="O6" s="40">
        <f t="shared" si="1"/>
        <v>907.42873803578505</v>
      </c>
      <c r="P6" s="40">
        <f t="shared" si="1"/>
        <v>1183.3462592683527</v>
      </c>
    </row>
    <row r="7" spans="1:16" x14ac:dyDescent="0.25">
      <c r="A7" t="s">
        <v>6</v>
      </c>
      <c r="B7" s="3"/>
      <c r="C7" s="11">
        <f>C5</f>
        <v>1</v>
      </c>
      <c r="D7" s="7">
        <f>C7*(1+D6)</f>
        <v>26</v>
      </c>
      <c r="E7" s="7">
        <f>D7*(1+E6)</f>
        <v>59.280000000000008</v>
      </c>
      <c r="F7" s="7">
        <f t="shared" ref="F7:G7" si="2">E7*(1+F6)</f>
        <v>64.85232000000002</v>
      </c>
      <c r="G7" s="7">
        <f t="shared" si="2"/>
        <v>67.122151200000019</v>
      </c>
      <c r="J7" t="s">
        <v>45</v>
      </c>
      <c r="L7" s="38">
        <f>C21</f>
        <v>69.59</v>
      </c>
      <c r="M7" s="36">
        <f>L7*(1+$D$22)</f>
        <v>86.987500000000011</v>
      </c>
      <c r="N7" s="36">
        <f t="shared" ref="N7:P7" si="3">M7*(1+$D$22)</f>
        <v>108.73437500000001</v>
      </c>
      <c r="O7" s="36">
        <f t="shared" si="3"/>
        <v>135.91796875000003</v>
      </c>
      <c r="P7" s="36">
        <f t="shared" si="3"/>
        <v>169.89746093750003</v>
      </c>
    </row>
    <row r="8" spans="1:16" x14ac:dyDescent="0.25">
      <c r="A8" t="s">
        <v>8</v>
      </c>
      <c r="C8" s="8">
        <v>1</v>
      </c>
      <c r="D8" s="8">
        <v>60</v>
      </c>
      <c r="E8" s="8">
        <v>116.3</v>
      </c>
      <c r="F8" s="8">
        <v>195.4</v>
      </c>
      <c r="G8" s="8">
        <v>229</v>
      </c>
      <c r="J8" t="s">
        <v>46</v>
      </c>
      <c r="K8" s="28">
        <f>B24</f>
        <v>200</v>
      </c>
      <c r="L8" s="28">
        <f>$C$25</f>
        <v>25</v>
      </c>
      <c r="M8" s="28">
        <f t="shared" ref="M8:P8" si="4">$C$25</f>
        <v>25</v>
      </c>
      <c r="N8" s="28">
        <f t="shared" si="4"/>
        <v>25</v>
      </c>
      <c r="O8" s="28">
        <f t="shared" si="4"/>
        <v>25</v>
      </c>
      <c r="P8" s="28">
        <f t="shared" si="4"/>
        <v>25</v>
      </c>
    </row>
    <row r="9" spans="1:16" x14ac:dyDescent="0.25">
      <c r="A9" s="2" t="s">
        <v>9</v>
      </c>
      <c r="C9" s="12"/>
      <c r="D9" s="12"/>
      <c r="E9" s="12"/>
      <c r="F9" s="12"/>
      <c r="G9" s="12"/>
      <c r="J9" s="39" t="s">
        <v>48</v>
      </c>
      <c r="K9" s="40">
        <f>K6-K7-K8</f>
        <v>-200</v>
      </c>
      <c r="L9" s="40">
        <f t="shared" ref="L9:P9" si="5">L6-L7-L8</f>
        <v>-84.92</v>
      </c>
      <c r="M9" s="40">
        <f t="shared" si="5"/>
        <v>152.00349999999997</v>
      </c>
      <c r="N9" s="40">
        <f t="shared" si="5"/>
        <v>656.22709277730019</v>
      </c>
      <c r="O9" s="40">
        <f t="shared" si="5"/>
        <v>746.51076928578505</v>
      </c>
      <c r="P9" s="40">
        <f t="shared" si="5"/>
        <v>988.4487983308527</v>
      </c>
    </row>
    <row r="10" spans="1:16" x14ac:dyDescent="0.25">
      <c r="A10" t="s">
        <v>10</v>
      </c>
      <c r="C10" s="23">
        <v>0.25</v>
      </c>
      <c r="D10" s="12"/>
      <c r="E10" s="12"/>
      <c r="F10" s="12"/>
      <c r="G10" s="12"/>
      <c r="J10" t="s">
        <v>52</v>
      </c>
      <c r="L10" s="38">
        <f>L18</f>
        <v>45.54</v>
      </c>
      <c r="M10" s="38">
        <f t="shared" ref="M10:P10" si="6">M18</f>
        <v>50.094000000000001</v>
      </c>
      <c r="N10" s="38">
        <f t="shared" si="6"/>
        <v>54.875699999999995</v>
      </c>
      <c r="O10" s="38">
        <f t="shared" si="6"/>
        <v>59.70521699999999</v>
      </c>
      <c r="P10" s="38">
        <f t="shared" si="6"/>
        <v>64.583029170000003</v>
      </c>
    </row>
    <row r="11" spans="1:16" x14ac:dyDescent="0.25">
      <c r="A11" t="s">
        <v>11</v>
      </c>
      <c r="C11" s="12"/>
      <c r="D11" s="24">
        <v>0.05</v>
      </c>
      <c r="E11" s="13">
        <v>0.05</v>
      </c>
      <c r="F11" s="13">
        <v>0.05</v>
      </c>
      <c r="G11" s="13">
        <v>0.05</v>
      </c>
      <c r="J11" s="39" t="s">
        <v>69</v>
      </c>
      <c r="K11" s="40">
        <f>K9-K10</f>
        <v>-200</v>
      </c>
      <c r="L11" s="40">
        <f t="shared" ref="L11:P11" si="7">L9-L10</f>
        <v>-130.46</v>
      </c>
      <c r="M11" s="40">
        <f t="shared" si="7"/>
        <v>101.90949999999998</v>
      </c>
      <c r="N11" s="40">
        <f t="shared" si="7"/>
        <v>601.35139277730013</v>
      </c>
      <c r="O11" s="40">
        <f t="shared" si="7"/>
        <v>686.8055522857851</v>
      </c>
      <c r="P11" s="40">
        <f t="shared" si="7"/>
        <v>923.86576916085266</v>
      </c>
    </row>
    <row r="12" spans="1:16" x14ac:dyDescent="0.25">
      <c r="A12" t="s">
        <v>12</v>
      </c>
      <c r="C12" s="14">
        <f>C10</f>
        <v>0.25</v>
      </c>
      <c r="D12" s="5">
        <f>C12*(1+$D$11)</f>
        <v>0.26250000000000001</v>
      </c>
      <c r="E12" s="5">
        <f>D12*(1+$D$11)</f>
        <v>0.27562500000000001</v>
      </c>
      <c r="F12" s="5">
        <f>E12*(1+$D$11)</f>
        <v>0.28940625000000003</v>
      </c>
      <c r="G12" s="5">
        <f>F12*(1+$D$11)</f>
        <v>0.30387656250000006</v>
      </c>
      <c r="J12" s="21" t="s">
        <v>56</v>
      </c>
      <c r="K12" s="36">
        <f>K11*$B$43</f>
        <v>-50.9</v>
      </c>
      <c r="L12" s="36">
        <f t="shared" ref="L12:P12" si="8">L11*$B$43</f>
        <v>-33.202069999999999</v>
      </c>
      <c r="M12" s="36">
        <f t="shared" si="8"/>
        <v>25.935967749999996</v>
      </c>
      <c r="N12" s="36">
        <f t="shared" si="8"/>
        <v>153.0439294618229</v>
      </c>
      <c r="O12" s="36">
        <f t="shared" si="8"/>
        <v>174.79201305673232</v>
      </c>
      <c r="P12" s="36">
        <f t="shared" si="8"/>
        <v>235.12383825143701</v>
      </c>
    </row>
    <row r="13" spans="1:16" x14ac:dyDescent="0.25">
      <c r="A13" s="2" t="s">
        <v>13</v>
      </c>
      <c r="C13" s="12"/>
      <c r="D13" s="12"/>
      <c r="E13" s="12"/>
      <c r="F13" s="12"/>
      <c r="G13" s="12"/>
      <c r="J13" s="39" t="s">
        <v>70</v>
      </c>
      <c r="K13" s="40">
        <f>K11-K12</f>
        <v>-149.1</v>
      </c>
      <c r="L13" s="40">
        <f t="shared" ref="L13:P13" si="9">L11-L12</f>
        <v>-97.257930000000016</v>
      </c>
      <c r="M13" s="40">
        <f t="shared" si="9"/>
        <v>75.973532249999977</v>
      </c>
      <c r="N13" s="40">
        <f t="shared" si="9"/>
        <v>448.30746331547721</v>
      </c>
      <c r="O13" s="40">
        <f t="shared" si="9"/>
        <v>512.01353922905275</v>
      </c>
      <c r="P13" s="40">
        <f t="shared" si="9"/>
        <v>688.74193090941571</v>
      </c>
    </row>
    <row r="14" spans="1:16" x14ac:dyDescent="0.25">
      <c r="A14" t="s">
        <v>15</v>
      </c>
      <c r="C14" s="25">
        <v>200</v>
      </c>
      <c r="D14" s="12"/>
      <c r="E14" s="12"/>
      <c r="F14" s="12"/>
      <c r="G14" s="12"/>
    </row>
    <row r="15" spans="1:16" x14ac:dyDescent="0.25">
      <c r="A15" t="s">
        <v>14</v>
      </c>
      <c r="C15" s="12"/>
      <c r="D15" s="15"/>
      <c r="E15" s="27">
        <v>49.99</v>
      </c>
      <c r="F15" s="15"/>
      <c r="G15" s="17">
        <f>E15</f>
        <v>49.99</v>
      </c>
      <c r="J15" s="1" t="s">
        <v>49</v>
      </c>
    </row>
    <row r="16" spans="1:16" x14ac:dyDescent="0.25">
      <c r="A16" t="s">
        <v>16</v>
      </c>
      <c r="C16" s="19">
        <f>C14</f>
        <v>200</v>
      </c>
      <c r="D16" s="18">
        <f>C16+D15</f>
        <v>200</v>
      </c>
      <c r="E16" s="18">
        <f t="shared" ref="E16" si="10">D16+E15</f>
        <v>249.99</v>
      </c>
      <c r="F16" s="18">
        <f>E16+F15</f>
        <v>249.99</v>
      </c>
      <c r="G16" s="18">
        <f>F16+G15</f>
        <v>299.98</v>
      </c>
      <c r="J16" t="s">
        <v>50</v>
      </c>
      <c r="K16" s="38">
        <f>B27</f>
        <v>227.7</v>
      </c>
      <c r="L16" s="36">
        <f>K16*C28</f>
        <v>22.77</v>
      </c>
      <c r="M16" s="36">
        <f>L16*(1+D29)</f>
        <v>23.9085</v>
      </c>
      <c r="N16" s="36">
        <f>M16*(1+E29)</f>
        <v>24.147584999999999</v>
      </c>
      <c r="O16" s="36">
        <f>N16*(1+F29)</f>
        <v>24.38906085</v>
      </c>
      <c r="P16" s="36">
        <f>O16*(1+G29)</f>
        <v>24.632951458499999</v>
      </c>
    </row>
    <row r="17" spans="1:16" x14ac:dyDescent="0.25">
      <c r="A17" s="1" t="s">
        <v>17</v>
      </c>
      <c r="J17" t="s">
        <v>51</v>
      </c>
      <c r="K17" s="36">
        <f>K16</f>
        <v>227.7</v>
      </c>
      <c r="L17" s="36">
        <f>K17+L16</f>
        <v>250.47</v>
      </c>
      <c r="M17" s="36">
        <f t="shared" ref="M17:O17" si="11">L17+M16</f>
        <v>274.37849999999997</v>
      </c>
      <c r="N17" s="36">
        <f t="shared" si="11"/>
        <v>298.52608499999997</v>
      </c>
      <c r="O17" s="36">
        <f t="shared" si="11"/>
        <v>322.91514584999999</v>
      </c>
      <c r="P17" s="36">
        <f>O17+P16</f>
        <v>347.54809730849996</v>
      </c>
    </row>
    <row r="18" spans="1:16" x14ac:dyDescent="0.25">
      <c r="A18" t="s">
        <v>18</v>
      </c>
      <c r="J18" t="s">
        <v>52</v>
      </c>
      <c r="K18" s="37"/>
      <c r="L18" s="36">
        <f>K17/$B$31</f>
        <v>45.54</v>
      </c>
      <c r="M18" s="36">
        <f t="shared" ref="M18:P18" si="12">L17/$B$31</f>
        <v>50.094000000000001</v>
      </c>
      <c r="N18" s="36">
        <f t="shared" si="12"/>
        <v>54.875699999999995</v>
      </c>
      <c r="O18" s="36">
        <f t="shared" si="12"/>
        <v>59.70521699999999</v>
      </c>
      <c r="P18" s="36">
        <f t="shared" si="12"/>
        <v>64.583029170000003</v>
      </c>
    </row>
    <row r="19" spans="1:16" x14ac:dyDescent="0.25">
      <c r="A19" t="s">
        <v>19</v>
      </c>
      <c r="B19" s="4">
        <v>0.80659999999999998</v>
      </c>
      <c r="C19" s="22">
        <v>0.80659999999999998</v>
      </c>
      <c r="D19" s="22">
        <v>0.80659999999999998</v>
      </c>
      <c r="E19" s="22">
        <v>0.80659999999999998</v>
      </c>
      <c r="F19" s="22">
        <v>0.80659999999999998</v>
      </c>
      <c r="G19" s="22">
        <v>0.80659999999999998</v>
      </c>
      <c r="J19" t="s">
        <v>53</v>
      </c>
      <c r="P19" s="36">
        <f>P17-SUM(L18:P18)</f>
        <v>72.750151138499916</v>
      </c>
    </row>
    <row r="20" spans="1:16" x14ac:dyDescent="0.25">
      <c r="A20" t="s">
        <v>20</v>
      </c>
      <c r="J20" t="s">
        <v>54</v>
      </c>
      <c r="K20" s="36"/>
      <c r="L20" s="36"/>
      <c r="M20" s="36"/>
      <c r="N20" s="36"/>
      <c r="O20" s="36"/>
      <c r="P20" s="36">
        <f>P19*$B$30</f>
        <v>36.375075569249958</v>
      </c>
    </row>
    <row r="21" spans="1:16" x14ac:dyDescent="0.25">
      <c r="A21" t="s">
        <v>21</v>
      </c>
      <c r="C21" s="26">
        <v>69.59</v>
      </c>
      <c r="J21" t="s">
        <v>55</v>
      </c>
      <c r="P21" s="36">
        <f>P20-(P20-P19)*B43</f>
        <v>45.632532301624074</v>
      </c>
    </row>
    <row r="22" spans="1:16" x14ac:dyDescent="0.25">
      <c r="A22" t="s">
        <v>22</v>
      </c>
      <c r="D22" s="4">
        <v>0.25</v>
      </c>
      <c r="E22" s="22">
        <v>0.25</v>
      </c>
      <c r="F22" s="22">
        <v>0.25</v>
      </c>
      <c r="G22" s="22">
        <v>0.25</v>
      </c>
      <c r="J22" t="s">
        <v>57</v>
      </c>
      <c r="K22" s="36">
        <f>K16-K21+K20</f>
        <v>227.7</v>
      </c>
      <c r="L22" s="36">
        <f t="shared" ref="L22:O22" si="13">L16-L21+L20</f>
        <v>22.77</v>
      </c>
      <c r="M22" s="36">
        <f t="shared" si="13"/>
        <v>23.9085</v>
      </c>
      <c r="N22" s="36">
        <f t="shared" si="13"/>
        <v>24.147584999999999</v>
      </c>
      <c r="O22" s="36">
        <f t="shared" si="13"/>
        <v>24.38906085</v>
      </c>
      <c r="P22" s="36">
        <f>P16-P21</f>
        <v>-20.999580843124075</v>
      </c>
    </row>
    <row r="23" spans="1:16" x14ac:dyDescent="0.25">
      <c r="A23" t="s">
        <v>23</v>
      </c>
    </row>
    <row r="24" spans="1:16" x14ac:dyDescent="0.25">
      <c r="A24" t="s">
        <v>24</v>
      </c>
      <c r="B24" s="30">
        <v>200</v>
      </c>
      <c r="J24" s="1" t="s">
        <v>58</v>
      </c>
    </row>
    <row r="25" spans="1:16" x14ac:dyDescent="0.25">
      <c r="A25" t="s">
        <v>25</v>
      </c>
      <c r="C25" s="30">
        <v>25</v>
      </c>
      <c r="D25" s="28">
        <v>25</v>
      </c>
      <c r="E25" s="28">
        <v>25</v>
      </c>
      <c r="F25" s="28">
        <v>25</v>
      </c>
      <c r="G25" s="28">
        <v>25</v>
      </c>
      <c r="J25" t="s">
        <v>59</v>
      </c>
      <c r="L25" s="36">
        <f>L7*$B$34</f>
        <v>34.795000000000002</v>
      </c>
      <c r="M25" s="36">
        <f t="shared" ref="M25:P25" si="14">M7*$B$34</f>
        <v>43.493750000000006</v>
      </c>
      <c r="N25" s="36">
        <f t="shared" si="14"/>
        <v>54.367187500000007</v>
      </c>
      <c r="O25" s="36">
        <f t="shared" si="14"/>
        <v>67.958984375000014</v>
      </c>
      <c r="P25" s="36">
        <f t="shared" si="14"/>
        <v>84.948730468750014</v>
      </c>
    </row>
    <row r="26" spans="1:16" x14ac:dyDescent="0.25">
      <c r="A26" s="1" t="s">
        <v>26</v>
      </c>
      <c r="J26" t="s">
        <v>60</v>
      </c>
      <c r="L26" s="35">
        <f>L8*$B$35</f>
        <v>25</v>
      </c>
      <c r="M26" s="35">
        <f t="shared" ref="M26:P26" si="15">M8*$B$35</f>
        <v>25</v>
      </c>
      <c r="N26" s="35">
        <f t="shared" si="15"/>
        <v>25</v>
      </c>
      <c r="O26" s="35">
        <f t="shared" si="15"/>
        <v>25</v>
      </c>
      <c r="P26" s="35">
        <f t="shared" si="15"/>
        <v>25</v>
      </c>
    </row>
    <row r="27" spans="1:16" x14ac:dyDescent="0.25">
      <c r="A27" t="s">
        <v>27</v>
      </c>
      <c r="B27" s="30">
        <v>227.7</v>
      </c>
      <c r="J27" s="2" t="s">
        <v>61</v>
      </c>
      <c r="L27" s="36">
        <f>L25+L26</f>
        <v>59.795000000000002</v>
      </c>
      <c r="M27" s="36">
        <f t="shared" ref="M27:P27" si="16">M25+M26</f>
        <v>68.493750000000006</v>
      </c>
      <c r="N27" s="36">
        <f t="shared" si="16"/>
        <v>79.3671875</v>
      </c>
      <c r="O27" s="36">
        <f t="shared" si="16"/>
        <v>92.958984375000014</v>
      </c>
      <c r="P27" s="36">
        <f t="shared" si="16"/>
        <v>109.94873046875001</v>
      </c>
    </row>
    <row r="28" spans="1:16" x14ac:dyDescent="0.25">
      <c r="A28" t="s">
        <v>28</v>
      </c>
      <c r="C28" s="29">
        <v>0.1</v>
      </c>
      <c r="J28" s="2" t="s">
        <v>63</v>
      </c>
      <c r="L28" s="36">
        <f>$B$37*L5/365</f>
        <v>0.83753808219178072</v>
      </c>
      <c r="M28" s="36">
        <f t="shared" ref="M28:P28" si="17">$B$37*M5/365</f>
        <v>22.864789643835618</v>
      </c>
      <c r="N28" s="36">
        <f t="shared" si="17"/>
        <v>68.420146093857738</v>
      </c>
      <c r="O28" s="36">
        <f t="shared" si="17"/>
        <v>78.59422181801439</v>
      </c>
      <c r="P28" s="36">
        <f t="shared" si="17"/>
        <v>102.49199137088256</v>
      </c>
    </row>
    <row r="29" spans="1:16" x14ac:dyDescent="0.25">
      <c r="A29" t="s">
        <v>29</v>
      </c>
      <c r="D29" s="29">
        <v>0.05</v>
      </c>
      <c r="E29" s="29">
        <v>0.01</v>
      </c>
      <c r="F29" s="29">
        <v>0.01</v>
      </c>
      <c r="G29" s="29">
        <v>0.01</v>
      </c>
      <c r="J29" s="2" t="s">
        <v>64</v>
      </c>
      <c r="L29" s="36">
        <f>$B$40*L4/365</f>
        <v>5.2726027397260271</v>
      </c>
      <c r="M29" s="36">
        <f t="shared" ref="M29:P29" si="18">$B$40*M4/365</f>
        <v>143.94205479452057</v>
      </c>
      <c r="N29" s="36">
        <f t="shared" si="18"/>
        <v>430.72936910864399</v>
      </c>
      <c r="O29" s="36">
        <f t="shared" si="18"/>
        <v>494.77882629509946</v>
      </c>
      <c r="P29" s="36">
        <f t="shared" si="18"/>
        <v>645.22386025469132</v>
      </c>
    </row>
    <row r="30" spans="1:16" x14ac:dyDescent="0.25">
      <c r="A30" t="s">
        <v>30</v>
      </c>
      <c r="B30" s="4">
        <v>0.5</v>
      </c>
      <c r="C30" s="22">
        <v>0.5</v>
      </c>
      <c r="D30" s="22">
        <v>0.5</v>
      </c>
      <c r="E30" s="22">
        <v>0.5</v>
      </c>
      <c r="F30" s="22">
        <v>0.5</v>
      </c>
      <c r="G30" s="22">
        <v>0.5</v>
      </c>
      <c r="J30" s="2" t="s">
        <v>65</v>
      </c>
      <c r="L30" s="36">
        <f>$B$42*L5/365</f>
        <v>6.7997484931506849</v>
      </c>
      <c r="M30" s="36">
        <f t="shared" ref="M30:P30" si="19">$B$42*M5/365</f>
        <v>185.63313386301368</v>
      </c>
      <c r="N30" s="36">
        <f t="shared" si="19"/>
        <v>555.48493279894524</v>
      </c>
      <c r="O30" s="36">
        <f t="shared" si="19"/>
        <v>638.08554230614845</v>
      </c>
      <c r="P30" s="36">
        <f t="shared" si="19"/>
        <v>832.10516477099111</v>
      </c>
    </row>
    <row r="31" spans="1:16" x14ac:dyDescent="0.25">
      <c r="A31" t="s">
        <v>106</v>
      </c>
      <c r="B31" s="30">
        <v>5</v>
      </c>
      <c r="C31" s="28">
        <v>5</v>
      </c>
      <c r="D31" s="28">
        <v>5</v>
      </c>
      <c r="E31" s="28">
        <v>5</v>
      </c>
      <c r="F31" s="28">
        <v>5</v>
      </c>
      <c r="G31" s="28">
        <v>5</v>
      </c>
      <c r="J31" s="39" t="s">
        <v>66</v>
      </c>
      <c r="K31" s="20"/>
      <c r="L31" s="40">
        <f>L27+L28+L29-L30</f>
        <v>59.105392328767124</v>
      </c>
      <c r="M31" s="40">
        <f t="shared" ref="M31:P31" si="20">M27+M28+M29-M30</f>
        <v>49.667460575342517</v>
      </c>
      <c r="N31" s="40">
        <f t="shared" si="20"/>
        <v>23.031769903556551</v>
      </c>
      <c r="O31" s="40">
        <f t="shared" si="20"/>
        <v>28.246490181965441</v>
      </c>
      <c r="P31" s="40">
        <f t="shared" si="20"/>
        <v>25.559417323332809</v>
      </c>
    </row>
    <row r="32" spans="1:16" x14ac:dyDescent="0.25">
      <c r="A32" s="1" t="s">
        <v>31</v>
      </c>
      <c r="J32" s="16" t="s">
        <v>67</v>
      </c>
      <c r="L32" s="37"/>
      <c r="M32" s="37"/>
      <c r="N32" s="37"/>
      <c r="O32" s="37"/>
      <c r="P32" s="36">
        <f>-P27-P28*G38-P29+P30</f>
        <v>51.309576204829114</v>
      </c>
    </row>
    <row r="33" spans="1:16" x14ac:dyDescent="0.25">
      <c r="A33" s="2" t="s">
        <v>32</v>
      </c>
      <c r="J33" s="41" t="s">
        <v>68</v>
      </c>
      <c r="L33" s="36">
        <f t="shared" ref="L33:O33" si="21">L31-K31+L32</f>
        <v>59.105392328767124</v>
      </c>
      <c r="M33" s="36">
        <f t="shared" si="21"/>
        <v>-9.437931753424607</v>
      </c>
      <c r="N33" s="36">
        <f t="shared" si="21"/>
        <v>-26.635690671785966</v>
      </c>
      <c r="O33" s="36">
        <f t="shared" si="21"/>
        <v>5.2147202784088904</v>
      </c>
      <c r="P33" s="36">
        <f>P31-O31+P32</f>
        <v>48.622503346196481</v>
      </c>
    </row>
    <row r="34" spans="1:16" x14ac:dyDescent="0.25">
      <c r="A34" t="s">
        <v>33</v>
      </c>
      <c r="B34" s="4">
        <v>0.5</v>
      </c>
      <c r="C34" s="22">
        <v>0.5</v>
      </c>
      <c r="D34" s="22">
        <v>0.5</v>
      </c>
      <c r="E34" s="22">
        <v>0.5</v>
      </c>
      <c r="F34" s="22">
        <v>0.5</v>
      </c>
      <c r="G34" s="22">
        <v>0.5</v>
      </c>
    </row>
    <row r="35" spans="1:16" x14ac:dyDescent="0.25">
      <c r="A35" t="s">
        <v>34</v>
      </c>
      <c r="B35" s="4">
        <v>1</v>
      </c>
      <c r="C35" s="22">
        <v>1</v>
      </c>
      <c r="D35" s="22">
        <v>1</v>
      </c>
      <c r="E35" s="22">
        <v>1</v>
      </c>
      <c r="F35" s="22">
        <v>1</v>
      </c>
      <c r="G35" s="22">
        <v>1</v>
      </c>
      <c r="K35" s="93" t="s">
        <v>2</v>
      </c>
      <c r="L35" s="94"/>
      <c r="M35" s="94"/>
      <c r="N35" s="94"/>
      <c r="O35" s="94"/>
      <c r="P35" s="95"/>
    </row>
    <row r="36" spans="1:16" x14ac:dyDescent="0.25">
      <c r="A36" s="2" t="s">
        <v>35</v>
      </c>
      <c r="J36" s="1" t="s">
        <v>71</v>
      </c>
      <c r="K36" s="32">
        <v>0</v>
      </c>
      <c r="L36" s="33">
        <v>1</v>
      </c>
      <c r="M36" s="33">
        <v>2</v>
      </c>
      <c r="N36" s="33">
        <v>3</v>
      </c>
      <c r="O36" s="33">
        <v>4</v>
      </c>
      <c r="P36" s="34">
        <v>5</v>
      </c>
    </row>
    <row r="37" spans="1:16" x14ac:dyDescent="0.25">
      <c r="A37" t="s">
        <v>36</v>
      </c>
      <c r="B37" s="26">
        <v>7.58</v>
      </c>
      <c r="C37" s="31">
        <v>7.58</v>
      </c>
      <c r="D37" s="31">
        <v>7.58</v>
      </c>
      <c r="E37" s="31">
        <v>7.58</v>
      </c>
      <c r="F37" s="31">
        <v>7.58</v>
      </c>
      <c r="G37" s="31">
        <v>7.58</v>
      </c>
      <c r="J37" t="str">
        <f>J13</f>
        <v>NOPAT (11)-(12) (aka EBIAT, Unlevered Net Income)</v>
      </c>
      <c r="K37" s="46">
        <f>K13</f>
        <v>-149.1</v>
      </c>
      <c r="L37" s="46">
        <f t="shared" ref="L37:P37" si="22">L13</f>
        <v>-97.257930000000016</v>
      </c>
      <c r="M37" s="46">
        <f t="shared" si="22"/>
        <v>75.973532249999977</v>
      </c>
      <c r="N37" s="46">
        <f t="shared" si="22"/>
        <v>448.30746331547721</v>
      </c>
      <c r="O37" s="46">
        <f t="shared" si="22"/>
        <v>512.01353922905275</v>
      </c>
      <c r="P37" s="46">
        <f t="shared" si="22"/>
        <v>688.74193090941571</v>
      </c>
    </row>
    <row r="38" spans="1:16" x14ac:dyDescent="0.25">
      <c r="A38" t="s">
        <v>37</v>
      </c>
      <c r="G38" s="4">
        <v>0.25</v>
      </c>
      <c r="J38" t="str">
        <f>J18</f>
        <v>Depreciation</v>
      </c>
      <c r="L38" s="46">
        <f t="shared" ref="L38:P38" si="23">L18</f>
        <v>45.54</v>
      </c>
      <c r="M38" s="46">
        <f t="shared" si="23"/>
        <v>50.094000000000001</v>
      </c>
      <c r="N38" s="46">
        <f t="shared" si="23"/>
        <v>54.875699999999995</v>
      </c>
      <c r="O38" s="46">
        <f t="shared" si="23"/>
        <v>59.70521699999999</v>
      </c>
      <c r="P38" s="46">
        <f t="shared" si="23"/>
        <v>64.583029170000003</v>
      </c>
    </row>
    <row r="39" spans="1:16" x14ac:dyDescent="0.25">
      <c r="A39" s="2" t="s">
        <v>38</v>
      </c>
      <c r="J39" t="s">
        <v>72</v>
      </c>
      <c r="K39" s="38">
        <f>K22</f>
        <v>227.7</v>
      </c>
      <c r="L39" s="38">
        <f t="shared" ref="L39:P39" si="24">L22</f>
        <v>22.77</v>
      </c>
      <c r="M39" s="38">
        <f t="shared" si="24"/>
        <v>23.9085</v>
      </c>
      <c r="N39" s="38">
        <f t="shared" si="24"/>
        <v>24.147584999999999</v>
      </c>
      <c r="O39" s="38">
        <f t="shared" si="24"/>
        <v>24.38906085</v>
      </c>
      <c r="P39" s="38">
        <f t="shared" si="24"/>
        <v>-20.999580843124075</v>
      </c>
    </row>
    <row r="40" spans="1:16" x14ac:dyDescent="0.25">
      <c r="A40" t="s">
        <v>40</v>
      </c>
      <c r="B40" s="26">
        <v>38.49</v>
      </c>
      <c r="C40" s="31">
        <v>38.49</v>
      </c>
      <c r="D40" s="31">
        <v>38.49</v>
      </c>
      <c r="E40" s="31">
        <v>38.49</v>
      </c>
      <c r="F40" s="31">
        <v>38.49</v>
      </c>
      <c r="G40" s="31">
        <v>38.49</v>
      </c>
      <c r="J40" t="s">
        <v>73</v>
      </c>
      <c r="L40" s="46">
        <f t="shared" ref="L40:P40" si="25">L33</f>
        <v>59.105392328767124</v>
      </c>
      <c r="M40" s="46">
        <f t="shared" si="25"/>
        <v>-9.437931753424607</v>
      </c>
      <c r="N40" s="46">
        <f t="shared" si="25"/>
        <v>-26.635690671785966</v>
      </c>
      <c r="O40" s="46">
        <f t="shared" si="25"/>
        <v>5.2147202784088904</v>
      </c>
      <c r="P40" s="46">
        <f t="shared" si="25"/>
        <v>48.622503346196481</v>
      </c>
    </row>
    <row r="41" spans="1:16" x14ac:dyDescent="0.25">
      <c r="A41" s="2" t="s">
        <v>39</v>
      </c>
      <c r="J41" s="39" t="s">
        <v>74</v>
      </c>
      <c r="K41" s="40">
        <f>K37+K38-K39-K40</f>
        <v>-376.79999999999995</v>
      </c>
      <c r="L41" s="40">
        <f t="shared" ref="L41:O41" si="26">L37+L38-L39-L40</f>
        <v>-133.59332232876716</v>
      </c>
      <c r="M41" s="40">
        <f t="shared" si="26"/>
        <v>111.59696400342457</v>
      </c>
      <c r="N41" s="40">
        <f t="shared" si="26"/>
        <v>505.67126898726315</v>
      </c>
      <c r="O41" s="40">
        <f t="shared" si="26"/>
        <v>542.11497510064385</v>
      </c>
      <c r="P41" s="40">
        <f>P37+P38-P39-P40</f>
        <v>725.70203757634329</v>
      </c>
    </row>
    <row r="42" spans="1:16" x14ac:dyDescent="0.25">
      <c r="A42" t="s">
        <v>41</v>
      </c>
      <c r="B42" s="26">
        <v>61.54</v>
      </c>
      <c r="C42" s="31">
        <v>61.54</v>
      </c>
      <c r="D42" s="31">
        <v>61.54</v>
      </c>
      <c r="E42" s="31">
        <v>61.54</v>
      </c>
      <c r="F42" s="31">
        <v>61.54</v>
      </c>
      <c r="G42" s="31">
        <v>61.54</v>
      </c>
      <c r="J42" t="s">
        <v>77</v>
      </c>
      <c r="K42" s="36">
        <f>K41</f>
        <v>-376.79999999999995</v>
      </c>
      <c r="L42" s="36">
        <f>K42+L41</f>
        <v>-510.39332232876711</v>
      </c>
      <c r="M42" s="36">
        <f t="shared" ref="M42:P42" si="27">L42+M41</f>
        <v>-398.79635832534257</v>
      </c>
      <c r="N42" s="36">
        <f t="shared" si="27"/>
        <v>106.87491066192058</v>
      </c>
      <c r="O42" s="36">
        <f t="shared" si="27"/>
        <v>648.98988576256443</v>
      </c>
      <c r="P42" s="36">
        <f t="shared" si="27"/>
        <v>1374.6919233389076</v>
      </c>
    </row>
    <row r="43" spans="1:16" x14ac:dyDescent="0.25">
      <c r="A43" s="42" t="s">
        <v>94</v>
      </c>
      <c r="B43" s="45">
        <v>0.2545</v>
      </c>
      <c r="C43" s="22">
        <v>0.2545</v>
      </c>
      <c r="D43" s="22">
        <v>0.2545</v>
      </c>
      <c r="E43" s="22">
        <v>0.2545</v>
      </c>
      <c r="F43" s="22">
        <v>0.2545</v>
      </c>
      <c r="G43" s="22">
        <v>0.2545</v>
      </c>
      <c r="J43" s="41" t="s">
        <v>83</v>
      </c>
      <c r="K43" s="36">
        <f>K41/POWER((1+$B$44),K36)</f>
        <v>-376.79999999999995</v>
      </c>
      <c r="L43" s="36">
        <f t="shared" ref="L43:P43" si="28">L41/POWER((1+$B$44),L36)</f>
        <v>-119.26910305219815</v>
      </c>
      <c r="M43" s="36">
        <f t="shared" si="28"/>
        <v>88.94853208127634</v>
      </c>
      <c r="N43" s="36">
        <f t="shared" si="28"/>
        <v>359.83042939525069</v>
      </c>
      <c r="O43" s="36">
        <f t="shared" si="28"/>
        <v>344.40085047246839</v>
      </c>
      <c r="P43" s="36">
        <f t="shared" si="28"/>
        <v>411.59904298241167</v>
      </c>
    </row>
    <row r="44" spans="1:16" x14ac:dyDescent="0.25">
      <c r="A44" s="1" t="s">
        <v>87</v>
      </c>
      <c r="B44" s="45">
        <v>0.1201</v>
      </c>
      <c r="J44" t="s">
        <v>84</v>
      </c>
      <c r="K44" s="36">
        <f>K43</f>
        <v>-376.79999999999995</v>
      </c>
      <c r="L44" s="36">
        <f>K44+L43</f>
        <v>-496.0691030521981</v>
      </c>
      <c r="M44" s="36">
        <f t="shared" ref="M44:P44" si="29">L44+M43</f>
        <v>-407.12057097092179</v>
      </c>
      <c r="N44" s="36">
        <f t="shared" si="29"/>
        <v>-47.2901415756711</v>
      </c>
      <c r="O44" s="36">
        <f t="shared" si="29"/>
        <v>297.11070889679729</v>
      </c>
      <c r="P44" s="36">
        <f t="shared" si="29"/>
        <v>708.70975187920897</v>
      </c>
    </row>
    <row r="47" spans="1:16" x14ac:dyDescent="0.25">
      <c r="K47" s="93" t="s">
        <v>2</v>
      </c>
      <c r="L47" s="94"/>
      <c r="M47" s="94"/>
      <c r="N47" s="94"/>
      <c r="O47" s="94"/>
      <c r="P47" s="95"/>
    </row>
    <row r="48" spans="1:16" x14ac:dyDescent="0.25">
      <c r="J48" s="1" t="s">
        <v>78</v>
      </c>
      <c r="K48" s="32">
        <v>0</v>
      </c>
      <c r="L48" s="33">
        <v>1</v>
      </c>
      <c r="M48" s="33">
        <v>2</v>
      </c>
      <c r="N48" s="33">
        <v>3</v>
      </c>
      <c r="O48" s="33">
        <v>4</v>
      </c>
      <c r="P48" s="34">
        <v>5</v>
      </c>
    </row>
    <row r="49" spans="10:23" x14ac:dyDescent="0.25">
      <c r="J49" s="2" t="s">
        <v>79</v>
      </c>
      <c r="K49" s="36">
        <f>NPV($B$44,$K$41:$P$41)</f>
        <v>632.72007131435475</v>
      </c>
    </row>
    <row r="50" spans="10:23" x14ac:dyDescent="0.25">
      <c r="J50" s="2" t="s">
        <v>80</v>
      </c>
      <c r="K50" s="44">
        <f>IRR(K41:P41,12%)</f>
        <v>0.43722573645202489</v>
      </c>
      <c r="L50" s="36">
        <f>NPV(K50,K41:P41)</f>
        <v>2.966309540966747E-13</v>
      </c>
      <c r="O50" t="s">
        <v>104</v>
      </c>
    </row>
    <row r="51" spans="10:23" x14ac:dyDescent="0.25">
      <c r="J51" s="2" t="s">
        <v>81</v>
      </c>
      <c r="K51" s="37">
        <v>3</v>
      </c>
      <c r="L51" s="92" t="s">
        <v>82</v>
      </c>
      <c r="M51" s="92"/>
      <c r="N51" s="43"/>
    </row>
    <row r="52" spans="10:23" x14ac:dyDescent="0.25">
      <c r="J52" s="41" t="s">
        <v>85</v>
      </c>
      <c r="K52" s="37">
        <v>4</v>
      </c>
      <c r="L52" s="92" t="s">
        <v>86</v>
      </c>
      <c r="M52" s="92"/>
    </row>
    <row r="54" spans="10:23" x14ac:dyDescent="0.25">
      <c r="K54" s="48" t="s">
        <v>88</v>
      </c>
      <c r="L54" s="59" t="s">
        <v>89</v>
      </c>
      <c r="N54" s="83"/>
      <c r="O54" s="49" t="s">
        <v>109</v>
      </c>
      <c r="P54" s="49" t="s">
        <v>88</v>
      </c>
      <c r="Q54" s="59" t="s">
        <v>110</v>
      </c>
      <c r="S54" s="83"/>
      <c r="T54" s="49" t="s">
        <v>111</v>
      </c>
      <c r="U54" s="49" t="s">
        <v>88</v>
      </c>
      <c r="V54" s="49" t="s">
        <v>112</v>
      </c>
      <c r="W54" s="85" t="s">
        <v>113</v>
      </c>
    </row>
    <row r="55" spans="10:23" x14ac:dyDescent="0.25">
      <c r="J55" s="86" t="s">
        <v>91</v>
      </c>
      <c r="K55" s="50">
        <f>$B$44</f>
        <v>0.1201</v>
      </c>
      <c r="L55" s="60">
        <v>0.43719999999999998</v>
      </c>
      <c r="N55" s="83"/>
      <c r="O55" s="67">
        <v>0.15010000000000001</v>
      </c>
      <c r="P55" s="68">
        <v>0.1201</v>
      </c>
      <c r="Q55" s="69">
        <v>9.6100000000000005E-2</v>
      </c>
      <c r="S55" s="83"/>
      <c r="T55" s="51">
        <f>U55*(1-0.01)</f>
        <v>0.11889899999999999</v>
      </c>
      <c r="U55" s="68">
        <v>0.1201</v>
      </c>
      <c r="V55" s="51">
        <f>U55*(1+0.01)</f>
        <v>0.12130100000000001</v>
      </c>
      <c r="W55" s="89"/>
    </row>
    <row r="56" spans="10:23" x14ac:dyDescent="0.25">
      <c r="J56" s="87"/>
      <c r="K56" s="52">
        <f>$K$49</f>
        <v>632.72007131435475</v>
      </c>
      <c r="L56" s="61">
        <f>$L$50</f>
        <v>2.966309540966747E-13</v>
      </c>
      <c r="N56" s="53">
        <f>$K$49</f>
        <v>632.72007131435475</v>
      </c>
      <c r="O56" s="71">
        <f t="dataTable" ref="O56:Q56" dt2D="0" dtr="1" r1="B44" ca="1"/>
        <v>516.74163538078051</v>
      </c>
      <c r="P56" s="71">
        <v>632.72007131435475</v>
      </c>
      <c r="Q56" s="72">
        <v>741.21084443025018</v>
      </c>
      <c r="S56" s="53">
        <f>$K$49</f>
        <v>632.72007131435475</v>
      </c>
      <c r="T56" s="71">
        <f t="dataTable" ref="T56:V56" dt2D="0" dtr="1" r1="B44" ca="1"/>
        <v>637.79443006701399</v>
      </c>
      <c r="U56" s="71">
        <v>632.72007131435475</v>
      </c>
      <c r="V56" s="71">
        <v>627.68103517884333</v>
      </c>
      <c r="W56" s="88">
        <f>(V56-T56)/(V55-T55)*(0.5*(V55+T55))/(0.5*(V56+T56))</f>
        <v>-0.79917747644406201</v>
      </c>
    </row>
    <row r="57" spans="10:23" x14ac:dyDescent="0.25">
      <c r="J57" s="87" t="s">
        <v>92</v>
      </c>
      <c r="K57" s="53">
        <f>$B$27</f>
        <v>227.7</v>
      </c>
      <c r="L57" s="62">
        <v>904.52</v>
      </c>
      <c r="N57" s="84"/>
      <c r="O57" s="73">
        <v>284</v>
      </c>
      <c r="P57" s="70">
        <v>227.7</v>
      </c>
      <c r="Q57" s="74">
        <v>185</v>
      </c>
      <c r="S57" s="84"/>
      <c r="T57" s="58">
        <f>U57*(1-0.01)</f>
        <v>225.42299999999997</v>
      </c>
      <c r="U57" s="70">
        <v>227.7</v>
      </c>
      <c r="V57" s="58">
        <f>U57*(1+0.01)</f>
        <v>229.977</v>
      </c>
      <c r="W57" s="89"/>
    </row>
    <row r="58" spans="10:23" x14ac:dyDescent="0.25">
      <c r="J58" s="87"/>
      <c r="K58" s="52">
        <f>$K$49</f>
        <v>632.72007131435475</v>
      </c>
      <c r="L58" s="61">
        <f>$L$50</f>
        <v>2.966309540966747E-13</v>
      </c>
      <c r="N58" s="53">
        <f>$K$49</f>
        <v>632.72007131435475</v>
      </c>
      <c r="O58" s="71">
        <f t="dataTable" ref="O58:Q58" dt2D="0" dtr="1" r1="B27" ca="1"/>
        <v>580.08822925366951</v>
      </c>
      <c r="P58" s="71">
        <v>632.72007131435475</v>
      </c>
      <c r="Q58" s="72">
        <v>672.63800481331134</v>
      </c>
      <c r="S58" s="53">
        <f>$K$49</f>
        <v>632.72007131435475</v>
      </c>
      <c r="T58" s="71">
        <f t="dataTable" ref="T58:V58" dt2D="0" dtr="1" r1="B27" ca="1"/>
        <v>634.84871615222664</v>
      </c>
      <c r="U58" s="71">
        <v>632.72007131435475</v>
      </c>
      <c r="V58" s="71">
        <v>630.59142647648309</v>
      </c>
      <c r="W58" s="88">
        <f>(V58-T58)/(V57-T57)*(0.5*(V57+T57))/(0.5*(V58+T58))</f>
        <v>-0.33642758217704527</v>
      </c>
    </row>
    <row r="59" spans="10:23" x14ac:dyDescent="0.25">
      <c r="J59" s="87" t="s">
        <v>93</v>
      </c>
      <c r="K59" s="54">
        <f>$B$30</f>
        <v>0.5</v>
      </c>
      <c r="L59" s="63">
        <v>-22.539300000000001</v>
      </c>
      <c r="N59" s="84"/>
      <c r="O59" s="75">
        <v>0.3</v>
      </c>
      <c r="P59" s="76">
        <v>0.5</v>
      </c>
      <c r="Q59" s="77">
        <v>0.75</v>
      </c>
      <c r="S59" s="84"/>
      <c r="T59" s="51">
        <f>U59*(1-0.01)</f>
        <v>0.495</v>
      </c>
      <c r="U59" s="76">
        <v>0.5</v>
      </c>
      <c r="V59" s="51">
        <f>U59*(1+0.01)</f>
        <v>0.505</v>
      </c>
      <c r="W59" s="89"/>
    </row>
    <row r="60" spans="10:23" x14ac:dyDescent="0.25">
      <c r="J60" s="87"/>
      <c r="K60" s="52">
        <f>$K$49</f>
        <v>632.72007131435475</v>
      </c>
      <c r="L60" s="61">
        <f>$L$50</f>
        <v>2.966309540966747E-13</v>
      </c>
      <c r="N60" s="53">
        <f>$K$49</f>
        <v>632.72007131435475</v>
      </c>
      <c r="O60" s="71">
        <f t="dataTable" ref="O60:Q60" dt2D="0" dtr="1" r1="B30" ca="1"/>
        <v>627.22756253264663</v>
      </c>
      <c r="P60" s="71">
        <v>632.72007131435475</v>
      </c>
      <c r="Q60" s="72">
        <v>639.58570729148994</v>
      </c>
      <c r="S60" s="53">
        <f>$K$49</f>
        <v>632.72007131435475</v>
      </c>
      <c r="T60" s="71">
        <f t="dataTable" ref="T60:V60" dt2D="0" dtr="1" r1="B30" ca="1"/>
        <v>632.58275859481205</v>
      </c>
      <c r="U60" s="71">
        <v>632.72007131435475</v>
      </c>
      <c r="V60" s="71">
        <v>632.85738403389757</v>
      </c>
      <c r="W60" s="88">
        <f>(V60-T60)/(V59-T59)*(0.5*(V59+T59))/(0.5*(V60+T60))</f>
        <v>2.1701969918153822E-2</v>
      </c>
    </row>
    <row r="61" spans="10:23" x14ac:dyDescent="0.25">
      <c r="J61" s="87" t="s">
        <v>105</v>
      </c>
      <c r="K61" s="55">
        <f>$B$31</f>
        <v>5</v>
      </c>
      <c r="L61" s="64">
        <v>0.32</v>
      </c>
      <c r="N61" s="84"/>
      <c r="O61" s="73">
        <v>3</v>
      </c>
      <c r="P61" s="78">
        <v>5</v>
      </c>
      <c r="Q61" s="74">
        <v>7</v>
      </c>
      <c r="S61" s="84"/>
      <c r="T61" s="58">
        <f>U61*(1-0.01)</f>
        <v>4.95</v>
      </c>
      <c r="U61" s="78">
        <v>5</v>
      </c>
      <c r="V61" s="58">
        <f>U61*(1+0.01)</f>
        <v>5.05</v>
      </c>
      <c r="W61" s="89"/>
    </row>
    <row r="62" spans="10:23" x14ac:dyDescent="0.25">
      <c r="J62" s="87"/>
      <c r="K62" s="52">
        <f>$K$49</f>
        <v>632.72007131435475</v>
      </c>
      <c r="L62" s="61">
        <f>$L$50</f>
        <v>2.966309540966747E-13</v>
      </c>
      <c r="N62" s="53">
        <f>$K$49</f>
        <v>632.72007131435475</v>
      </c>
      <c r="O62" s="71">
        <f t="dataTable" ref="O62:Q62" dt2D="0" dtr="1" r1="B31" ca="1"/>
        <v>603.94897247822576</v>
      </c>
      <c r="P62" s="71">
        <v>632.72007131435475</v>
      </c>
      <c r="Q62" s="72">
        <v>645.05054224412447</v>
      </c>
      <c r="S62" s="53">
        <f>$K$49</f>
        <v>632.72007131435475</v>
      </c>
      <c r="T62" s="71">
        <f t="dataTable" ref="T62:V62" dt2D="0" dtr="1" r1="B31" ca="1"/>
        <v>632.28414557441363</v>
      </c>
      <c r="U62" s="71">
        <v>632.72007131435475</v>
      </c>
      <c r="V62" s="71">
        <v>633.14736486142624</v>
      </c>
      <c r="W62" s="88">
        <f>(V62-T62)/(V61-T61)*(0.5*(V61+T61))/(0.5*(V62+T62))</f>
        <v>6.8215409517920489E-2</v>
      </c>
    </row>
    <row r="63" spans="10:23" x14ac:dyDescent="0.25">
      <c r="J63" s="87" t="s">
        <v>103</v>
      </c>
      <c r="K63" s="56">
        <f>$C$5</f>
        <v>1</v>
      </c>
      <c r="L63" s="64">
        <v>0.52</v>
      </c>
      <c r="N63" s="84"/>
      <c r="O63" s="79">
        <v>0.5</v>
      </c>
      <c r="P63" s="80">
        <v>1</v>
      </c>
      <c r="Q63" s="74">
        <v>2</v>
      </c>
      <c r="S63" s="84"/>
      <c r="T63" s="58">
        <f>U63*(1-0.01)</f>
        <v>0.99</v>
      </c>
      <c r="U63" s="80">
        <v>1</v>
      </c>
      <c r="V63" s="58">
        <f>U63*(1+0.01)</f>
        <v>1.01</v>
      </c>
      <c r="W63" s="89"/>
    </row>
    <row r="64" spans="10:23" x14ac:dyDescent="0.25">
      <c r="J64" s="87"/>
      <c r="K64" s="52">
        <f>$K$49</f>
        <v>632.72007131435475</v>
      </c>
      <c r="L64" s="61">
        <f>$L$50</f>
        <v>2.966309540966747E-13</v>
      </c>
      <c r="N64" s="53">
        <f>$K$49</f>
        <v>632.72007131435475</v>
      </c>
      <c r="O64" s="71">
        <f t="dataTable" ref="O64:Q64" dt2D="0" dtr="1" r1="C5" ca="1"/>
        <v>-27.608783269856886</v>
      </c>
      <c r="P64" s="71">
        <v>632.72007131435475</v>
      </c>
      <c r="Q64" s="72">
        <v>1953.3777804827782</v>
      </c>
      <c r="S64" s="53">
        <f>$K$49</f>
        <v>632.72007131435475</v>
      </c>
      <c r="T64" s="71">
        <f t="dataTable" ref="T64:V64" dt2D="0" dtr="1" r1="C5" ca="1"/>
        <v>619.51349422267049</v>
      </c>
      <c r="U64" s="71">
        <v>632.72007131435475</v>
      </c>
      <c r="V64" s="71">
        <v>645.92664840603959</v>
      </c>
      <c r="W64" s="88">
        <f>(V64-T64)/(V63-T63)*(0.5*(V63+T63))/(0.5*(V64+T64))</f>
        <v>2.0872701357885486</v>
      </c>
    </row>
    <row r="65" spans="10:23" x14ac:dyDescent="0.25">
      <c r="J65" s="87" t="s">
        <v>102</v>
      </c>
      <c r="K65" s="54">
        <f>$D$6</f>
        <v>25</v>
      </c>
      <c r="L65" s="63">
        <v>12.49</v>
      </c>
      <c r="N65" s="84"/>
      <c r="O65" s="75">
        <v>10</v>
      </c>
      <c r="P65" s="76">
        <v>25</v>
      </c>
      <c r="Q65" s="77">
        <v>50</v>
      </c>
      <c r="S65" s="84"/>
      <c r="T65" s="51">
        <f>U65*(1-0.01)</f>
        <v>24.75</v>
      </c>
      <c r="U65" s="76">
        <v>25</v>
      </c>
      <c r="V65" s="51">
        <f>U65*(1+0.01)</f>
        <v>25.25</v>
      </c>
      <c r="W65" s="89"/>
    </row>
    <row r="66" spans="10:23" x14ac:dyDescent="0.25">
      <c r="J66" s="87"/>
      <c r="K66" s="52">
        <f>$K$49</f>
        <v>632.72007131435475</v>
      </c>
      <c r="L66" s="61">
        <f>$L$50</f>
        <v>2.966309540966747E-13</v>
      </c>
      <c r="N66" s="53">
        <f>$K$49</f>
        <v>632.72007131435475</v>
      </c>
      <c r="O66" s="71">
        <f t="dataTable" ref="O66:Q66" dt2D="0" dtr="1" r1="D6" ca="1"/>
        <v>-125.84887563372976</v>
      </c>
      <c r="P66" s="71">
        <v>632.72007131435475</v>
      </c>
      <c r="Q66" s="72">
        <v>1897.0016495611628</v>
      </c>
      <c r="S66" s="53">
        <f>$K$49</f>
        <v>632.72007131435475</v>
      </c>
      <c r="T66" s="71">
        <f t="dataTable" ref="T66:V66" dt2D="0" dtr="1" r1="D6" ca="1"/>
        <v>620.07725553188709</v>
      </c>
      <c r="U66" s="71">
        <v>632.72007131435475</v>
      </c>
      <c r="V66" s="71">
        <v>645.36288709682276</v>
      </c>
      <c r="W66" s="88">
        <f>(V66-T66)/(V65-T65)*(0.5*(V65+T65))/(0.5*(V66+T66))</f>
        <v>1.9981689147627011</v>
      </c>
    </row>
    <row r="67" spans="10:23" x14ac:dyDescent="0.25">
      <c r="J67" s="87" t="s">
        <v>101</v>
      </c>
      <c r="K67" s="54">
        <f>$C$10</f>
        <v>0.25</v>
      </c>
      <c r="L67" s="65">
        <v>0.13</v>
      </c>
      <c r="N67" s="84"/>
      <c r="O67" s="67">
        <v>0.15</v>
      </c>
      <c r="P67" s="76">
        <v>0.25</v>
      </c>
      <c r="Q67" s="69">
        <v>0.35</v>
      </c>
      <c r="S67" s="84"/>
      <c r="T67" s="51">
        <f>U67*(1-0.01)</f>
        <v>0.2475</v>
      </c>
      <c r="U67" s="76">
        <v>0.25</v>
      </c>
      <c r="V67" s="51">
        <f>U67*(1+0.01)</f>
        <v>0.2525</v>
      </c>
      <c r="W67" s="89"/>
    </row>
    <row r="68" spans="10:23" x14ac:dyDescent="0.25">
      <c r="J68" s="87"/>
      <c r="K68" s="52">
        <f>$K$49</f>
        <v>632.72007131435475</v>
      </c>
      <c r="L68" s="61">
        <f>$L$50</f>
        <v>2.966309540966747E-13</v>
      </c>
      <c r="N68" s="53">
        <f>$K$49</f>
        <v>632.72007131435475</v>
      </c>
      <c r="O68" s="71">
        <f t="dataTable" ref="O68:Q68" dt2D="0" dtr="1" r1="C10" ca="1"/>
        <v>104.45698764698555</v>
      </c>
      <c r="P68" s="71">
        <v>632.72007131435475</v>
      </c>
      <c r="Q68" s="72">
        <v>1160.9831549817247</v>
      </c>
      <c r="S68" s="53">
        <f>$K$49</f>
        <v>632.72007131435475</v>
      </c>
      <c r="T68" s="71">
        <f t="dataTable" ref="T68:V68" dt2D="0" dtr="1" r1="C10" ca="1"/>
        <v>619.51349422267117</v>
      </c>
      <c r="U68" s="71">
        <v>632.72007131435475</v>
      </c>
      <c r="V68" s="71">
        <v>645.92664840603959</v>
      </c>
      <c r="W68" s="88">
        <f>(V68-T68)/(V67-T67)*(0.5*(V67+T67))/(0.5*(V68+T68))</f>
        <v>2.0872701357884935</v>
      </c>
    </row>
    <row r="69" spans="10:23" x14ac:dyDescent="0.25">
      <c r="J69" s="87" t="s">
        <v>107</v>
      </c>
      <c r="K69" s="54">
        <f>$D$11</f>
        <v>0.05</v>
      </c>
      <c r="L69" s="65">
        <v>-0.1777</v>
      </c>
      <c r="N69" s="84"/>
      <c r="O69" s="67">
        <v>0.01</v>
      </c>
      <c r="P69" s="76">
        <v>0.05</v>
      </c>
      <c r="Q69" s="69">
        <v>0.08</v>
      </c>
      <c r="S69" s="84"/>
      <c r="T69" s="51">
        <f>U69*(1-0.01)</f>
        <v>4.9500000000000002E-2</v>
      </c>
      <c r="U69" s="76">
        <v>0.05</v>
      </c>
      <c r="V69" s="51">
        <f>U69*(1+0.01)</f>
        <v>5.0500000000000003E-2</v>
      </c>
      <c r="W69" s="89"/>
    </row>
    <row r="70" spans="10:23" x14ac:dyDescent="0.25">
      <c r="J70" s="87"/>
      <c r="K70" s="52">
        <f>$K$49</f>
        <v>632.72007131435475</v>
      </c>
      <c r="L70" s="61">
        <f>$L$50</f>
        <v>2.966309540966747E-13</v>
      </c>
      <c r="N70" s="53">
        <f>$K$49</f>
        <v>632.72007131435475</v>
      </c>
      <c r="O70" s="71">
        <f t="dataTable" ref="O70:Q70" dt2D="0" dtr="1" r1="D11" ca="1"/>
        <v>497.77122835676784</v>
      </c>
      <c r="P70" s="71">
        <v>632.72007131435475</v>
      </c>
      <c r="Q70" s="72">
        <v>741.49125997284239</v>
      </c>
      <c r="S70" s="53">
        <f>$K$49</f>
        <v>632.72007131435475</v>
      </c>
      <c r="T70" s="71">
        <f t="dataTable" ref="T70:V70" dt2D="0" dtr="1" r1="D11"/>
        <v>630.96316328657645</v>
      </c>
      <c r="U70" s="71">
        <v>632.72007131435475</v>
      </c>
      <c r="V70" s="71">
        <v>634.47878773781861</v>
      </c>
      <c r="W70" s="88">
        <f>(V70-T70)/(V69-T69)*(0.5*(V69+T69))/(0.5*(V70+T70))</f>
        <v>0.27781791558247337</v>
      </c>
    </row>
    <row r="71" spans="10:23" x14ac:dyDescent="0.25">
      <c r="J71" s="87" t="s">
        <v>100</v>
      </c>
      <c r="K71" s="55">
        <f>$C$14</f>
        <v>200</v>
      </c>
      <c r="L71" s="64">
        <v>77.34</v>
      </c>
      <c r="N71" s="84"/>
      <c r="O71" s="73">
        <v>175</v>
      </c>
      <c r="P71" s="78">
        <v>200</v>
      </c>
      <c r="Q71" s="74">
        <v>250</v>
      </c>
      <c r="S71" s="84"/>
      <c r="T71" s="58">
        <f>U71*(1-0.01)</f>
        <v>198</v>
      </c>
      <c r="U71" s="78">
        <v>200</v>
      </c>
      <c r="V71" s="58">
        <f>U71*(1+0.01)</f>
        <v>202</v>
      </c>
      <c r="W71" s="89"/>
    </row>
    <row r="72" spans="10:23" x14ac:dyDescent="0.25">
      <c r="J72" s="87"/>
      <c r="K72" s="52">
        <f>$K$49</f>
        <v>632.72007131435475</v>
      </c>
      <c r="L72" s="61">
        <f>$L$50</f>
        <v>2.966309540966747E-13</v>
      </c>
      <c r="N72" s="53">
        <f>$K$49</f>
        <v>632.72007131435475</v>
      </c>
      <c r="O72" s="71">
        <f t="dataTable" ref="O72:Q72" dt2D="0" dtr="1" r1="C14" ca="1"/>
        <v>503.76314952918494</v>
      </c>
      <c r="P72" s="71">
        <v>632.72007131435475</v>
      </c>
      <c r="Q72" s="72">
        <v>890.63391488469506</v>
      </c>
      <c r="S72" s="53">
        <f>$K$49</f>
        <v>632.72007131435475</v>
      </c>
      <c r="T72" s="71">
        <f t="dataTable" ref="T72:V72" dt2D="0" dtr="1" r1="C14" ca="1"/>
        <v>622.4035175715411</v>
      </c>
      <c r="U72" s="71">
        <v>632.72007131435475</v>
      </c>
      <c r="V72" s="71">
        <v>643.03662505716864</v>
      </c>
      <c r="W72" s="88">
        <f>(V72-T72)/(V71-T71)*(0.5*(V71+T71))/(0.5*(V72+T72))</f>
        <v>1.6305083733764127</v>
      </c>
    </row>
    <row r="73" spans="10:23" x14ac:dyDescent="0.25">
      <c r="J73" s="87" t="s">
        <v>99</v>
      </c>
      <c r="K73" s="57">
        <f>$E$15</f>
        <v>49.99</v>
      </c>
      <c r="L73" s="66">
        <v>-59.45</v>
      </c>
      <c r="N73" s="84"/>
      <c r="O73" s="79">
        <v>24.99</v>
      </c>
      <c r="P73" s="81">
        <v>49.99</v>
      </c>
      <c r="Q73" s="82">
        <v>99.99</v>
      </c>
      <c r="S73" s="84"/>
      <c r="T73" s="58">
        <f>U73*(1-0.01)</f>
        <v>49.490099999999998</v>
      </c>
      <c r="U73" s="81">
        <v>49.99</v>
      </c>
      <c r="V73" s="58">
        <f>U73*(1+0.01)</f>
        <v>50.489900000000006</v>
      </c>
      <c r="W73" s="89"/>
    </row>
    <row r="74" spans="10:23" x14ac:dyDescent="0.25">
      <c r="J74" s="87"/>
      <c r="K74" s="52">
        <f>$K$49</f>
        <v>632.72007131435475</v>
      </c>
      <c r="L74" s="61">
        <f>$L$50</f>
        <v>2.966309540966747E-13</v>
      </c>
      <c r="N74" s="53">
        <f>$K$49</f>
        <v>632.72007131435475</v>
      </c>
      <c r="O74" s="71">
        <f t="dataTable" ref="O74:Q74" dt2D="0" dtr="1" r1="E15" ca="1"/>
        <v>488.18999785613113</v>
      </c>
      <c r="P74" s="71">
        <v>632.72007131435475</v>
      </c>
      <c r="Q74" s="72">
        <v>921.78021823080246</v>
      </c>
      <c r="S74" s="53">
        <f>$K$49</f>
        <v>632.72007131435475</v>
      </c>
      <c r="T74" s="71">
        <f t="dataTable" ref="T74:V74" dt2D="0" dtr="1" r1="E15" ca="1"/>
        <v>629.83004796548448</v>
      </c>
      <c r="U74" s="71">
        <v>632.72007131435475</v>
      </c>
      <c r="V74" s="71">
        <v>635.6100946632256</v>
      </c>
      <c r="W74" s="88">
        <f>(V74-T74)/(V73-T73)*(0.5*(V73+T73))/(0.5*(V74+T74))</f>
        <v>0.45676176241209865</v>
      </c>
    </row>
    <row r="75" spans="10:23" x14ac:dyDescent="0.25">
      <c r="J75" s="87" t="s">
        <v>94</v>
      </c>
      <c r="K75" s="54">
        <f>$B$43</f>
        <v>0.2545</v>
      </c>
      <c r="L75" s="60">
        <v>0.88039999999999996</v>
      </c>
      <c r="N75" s="84"/>
      <c r="O75" s="75">
        <v>0.35</v>
      </c>
      <c r="P75" s="76">
        <v>0.2545</v>
      </c>
      <c r="Q75" s="69">
        <v>0.125</v>
      </c>
      <c r="S75" s="84"/>
      <c r="T75" s="51">
        <f>U75*(1-0.01)</f>
        <v>0.25195499999999998</v>
      </c>
      <c r="U75" s="76">
        <v>0.2545</v>
      </c>
      <c r="V75" s="51">
        <f>U75*(1+0.01)</f>
        <v>0.25704500000000002</v>
      </c>
      <c r="W75" s="89"/>
    </row>
    <row r="76" spans="10:23" x14ac:dyDescent="0.25">
      <c r="J76" s="87"/>
      <c r="K76" s="52">
        <f>$K$49</f>
        <v>632.72007131435475</v>
      </c>
      <c r="L76" s="61">
        <f>$L$50</f>
        <v>2.966309540966747E-13</v>
      </c>
      <c r="N76" s="53">
        <f>$K$49</f>
        <v>632.72007131435475</v>
      </c>
      <c r="O76" s="71">
        <f t="dataTable" ref="O76:Q76" dt2D="0" dtr="1" r1="B43" ca="1"/>
        <v>536.1753274964077</v>
      </c>
      <c r="P76" s="71">
        <v>632.72007131435475</v>
      </c>
      <c r="Q76" s="72">
        <v>763.63676581094273</v>
      </c>
      <c r="S76" s="53">
        <f>$K$49</f>
        <v>632.72007131435475</v>
      </c>
      <c r="T76" s="71">
        <f t="dataTable" ref="T76:V76" dt2D="0" dtr="1" r1="B43" ca="1"/>
        <v>635.29291291662378</v>
      </c>
      <c r="U76" s="71">
        <v>632.72007131435475</v>
      </c>
      <c r="V76" s="71">
        <v>630.14722971208585</v>
      </c>
      <c r="W76" s="88">
        <f>(V76-T76)/(V75-T75)*(0.5*(V75+T75))/(0.5*(V76+T76))</f>
        <v>-0.40663189282495193</v>
      </c>
    </row>
    <row r="77" spans="10:23" x14ac:dyDescent="0.25">
      <c r="J77" s="87" t="s">
        <v>98</v>
      </c>
      <c r="K77" s="54">
        <f>$B$19</f>
        <v>0.80659999999999998</v>
      </c>
      <c r="L77" s="60">
        <v>0.89790000000000003</v>
      </c>
      <c r="N77" s="84"/>
      <c r="O77" s="67">
        <v>0.84299999999999997</v>
      </c>
      <c r="P77" s="76">
        <v>0.80659999999999998</v>
      </c>
      <c r="Q77" s="69">
        <v>0.74250000000000005</v>
      </c>
      <c r="S77" s="84"/>
      <c r="T77" s="51">
        <f>U77*(1-0.01)</f>
        <v>0.79853399999999997</v>
      </c>
      <c r="U77" s="76">
        <v>0.80659999999999998</v>
      </c>
      <c r="V77" s="51">
        <f>U77*(1+0.01)</f>
        <v>0.814666</v>
      </c>
      <c r="W77" s="89"/>
    </row>
    <row r="78" spans="10:23" x14ac:dyDescent="0.25">
      <c r="J78" s="87"/>
      <c r="K78" s="52">
        <f>$K$49</f>
        <v>632.72007131435475</v>
      </c>
      <c r="L78" s="61">
        <f>$L$50</f>
        <v>2.966309540966747E-13</v>
      </c>
      <c r="N78" s="53">
        <f>$K$49</f>
        <v>632.72007131435475</v>
      </c>
      <c r="O78" s="71">
        <f t="dataTable" ref="O78:Q78" dt2D="0" dtr="1" r1="B19" ca="1"/>
        <v>380.43598985672003</v>
      </c>
      <c r="P78" s="71">
        <v>632.72007131435475</v>
      </c>
      <c r="Q78" s="72">
        <v>1076.9895664087069</v>
      </c>
      <c r="S78" s="53">
        <f>$K$49</f>
        <v>632.72007131435475</v>
      </c>
      <c r="T78" s="71">
        <f t="dataTable" ref="T78:V78" dt2D="0" dtr="1" r1="B19" ca="1"/>
        <v>688.62456035384116</v>
      </c>
      <c r="U78" s="71">
        <v>632.72007131435475</v>
      </c>
      <c r="V78" s="71">
        <v>576.81558227486903</v>
      </c>
      <c r="W78" s="88">
        <f>(V78-T78)/(V77-T77)*(0.5*(V77+T77))/(0.5*(V78+T78))</f>
        <v>-8.8355801521129305</v>
      </c>
    </row>
    <row r="79" spans="10:23" x14ac:dyDescent="0.25">
      <c r="J79" s="87" t="s">
        <v>108</v>
      </c>
      <c r="K79" s="57">
        <f>$C$21</f>
        <v>69.59</v>
      </c>
      <c r="L79" s="66">
        <v>229.86</v>
      </c>
      <c r="N79" s="84"/>
      <c r="O79" s="73">
        <v>45</v>
      </c>
      <c r="P79" s="81">
        <v>69.59</v>
      </c>
      <c r="Q79" s="74">
        <v>85</v>
      </c>
      <c r="S79" s="84"/>
      <c r="T79" s="58">
        <f>U79*(1-0.01)</f>
        <v>68.894100000000009</v>
      </c>
      <c r="U79" s="81">
        <v>69.59</v>
      </c>
      <c r="V79" s="58">
        <f>U79*(1+0.01)</f>
        <v>70.285899999999998</v>
      </c>
      <c r="W79" s="89"/>
    </row>
    <row r="80" spans="10:23" x14ac:dyDescent="0.25">
      <c r="J80" s="87"/>
      <c r="K80" s="52">
        <f>$K$49</f>
        <v>632.72007131435475</v>
      </c>
      <c r="L80" s="61">
        <f>$L$50</f>
        <v>2.966309540966747E-13</v>
      </c>
      <c r="N80" s="53">
        <f>$K$49</f>
        <v>632.72007131435475</v>
      </c>
      <c r="O80" s="71">
        <f t="dataTable" ref="O80:Q80" dt2D="0" dtr="1" r1="C21" ca="1"/>
        <v>729.79641183941214</v>
      </c>
      <c r="P80" s="71">
        <v>632.72007131435475</v>
      </c>
      <c r="Q80" s="72">
        <v>571.88451183931898</v>
      </c>
      <c r="S80" s="53">
        <f>$K$49</f>
        <v>632.72007131435475</v>
      </c>
      <c r="T80" s="71">
        <f t="dataTable" ref="T80:V80" dt2D="0" dtr="1" r1="C21" ca="1"/>
        <v>635.46734359460652</v>
      </c>
      <c r="U80" s="71">
        <v>632.72007131435475</v>
      </c>
      <c r="V80" s="71">
        <v>629.97279903410333</v>
      </c>
      <c r="W80" s="88">
        <f>(V80-T80)/(V79-T79)*(0.5*(V79+T79))/(0.5*(V80+T80))</f>
        <v>-0.43420027351822138</v>
      </c>
    </row>
    <row r="81" spans="10:23" x14ac:dyDescent="0.25">
      <c r="J81" s="87" t="s">
        <v>97</v>
      </c>
      <c r="K81" s="54">
        <f>$D$22</f>
        <v>0.25</v>
      </c>
      <c r="L81" s="60">
        <v>0.97829999999999995</v>
      </c>
      <c r="N81" s="84"/>
      <c r="O81" s="75">
        <v>0.3</v>
      </c>
      <c r="P81" s="76">
        <v>0.25</v>
      </c>
      <c r="Q81" s="77">
        <v>0.15</v>
      </c>
      <c r="S81" s="84"/>
      <c r="T81" s="51">
        <f>U81*(1-0.01)</f>
        <v>0.2475</v>
      </c>
      <c r="U81" s="76">
        <v>0.25</v>
      </c>
      <c r="V81" s="51">
        <f>U81*(1+0.01)</f>
        <v>0.2525</v>
      </c>
      <c r="W81" s="89"/>
    </row>
    <row r="82" spans="10:23" x14ac:dyDescent="0.25">
      <c r="J82" s="87"/>
      <c r="K82" s="52">
        <f>$K$49</f>
        <v>632.72007131435475</v>
      </c>
      <c r="L82" s="61">
        <f>$L$50</f>
        <v>2.966309540966747E-13</v>
      </c>
      <c r="N82" s="53">
        <f>$K$49</f>
        <v>632.72007131435475</v>
      </c>
      <c r="O82" s="71">
        <f t="dataTable" ref="O82:Q82" dt2D="0" dtr="1" r1="D22" ca="1"/>
        <v>607.65127765673185</v>
      </c>
      <c r="P82" s="71">
        <v>632.72007131435475</v>
      </c>
      <c r="Q82" s="72">
        <v>676.97861625498297</v>
      </c>
      <c r="S82" s="53">
        <f>$K$49</f>
        <v>632.72007131435475</v>
      </c>
      <c r="T82" s="71">
        <f t="dataTable" ref="T82:V82" dt2D="0" dtr="1" r1="D22" ca="1"/>
        <v>633.92000255919174</v>
      </c>
      <c r="U82" s="71">
        <v>632.72007131435475</v>
      </c>
      <c r="V82" s="71">
        <v>631.51514152283528</v>
      </c>
      <c r="W82" s="88">
        <f>(V82-T82)/(V81-T81)*(0.5*(V81+T81))/(0.5*(V82+T82))</f>
        <v>-0.19004221967463999</v>
      </c>
    </row>
    <row r="83" spans="10:23" x14ac:dyDescent="0.25">
      <c r="J83" s="87" t="s">
        <v>96</v>
      </c>
      <c r="K83" s="55">
        <f>$B$24</f>
        <v>200</v>
      </c>
      <c r="L83" s="66">
        <v>1150.6500000000001</v>
      </c>
      <c r="N83" s="52"/>
      <c r="O83" s="73">
        <v>250</v>
      </c>
      <c r="P83" s="78">
        <v>200</v>
      </c>
      <c r="Q83" s="74">
        <v>150</v>
      </c>
      <c r="S83" s="52"/>
      <c r="T83" s="58">
        <f>U83*(1-0.01)</f>
        <v>198</v>
      </c>
      <c r="U83" s="78">
        <v>200</v>
      </c>
      <c r="V83" s="58">
        <f>U83*(1+0.01)</f>
        <v>202</v>
      </c>
      <c r="W83" s="89"/>
    </row>
    <row r="84" spans="10:23" x14ac:dyDescent="0.25">
      <c r="J84" s="87"/>
      <c r="K84" s="52">
        <f>$K$49</f>
        <v>632.72007131435475</v>
      </c>
      <c r="L84" s="61">
        <f>$L$50</f>
        <v>2.966309540966747E-13</v>
      </c>
      <c r="N84" s="53">
        <f>$K$49</f>
        <v>632.72007131435475</v>
      </c>
      <c r="O84" s="71">
        <f t="dataTable" ref="O84:Q84" dt2D="0" dtr="1" r1="B24" ca="1"/>
        <v>599.441792589241</v>
      </c>
      <c r="P84" s="71">
        <v>632.72007131435475</v>
      </c>
      <c r="Q84" s="72">
        <v>665.99835003946862</v>
      </c>
      <c r="S84" s="53">
        <f>$K$49</f>
        <v>632.72007131435475</v>
      </c>
      <c r="T84" s="71">
        <f t="dataTable" ref="T84:V84" dt2D="0" dtr="1" r1="B24" ca="1"/>
        <v>634.05120246335935</v>
      </c>
      <c r="U84" s="71">
        <v>632.72007131435475</v>
      </c>
      <c r="V84" s="71">
        <v>631.38894016535028</v>
      </c>
      <c r="W84" s="88">
        <f>(V84-T84)/(V83-T83)*(0.5*(V83+T83))/(0.5*(V84+T84))</f>
        <v>-0.2103823174503322</v>
      </c>
    </row>
    <row r="85" spans="10:23" x14ac:dyDescent="0.25">
      <c r="J85" s="87" t="s">
        <v>95</v>
      </c>
      <c r="K85" s="55">
        <f>$C$25</f>
        <v>25</v>
      </c>
      <c r="L85" s="66">
        <v>260.27</v>
      </c>
      <c r="N85" s="84"/>
      <c r="O85" s="73">
        <v>30</v>
      </c>
      <c r="P85" s="78">
        <v>25</v>
      </c>
      <c r="Q85" s="74">
        <v>15</v>
      </c>
      <c r="S85" s="84"/>
      <c r="T85" s="58">
        <f>U85*(1-0.01)</f>
        <v>24.75</v>
      </c>
      <c r="U85" s="78">
        <v>25</v>
      </c>
      <c r="V85" s="58">
        <f>U85*(1+0.01)</f>
        <v>25.25</v>
      </c>
      <c r="W85" s="89"/>
    </row>
    <row r="86" spans="10:23" x14ac:dyDescent="0.25">
      <c r="J86" s="87"/>
      <c r="K86" s="52">
        <f>$K$49</f>
        <v>632.72007131435475</v>
      </c>
      <c r="L86" s="61">
        <f>$L$50</f>
        <v>2.966309540966747E-13</v>
      </c>
      <c r="N86" s="53">
        <f>$K$49</f>
        <v>632.72007131435475</v>
      </c>
      <c r="O86" s="71">
        <f t="dataTable" ref="O86:Q86" dt2D="0" dtr="1" r1="C25" ca="1"/>
        <v>619.27350908609969</v>
      </c>
      <c r="P86" s="71">
        <v>632.72007131435475</v>
      </c>
      <c r="Q86" s="72">
        <v>659.6131957708651</v>
      </c>
      <c r="S86" s="53">
        <f>$K$49</f>
        <v>632.72007131435475</v>
      </c>
      <c r="T86" s="35">
        <f t="dataTable" ref="T86:V86" dt2D="0" dtr="1" r1="C25" ca="1"/>
        <v>633.39239942576751</v>
      </c>
      <c r="U86" s="35">
        <v>632.72007131435475</v>
      </c>
      <c r="V86" s="71">
        <v>632.04774320294212</v>
      </c>
      <c r="W86" s="88">
        <f>(V86-T86)/(V85-T85)*(0.5*(V85+T85))/(0.5*(V86+T86))</f>
        <v>-0.10625996264288935</v>
      </c>
    </row>
    <row r="87" spans="10:23" x14ac:dyDescent="0.25">
      <c r="J87" s="90" t="s">
        <v>114</v>
      </c>
      <c r="K87" s="20"/>
      <c r="L87" s="20"/>
      <c r="M87" s="20"/>
      <c r="N87" s="40"/>
      <c r="O87" s="91">
        <v>-546.9</v>
      </c>
      <c r="P87" s="91">
        <v>632.70000000000005</v>
      </c>
      <c r="Q87" s="91">
        <v>1092.2</v>
      </c>
    </row>
    <row r="91" spans="10:23" x14ac:dyDescent="0.25">
      <c r="L91" s="97"/>
    </row>
    <row r="92" spans="10:23" x14ac:dyDescent="0.25">
      <c r="K92" s="98"/>
      <c r="L92" s="96"/>
    </row>
  </sheetData>
  <scenarios current="3" show="0">
    <scenario name="Base" locked="1" count="16" user="Kirill" comment="Автор: Kirill , 27.07.2015_x000a_Автор изменений: Kirill , 27.07.2015">
      <inputCells r="B44" val="0.1201" numFmtId="10"/>
      <inputCells r="B27" val="227.7" numFmtId="2"/>
      <inputCells r="B30" val="0.5" numFmtId="10"/>
      <inputCells r="B31" val="5" numFmtId="2"/>
      <inputCells r="C5" val="1" numFmtId="2"/>
      <inputCells r="D6" val="25" numFmtId="10"/>
      <inputCells r="C10" val="0.25" numFmtId="166"/>
      <inputCells r="D11" val="0.05" numFmtId="10"/>
      <inputCells r="C14" val="200" numFmtId="2"/>
      <inputCells r="E15" val="49.99"/>
      <inputCells r="B43" val="0.2545" numFmtId="10"/>
      <inputCells r="B19" val="0.8066" numFmtId="10"/>
      <inputCells r="C21" val="69.59"/>
      <inputCells r="D22" val="0.25" numFmtId="10"/>
      <inputCells r="B24" val="200" numFmtId="2"/>
      <inputCells r="C25" val="25" numFmtId="2"/>
    </scenario>
    <scenario name="Worst" locked="1" count="16" user="Kirill" comment="Автор: Kirill , 27.07.2015_x000a_Автор изменений: Kirill , 27.07.2015">
      <inputCells r="B44" val="0.1501" numFmtId="10"/>
      <inputCells r="B27" val="284" numFmtId="2"/>
      <inputCells r="B30" val="0.3" numFmtId="10"/>
      <inputCells r="B31" val="3" numFmtId="2"/>
      <inputCells r="C5" val="0.5" numFmtId="2"/>
      <inputCells r="D6" val="10" numFmtId="10"/>
      <inputCells r="C10" val="0.15" numFmtId="166"/>
      <inputCells r="D11" val="0.01" numFmtId="10"/>
      <inputCells r="C14" val="175" numFmtId="2"/>
      <inputCells r="E15" val="24.99"/>
      <inputCells r="B43" val="0.35" numFmtId="10"/>
      <inputCells r="B19" val="0.843" numFmtId="10"/>
      <inputCells r="C21" val="45"/>
      <inputCells r="D22" val="0.3" numFmtId="10"/>
      <inputCells r="B24" val="250" numFmtId="2"/>
      <inputCells r="C25" val="30" numFmtId="2"/>
    </scenario>
    <scenario name="Best" locked="1" count="16" user="Kirill" comment="Автор: Kirill , 27.07.2015_x000a_Автор изменений: Kirill , 27.07.2015">
      <inputCells r="B44" val="0.961" numFmtId="10"/>
      <inputCells r="B27" val="185" numFmtId="2"/>
      <inputCells r="B30" val="0.75" numFmtId="10"/>
      <inputCells r="B31" val="7" numFmtId="2"/>
      <inputCells r="C5" val="2" numFmtId="2"/>
      <inputCells r="D6" val="50" numFmtId="10"/>
      <inputCells r="C10" val="0.35" numFmtId="166"/>
      <inputCells r="D11" val="0.08" numFmtId="10"/>
      <inputCells r="C14" val="250" numFmtId="2"/>
      <inputCells r="E15" val="99.99"/>
      <inputCells r="B43" val="0.125" numFmtId="10"/>
      <inputCells r="B19" val="0.7425" numFmtId="10"/>
      <inputCells r="C21" val="85"/>
      <inputCells r="D22" val="0.15" numFmtId="10"/>
      <inputCells r="B24" val="150" numFmtId="2"/>
      <inputCells r="C25" val="15" numFmtId="2"/>
    </scenario>
    <scenario name="Random" locked="1" count="16" user="Kirill" comment="Автор: Kirill , 28.07.2015">
      <inputCells r="B44" val="0.142419750784695" numFmtId="10"/>
      <inputCells r="B27" val="243.588015894355" numFmtId="2"/>
      <inputCells r="B30" val="0.735284598922891" numFmtId="10"/>
      <inputCells r="B31" val="4.26342607950776" numFmtId="2"/>
      <inputCells r="C5" val="1.54312142099319" numFmtId="2"/>
      <inputCells r="D6" val="33.9466367865913" numFmtId="10"/>
      <inputCells r="C10" val="0.307020886598157" numFmtId="166"/>
      <inputCells r="D11" val="0.0467723267386157" numFmtId="10"/>
      <inputCells r="C14" val="185.73094888874" numFmtId="2"/>
      <inputCells r="E15" val="91.8823036192258"/>
      <inputCells r="B43" val="0.248724116192436" numFmtId="10"/>
      <inputCells r="B19" val="0.748669045077415" numFmtId="10"/>
      <inputCells r="C21" val="53.635806575705"/>
      <inputCells r="D22" val="0.27839323225794" numFmtId="10"/>
      <inputCells r="B24" val="216.555010248641" numFmtId="2"/>
      <inputCells r="C25" val="15.1310023966075" numFmtId="2"/>
    </scenario>
  </scenarios>
  <dataConsolidate/>
  <mergeCells count="6">
    <mergeCell ref="L51:M51"/>
    <mergeCell ref="L52:M52"/>
    <mergeCell ref="B1:G1"/>
    <mergeCell ref="K1:P1"/>
    <mergeCell ref="K35:P35"/>
    <mergeCell ref="K47:P47"/>
  </mergeCells>
  <pageMargins left="0.7" right="0.7" top="0.75" bottom="0.75" header="0.3" footer="0.3"/>
  <pageSetup paperSize="9" orientation="portrait" verticalDpi="0" r:id="rId1"/>
  <ignoredErrors>
    <ignoredError sqref="E7 K12 K43 L43:P43 L12:P12 K85 K57 K59 K61 K63 K65 K67 K69 K71 K73 K75 K77 K79 K81 K8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75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Input Data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2015-07-20T09:32:33Z</dcterms:created>
  <dcterms:modified xsi:type="dcterms:W3CDTF">2015-07-28T11:26:13Z</dcterms:modified>
</cp:coreProperties>
</file>