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Viktor\Desktop\"/>
    </mc:Choice>
  </mc:AlternateContent>
  <bookViews>
    <workbookView xWindow="0" yWindow="0" windowWidth="25200" windowHeight="12135"/>
  </bookViews>
  <sheets>
    <sheet name="Лист1" sheetId="5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2" l="1"/>
  <c r="L11" i="2"/>
  <c r="L13" i="2"/>
  <c r="L14" i="2"/>
  <c r="L20" i="2"/>
  <c r="L24" i="2"/>
  <c r="L29" i="2"/>
  <c r="L32" i="2"/>
  <c r="L34" i="2"/>
  <c r="L36" i="2"/>
  <c r="L40" i="2"/>
  <c r="L41" i="2"/>
  <c r="L42" i="2"/>
  <c r="L48" i="2"/>
  <c r="L51" i="2"/>
  <c r="L56" i="2"/>
  <c r="L62" i="2"/>
  <c r="L70" i="2"/>
  <c r="L72" i="2"/>
  <c r="L80" i="2"/>
  <c r="L85" i="2"/>
  <c r="L89" i="2"/>
  <c r="L96" i="2"/>
  <c r="L102" i="2"/>
  <c r="L110" i="2"/>
  <c r="L116" i="2"/>
  <c r="L119" i="2"/>
  <c r="L120" i="2"/>
  <c r="L124" i="2"/>
  <c r="L125" i="2"/>
  <c r="L129" i="2"/>
  <c r="L132" i="2"/>
  <c r="L139" i="2"/>
  <c r="L141" i="2"/>
  <c r="L144" i="2"/>
  <c r="L147" i="2"/>
  <c r="L149" i="2"/>
  <c r="L150" i="2"/>
  <c r="L164" i="2"/>
  <c r="L171" i="2"/>
  <c r="L173" i="2"/>
  <c r="L175" i="2"/>
  <c r="L177" i="2"/>
  <c r="L180" i="2"/>
  <c r="L181" i="2"/>
  <c r="L187" i="2"/>
  <c r="L201" i="2"/>
  <c r="L202" i="2"/>
  <c r="L208" i="2"/>
  <c r="L214" i="2"/>
  <c r="L216" i="2"/>
  <c r="L222" i="2"/>
  <c r="L227" i="2"/>
  <c r="L228" i="2"/>
  <c r="L235" i="2"/>
  <c r="L238" i="2"/>
  <c r="L241" i="2"/>
  <c r="L243" i="2"/>
  <c r="L246" i="2"/>
  <c r="L247" i="2"/>
  <c r="L248" i="2"/>
  <c r="L253" i="2"/>
  <c r="L254" i="2"/>
  <c r="L255" i="2"/>
  <c r="L256" i="2"/>
  <c r="L262" i="2"/>
  <c r="L266" i="2"/>
  <c r="L271" i="2"/>
  <c r="L282" i="2"/>
  <c r="L283" i="2"/>
  <c r="L294" i="2"/>
  <c r="L295" i="2"/>
  <c r="L296" i="2"/>
  <c r="L297" i="2"/>
  <c r="L299" i="2"/>
  <c r="L302" i="2"/>
  <c r="L304" i="2"/>
  <c r="L306" i="2"/>
  <c r="L308" i="2"/>
  <c r="L309" i="2"/>
  <c r="L312" i="2"/>
  <c r="L315" i="2"/>
  <c r="L316" i="2"/>
  <c r="L320" i="2"/>
  <c r="L321" i="2"/>
  <c r="L322" i="2"/>
  <c r="L323" i="2"/>
  <c r="L345" i="2"/>
  <c r="L361" i="2"/>
  <c r="L384" i="2"/>
  <c r="L391" i="2"/>
  <c r="L395" i="2"/>
  <c r="L398" i="2"/>
  <c r="L406" i="2"/>
  <c r="L418" i="2"/>
  <c r="L423" i="2"/>
  <c r="L432" i="2"/>
  <c r="L440" i="2"/>
  <c r="L460" i="2"/>
  <c r="L465" i="2"/>
  <c r="L471" i="2"/>
  <c r="L481" i="2"/>
  <c r="L487" i="2"/>
  <c r="L488" i="2"/>
  <c r="L492" i="2"/>
  <c r="L497" i="2"/>
  <c r="L498" i="2"/>
  <c r="L506" i="2"/>
  <c r="L514" i="2"/>
  <c r="L523" i="2"/>
  <c r="L527" i="2"/>
  <c r="L534" i="2"/>
  <c r="L540" i="2"/>
  <c r="L550" i="2"/>
  <c r="L560" i="2"/>
  <c r="L569" i="2"/>
  <c r="L571" i="2"/>
  <c r="L581" i="2"/>
  <c r="L591" i="2"/>
  <c r="L593" i="2"/>
  <c r="L600" i="2"/>
  <c r="L603" i="2"/>
  <c r="L605" i="2"/>
  <c r="L614" i="2"/>
  <c r="L619" i="2"/>
  <c r="L622" i="2"/>
  <c r="L634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G77" i="2"/>
  <c r="G78" i="2"/>
  <c r="G79" i="2"/>
  <c r="G80" i="2"/>
  <c r="G81" i="2"/>
  <c r="G82" i="2"/>
  <c r="G83" i="2"/>
  <c r="G84" i="2"/>
  <c r="G85" i="2"/>
  <c r="G86" i="2"/>
  <c r="G87" i="2"/>
  <c r="G88" i="2"/>
  <c r="G89" i="2"/>
  <c r="G90" i="2"/>
  <c r="G91" i="2"/>
  <c r="G92" i="2"/>
  <c r="G93" i="2"/>
  <c r="G94" i="2"/>
  <c r="G95" i="2"/>
  <c r="G96" i="2"/>
  <c r="G97" i="2"/>
  <c r="G98" i="2"/>
  <c r="G99" i="2"/>
  <c r="G100" i="2"/>
  <c r="G101" i="2"/>
  <c r="G102" i="2"/>
  <c r="G103" i="2"/>
  <c r="G104" i="2"/>
  <c r="G105" i="2"/>
  <c r="G106" i="2"/>
  <c r="G107" i="2"/>
  <c r="G108" i="2"/>
  <c r="G109" i="2"/>
  <c r="G110" i="2"/>
  <c r="G111" i="2"/>
  <c r="G112" i="2"/>
  <c r="G113" i="2"/>
  <c r="G114" i="2"/>
  <c r="G115" i="2"/>
  <c r="G116" i="2"/>
  <c r="G117" i="2"/>
  <c r="G118" i="2"/>
  <c r="G119" i="2"/>
  <c r="G120" i="2"/>
  <c r="G121" i="2"/>
  <c r="G122" i="2"/>
  <c r="G123" i="2"/>
  <c r="G124" i="2"/>
  <c r="G125" i="2"/>
  <c r="G126" i="2"/>
  <c r="G127" i="2"/>
  <c r="G128" i="2"/>
  <c r="G129" i="2"/>
  <c r="G130" i="2"/>
  <c r="G131" i="2"/>
  <c r="G132" i="2"/>
  <c r="G133" i="2"/>
  <c r="G134" i="2"/>
  <c r="G135" i="2"/>
  <c r="G136" i="2"/>
  <c r="G137" i="2"/>
  <c r="G138" i="2"/>
  <c r="G139" i="2"/>
  <c r="G140" i="2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7" i="2"/>
  <c r="H645" i="2"/>
  <c r="L645" i="2" s="1"/>
  <c r="H644" i="2"/>
  <c r="L644" i="2" s="1"/>
  <c r="H643" i="2"/>
  <c r="L643" i="2" s="1"/>
  <c r="H642" i="2"/>
  <c r="L642" i="2" s="1"/>
  <c r="H641" i="2"/>
  <c r="L641" i="2" s="1"/>
  <c r="H640" i="2"/>
  <c r="L640" i="2" s="1"/>
  <c r="H639" i="2"/>
  <c r="L639" i="2" s="1"/>
  <c r="H638" i="2"/>
  <c r="L638" i="2" s="1"/>
  <c r="H637" i="2"/>
  <c r="L637" i="2" s="1"/>
  <c r="H636" i="2"/>
  <c r="L636" i="2" s="1"/>
  <c r="H635" i="2"/>
  <c r="L635" i="2" s="1"/>
  <c r="H633" i="2"/>
  <c r="L633" i="2" s="1"/>
  <c r="H632" i="2"/>
  <c r="L632" i="2" s="1"/>
  <c r="H631" i="2"/>
  <c r="L631" i="2" s="1"/>
  <c r="H630" i="2"/>
  <c r="L630" i="2" s="1"/>
  <c r="H629" i="2"/>
  <c r="L629" i="2" s="1"/>
  <c r="H628" i="2"/>
  <c r="L628" i="2" s="1"/>
  <c r="H627" i="2"/>
  <c r="L627" i="2" s="1"/>
  <c r="H626" i="2"/>
  <c r="L626" i="2" s="1"/>
  <c r="H625" i="2"/>
  <c r="L625" i="2" s="1"/>
  <c r="H624" i="2"/>
  <c r="L624" i="2" s="1"/>
  <c r="H623" i="2"/>
  <c r="L623" i="2" s="1"/>
  <c r="H621" i="2"/>
  <c r="L621" i="2" s="1"/>
  <c r="H620" i="2"/>
  <c r="L620" i="2" s="1"/>
  <c r="H618" i="2"/>
  <c r="L618" i="2" s="1"/>
  <c r="H617" i="2"/>
  <c r="L617" i="2" s="1"/>
  <c r="H616" i="2"/>
  <c r="L616" i="2" s="1"/>
  <c r="H615" i="2"/>
  <c r="L615" i="2" s="1"/>
  <c r="H613" i="2"/>
  <c r="L613" i="2" s="1"/>
  <c r="H612" i="2"/>
  <c r="L612" i="2" s="1"/>
  <c r="H611" i="2"/>
  <c r="L611" i="2" s="1"/>
  <c r="H610" i="2"/>
  <c r="L610" i="2" s="1"/>
  <c r="H609" i="2"/>
  <c r="L609" i="2" s="1"/>
  <c r="H608" i="2"/>
  <c r="L608" i="2" s="1"/>
  <c r="H607" i="2"/>
  <c r="L607" i="2" s="1"/>
  <c r="H606" i="2"/>
  <c r="L606" i="2" s="1"/>
  <c r="H604" i="2"/>
  <c r="L604" i="2" s="1"/>
  <c r="H602" i="2"/>
  <c r="L602" i="2" s="1"/>
  <c r="H601" i="2"/>
  <c r="L601" i="2" s="1"/>
  <c r="H599" i="2"/>
  <c r="L599" i="2" s="1"/>
  <c r="H598" i="2"/>
  <c r="L598" i="2" s="1"/>
  <c r="H597" i="2"/>
  <c r="L597" i="2" s="1"/>
  <c r="H596" i="2"/>
  <c r="L596" i="2" s="1"/>
  <c r="H595" i="2"/>
  <c r="L595" i="2" s="1"/>
  <c r="H594" i="2"/>
  <c r="L594" i="2" s="1"/>
  <c r="H592" i="2"/>
  <c r="L592" i="2" s="1"/>
  <c r="H590" i="2"/>
  <c r="L590" i="2" s="1"/>
  <c r="H589" i="2"/>
  <c r="L589" i="2" s="1"/>
  <c r="H588" i="2"/>
  <c r="L588" i="2" s="1"/>
  <c r="H587" i="2"/>
  <c r="L587" i="2" s="1"/>
  <c r="H586" i="2"/>
  <c r="L586" i="2" s="1"/>
  <c r="H585" i="2"/>
  <c r="L585" i="2" s="1"/>
  <c r="H584" i="2"/>
  <c r="L584" i="2" s="1"/>
  <c r="H583" i="2"/>
  <c r="L583" i="2" s="1"/>
  <c r="H582" i="2"/>
  <c r="L582" i="2" s="1"/>
  <c r="H580" i="2"/>
  <c r="L580" i="2" s="1"/>
  <c r="H579" i="2"/>
  <c r="L579" i="2" s="1"/>
  <c r="H578" i="2"/>
  <c r="L578" i="2" s="1"/>
  <c r="H577" i="2"/>
  <c r="L577" i="2" s="1"/>
  <c r="H576" i="2"/>
  <c r="L576" i="2" s="1"/>
  <c r="H575" i="2"/>
  <c r="L575" i="2" s="1"/>
  <c r="H574" i="2"/>
  <c r="L574" i="2" s="1"/>
  <c r="H573" i="2"/>
  <c r="L573" i="2" s="1"/>
  <c r="H572" i="2"/>
  <c r="L572" i="2" s="1"/>
  <c r="H570" i="2"/>
  <c r="L570" i="2" s="1"/>
  <c r="H568" i="2"/>
  <c r="L568" i="2" s="1"/>
  <c r="H567" i="2"/>
  <c r="L567" i="2" s="1"/>
  <c r="H566" i="2"/>
  <c r="L566" i="2" s="1"/>
  <c r="H565" i="2"/>
  <c r="L565" i="2" s="1"/>
  <c r="H564" i="2"/>
  <c r="L564" i="2" s="1"/>
  <c r="H563" i="2"/>
  <c r="L563" i="2" s="1"/>
  <c r="H562" i="2"/>
  <c r="L562" i="2" s="1"/>
  <c r="H561" i="2"/>
  <c r="L561" i="2" s="1"/>
  <c r="H559" i="2"/>
  <c r="L559" i="2" s="1"/>
  <c r="H558" i="2"/>
  <c r="L558" i="2" s="1"/>
  <c r="H557" i="2"/>
  <c r="L557" i="2" s="1"/>
  <c r="H556" i="2"/>
  <c r="L556" i="2" s="1"/>
  <c r="H555" i="2"/>
  <c r="L555" i="2" s="1"/>
  <c r="H554" i="2"/>
  <c r="L554" i="2" s="1"/>
  <c r="H553" i="2"/>
  <c r="L553" i="2" s="1"/>
  <c r="H552" i="2"/>
  <c r="L552" i="2" s="1"/>
  <c r="H551" i="2"/>
  <c r="L551" i="2" s="1"/>
  <c r="H549" i="2"/>
  <c r="L549" i="2" s="1"/>
  <c r="H548" i="2"/>
  <c r="L548" i="2" s="1"/>
  <c r="H547" i="2"/>
  <c r="L547" i="2" s="1"/>
  <c r="H546" i="2"/>
  <c r="L546" i="2" s="1"/>
  <c r="H545" i="2"/>
  <c r="L545" i="2" s="1"/>
  <c r="H544" i="2"/>
  <c r="L544" i="2" s="1"/>
  <c r="H543" i="2"/>
  <c r="L543" i="2" s="1"/>
  <c r="H542" i="2"/>
  <c r="L542" i="2" s="1"/>
  <c r="H541" i="2"/>
  <c r="L541" i="2" s="1"/>
  <c r="H539" i="2"/>
  <c r="L539" i="2" s="1"/>
  <c r="H538" i="2"/>
  <c r="L538" i="2" s="1"/>
  <c r="H537" i="2"/>
  <c r="L537" i="2" s="1"/>
  <c r="H536" i="2"/>
  <c r="L536" i="2" s="1"/>
  <c r="H535" i="2"/>
  <c r="L535" i="2" s="1"/>
  <c r="H533" i="2"/>
  <c r="L533" i="2" s="1"/>
  <c r="H532" i="2"/>
  <c r="L532" i="2" s="1"/>
  <c r="H531" i="2"/>
  <c r="L531" i="2" s="1"/>
  <c r="H530" i="2"/>
  <c r="L530" i="2" s="1"/>
  <c r="H529" i="2"/>
  <c r="L529" i="2" s="1"/>
  <c r="H528" i="2"/>
  <c r="L528" i="2" s="1"/>
  <c r="H526" i="2"/>
  <c r="L526" i="2" s="1"/>
  <c r="H525" i="2"/>
  <c r="L525" i="2" s="1"/>
  <c r="H524" i="2"/>
  <c r="L524" i="2" s="1"/>
  <c r="H522" i="2"/>
  <c r="L522" i="2" s="1"/>
  <c r="H521" i="2"/>
  <c r="L521" i="2" s="1"/>
  <c r="H520" i="2"/>
  <c r="L520" i="2" s="1"/>
  <c r="H519" i="2"/>
  <c r="L519" i="2" s="1"/>
  <c r="H518" i="2"/>
  <c r="L518" i="2" s="1"/>
  <c r="H517" i="2"/>
  <c r="L517" i="2" s="1"/>
  <c r="H516" i="2"/>
  <c r="L516" i="2" s="1"/>
  <c r="H515" i="2"/>
  <c r="L515" i="2" s="1"/>
  <c r="H513" i="2"/>
  <c r="L513" i="2" s="1"/>
  <c r="H512" i="2"/>
  <c r="L512" i="2" s="1"/>
  <c r="H511" i="2"/>
  <c r="L511" i="2" s="1"/>
  <c r="H510" i="2"/>
  <c r="L510" i="2" s="1"/>
  <c r="H509" i="2"/>
  <c r="L509" i="2" s="1"/>
  <c r="H508" i="2"/>
  <c r="L508" i="2" s="1"/>
  <c r="H507" i="2"/>
  <c r="L507" i="2" s="1"/>
  <c r="H505" i="2"/>
  <c r="L505" i="2" s="1"/>
  <c r="H504" i="2"/>
  <c r="L504" i="2" s="1"/>
  <c r="H503" i="2"/>
  <c r="L503" i="2" s="1"/>
  <c r="H502" i="2"/>
  <c r="L502" i="2" s="1"/>
  <c r="H501" i="2"/>
  <c r="L501" i="2" s="1"/>
  <c r="H500" i="2"/>
  <c r="L500" i="2" s="1"/>
  <c r="H499" i="2"/>
  <c r="L499" i="2" s="1"/>
  <c r="H496" i="2"/>
  <c r="L496" i="2" s="1"/>
  <c r="H495" i="2"/>
  <c r="L495" i="2" s="1"/>
  <c r="H494" i="2"/>
  <c r="L494" i="2" s="1"/>
  <c r="H493" i="2"/>
  <c r="L493" i="2" s="1"/>
  <c r="H491" i="2"/>
  <c r="L491" i="2" s="1"/>
  <c r="H490" i="2"/>
  <c r="L490" i="2" s="1"/>
  <c r="H489" i="2"/>
  <c r="L489" i="2" s="1"/>
  <c r="H486" i="2"/>
  <c r="L486" i="2" s="1"/>
  <c r="H485" i="2"/>
  <c r="L485" i="2" s="1"/>
  <c r="H484" i="2"/>
  <c r="L484" i="2" s="1"/>
  <c r="H483" i="2"/>
  <c r="L483" i="2" s="1"/>
  <c r="H482" i="2"/>
  <c r="L482" i="2" s="1"/>
  <c r="H480" i="2"/>
  <c r="L480" i="2" s="1"/>
  <c r="H479" i="2"/>
  <c r="L479" i="2" s="1"/>
  <c r="H478" i="2"/>
  <c r="L478" i="2" s="1"/>
  <c r="H477" i="2"/>
  <c r="L477" i="2" s="1"/>
  <c r="H476" i="2"/>
  <c r="L476" i="2" s="1"/>
  <c r="H475" i="2"/>
  <c r="L475" i="2" s="1"/>
  <c r="H474" i="2"/>
  <c r="L474" i="2" s="1"/>
  <c r="H473" i="2"/>
  <c r="L473" i="2" s="1"/>
  <c r="H472" i="2"/>
  <c r="L472" i="2" s="1"/>
  <c r="H470" i="2"/>
  <c r="L470" i="2" s="1"/>
  <c r="H469" i="2"/>
  <c r="L469" i="2" s="1"/>
  <c r="H468" i="2"/>
  <c r="L468" i="2" s="1"/>
  <c r="H467" i="2"/>
  <c r="L467" i="2" s="1"/>
  <c r="H466" i="2"/>
  <c r="L466" i="2" s="1"/>
  <c r="H464" i="2"/>
  <c r="L464" i="2" s="1"/>
  <c r="H463" i="2"/>
  <c r="L463" i="2" s="1"/>
  <c r="H462" i="2"/>
  <c r="L462" i="2" s="1"/>
  <c r="H461" i="2"/>
  <c r="L461" i="2" s="1"/>
  <c r="H459" i="2"/>
  <c r="L459" i="2" s="1"/>
  <c r="H458" i="2"/>
  <c r="L458" i="2" s="1"/>
  <c r="H457" i="2"/>
  <c r="L457" i="2" s="1"/>
  <c r="H456" i="2"/>
  <c r="L456" i="2" s="1"/>
  <c r="H455" i="2"/>
  <c r="L455" i="2" s="1"/>
  <c r="H454" i="2"/>
  <c r="L454" i="2" s="1"/>
  <c r="H453" i="2"/>
  <c r="L453" i="2" s="1"/>
  <c r="H452" i="2"/>
  <c r="L452" i="2" s="1"/>
  <c r="H451" i="2"/>
  <c r="L451" i="2" s="1"/>
  <c r="H450" i="2"/>
  <c r="L450" i="2" s="1"/>
  <c r="H449" i="2"/>
  <c r="L449" i="2" s="1"/>
  <c r="H448" i="2"/>
  <c r="L448" i="2" s="1"/>
  <c r="H447" i="2"/>
  <c r="L447" i="2" s="1"/>
  <c r="H446" i="2"/>
  <c r="L446" i="2" s="1"/>
  <c r="H445" i="2"/>
  <c r="L445" i="2" s="1"/>
  <c r="H444" i="2"/>
  <c r="L444" i="2" s="1"/>
  <c r="H443" i="2"/>
  <c r="L443" i="2" s="1"/>
  <c r="H442" i="2"/>
  <c r="L442" i="2" s="1"/>
  <c r="H441" i="2"/>
  <c r="L441" i="2" s="1"/>
  <c r="H439" i="2"/>
  <c r="L439" i="2" s="1"/>
  <c r="H438" i="2"/>
  <c r="L438" i="2" s="1"/>
  <c r="H437" i="2"/>
  <c r="L437" i="2" s="1"/>
  <c r="H436" i="2"/>
  <c r="L436" i="2" s="1"/>
  <c r="H435" i="2"/>
  <c r="L435" i="2" s="1"/>
  <c r="H434" i="2"/>
  <c r="L434" i="2" s="1"/>
  <c r="H433" i="2"/>
  <c r="L433" i="2" s="1"/>
  <c r="H431" i="2"/>
  <c r="L431" i="2" s="1"/>
  <c r="H430" i="2"/>
  <c r="L430" i="2" s="1"/>
  <c r="H429" i="2"/>
  <c r="L429" i="2" s="1"/>
  <c r="H428" i="2"/>
  <c r="L428" i="2" s="1"/>
  <c r="H427" i="2"/>
  <c r="L427" i="2" s="1"/>
  <c r="H426" i="2"/>
  <c r="L426" i="2" s="1"/>
  <c r="H425" i="2"/>
  <c r="L425" i="2" s="1"/>
  <c r="H424" i="2"/>
  <c r="L424" i="2" s="1"/>
  <c r="H422" i="2"/>
  <c r="L422" i="2" s="1"/>
  <c r="H421" i="2"/>
  <c r="L421" i="2" s="1"/>
  <c r="H420" i="2"/>
  <c r="L420" i="2" s="1"/>
  <c r="H419" i="2"/>
  <c r="L419" i="2" s="1"/>
  <c r="H417" i="2"/>
  <c r="L417" i="2" s="1"/>
  <c r="H416" i="2"/>
  <c r="L416" i="2" s="1"/>
  <c r="H415" i="2"/>
  <c r="L415" i="2" s="1"/>
  <c r="H414" i="2"/>
  <c r="L414" i="2" s="1"/>
  <c r="H413" i="2"/>
  <c r="L413" i="2" s="1"/>
  <c r="H412" i="2"/>
  <c r="L412" i="2" s="1"/>
  <c r="H411" i="2"/>
  <c r="L411" i="2" s="1"/>
  <c r="H410" i="2"/>
  <c r="L410" i="2" s="1"/>
  <c r="H409" i="2"/>
  <c r="L409" i="2" s="1"/>
  <c r="H408" i="2"/>
  <c r="L408" i="2" s="1"/>
  <c r="H407" i="2"/>
  <c r="L407" i="2" s="1"/>
  <c r="H405" i="2"/>
  <c r="L405" i="2" s="1"/>
  <c r="H404" i="2"/>
  <c r="L404" i="2" s="1"/>
  <c r="H403" i="2"/>
  <c r="L403" i="2" s="1"/>
  <c r="H402" i="2"/>
  <c r="L402" i="2" s="1"/>
  <c r="H401" i="2"/>
  <c r="L401" i="2" s="1"/>
  <c r="H400" i="2"/>
  <c r="L400" i="2" s="1"/>
  <c r="H399" i="2"/>
  <c r="L399" i="2" s="1"/>
  <c r="H397" i="2"/>
  <c r="L397" i="2" s="1"/>
  <c r="H396" i="2"/>
  <c r="L396" i="2" s="1"/>
  <c r="H394" i="2"/>
  <c r="L394" i="2" s="1"/>
  <c r="H393" i="2"/>
  <c r="L393" i="2" s="1"/>
  <c r="H392" i="2"/>
  <c r="L392" i="2" s="1"/>
  <c r="H390" i="2"/>
  <c r="L390" i="2" s="1"/>
  <c r="H389" i="2"/>
  <c r="L389" i="2" s="1"/>
  <c r="H388" i="2"/>
  <c r="L388" i="2" s="1"/>
  <c r="H387" i="2"/>
  <c r="L387" i="2" s="1"/>
  <c r="H386" i="2"/>
  <c r="L386" i="2" s="1"/>
  <c r="H385" i="2"/>
  <c r="L385" i="2" s="1"/>
  <c r="H383" i="2"/>
  <c r="L383" i="2" s="1"/>
  <c r="H382" i="2"/>
  <c r="L382" i="2" s="1"/>
  <c r="H381" i="2"/>
  <c r="L381" i="2" s="1"/>
  <c r="H380" i="2"/>
  <c r="L380" i="2" s="1"/>
  <c r="H379" i="2"/>
  <c r="L379" i="2" s="1"/>
  <c r="H378" i="2"/>
  <c r="L378" i="2" s="1"/>
  <c r="H377" i="2"/>
  <c r="L377" i="2" s="1"/>
  <c r="H376" i="2"/>
  <c r="L376" i="2" s="1"/>
  <c r="H375" i="2"/>
  <c r="L375" i="2" s="1"/>
  <c r="H374" i="2"/>
  <c r="L374" i="2" s="1"/>
  <c r="H373" i="2"/>
  <c r="L373" i="2" s="1"/>
  <c r="H372" i="2"/>
  <c r="L372" i="2" s="1"/>
  <c r="H371" i="2"/>
  <c r="L371" i="2" s="1"/>
  <c r="H370" i="2"/>
  <c r="L370" i="2" s="1"/>
  <c r="H369" i="2"/>
  <c r="L369" i="2" s="1"/>
  <c r="H368" i="2"/>
  <c r="L368" i="2" s="1"/>
  <c r="H367" i="2"/>
  <c r="L367" i="2" s="1"/>
  <c r="H366" i="2"/>
  <c r="L366" i="2" s="1"/>
  <c r="H365" i="2"/>
  <c r="L365" i="2" s="1"/>
  <c r="H364" i="2"/>
  <c r="L364" i="2" s="1"/>
  <c r="H363" i="2"/>
  <c r="L363" i="2" s="1"/>
  <c r="H362" i="2"/>
  <c r="L362" i="2" s="1"/>
  <c r="H360" i="2"/>
  <c r="L360" i="2" s="1"/>
  <c r="H359" i="2"/>
  <c r="L359" i="2" s="1"/>
  <c r="H358" i="2"/>
  <c r="L358" i="2" s="1"/>
  <c r="H357" i="2"/>
  <c r="L357" i="2" s="1"/>
  <c r="H356" i="2"/>
  <c r="L356" i="2" s="1"/>
  <c r="H355" i="2"/>
  <c r="L355" i="2" s="1"/>
  <c r="H354" i="2"/>
  <c r="L354" i="2" s="1"/>
  <c r="H353" i="2"/>
  <c r="L353" i="2" s="1"/>
  <c r="H352" i="2"/>
  <c r="L352" i="2" s="1"/>
  <c r="H351" i="2"/>
  <c r="L351" i="2" s="1"/>
  <c r="H350" i="2"/>
  <c r="L350" i="2" s="1"/>
  <c r="H349" i="2"/>
  <c r="L349" i="2" s="1"/>
  <c r="H348" i="2"/>
  <c r="L348" i="2" s="1"/>
  <c r="H347" i="2"/>
  <c r="L347" i="2" s="1"/>
  <c r="H346" i="2"/>
  <c r="L346" i="2" s="1"/>
  <c r="H344" i="2"/>
  <c r="L344" i="2" s="1"/>
  <c r="H343" i="2"/>
  <c r="L343" i="2" s="1"/>
  <c r="H342" i="2"/>
  <c r="L342" i="2" s="1"/>
  <c r="H341" i="2"/>
  <c r="L341" i="2" s="1"/>
  <c r="H340" i="2"/>
  <c r="L340" i="2" s="1"/>
  <c r="H339" i="2"/>
  <c r="L339" i="2" s="1"/>
  <c r="H338" i="2"/>
  <c r="L338" i="2" s="1"/>
  <c r="H337" i="2"/>
  <c r="L337" i="2" s="1"/>
  <c r="H336" i="2"/>
  <c r="L336" i="2" s="1"/>
  <c r="H335" i="2"/>
  <c r="L335" i="2" s="1"/>
  <c r="H334" i="2"/>
  <c r="L334" i="2" s="1"/>
  <c r="H333" i="2"/>
  <c r="L333" i="2" s="1"/>
  <c r="H332" i="2"/>
  <c r="L332" i="2" s="1"/>
  <c r="H331" i="2"/>
  <c r="L331" i="2" s="1"/>
  <c r="H330" i="2"/>
  <c r="L330" i="2" s="1"/>
  <c r="H329" i="2"/>
  <c r="L329" i="2" s="1"/>
  <c r="H328" i="2"/>
  <c r="L328" i="2" s="1"/>
  <c r="H327" i="2"/>
  <c r="L327" i="2" s="1"/>
  <c r="H326" i="2"/>
  <c r="L326" i="2" s="1"/>
  <c r="H325" i="2"/>
  <c r="L325" i="2" s="1"/>
  <c r="H324" i="2"/>
  <c r="L324" i="2" s="1"/>
  <c r="H319" i="2"/>
  <c r="L319" i="2" s="1"/>
  <c r="H318" i="2"/>
  <c r="L318" i="2" s="1"/>
  <c r="H317" i="2"/>
  <c r="L317" i="2" s="1"/>
  <c r="H314" i="2"/>
  <c r="L314" i="2" s="1"/>
  <c r="H313" i="2"/>
  <c r="L313" i="2" s="1"/>
  <c r="H311" i="2"/>
  <c r="L311" i="2" s="1"/>
  <c r="H310" i="2"/>
  <c r="L310" i="2" s="1"/>
  <c r="H307" i="2"/>
  <c r="L307" i="2" s="1"/>
  <c r="H305" i="2"/>
  <c r="L305" i="2" s="1"/>
  <c r="H303" i="2"/>
  <c r="L303" i="2" s="1"/>
  <c r="H301" i="2"/>
  <c r="L301" i="2" s="1"/>
  <c r="H300" i="2"/>
  <c r="L300" i="2" s="1"/>
  <c r="H298" i="2"/>
  <c r="L298" i="2" s="1"/>
  <c r="H293" i="2"/>
  <c r="L293" i="2" s="1"/>
  <c r="H292" i="2"/>
  <c r="L292" i="2" s="1"/>
  <c r="H291" i="2"/>
  <c r="L291" i="2" s="1"/>
  <c r="H290" i="2"/>
  <c r="L290" i="2" s="1"/>
  <c r="H289" i="2"/>
  <c r="L289" i="2" s="1"/>
  <c r="H288" i="2"/>
  <c r="L288" i="2" s="1"/>
  <c r="H287" i="2"/>
  <c r="L287" i="2" s="1"/>
  <c r="H286" i="2"/>
  <c r="L286" i="2" s="1"/>
  <c r="H285" i="2"/>
  <c r="L285" i="2" s="1"/>
  <c r="H284" i="2"/>
  <c r="L284" i="2" s="1"/>
  <c r="H281" i="2"/>
  <c r="L281" i="2" s="1"/>
  <c r="H280" i="2"/>
  <c r="L280" i="2" s="1"/>
  <c r="H279" i="2"/>
  <c r="L279" i="2" s="1"/>
  <c r="H278" i="2"/>
  <c r="L278" i="2" s="1"/>
  <c r="H277" i="2"/>
  <c r="L277" i="2" s="1"/>
  <c r="H276" i="2"/>
  <c r="L276" i="2" s="1"/>
  <c r="H275" i="2"/>
  <c r="L275" i="2" s="1"/>
  <c r="H274" i="2"/>
  <c r="L274" i="2" s="1"/>
  <c r="H273" i="2"/>
  <c r="L273" i="2" s="1"/>
  <c r="H272" i="2"/>
  <c r="L272" i="2" s="1"/>
  <c r="H270" i="2"/>
  <c r="L270" i="2" s="1"/>
  <c r="H269" i="2"/>
  <c r="L269" i="2" s="1"/>
  <c r="H268" i="2"/>
  <c r="L268" i="2" s="1"/>
  <c r="H267" i="2"/>
  <c r="L267" i="2" s="1"/>
  <c r="H265" i="2"/>
  <c r="L265" i="2" s="1"/>
  <c r="H264" i="2"/>
  <c r="L264" i="2" s="1"/>
  <c r="H263" i="2"/>
  <c r="L263" i="2" s="1"/>
  <c r="H261" i="2"/>
  <c r="L261" i="2" s="1"/>
  <c r="H260" i="2"/>
  <c r="L260" i="2" s="1"/>
  <c r="H259" i="2"/>
  <c r="L259" i="2" s="1"/>
  <c r="H258" i="2"/>
  <c r="L258" i="2" s="1"/>
  <c r="H257" i="2"/>
  <c r="L257" i="2" s="1"/>
  <c r="H252" i="2"/>
  <c r="L252" i="2" s="1"/>
  <c r="H251" i="2"/>
  <c r="L251" i="2" s="1"/>
  <c r="H250" i="2"/>
  <c r="L250" i="2" s="1"/>
  <c r="H249" i="2"/>
  <c r="L249" i="2" s="1"/>
  <c r="H245" i="2"/>
  <c r="L245" i="2" s="1"/>
  <c r="H244" i="2"/>
  <c r="L244" i="2" s="1"/>
  <c r="H242" i="2"/>
  <c r="L242" i="2" s="1"/>
  <c r="H240" i="2"/>
  <c r="L240" i="2" s="1"/>
  <c r="H239" i="2"/>
  <c r="L239" i="2" s="1"/>
  <c r="H237" i="2"/>
  <c r="L237" i="2" s="1"/>
  <c r="H236" i="2"/>
  <c r="L236" i="2" s="1"/>
  <c r="H234" i="2"/>
  <c r="L234" i="2" s="1"/>
  <c r="H233" i="2"/>
  <c r="L233" i="2" s="1"/>
  <c r="H232" i="2"/>
  <c r="L232" i="2" s="1"/>
  <c r="H231" i="2"/>
  <c r="L231" i="2" s="1"/>
  <c r="H230" i="2"/>
  <c r="L230" i="2" s="1"/>
  <c r="H229" i="2"/>
  <c r="L229" i="2" s="1"/>
  <c r="H226" i="2"/>
  <c r="L226" i="2" s="1"/>
  <c r="H225" i="2"/>
  <c r="L225" i="2" s="1"/>
  <c r="H224" i="2"/>
  <c r="L224" i="2" s="1"/>
  <c r="H223" i="2"/>
  <c r="L223" i="2" s="1"/>
  <c r="H221" i="2"/>
  <c r="L221" i="2" s="1"/>
  <c r="H220" i="2"/>
  <c r="L220" i="2" s="1"/>
  <c r="H219" i="2"/>
  <c r="L219" i="2" s="1"/>
  <c r="H218" i="2"/>
  <c r="L218" i="2" s="1"/>
  <c r="H217" i="2"/>
  <c r="L217" i="2" s="1"/>
  <c r="H215" i="2"/>
  <c r="L215" i="2" s="1"/>
  <c r="H213" i="2"/>
  <c r="L213" i="2" s="1"/>
  <c r="H212" i="2"/>
  <c r="L212" i="2" s="1"/>
  <c r="H211" i="2"/>
  <c r="L211" i="2" s="1"/>
  <c r="H210" i="2"/>
  <c r="L210" i="2" s="1"/>
  <c r="H209" i="2"/>
  <c r="L209" i="2" s="1"/>
  <c r="H207" i="2"/>
  <c r="L207" i="2" s="1"/>
  <c r="H206" i="2"/>
  <c r="L206" i="2" s="1"/>
  <c r="H205" i="2"/>
  <c r="L205" i="2" s="1"/>
  <c r="H204" i="2"/>
  <c r="L204" i="2" s="1"/>
  <c r="H203" i="2"/>
  <c r="L203" i="2" s="1"/>
  <c r="H200" i="2"/>
  <c r="L200" i="2" s="1"/>
  <c r="H199" i="2"/>
  <c r="L199" i="2" s="1"/>
  <c r="H198" i="2"/>
  <c r="L198" i="2" s="1"/>
  <c r="H197" i="2"/>
  <c r="L197" i="2" s="1"/>
  <c r="H196" i="2"/>
  <c r="L196" i="2" s="1"/>
  <c r="H195" i="2"/>
  <c r="L195" i="2" s="1"/>
  <c r="H194" i="2"/>
  <c r="L194" i="2" s="1"/>
  <c r="H193" i="2"/>
  <c r="L193" i="2" s="1"/>
  <c r="H192" i="2"/>
  <c r="L192" i="2" s="1"/>
  <c r="H191" i="2"/>
  <c r="L191" i="2" s="1"/>
  <c r="H190" i="2"/>
  <c r="L190" i="2" s="1"/>
  <c r="H189" i="2"/>
  <c r="L189" i="2" s="1"/>
  <c r="H188" i="2"/>
  <c r="L188" i="2" s="1"/>
  <c r="H186" i="2"/>
  <c r="L186" i="2" s="1"/>
  <c r="H185" i="2"/>
  <c r="L185" i="2" s="1"/>
  <c r="H184" i="2"/>
  <c r="L184" i="2" s="1"/>
  <c r="H183" i="2"/>
  <c r="L183" i="2" s="1"/>
  <c r="H182" i="2"/>
  <c r="L182" i="2" s="1"/>
  <c r="H179" i="2"/>
  <c r="L179" i="2" s="1"/>
  <c r="H178" i="2"/>
  <c r="L178" i="2" s="1"/>
  <c r="H176" i="2"/>
  <c r="L176" i="2" s="1"/>
  <c r="H174" i="2"/>
  <c r="L174" i="2" s="1"/>
  <c r="H172" i="2"/>
  <c r="L172" i="2" s="1"/>
  <c r="H170" i="2"/>
  <c r="L170" i="2" s="1"/>
  <c r="H169" i="2"/>
  <c r="L169" i="2" s="1"/>
  <c r="H168" i="2"/>
  <c r="L168" i="2" s="1"/>
  <c r="H167" i="2"/>
  <c r="L167" i="2" s="1"/>
  <c r="H166" i="2"/>
  <c r="L166" i="2" s="1"/>
  <c r="H165" i="2"/>
  <c r="L165" i="2" s="1"/>
  <c r="H163" i="2"/>
  <c r="L163" i="2" s="1"/>
  <c r="H162" i="2"/>
  <c r="L162" i="2" s="1"/>
  <c r="H161" i="2"/>
  <c r="L161" i="2" s="1"/>
  <c r="H160" i="2"/>
  <c r="L160" i="2" s="1"/>
  <c r="H159" i="2"/>
  <c r="L159" i="2" s="1"/>
  <c r="H158" i="2"/>
  <c r="L158" i="2" s="1"/>
  <c r="H157" i="2"/>
  <c r="L157" i="2" s="1"/>
  <c r="H156" i="2"/>
  <c r="L156" i="2" s="1"/>
  <c r="H155" i="2"/>
  <c r="L155" i="2" s="1"/>
  <c r="H154" i="2"/>
  <c r="L154" i="2" s="1"/>
  <c r="H153" i="2"/>
  <c r="L153" i="2" s="1"/>
  <c r="H152" i="2"/>
  <c r="L152" i="2" s="1"/>
  <c r="H151" i="2"/>
  <c r="L151" i="2" s="1"/>
  <c r="H148" i="2"/>
  <c r="L148" i="2" s="1"/>
  <c r="H146" i="2"/>
  <c r="L146" i="2" s="1"/>
  <c r="H145" i="2"/>
  <c r="L145" i="2" s="1"/>
  <c r="H143" i="2"/>
  <c r="L143" i="2" s="1"/>
  <c r="H142" i="2"/>
  <c r="L142" i="2" s="1"/>
  <c r="H140" i="2"/>
  <c r="L140" i="2" s="1"/>
  <c r="H138" i="2"/>
  <c r="L138" i="2" s="1"/>
  <c r="H137" i="2"/>
  <c r="L137" i="2" s="1"/>
  <c r="H136" i="2"/>
  <c r="L136" i="2" s="1"/>
  <c r="H135" i="2"/>
  <c r="L135" i="2" s="1"/>
  <c r="H134" i="2"/>
  <c r="L134" i="2" s="1"/>
  <c r="H133" i="2"/>
  <c r="L133" i="2" s="1"/>
  <c r="H131" i="2"/>
  <c r="L131" i="2" s="1"/>
  <c r="H130" i="2"/>
  <c r="L130" i="2" s="1"/>
  <c r="H128" i="2"/>
  <c r="L128" i="2" s="1"/>
  <c r="H127" i="2"/>
  <c r="L127" i="2" s="1"/>
  <c r="H126" i="2"/>
  <c r="L126" i="2" s="1"/>
  <c r="H123" i="2"/>
  <c r="L123" i="2" s="1"/>
  <c r="H122" i="2"/>
  <c r="L122" i="2" s="1"/>
  <c r="H121" i="2"/>
  <c r="L121" i="2" s="1"/>
  <c r="H118" i="2"/>
  <c r="L118" i="2" s="1"/>
  <c r="H117" i="2"/>
  <c r="L117" i="2" s="1"/>
  <c r="H115" i="2"/>
  <c r="L115" i="2" s="1"/>
  <c r="H114" i="2"/>
  <c r="L114" i="2" s="1"/>
  <c r="H113" i="2"/>
  <c r="L113" i="2" s="1"/>
  <c r="H112" i="2"/>
  <c r="L112" i="2" s="1"/>
  <c r="H111" i="2"/>
  <c r="L111" i="2" s="1"/>
  <c r="H109" i="2"/>
  <c r="L109" i="2" s="1"/>
  <c r="H108" i="2"/>
  <c r="L108" i="2" s="1"/>
  <c r="H107" i="2"/>
  <c r="L107" i="2" s="1"/>
  <c r="H106" i="2"/>
  <c r="L106" i="2" s="1"/>
  <c r="H105" i="2"/>
  <c r="L105" i="2" s="1"/>
  <c r="H104" i="2"/>
  <c r="L104" i="2" s="1"/>
  <c r="H103" i="2"/>
  <c r="L103" i="2" s="1"/>
  <c r="H101" i="2"/>
  <c r="L101" i="2" s="1"/>
  <c r="H100" i="2"/>
  <c r="L100" i="2" s="1"/>
  <c r="H99" i="2"/>
  <c r="L99" i="2" s="1"/>
  <c r="H98" i="2"/>
  <c r="L98" i="2" s="1"/>
  <c r="H97" i="2"/>
  <c r="L97" i="2" s="1"/>
  <c r="H95" i="2"/>
  <c r="L95" i="2" s="1"/>
  <c r="H94" i="2"/>
  <c r="L94" i="2" s="1"/>
  <c r="H93" i="2"/>
  <c r="L93" i="2" s="1"/>
  <c r="H92" i="2"/>
  <c r="L92" i="2" s="1"/>
  <c r="H91" i="2"/>
  <c r="L91" i="2" s="1"/>
  <c r="H90" i="2"/>
  <c r="L90" i="2" s="1"/>
  <c r="H88" i="2"/>
  <c r="L88" i="2" s="1"/>
  <c r="H87" i="2"/>
  <c r="L87" i="2" s="1"/>
  <c r="H86" i="2"/>
  <c r="L86" i="2" s="1"/>
  <c r="H84" i="2"/>
  <c r="L84" i="2" s="1"/>
  <c r="H83" i="2"/>
  <c r="L83" i="2" s="1"/>
  <c r="H82" i="2"/>
  <c r="L82" i="2" s="1"/>
  <c r="H81" i="2"/>
  <c r="L81" i="2" s="1"/>
  <c r="H79" i="2"/>
  <c r="L79" i="2" s="1"/>
  <c r="H78" i="2"/>
  <c r="L78" i="2" s="1"/>
  <c r="H77" i="2"/>
  <c r="L77" i="2" s="1"/>
  <c r="H76" i="2"/>
  <c r="L76" i="2" s="1"/>
  <c r="H75" i="2"/>
  <c r="L75" i="2" s="1"/>
  <c r="H74" i="2"/>
  <c r="L74" i="2" s="1"/>
  <c r="H73" i="2"/>
  <c r="L73" i="2" s="1"/>
  <c r="H71" i="2"/>
  <c r="L71" i="2" s="1"/>
  <c r="H69" i="2"/>
  <c r="L69" i="2" s="1"/>
  <c r="H68" i="2"/>
  <c r="L68" i="2" s="1"/>
  <c r="H67" i="2"/>
  <c r="L67" i="2" s="1"/>
  <c r="H66" i="2"/>
  <c r="L66" i="2" s="1"/>
  <c r="H65" i="2"/>
  <c r="L65" i="2" s="1"/>
  <c r="H64" i="2"/>
  <c r="L64" i="2" s="1"/>
  <c r="H63" i="2"/>
  <c r="L63" i="2" s="1"/>
  <c r="H61" i="2"/>
  <c r="L61" i="2" s="1"/>
  <c r="H60" i="2"/>
  <c r="L60" i="2" s="1"/>
  <c r="H59" i="2"/>
  <c r="L59" i="2" s="1"/>
  <c r="H58" i="2"/>
  <c r="L58" i="2" s="1"/>
  <c r="H57" i="2"/>
  <c r="L57" i="2" s="1"/>
  <c r="H55" i="2"/>
  <c r="L55" i="2" s="1"/>
  <c r="H54" i="2"/>
  <c r="L54" i="2" s="1"/>
  <c r="H53" i="2"/>
  <c r="L53" i="2" s="1"/>
  <c r="H52" i="2"/>
  <c r="L52" i="2" s="1"/>
  <c r="H50" i="2"/>
  <c r="L50" i="2" s="1"/>
  <c r="H49" i="2"/>
  <c r="L49" i="2" s="1"/>
  <c r="H47" i="2"/>
  <c r="L47" i="2" s="1"/>
  <c r="H46" i="2"/>
  <c r="L46" i="2" s="1"/>
  <c r="H45" i="2"/>
  <c r="L45" i="2" s="1"/>
  <c r="H44" i="2"/>
  <c r="L44" i="2" s="1"/>
  <c r="H43" i="2"/>
  <c r="L43" i="2" s="1"/>
  <c r="H39" i="2"/>
  <c r="L39" i="2" s="1"/>
  <c r="H38" i="2"/>
  <c r="L38" i="2" s="1"/>
  <c r="H37" i="2"/>
  <c r="L37" i="2" s="1"/>
  <c r="H35" i="2"/>
  <c r="L35" i="2" s="1"/>
  <c r="H33" i="2"/>
  <c r="L33" i="2" s="1"/>
  <c r="H31" i="2"/>
  <c r="L31" i="2" s="1"/>
  <c r="H30" i="2"/>
  <c r="L30" i="2" s="1"/>
  <c r="H28" i="2"/>
  <c r="L28" i="2" s="1"/>
  <c r="H27" i="2"/>
  <c r="L27" i="2" s="1"/>
  <c r="H26" i="2"/>
  <c r="L26" i="2" s="1"/>
  <c r="H25" i="2"/>
  <c r="L25" i="2" s="1"/>
  <c r="H23" i="2"/>
  <c r="L23" i="2" s="1"/>
  <c r="H22" i="2"/>
  <c r="L22" i="2" s="1"/>
  <c r="H21" i="2"/>
  <c r="L21" i="2" s="1"/>
  <c r="H19" i="2"/>
  <c r="L19" i="2" s="1"/>
  <c r="H18" i="2"/>
  <c r="L18" i="2" s="1"/>
  <c r="H17" i="2"/>
  <c r="L17" i="2" s="1"/>
  <c r="H16" i="2"/>
  <c r="L16" i="2" s="1"/>
  <c r="H15" i="2"/>
  <c r="L15" i="2" s="1"/>
  <c r="H12" i="2"/>
  <c r="L12" i="2" s="1"/>
  <c r="H10" i="2"/>
  <c r="L10" i="2" s="1"/>
  <c r="H9" i="2"/>
  <c r="L9" i="2" s="1"/>
  <c r="H7" i="2"/>
  <c r="L7" i="2" s="1"/>
  <c r="H6" i="2"/>
  <c r="L6" i="2" s="1"/>
  <c r="H5" i="2"/>
  <c r="L5" i="2" s="1"/>
</calcChain>
</file>

<file path=xl/sharedStrings.xml><?xml version="1.0" encoding="utf-8"?>
<sst xmlns="http://schemas.openxmlformats.org/spreadsheetml/2006/main" count="2627" uniqueCount="1127">
  <si>
    <t>Название_позиции</t>
  </si>
  <si>
    <t>Ключевые_слова</t>
  </si>
  <si>
    <t>Описание</t>
  </si>
  <si>
    <t>Тип_товара</t>
  </si>
  <si>
    <t>Цена</t>
  </si>
  <si>
    <t>Валюта</t>
  </si>
  <si>
    <t>Скидка</t>
  </si>
  <si>
    <t>Единица_измерения</t>
  </si>
  <si>
    <t>Ссылка_изображения</t>
  </si>
  <si>
    <t>Наличие</t>
  </si>
  <si>
    <t>Идентификатор_товара</t>
  </si>
  <si>
    <t>Идентификатор_группы</t>
  </si>
  <si>
    <t>курс</t>
  </si>
  <si>
    <t>(б/н:22 нал.:22.5)</t>
  </si>
  <si>
    <t>Производитель</t>
  </si>
  <si>
    <t>Код</t>
  </si>
  <si>
    <t>Артикул</t>
  </si>
  <si>
    <t>Модель</t>
  </si>
  <si>
    <t>Наименование</t>
  </si>
  <si>
    <t>Изменение цены</t>
  </si>
  <si>
    <t>Гар</t>
  </si>
  <si>
    <t>Склад</t>
  </si>
  <si>
    <t>!!! Распродажа !!!</t>
  </si>
  <si>
    <t>ADSL фильтры</t>
  </si>
  <si>
    <t>NETS</t>
  </si>
  <si>
    <t/>
  </si>
  <si>
    <t>NETS-PLFADSL  Nets сплітер телефонної  лінії  ADSL</t>
  </si>
  <si>
    <t>есть</t>
  </si>
  <si>
    <t>NETS-PLFADSL-cable  Nets сплитер телефонной линии ADSL</t>
  </si>
  <si>
    <t>NETS-PLFADSL-filter</t>
  </si>
  <si>
    <t>NETS фильтр телефонной линии ADSL</t>
  </si>
  <si>
    <t>USB и BlueTooth контроллеры</t>
  </si>
  <si>
    <t>Nets-USB2-PCI4  Nets Контроллер USB 2.0 PCI 4-х портовый</t>
  </si>
  <si>
    <t>USB-BT2  USB BlueTooth 2.0/EDR dongle, class 1 макс. расстояние до100м, 3 Mb/sec</t>
  </si>
  <si>
    <t>Аксессуары для iPAD</t>
  </si>
  <si>
    <t>Китай</t>
  </si>
  <si>
    <t>APPLE-IPAD2-0429</t>
  </si>
  <si>
    <t>Чехол защитный c подставкой и наплечным ремнем кожаный для iPAD2, черный</t>
  </si>
  <si>
    <t>Арматура для ВОЛС TELENCO</t>
  </si>
  <si>
    <t>Зажимы натяжные</t>
  </si>
  <si>
    <t>Telenco</t>
  </si>
  <si>
    <t>AC7-500</t>
  </si>
  <si>
    <t>Telenco Зажим натяжной алюминиевый корпус, трос 500мм, кабель 4-7мм</t>
  </si>
  <si>
    <t>ACADSS-12</t>
  </si>
  <si>
    <t>Telenco Зажим натяжной для круглого кабеля, трос 500мм, кабель 12-14мм</t>
  </si>
  <si>
    <t>ACADSS-14</t>
  </si>
  <si>
    <t>Telenco Зажим натяжной для круглого кабеля, трос 500мм, кабель 14-16мм</t>
  </si>
  <si>
    <t>ODWAC</t>
  </si>
  <si>
    <t>Telenco Зажим натяжной для плоского кабеля 6*11мм, оцинкованная сталь</t>
  </si>
  <si>
    <t>SC-30/34</t>
  </si>
  <si>
    <t>Telenco Зажим поддерживающий, кабель 4-9мм</t>
  </si>
  <si>
    <t>Кронштейны и крюки</t>
  </si>
  <si>
    <t>KBO</t>
  </si>
  <si>
    <t>Telenco Крюк под ленту, оцинкованная сталь</t>
  </si>
  <si>
    <t>KBU</t>
  </si>
  <si>
    <t>Telenco Крюк универсальный под болты или ленту, оцинкованная сталь</t>
  </si>
  <si>
    <t>UPB</t>
  </si>
  <si>
    <t>Telenco Кронштейн анкерный универсальный под болты или ленту, алюминиевый сплав</t>
  </si>
  <si>
    <t>Лента бандажная, скрепы, инструмент</t>
  </si>
  <si>
    <t>B20</t>
  </si>
  <si>
    <t>Telenco Скрепа стандартная для ленты 19-20мм, нержавеющая сталь, уп. 100шт</t>
  </si>
  <si>
    <t>BIB20</t>
  </si>
  <si>
    <t>Telenco Скрепа утяжеленная для ленты 19-20мм, нержавеющая сталь, уп. 100шт</t>
  </si>
  <si>
    <t>BTL</t>
  </si>
  <si>
    <t>Telenco Инструмент для монтажа ленты рычажного типа, с трещеткой</t>
  </si>
  <si>
    <t>BTS</t>
  </si>
  <si>
    <t>Telenco Инструмент для натяжки и резки ленты, винтового типа</t>
  </si>
  <si>
    <t>Асессуары для коаксиального кабеля</t>
  </si>
  <si>
    <t>F-RG6  Штекер F RG-6 18мм цинк, упаковка 100 шт на кабель накручиваются</t>
  </si>
  <si>
    <t>S1-3  Сплитер 1 вход - 3 выхода</t>
  </si>
  <si>
    <t>Блоки питания</t>
  </si>
  <si>
    <t>AD AC220V/DC5V2A</t>
  </si>
  <si>
    <t>Адаптер живлення 220В/5В-2А</t>
  </si>
  <si>
    <t>Видеоглазки</t>
  </si>
  <si>
    <t>NETS-ACS-0501  NETS Дверной глазок экран 2.5" цветной, пит 2 бат АА, обзор 150 град, дверь 35-75 мм</t>
  </si>
  <si>
    <t>Видеокамеры аналоговые</t>
  </si>
  <si>
    <t>PARTIZAN</t>
  </si>
  <si>
    <t>CDM-223S-IR</t>
  </si>
  <si>
    <t>PARTIZAN Видеокамера, 3,6, 420TVL, 1/4" Sharp, цвет, внутрішня, ИК 20 м</t>
  </si>
  <si>
    <t>COD-M341S</t>
  </si>
  <si>
    <t>PARTIZAN Видеокамера, 3,6, 420TVL, 1/4" Sony, цвет, наружная, ИК 8 м</t>
  </si>
  <si>
    <t>COD-VF3CH</t>
  </si>
  <si>
    <t>PARTIZAN Видеокамера, 3.6, 700TVL, 1/3" Sony, цвет, наружная, ИК 40 м</t>
  </si>
  <si>
    <t>ДКС</t>
  </si>
  <si>
    <t>Кабельные каналы</t>
  </si>
  <si>
    <t>Кабель-канал 100х40мм</t>
  </si>
  <si>
    <t>01757</t>
  </si>
  <si>
    <t>ДКС Т-образный отвод NTAN 100x40, для коробов серии TA-GN и TA-EN</t>
  </si>
  <si>
    <t>01782</t>
  </si>
  <si>
    <t>ДКС Кабельный короб серии TA-GN 100x40, с направляющими на основании</t>
  </si>
  <si>
    <t>01809</t>
  </si>
  <si>
    <t>ДКС Внешний неизменяемый угол NEAV 100x40, для коробов серии TA-GN и TA-EN</t>
  </si>
  <si>
    <t>01825</t>
  </si>
  <si>
    <t>ДКС Внутренний неизменяемый угол NIAV 100x40, для коробов серии TA-GN и TA-EN</t>
  </si>
  <si>
    <t>09514</t>
  </si>
  <si>
    <t>ДКС Разделитель SEP-N 40, высота 26.47мм, длина 2м</t>
  </si>
  <si>
    <t>Кабель-канал 100х60мм</t>
  </si>
  <si>
    <t>00874</t>
  </si>
  <si>
    <t>ДКС Заглушка на торец LAN 100x60, для коробов серии TA-GN и TA-EN</t>
  </si>
  <si>
    <t>01788</t>
  </si>
  <si>
    <t>ДКС Кабельный короб серии TA-GN 150x60, с направляющими на основании</t>
  </si>
  <si>
    <t>Кабель-канал 40х40мм</t>
  </si>
  <si>
    <t>00324</t>
  </si>
  <si>
    <t>ДКС Кабельный короб серии TA-EN 40x40, с плоским основанием</t>
  </si>
  <si>
    <t>00868</t>
  </si>
  <si>
    <t>ДКС Заглушка на торец LAN 40x40, для коробов серии TA-GN и TA-EN</t>
  </si>
  <si>
    <t>01738</t>
  </si>
  <si>
    <t>ДКС Плоский угол NPAN 40x40, для коробов серии TA-GN и TA-EN</t>
  </si>
  <si>
    <t>01754</t>
  </si>
  <si>
    <t>ДКС Т-образный отвод NTAN 40x40, для коробов серии TA-GN и TA-EN</t>
  </si>
  <si>
    <t>Кабель-канал 60х40мм</t>
  </si>
  <si>
    <t>00869</t>
  </si>
  <si>
    <t>ДКС Заглушка на торец LAN 60x40, для коробов серии TA-GN и TA-EN</t>
  </si>
  <si>
    <t>01739</t>
  </si>
  <si>
    <t>ДКС Плоский угол NPAN 60x40, для коробов серии TA-GN и TA-EN</t>
  </si>
  <si>
    <t>01755</t>
  </si>
  <si>
    <t>ДКС Т-образный отвод NTAN 60x40, для коробов серии TA-GN и TA-EN</t>
  </si>
  <si>
    <t>01780</t>
  </si>
  <si>
    <t>ДКС Кабельный короб серии TA-GN 60x40, с направляющими на основании</t>
  </si>
  <si>
    <t>01823</t>
  </si>
  <si>
    <t>ДКС Внутренний неизменяемый угол NIA 60x40, для коробов серии TA-GN</t>
  </si>
  <si>
    <t>Кабель-канал 80х40мм</t>
  </si>
  <si>
    <t>00871</t>
  </si>
  <si>
    <t>ДКС Заглушка на торец LAN 80x40, для коробов серии TA-GN и TA-EN</t>
  </si>
  <si>
    <t>00886</t>
  </si>
  <si>
    <t>ДКС Соединение на стык GAN 80, для коробов серии TA-GN и TA-EN</t>
  </si>
  <si>
    <t>01708</t>
  </si>
  <si>
    <t>ДКС Внешний изменяемый угол NEAV 80x40, для коробов серии TA-GN и TA-EN</t>
  </si>
  <si>
    <t>01740</t>
  </si>
  <si>
    <t>ДКС Плоский угол NPAN 80x40, для коробов серии TA-GN и TA-EN</t>
  </si>
  <si>
    <t>01756</t>
  </si>
  <si>
    <t>ДКС Т-образный отвод NTAN 80x40, для коробов серии TA-GN и TA-EN</t>
  </si>
  <si>
    <t>01808</t>
  </si>
  <si>
    <t>ДКС Угол внешний неизменяемый (90°)  NEA 80x40, цвет белый RAL9001</t>
  </si>
  <si>
    <t>01824</t>
  </si>
  <si>
    <t>ДКС Внутренний неизменяемый угол NIAV 80x40, для коробов серии TA-GN и TA-EN</t>
  </si>
  <si>
    <t>Кабель-канал 90х50мм</t>
  </si>
  <si>
    <t>09501</t>
  </si>
  <si>
    <t>ДКС Короб з фронтальною кришкою In-Liner Front 90x50мм RAL9016</t>
  </si>
  <si>
    <t>Коробки-подрозетники</t>
  </si>
  <si>
    <t>10034</t>
  </si>
  <si>
    <t>ДКС Коробка монтажная PDB под 2 модуля Brava, цвет белый RAL9016</t>
  </si>
  <si>
    <t>10123</t>
  </si>
  <si>
    <t>ДКС Коробка монтажная PDD-N 60 универсальная, цвет белый RAL9016</t>
  </si>
  <si>
    <t>75010W</t>
  </si>
  <si>
    <t>ДКС Рамка на 2 модуля (одноместная) Brava, цвет белый RAL9010</t>
  </si>
  <si>
    <t>75011W</t>
  </si>
  <si>
    <t>ДКС Рамка на 4 модуля Brava, цвет белый RAL9010</t>
  </si>
  <si>
    <t>75021W</t>
  </si>
  <si>
    <t>ДКС Каркас на 4 модуля (двухместный) Brava, цвет белый RAL9010</t>
  </si>
  <si>
    <t>75023W</t>
  </si>
  <si>
    <t>ДКС Каркас на 2 модуля 1-местный, без винтов и лапок, под коробки PDD-N60, цвет белый</t>
  </si>
  <si>
    <t>F0000MB</t>
  </si>
  <si>
    <t>ДКС Каркас под 2 модуля Brava, черный RAL9016</t>
  </si>
  <si>
    <t>Миниканал 22х10мм</t>
  </si>
  <si>
    <t>00386</t>
  </si>
  <si>
    <t>ДКС Угол внутренний AIM для миниканала 22x10</t>
  </si>
  <si>
    <t>00396</t>
  </si>
  <si>
    <t>ДКС Угол внешний AEM для миниканала 22x10</t>
  </si>
  <si>
    <t>00407</t>
  </si>
  <si>
    <t>ДКС Угол плоский APM для миниканала 22x10</t>
  </si>
  <si>
    <t>00580</t>
  </si>
  <si>
    <t>ДКС Заглушка на торец LM для миниканала 22x10</t>
  </si>
  <si>
    <t>Миниканал 25х17мм</t>
  </si>
  <si>
    <t>00391</t>
  </si>
  <si>
    <t>ДКС Угол внутренний AIM для миниканала 25x17</t>
  </si>
  <si>
    <t>00404</t>
  </si>
  <si>
    <t>ДКС Угол внешний AEM для миниканала 25x17</t>
  </si>
  <si>
    <t>00591</t>
  </si>
  <si>
    <t>ДКС Соединение на стык GM для миниканала 25x17</t>
  </si>
  <si>
    <t>Миниканал 40х17</t>
  </si>
  <si>
    <t>00395</t>
  </si>
  <si>
    <t>ДКС Угол внутренний AIM для миниканала 40x17</t>
  </si>
  <si>
    <t>00406</t>
  </si>
  <si>
    <t>ДКС Угол внешний AEM для миниканала 40x17</t>
  </si>
  <si>
    <t>00425</t>
  </si>
  <si>
    <t>ДКС Угол плоский APM для миниканала 40x17</t>
  </si>
  <si>
    <t>00541</t>
  </si>
  <si>
    <t>ДКС Тройной отвод IM для миниканала 40x17</t>
  </si>
  <si>
    <t>00579</t>
  </si>
  <si>
    <t>ДКС Заглушка на торец LM для миниканала 40x17</t>
  </si>
  <si>
    <t>00597</t>
  </si>
  <si>
    <t>ДКС Соединение на стык GM для миниканала 40x17</t>
  </si>
  <si>
    <t>Миниканал 50х20</t>
  </si>
  <si>
    <t>00651</t>
  </si>
  <si>
    <t>ДКС Заглушка на торец LM для миниканала 50x20</t>
  </si>
  <si>
    <t>00652</t>
  </si>
  <si>
    <t>ДКС Тройной отвод IM для миниканала 50x20</t>
  </si>
  <si>
    <t>00654</t>
  </si>
  <si>
    <t>ДКС Угол плоский APM для миниканала 50x20</t>
  </si>
  <si>
    <t>00655</t>
  </si>
  <si>
    <t>ДКС Угол внутренний AIM для миниканала 50x20</t>
  </si>
  <si>
    <t>00656</t>
  </si>
  <si>
    <t>ДКС Угол внешний AEM для миниканала 50x20</t>
  </si>
  <si>
    <t>Накладные рамки-подрозетники к коробам серий TA-Gn и TA-Еn</t>
  </si>
  <si>
    <t>00563</t>
  </si>
  <si>
    <t>ДКС Рамка-суппорт PDA3-45N 80 под 6 модулей 45х45мм, цвет белый RAL9001</t>
  </si>
  <si>
    <t>07713R</t>
  </si>
  <si>
    <t>ДКС Фиксатор кабеля TR-ER 80</t>
  </si>
  <si>
    <t>07714</t>
  </si>
  <si>
    <t>ДКС Фиксатор кабеля TR-E 100</t>
  </si>
  <si>
    <t>07714R</t>
  </si>
  <si>
    <t>07714  ДКС Фиксатор кабеля TR-ER 100</t>
  </si>
  <si>
    <t>10443</t>
  </si>
  <si>
    <t>ДКС Рамка-суппорт PDA-BN 80 под 2 модуля Brava, цвет белый RAL9001</t>
  </si>
  <si>
    <t>10653</t>
  </si>
  <si>
    <t>ДКС Рамка-суппорт PDA-3BN 100 под 6-ть модулей Brava, цвет белый RAL9001</t>
  </si>
  <si>
    <t>F00011</t>
  </si>
  <si>
    <t>ДКС Рамка универсальная на 2 модуля, белый RAL9016</t>
  </si>
  <si>
    <t>Напольный короб и аксессуары</t>
  </si>
  <si>
    <t>01032</t>
  </si>
  <si>
    <t>ДКС Напольный канал 50x12мм CSP-F, серый RAL7030</t>
  </si>
  <si>
    <t>01332</t>
  </si>
  <si>
    <t>ДКС Напольный канал 75x17мм CSP-F, серый RAL7030</t>
  </si>
  <si>
    <t>05912</t>
  </si>
  <si>
    <t>ДКС Плоский угол APSP для напольного короба, серый</t>
  </si>
  <si>
    <t>05914</t>
  </si>
  <si>
    <t>ДКС Соединение GSP для напольного короба, серый</t>
  </si>
  <si>
    <t>05916</t>
  </si>
  <si>
    <t>ДКС Тройной ответвитель DSP для напольного короба, серый</t>
  </si>
  <si>
    <t>Люки, колоны, башенки</t>
  </si>
  <si>
    <t>09090</t>
  </si>
  <si>
    <t>ДКС Напольная башенка BUS 12 модулей, цвет черный RAL7016</t>
  </si>
  <si>
    <t>F0000L</t>
  </si>
  <si>
    <t>ДКС Каркас под 2 модуля 45х45, белый RAL9016</t>
  </si>
  <si>
    <t>Система "Quadro"</t>
  </si>
  <si>
    <t>Клеммники</t>
  </si>
  <si>
    <t>43112FVP</t>
  </si>
  <si>
    <t>ДКС Клеммная колодка LP с пластиной предохраняющей провод от повреждения винтом 12p, 450V, 17,5A, 1,5 мм</t>
  </si>
  <si>
    <t>43212FVP</t>
  </si>
  <si>
    <t>ДКС Клеммная колодка LP с пластиной предохраняющей провод от повреждения винтом 12p, 450V, 24A, 2,5 мм</t>
  </si>
  <si>
    <t>43412NY</t>
  </si>
  <si>
    <t>ДКС клема для кабелю 10 мм, прохідна на 12 полюсів матер. корпусу поліамід 6.6</t>
  </si>
  <si>
    <t>Трубы пластиковые</t>
  </si>
  <si>
    <t>Трубы гладкие</t>
  </si>
  <si>
    <t>50525</t>
  </si>
  <si>
    <t>ДКС Коліно 90гр. що відкривається жтр-жтр IP40 д25мм ПП RAL7035  арт.</t>
  </si>
  <si>
    <t>53344</t>
  </si>
  <si>
    <t>ДКС Тримач односторонній д25-26мм з вушком д7,0/4,5мм сталь цинкована  арт.</t>
  </si>
  <si>
    <t>54925</t>
  </si>
  <si>
    <t>ДКС Муфта труба-труба с ограничителем IP40 д.25мм</t>
  </si>
  <si>
    <t>Трубы ПВХ гофрированные</t>
  </si>
  <si>
    <t>91920</t>
  </si>
  <si>
    <t>ДКС Гофротруба гнучка 320Н ПВХ д20/14,1мм з/п сіра 100м</t>
  </si>
  <si>
    <t>91940</t>
  </si>
  <si>
    <t>ДКС Труба ПВХ гибкая гофр. д.40мм, лёгкая с протяжкой, цвет серый, 20м</t>
  </si>
  <si>
    <t>Установочные механизмы</t>
  </si>
  <si>
    <t>76482B</t>
  </si>
  <si>
    <t>ДКС Эл. розетка Brava с заземл., шторками 16А 250В, 2 модуля, поликарбонат IP20, цвет белый</t>
  </si>
  <si>
    <t>76482R</t>
  </si>
  <si>
    <t>ДКС Эл. розетка Brava, с заземл., шторками, 16А 250В, 2 модуля, поликарбонат, IP20, красный</t>
  </si>
  <si>
    <t>76607B</t>
  </si>
  <si>
    <t>ДКС Адаптер для информационных разъемов Keystone, 1 модуль, поликарбонат, цвет белый RAL9010</t>
  </si>
  <si>
    <t>77482N</t>
  </si>
  <si>
    <t>ДКС Эл. розетка Brava, с заземлением, шторками, 16А 250В, 2 модуля, поликарбонат, черная</t>
  </si>
  <si>
    <t>52900</t>
  </si>
  <si>
    <t>ДКС Зажим кабельный с контргайкой, IP68, PG16, д.9-14мм</t>
  </si>
  <si>
    <t>F0000M</t>
  </si>
  <si>
    <t>ДКС Каркас под 2 модуля "Brava", белый RAL9016</t>
  </si>
  <si>
    <t>Инверторы автомобильные 12v</t>
  </si>
  <si>
    <t>NETS-CP-75  Nets автомобильный инвертер питания с USB портом, 220в, 75 ватт</t>
  </si>
  <si>
    <t>Кабели SATA</t>
  </si>
  <si>
    <t>NETS-SATA  Nets SATA кабель интерфейсный</t>
  </si>
  <si>
    <t>NETS-SATA-POWER  Nets SATA кабель питания</t>
  </si>
  <si>
    <t>Кабель для продажи по метрам</t>
  </si>
  <si>
    <t>Premium Line</t>
  </si>
  <si>
    <t>206141115</t>
  </si>
  <si>
    <t>PL Кабель U/UTP кат 6 серый, по метрам</t>
  </si>
  <si>
    <t>209142220</t>
  </si>
  <si>
    <t>PL Кабель U/UTP, кат. 6A, LS0H, 500МГц, оранжевый, 1м</t>
  </si>
  <si>
    <t>Коробки коммутационные термопластик</t>
  </si>
  <si>
    <t>T-plast</t>
  </si>
  <si>
    <t>3318-000-0000  Tplast Комбинированный щиток IP 67 130х220</t>
  </si>
  <si>
    <t>Кроссовое оборудование</t>
  </si>
  <si>
    <t>Коммутационные плинты</t>
  </si>
  <si>
    <t>Hypernet</t>
  </si>
  <si>
    <t>KR-AMWA</t>
  </si>
  <si>
    <t>Hypernet Магазин защиты для 10-и парного плинта, с комплектом предохранителей (ABS)</t>
  </si>
  <si>
    <t>KR-HLH-10</t>
  </si>
  <si>
    <t>KR-HLH-10  Hypernet Держатель этикетки и пыльник для 10-и парного плинта откидной</t>
  </si>
  <si>
    <t>KR-PTDM10</t>
  </si>
  <si>
    <t>Hypernet Плинт на 10 пар размыкаемый, крепление на профили (PTB)</t>
  </si>
  <si>
    <t>KR-PTSM10</t>
  </si>
  <si>
    <t>Hypernet Плинт переключаемый на 10 пар крепление на профили</t>
  </si>
  <si>
    <t>NETS-KR-CM10</t>
  </si>
  <si>
    <t>Net's Плинт на 10 пар неразмыкаемый (ABS)</t>
  </si>
  <si>
    <t>NETS-KR-DM10</t>
  </si>
  <si>
    <t>Net's Плинт на 10 пар размыкаемый (ABS)</t>
  </si>
  <si>
    <t>NETS-KR-DM10-09  Net's Плинт на 10 пар размыкаемый (ABS), маркированные 0-9</t>
  </si>
  <si>
    <t>NETS-KR-HBM5cat-8  Net's Плинт на 8 пар 5 категории, размыкаемый, цветная кодировка (PBT)</t>
  </si>
  <si>
    <t>NETS-KR-LPU</t>
  </si>
  <si>
    <t>Nets устройство защиты линии</t>
  </si>
  <si>
    <t>NETS-KR-PTCM10  Net's Плинт на 10 пар неразмыкаемый, крепление на профили (PTB)</t>
  </si>
  <si>
    <t>NETS-KR-PTDM10  Net's Плинт на 10 пар размыкаемый, крепление на профили (PTB)</t>
  </si>
  <si>
    <t>NETS-KR-PTСM10-09  Net's Плинт на 10 пар неразмыкаемый крепление на профили (PTB), маркированые 0-9</t>
  </si>
  <si>
    <t>NETS-KR-СM10-09  Net's Плинт на 10 пар неразмыкаемый (ABS), маркированные 0-9</t>
  </si>
  <si>
    <t>Монтажные кронштейны</t>
  </si>
  <si>
    <t>KR-MF-1915</t>
  </si>
  <si>
    <t>KR-MF-1915  Hypernet Кронштейн для установки в 19" шкаф 3U для 15 плинтов Krone (150 пар)</t>
  </si>
  <si>
    <t>KR-MF-WM2</t>
  </si>
  <si>
    <t>KR-MF-WM2  Hypernet Монтажный хомут для крепления на стену 2 плинтов (20 пар)</t>
  </si>
  <si>
    <t>KR-MF-WM3</t>
  </si>
  <si>
    <t>KR-MF-WM3  Hypernet Монтажный хомут для крепления на стену 3 плинтов (30 пар)</t>
  </si>
  <si>
    <t>Nets-KR-MF-1915</t>
  </si>
  <si>
    <t>Nets Кронштейн для установки в 19" шкаф 3U для 15 плинтов Krone (150 пар)</t>
  </si>
  <si>
    <t>NETS-KR-MF-WM2  Net's Монтажный хомут для крепления на стену 2 плинтов (20 пар)</t>
  </si>
  <si>
    <t>NETS-KR-MF-WM8  Net's Монтажный хомут для крепления на стену 8 плинтов (80 пар)</t>
  </si>
  <si>
    <t>Шкафы и коробки</t>
  </si>
  <si>
    <t>KR-ODB-1</t>
  </si>
  <si>
    <t>KR-ODB-1  Hypernet Настенная коробка под 1 плинт, внешнее исполнение</t>
  </si>
  <si>
    <t>Маркеры</t>
  </si>
  <si>
    <t>PC-0903</t>
  </si>
  <si>
    <t>PC-0903  Hypernet Маркеры пластиковые (0-10), 10 цветов, 10*10 шт в коробке</t>
  </si>
  <si>
    <t>Металлорукав оцинкованый</t>
  </si>
  <si>
    <t>МО-50-10  Металлорукав стальной оцинкованый с протяжкой D=50 мм, 10 м упаковка</t>
  </si>
  <si>
    <t>Очень нужные аксессуары - Must Have</t>
  </si>
  <si>
    <t>LCDTV-Tuner  TV тюнер для LCD TV</t>
  </si>
  <si>
    <t>USB-KIT  Набор USB кабели, мышь, хаб, переходники для ноутбука</t>
  </si>
  <si>
    <t>Розетки T-Plast</t>
  </si>
  <si>
    <t>Розетки, выключатели T-Plast влагозащищенные</t>
  </si>
  <si>
    <t>65952  Tplast Выключатель влагозащитный IP54 одинарный Camilya</t>
  </si>
  <si>
    <t>65953  Tplast Выключатель двойной влагозащитный IP54 Camilya</t>
  </si>
  <si>
    <t>65955  Tplast Выключатель + розетка с заземлением влагозащитный IP54 Camilya</t>
  </si>
  <si>
    <t>65956  Tplast Выключатель двойной + розетка с заземлением влагозащитный IP54 Camilya</t>
  </si>
  <si>
    <t>66214  Tplast Розетка телефонная влагозащитная IP54 Camilya</t>
  </si>
  <si>
    <t>Розетки, выключатели Tplast</t>
  </si>
  <si>
    <t>20173  Выключатель двойной с подсветкой белый Camilya</t>
  </si>
  <si>
    <t>20174  Выключатель проходной белый Camilya</t>
  </si>
  <si>
    <t>20175  Выключатель проходной двойной белый Camilya</t>
  </si>
  <si>
    <t>20176  Выключатель одинарный с подсветкой белый Camilya</t>
  </si>
  <si>
    <t>20178  Диммер 1000W с подсветкой белый Camilya</t>
  </si>
  <si>
    <t>20179  Tplast Рамка 2-я горизонтальная белая Camilya</t>
  </si>
  <si>
    <t>20183  Tplast Рамка 6-я горизонтальная белая Camilya</t>
  </si>
  <si>
    <t>20249  Tplast Выключатель двойной белый Camilya</t>
  </si>
  <si>
    <t>20250  Tplast Розетка двойная электрическая без заземления белая Camilya (бакелит)</t>
  </si>
  <si>
    <t>20251  Tplast Розетка двойная электрическая с заземлением белая Camilya (бакелит)</t>
  </si>
  <si>
    <t>20605  Tplast Розетка одинарная компьютерная 1хRJ45 cat. 5e белая Camilya</t>
  </si>
  <si>
    <t>20608  Tplast Розетка двойная телефонная 2хRJ12 белая Camilya</t>
  </si>
  <si>
    <t>65266  Tplast Кнопка звонка Camilya</t>
  </si>
  <si>
    <t>Сетевое активное</t>
  </si>
  <si>
    <t>IP камеры</t>
  </si>
  <si>
    <t>IPcam-NC-0202  IP Камера 0.3Mp подсв 8 LED, RJ45, M-JPEG</t>
  </si>
  <si>
    <t>IPcam-NC-0203  IP Камера 0.3Mp подсв 9 LED, RJ45, M-JPEG</t>
  </si>
  <si>
    <t>IPcam-NC-0207  IP Камера 0.3Mp подсв 9LED,поворот 350гор,60верт,RJ45,SDкарта,I\О,WiFi G, ауд,H.264</t>
  </si>
  <si>
    <t>IPcam-NC-0211  IP Камера WiFi 0.3Mp поворотная (100 верт, 340гор), 8 LED, RJ45, M-JPEG</t>
  </si>
  <si>
    <t>IPcam-TT-0052  DVR USB 2.0 для CCTV камер, 4 канала видео, 1 канал звук, поддержка всех функций DVR</t>
  </si>
  <si>
    <t>IP телефония и VoIP</t>
  </si>
  <si>
    <t>D-Link</t>
  </si>
  <si>
    <t>DVG-7111S  Dlink Шлюз VoIP 1 WAN, 1 LAN, 1 FXS, 1 FXO</t>
  </si>
  <si>
    <t>DVG-N5402SP  Dlink Маршрутизатор WiFi-N 300mbit VoIP 1 WAN, 4 LAN, 2 FXS, 1 FXO(lifeline), 1 USB</t>
  </si>
  <si>
    <t>Linksys</t>
  </si>
  <si>
    <t>PAP2v2  Linksys Шлюз VoIP 1 WAN, 2 FXS, 1 SIP</t>
  </si>
  <si>
    <t>VTA-VD  Dlink Шлюз VoIP 1 WAN, 2 FXS, 1 SIP</t>
  </si>
  <si>
    <t>Антенны для Wi-FI</t>
  </si>
  <si>
    <t>NETS-PC-0802A  Антена 8dB для Wi-Fi, SMA (папа), всенаправленая, накручивается вместо стандартной</t>
  </si>
  <si>
    <t>Маршрутизаторы, точки доступа, адаптеры, коммутаторы</t>
  </si>
  <si>
    <t>Edimax</t>
  </si>
  <si>
    <t>AR-7211A  Edimax Модем-маршрутизатор ADSL2+ 1WAN 1LAN 1USB</t>
  </si>
  <si>
    <t>EW-7206PDG</t>
  </si>
  <si>
    <t>Edimax Точка доступа WiFi B/G 54 Мбит, PoE, WDS, мост, станция, клиент</t>
  </si>
  <si>
    <t>EW-7303APN  Edimax Точка доступа OUTDOOR WiFi N 150 Мб 9dBi AP/Client/WDS Bridge/Repeater</t>
  </si>
  <si>
    <t>EW-7733UND  Edimax USB двухполосный WiFi N+A адаптер 450 Мбит/с, складная антенна</t>
  </si>
  <si>
    <t>WRT110  Linksys Маршрутизатор 4p LAN, 1p WAN, AP 802.11g, FireWall, DHCP, MIMO</t>
  </si>
  <si>
    <t>Тонкие клиенты</t>
  </si>
  <si>
    <t>NETS-PC-0767  Набор 3 терминала + PCI карта, PS/2, VGA, LAN, SPK, Win 2000/XP/2003, до 10М (NC360)</t>
  </si>
  <si>
    <t>NETS-PC-0768  Компьютерный терм сет, 2*PS/2, VGA, LAN, SPK, MIC, USB, WS 2000/2003/XP/Linux (TS230)</t>
  </si>
  <si>
    <t>NETS-PC-0782  Компьютерный терминал сетевой, PS/2, VGA, LAN, SPK Win 2000/2003/XP/Linux (TS100)</t>
  </si>
  <si>
    <t>NETS-PC-0783  Комп терм сет WinCE 6.0, VGA, LAN, SPK/MIC, 3*USB, WS 2000/2003/XP/2008/7/V (TS660)</t>
  </si>
  <si>
    <t>Шкафы и аксессуары</t>
  </si>
  <si>
    <t>Аксессуары для шкафов ESTAP</t>
  </si>
  <si>
    <t>Estap</t>
  </si>
  <si>
    <t>EUBP66</t>
  </si>
  <si>
    <t>ESTAP Заглушка дна для шкафов EuroLine 600х600</t>
  </si>
  <si>
    <t>M35FMS66</t>
  </si>
  <si>
    <t>Панель металлическая (пластина под EcoLine и EuroLine)</t>
  </si>
  <si>
    <t>M44BGL01</t>
  </si>
  <si>
    <t>ESTAP Набор для крепления шкафов DG-Rack друг к другу</t>
  </si>
  <si>
    <t>M44CRB66ECO</t>
  </si>
  <si>
    <t>ESTAP Цоколь для напольных шкафов ECOline 600x600 мм</t>
  </si>
  <si>
    <t>M44RPM</t>
  </si>
  <si>
    <t>Estap Корпус под блок силовых розеток 19"</t>
  </si>
  <si>
    <t>M66FBOX24SCD</t>
  </si>
  <si>
    <t>ESTAP Настенный оптический кросс 24xSC dublex незагруженный</t>
  </si>
  <si>
    <t>Вентиляторные полки ESTAP</t>
  </si>
  <si>
    <t>M35WM</t>
  </si>
  <si>
    <t>Панель вентиляторов (для настенных шкафов)</t>
  </si>
  <si>
    <t>M44HV2FT</t>
  </si>
  <si>
    <t>ESTAP Модуль вентиляторный 2 эл. с выключателем и термостатом для напол. шкафов Universal</t>
  </si>
  <si>
    <t>Напольные шкафы ESTAP</t>
  </si>
  <si>
    <t>ECOSRV42U</t>
  </si>
  <si>
    <t>ESTAP Шкаф напольный 42U 600x1000 мм перф. двери EcoServer</t>
  </si>
  <si>
    <t>EU42U6100</t>
  </si>
  <si>
    <t>ESTAP Шкаф напольный 42U 600x1000 мм EuroLine</t>
  </si>
  <si>
    <t>Настенные шкафы ESTAP</t>
  </si>
  <si>
    <t>EU7U450</t>
  </si>
  <si>
    <t>ESTAP Шкаф настенный 7U 600x450 мм EuroLine</t>
  </si>
  <si>
    <t>Настенные шкафы STANDART</t>
  </si>
  <si>
    <t>WMNC-40-6U-2</t>
  </si>
  <si>
    <t>Hypernet Шкаф коммутационный настенный 6U 540x400</t>
  </si>
  <si>
    <t>WMNC-6U-FLAT</t>
  </si>
  <si>
    <t>Hypernet Шкаф 6U 600x450 коммутационный настенный, разборной</t>
  </si>
  <si>
    <t>UPS,защита эл.питания, сет. фильтры</t>
  </si>
  <si>
    <t>.</t>
  </si>
  <si>
    <t>Сетевые фильтры</t>
  </si>
  <si>
    <t>APO1013-UPS</t>
  </si>
  <si>
    <t>SuperPower Сетевой фильтр 1.8m 5 розеток для UPS ВИЛКА IEC-320 черный</t>
  </si>
  <si>
    <t>SP-5S-30-GY</t>
  </si>
  <si>
    <t>SPG3-B-10PP</t>
  </si>
  <si>
    <t>Hypernet Сетевой фильтр 3.0m 5 розеток серый</t>
  </si>
  <si>
    <t>SPG3-B-15PP</t>
  </si>
  <si>
    <t>Hypernet Сетевой фильтр 4.5m 5 розеток серый</t>
  </si>
  <si>
    <t>SPG3-B-6PP</t>
  </si>
  <si>
    <t>Hypernet Сетевой фильтр 1.8m 5 розеток серый</t>
  </si>
  <si>
    <t>Инструмент и тестеры</t>
  </si>
  <si>
    <t>Инструмент для сетей</t>
  </si>
  <si>
    <t>Инструмент для заделки кабеля</t>
  </si>
  <si>
    <t>HT-3130</t>
  </si>
  <si>
    <t>Hypernet Инструмент для заделки кабеля, с пружиной, c регулировки силы, c лезвием 110 типа</t>
  </si>
  <si>
    <t>HT-3140</t>
  </si>
  <si>
    <t>HT-344KR</t>
  </si>
  <si>
    <t>Hypernet Инструмент профи для заделки телефонных плинтов KRONE с рег/ силы, крючками</t>
  </si>
  <si>
    <t>HT-344KR/2</t>
  </si>
  <si>
    <t>344KR/2</t>
  </si>
  <si>
    <t>HT-  Hypernet Инструмент для заделки телефонных плинтов KRONE с регулировкой силы, крючками</t>
  </si>
  <si>
    <t>NETS-14B  Nets Лезвие для заделочного инструмента HT-3140/HT-3240/HT-3340 тип 110</t>
  </si>
  <si>
    <t>Инструмент для зачистки и обрезки кабеля</t>
  </si>
  <si>
    <t>318</t>
  </si>
  <si>
    <t>HT-  Hypernet Инструмент для зачистки и заделки кабеля</t>
  </si>
  <si>
    <t>HT-501A</t>
  </si>
  <si>
    <t>Hypernet Инструмент c 3-мя лезвиями для обрезки и зачистки кабеля</t>
  </si>
  <si>
    <t>501A</t>
  </si>
  <si>
    <t>HT-  Hypernet Инструмент c 3-мя лезвиями для обрезки и зачистки кабеля</t>
  </si>
  <si>
    <t>Инструмент для коаксиала</t>
  </si>
  <si>
    <t>224D</t>
  </si>
  <si>
    <t>Hypernet Инструмент для установки и снятия F коннекторов на коаксиал</t>
  </si>
  <si>
    <t>322</t>
  </si>
  <si>
    <t>Hypernet Инструмент для обрезки и зачистки коаксиального кабеля</t>
  </si>
  <si>
    <t>332</t>
  </si>
  <si>
    <t>Hypernet   Инструмент для обрезки и зачистки коаксиального кабеля</t>
  </si>
  <si>
    <t>HT-332</t>
  </si>
  <si>
    <t>HT-332_x000D_
  Hypernet инструмент для обрезки и зачистки коаксиального кабеля</t>
  </si>
  <si>
    <t>Инструмент для обжима коннекторов</t>
  </si>
  <si>
    <t>HT-105</t>
  </si>
  <si>
    <t>Hypernet Инструмент для обжимки ScotchLock</t>
  </si>
  <si>
    <t>HT-2008</t>
  </si>
  <si>
    <t>Hypernet Инструмент профи для обжимки RJ-45 (8P8C) &amp; RJ-12(6P6C) &amp; RJ-11(4P4C)</t>
  </si>
  <si>
    <t>HT-2008/E</t>
  </si>
  <si>
    <t>Hypernet Инструмент для обжимки RJ-45 (8P8C) &amp; RJ-12(6P6C) &amp; RJ-11(4P4C)</t>
  </si>
  <si>
    <t>HT-2008R</t>
  </si>
  <si>
    <t>HT-210</t>
  </si>
  <si>
    <t>Hypernet Инструмент для обжимки RJ-45</t>
  </si>
  <si>
    <t>HT-500</t>
  </si>
  <si>
    <t>Hypernet Инструмент профи для обжимки RJ-45 (8P8C) &amp; RJ-12(6P6C) (R)</t>
  </si>
  <si>
    <t>HT-568</t>
  </si>
  <si>
    <t>Hypernet Инструмент для обжимки RJ-45 (8P8C) &amp; RJ-12(6P6C)</t>
  </si>
  <si>
    <t>HT-568/2</t>
  </si>
  <si>
    <t>NETS-2008/E</t>
  </si>
  <si>
    <t>Net's Инструмент для обжимки RJ-45 (8P8C) &amp; RJ-12(6P6C) &amp; RJ-11(4P4C)</t>
  </si>
  <si>
    <t>NETS-568/2</t>
  </si>
  <si>
    <t>Net's Инструмент для обжимки RJ-45 (8P8C) &amp; RJ-12(6P6C)</t>
  </si>
  <si>
    <t>Тестеры</t>
  </si>
  <si>
    <t>Тестеры кабельные</t>
  </si>
  <si>
    <t>NCT-LCD2</t>
  </si>
  <si>
    <t>NCT-LCD2  Hypernet Тестер для сетей RJ-45, LCD дисплей</t>
  </si>
  <si>
    <t>NCT-LCD8108</t>
  </si>
  <si>
    <t>Hypernet Тестер для сетей RJ-45, LCD дисплей  (NCT-4042)</t>
  </si>
  <si>
    <t>NCT-LCD8868</t>
  </si>
  <si>
    <t>Hypernet Тестер для сетей RJ-45, BNC с генератором тона, LCD дисплей</t>
  </si>
  <si>
    <t>NCT-SD</t>
  </si>
  <si>
    <t>NCT-SD  Hypernet тестер кабельный с генератором тона, поиск в пучке, скрытой проводки</t>
  </si>
  <si>
    <t>RX-1000</t>
  </si>
  <si>
    <t>RX-1000  Hypernet Тестер кабельный RJ-45, RJ-12, USB, BNC</t>
  </si>
  <si>
    <t>TST1</t>
  </si>
  <si>
    <t>Hypernet Тестер кабельний RJ-45, BNC</t>
  </si>
  <si>
    <t>TST2</t>
  </si>
  <si>
    <t>Hypernet Тестер кабельний RJ-45, RJ-12</t>
  </si>
  <si>
    <t>TST2-S</t>
  </si>
  <si>
    <t>Hypernet Тестер кабельный RJ-45, RJ-12 с генератором тона</t>
  </si>
  <si>
    <t>TST2-SD</t>
  </si>
  <si>
    <t>Hypernet тестер кабельный RJ-45, RJ-12 с генератором тона</t>
  </si>
  <si>
    <t>TST3-SD</t>
  </si>
  <si>
    <t>Кабель</t>
  </si>
  <si>
    <t>Витая пара внутреннего применения</t>
  </si>
  <si>
    <t>Биметалл FTP/SFTP кат.5./5Е</t>
  </si>
  <si>
    <t>FTP4-C5e-SOLID-2451-CCA  Taiwan Кабель FTP экранированный CCA Cat5E 24AWG x 4P Solid 0.51</t>
  </si>
  <si>
    <t>Биметалл UTP кат.5./5Е</t>
  </si>
  <si>
    <t>Hyperline</t>
  </si>
  <si>
    <t>UTP4-C5e-PATCH-CCA</t>
  </si>
  <si>
    <t>Hyperline Патч кабель UTP CCA Cat5E 24AWG x 4P многожильный 0.5</t>
  </si>
  <si>
    <t>UTP4-C5e-SOLID-2451-CCA  Hyperline Кабель UTP CCA Cat5E 24AWG x 4P Solid 0.51</t>
  </si>
  <si>
    <t>Медный FTP/SFTP кат.5./5Е/6</t>
  </si>
  <si>
    <t>OK-NET</t>
  </si>
  <si>
    <t>КПВонг-HFЭ-ВП(200)4*2*0,51</t>
  </si>
  <si>
    <t>КПВонг-HFЭ-ВП(200)4*</t>
  </si>
  <si>
    <t>2*0,51  OK-Net  Кабель FTP кат.5E, LS0H, коробка 305м</t>
  </si>
  <si>
    <t>Медный UTP кат.5./5Е</t>
  </si>
  <si>
    <t>UTP4-C5e-SOLID-2445  Hyperline Кабель UTP Cat5E 25AWG x 4P Solid 0.45</t>
  </si>
  <si>
    <t>Медный UTP кат.6./6A</t>
  </si>
  <si>
    <t>UTP4-C6-SOLID-2454-LSZH</t>
  </si>
  <si>
    <t>UTP4-C6-SOLID-2454-L</t>
  </si>
  <si>
    <t>SZH  Hyperline Кабель LSZH UTP Cat6 24AWG x 4P Solid 0.54 коробка 305м</t>
  </si>
  <si>
    <t>Витая пара наружного применения</t>
  </si>
  <si>
    <t>Биметалл UTP</t>
  </si>
  <si>
    <t>UTP2-C5E-SOLID-OUTDOOR-2451-CCA  Taiwan Кабель для внешней прокладки UTP 2 пары CCA 5E категория,</t>
  </si>
  <si>
    <t>UTP4-C5E-SOLID-OUTDOOR-2451-CC</t>
  </si>
  <si>
    <t>UTP4-C5E-SOLID-OUTDO</t>
  </si>
  <si>
    <t>OR-2451-CCA  Taiwan Hyperline Кабель для внешней прокладки UTP CCA 5E категория,</t>
  </si>
  <si>
    <t>Медный FTP/SFTP</t>
  </si>
  <si>
    <t>FTP4-C5E-SOLID-SW-OUTDOOR-2451  Hyperline Кабель внешний с тросом экранированный FTP 5E категория</t>
  </si>
  <si>
    <t>SFTP4-C5E-SOLID-SW-OUTDOOR-2451  Hyperline Кабель внешняя прокладка с тросом экранированный SFTP 5E</t>
  </si>
  <si>
    <t>Кабель оптический</t>
  </si>
  <si>
    <t>Подвес трос монотуб 4 кН</t>
  </si>
  <si>
    <t>Южкабель</t>
  </si>
  <si>
    <t>ОЦПт-2А1(1х2)-4.0</t>
  </si>
  <si>
    <t>ЮЖКАБЕЛЬ Кабель опт. подвес трос 2в 4кН монотуб</t>
  </si>
  <si>
    <t>ОЦПт-4А1(1х4)-4.0</t>
  </si>
  <si>
    <t>ЮЖКАБЕЛЬ Кабель опт. подвес трос 4в 4кН монотуб</t>
  </si>
  <si>
    <t>UTP2-C5e-SOLID-305</t>
  </si>
  <si>
    <t>-0.48  Taiwan Кабель UTP Cat5E 24AWG x 2P Solid 0.48 box 305m</t>
  </si>
  <si>
    <t>Коммутационные шкафы и стойки</t>
  </si>
  <si>
    <t>Аксессуары для коммутационных шкафов</t>
  </si>
  <si>
    <t>Аксессуары для коммутационных шкафов PRO</t>
  </si>
  <si>
    <t>DB-BEP</t>
  </si>
  <si>
    <t>Hypernet Кабельный ввод щеточный</t>
  </si>
  <si>
    <t>DB-CEP</t>
  </si>
  <si>
    <t>Hypernet Панель раздвижная кабельного ввода для пола с уплотнителем, серия DB</t>
  </si>
  <si>
    <t>DYN-C-DF</t>
  </si>
  <si>
    <t>Hypernet Набор роликов для стоек 4 шт(2 с тормозом, 2 без тормоза) M10</t>
  </si>
  <si>
    <t>DYN-C-FS</t>
  </si>
  <si>
    <t>Hypernet Набор роликов для напольных шкафов DB и DYN 4 шт(2 с тормозом, 2 без тормоза)</t>
  </si>
  <si>
    <t>DYN-C-FS-CK-60</t>
  </si>
  <si>
    <t>Hypernet Набор роликов и опорных пластиндля серии СК шир 600 мм 4 шт(2 с тормозом, 2 без)</t>
  </si>
  <si>
    <t>DYN-C-FS-CK-80</t>
  </si>
  <si>
    <t>Hypernet Набор роликов и опорных пластин для серии СК шир 800 мм 4 шт(2 с тормозом, 2 без)</t>
  </si>
  <si>
    <t>DYN-C-WM</t>
  </si>
  <si>
    <t>Hypernet Набор роликов для настенных шкафов DYN 4 шт M10</t>
  </si>
  <si>
    <t>DYN-EFP-FS</t>
  </si>
  <si>
    <t>Hypernet Блок вент потолочный для всех DB, CК, Eurobox, не серверных DYN для сборки</t>
  </si>
  <si>
    <t>DYN-EFS-U2F</t>
  </si>
  <si>
    <t>Hypernet Полка вент универсальная 19" под 2 вентилятора для сборки</t>
  </si>
  <si>
    <t>DYN-EFS-U4F</t>
  </si>
  <si>
    <t>Hypernet Полка вент универсальная 19" под 4 вентилятора для сборки</t>
  </si>
  <si>
    <t>DYN-GS-10P</t>
  </si>
  <si>
    <t>Hypernet Комплект заземления на 10 точек, провода, шины</t>
  </si>
  <si>
    <t>DYN-GS-6P</t>
  </si>
  <si>
    <t>Hypernet Комплект заземления: 6 точек, провод желто-зеленый, сечение 4мм 40 см</t>
  </si>
  <si>
    <t>DYN-GS-V44P</t>
  </si>
  <si>
    <t>Hypernet Комплект заземления на 44 точки, провода, шины</t>
  </si>
  <si>
    <t>Украина</t>
  </si>
  <si>
    <t>DYN-SMHA-100</t>
  </si>
  <si>
    <t>Hypernet Комплект для CK, DB (2 полки, вентблок(2вент), фильтр 9р, винт/гайка 20шт)</t>
  </si>
  <si>
    <t>DYN-SMHA-60</t>
  </si>
  <si>
    <t>DYN-SMHA-80</t>
  </si>
  <si>
    <t>DYN-TERM</t>
  </si>
  <si>
    <t>Hypernet Термометр (наклейка на стеклянную дверь) 20-40 C</t>
  </si>
  <si>
    <t>LN-DGR-TPR-5L40-PR</t>
  </si>
  <si>
    <t>Hypernet Комплект заземления: 4 провода, сечение 4мм 40 см</t>
  </si>
  <si>
    <t>M11PNY02</t>
  </si>
  <si>
    <t>ESTAP Набор регулируемых опор для шкафов и стоек 9до 100 кг) комплект 4 шт</t>
  </si>
  <si>
    <t>M22TKGR1</t>
  </si>
  <si>
    <t>ESTAP Набор роликов для шкафов (до 250 кг каждый) 2+2 с тормозом комплект 4 шт</t>
  </si>
  <si>
    <t>M22TKGREU</t>
  </si>
  <si>
    <t>ESTAP Набор роликов для шкафов (до 100 кг) двойное колесо 2+2 с тормозом крепление М9</t>
  </si>
  <si>
    <t>Аксессуары для коммутационных шкафов универсальные</t>
  </si>
  <si>
    <t>A44-RM-540-1U</t>
  </si>
  <si>
    <t>Полка для напольного шкафа глубиной 800 (550) 19" 1U</t>
  </si>
  <si>
    <t>A44-RM-640-1U</t>
  </si>
  <si>
    <t>Полка для напольного шкафа глубиной 1000 (640) 19" 1U</t>
  </si>
  <si>
    <t>BP-1U</t>
  </si>
  <si>
    <t>Hypernet Заглушка 1U для шкафа металл</t>
  </si>
  <si>
    <t>CMR-40-40-S</t>
  </si>
  <si>
    <t>Hypernet Менеджмент кабеля металлическое кольцо 40*40 мм левая фиксация</t>
  </si>
  <si>
    <t>CMR-80-40-S</t>
  </si>
  <si>
    <t>Hypernet Менеджмент кабеля металлическое кольцо 80*40 мм левая фиксация</t>
  </si>
  <si>
    <t>CMR-80-80</t>
  </si>
  <si>
    <t>Hypernet Менеджмент кабеля, металлическое кольцо 80*80 мм, центральная фиксация</t>
  </si>
  <si>
    <t>CS-10-160</t>
  </si>
  <si>
    <t>Hypernet Полка консольная для настенного шкафа 10", глубина 160мм, 1U</t>
  </si>
  <si>
    <t>M44HRK80</t>
  </si>
  <si>
    <t>ESTAP Полка выдвижная для шкафа глубиной 1000 (d=800 мм)</t>
  </si>
  <si>
    <t>M44RLD60</t>
  </si>
  <si>
    <t>ESTAP Комплект уголков 2шт. d=600 мм</t>
  </si>
  <si>
    <t>NETS-CMR-80-80  Net's Менеджмент кабеля, металлическое кольцо 80*80 мм, центральная фиксация</t>
  </si>
  <si>
    <t>PNS</t>
  </si>
  <si>
    <t>Hypernet Комплект винт + гайка для коммутационного шкафа</t>
  </si>
  <si>
    <t>SOHORG10</t>
  </si>
  <si>
    <t>ESTAP Органайзер кабеля  для 10" шкафа 1/2U SOHOLine</t>
  </si>
  <si>
    <t>SOHORG10KNC</t>
  </si>
  <si>
    <t>ESTAP Органайзер кабеля 3 кольца 10" 1U</t>
  </si>
  <si>
    <t>TS</t>
  </si>
  <si>
    <t>Hypernet Термостат для вентиляторов и вентиляторных модулей</t>
  </si>
  <si>
    <t>TS-2</t>
  </si>
  <si>
    <t>Hypernet Термостат для вентиляторных модулей c кронштейном</t>
  </si>
  <si>
    <t>Вентиляторные модули PRO</t>
  </si>
  <si>
    <t>DYN-FM-1F</t>
  </si>
  <si>
    <t>Hypernet Модуль вентиляторный 1 вентилятор, для напольных шкафов</t>
  </si>
  <si>
    <t>DYN-FM-1F-T</t>
  </si>
  <si>
    <t>Hypernet Модуль вентиляторный 1 вентилятор с термостатом, для напольных шкафов</t>
  </si>
  <si>
    <t>DYN-FM-1F-WM-T</t>
  </si>
  <si>
    <t>Hypernet Модуль вентиляторный 1 вент с термостатом, для настенных</t>
  </si>
  <si>
    <t>DYN-FM-2F</t>
  </si>
  <si>
    <t>Hypernet Модуль вентиляторный 2 вентилятора, для напольных шкафов</t>
  </si>
  <si>
    <t>DYN-FM-2F-DT</t>
  </si>
  <si>
    <t>Hypernet Модуль вентиляторный 2 вент с цифровым термостатом, для напольных шкафов</t>
  </si>
  <si>
    <t>DYN-FM-2F-WM</t>
  </si>
  <si>
    <t>Hypernet Модуль вентиляторный 2 вент, для настенных</t>
  </si>
  <si>
    <t>DYN-FM-4F</t>
  </si>
  <si>
    <t>Hypernet Модуль вентиляторный 4 вентилятора, для напольных шкафов</t>
  </si>
  <si>
    <t>DYN-FM-4F-DT</t>
  </si>
  <si>
    <t>Hypernet Модуль вентиляторный 4 вент с цифровым термостатом для напольных шкафов</t>
  </si>
  <si>
    <t>DYN-FM-4F-ST</t>
  </si>
  <si>
    <t>Hypernet Модуль вентиляторный 4 вентилятора, для серверных шкафов DYN</t>
  </si>
  <si>
    <t>DYN-FM-4F-ST-DT</t>
  </si>
  <si>
    <t>Hypernet Модуль вентиляторный 4 вент с цифровым термостатом, для серверных шкафов</t>
  </si>
  <si>
    <t>DYN-FM-4F-ST-T</t>
  </si>
  <si>
    <t>Hypernet Модуль вентиляторный 4 вент с термостатом, для серверных шкафов</t>
  </si>
  <si>
    <t>DYN-FM-4F-T</t>
  </si>
  <si>
    <t>Hypernet Полка вентиляторная универсальная 4 вентилятора с термостатом 1U 19"</t>
  </si>
  <si>
    <t>DYN-FS-2F</t>
  </si>
  <si>
    <t>Hypernet Полка вентиляторная универсальная, 2 вентилятора, 19" 1U, 220В</t>
  </si>
  <si>
    <t>DYN-FS-4F</t>
  </si>
  <si>
    <t>Hypernet Полка вентиляторная универсальная, 4 вентилятора, 19" 1U, 220В</t>
  </si>
  <si>
    <t>FG-12</t>
  </si>
  <si>
    <t>Hypernet Решетка металлическая 120х120мм</t>
  </si>
  <si>
    <t>LN-FAN-EC-1FWM-LG</t>
  </si>
  <si>
    <t>Hypernet Модуль вентиляторный 1 вент, для настенных шкафов</t>
  </si>
  <si>
    <t>LN-FAN-EC-2FWM-LG</t>
  </si>
  <si>
    <t>Hypernet Модуль вентиляторный 2 вент, для настенных шкафов</t>
  </si>
  <si>
    <t>PC-186-06</t>
  </si>
  <si>
    <t>Hypernet Кабель питания 1.8м 3*0,5мм 6A</t>
  </si>
  <si>
    <t>PC-186-10</t>
  </si>
  <si>
    <t>Hypernet Кабель питания 3м 3*0,5мм 6A</t>
  </si>
  <si>
    <t>PC-189-06</t>
  </si>
  <si>
    <t>Hypernet Кабель питания для UPS 1.8м 3*0,5мм 6A</t>
  </si>
  <si>
    <t>PC-189-10</t>
  </si>
  <si>
    <t>Hypernet Кабель питания для UPS 3.0м 3*0,5мм 6A</t>
  </si>
  <si>
    <t>TF-1U</t>
  </si>
  <si>
    <t>Hypernet Крепление универсальное для термостата на рек 1U</t>
  </si>
  <si>
    <t>Вентиляторные модули и полки STANDART</t>
  </si>
  <si>
    <t>CF</t>
  </si>
  <si>
    <t>Hypernet Вентилятор для настенного шкафа 220V ш(12)*г(12)*в(2.5)</t>
  </si>
  <si>
    <t>CF38</t>
  </si>
  <si>
    <t>Hypernet вентилятор для настенного шкафа 220V ш(12)*г(12)*в(3,8)</t>
  </si>
  <si>
    <t>FS-2F</t>
  </si>
  <si>
    <t>Hypernet Полка вентиляторная, 2 вентилятора, 19" 1U, 220В</t>
  </si>
  <si>
    <t>FS-2F-T</t>
  </si>
  <si>
    <t>Hypernet Полка вентиляторная, 2 вентилятора и термостат, 19" 1U, 220В</t>
  </si>
  <si>
    <t>FS-4F</t>
  </si>
  <si>
    <t>Hypernet Полка вентиляторная, 4 вентилятора, 19" 1U, 220В</t>
  </si>
  <si>
    <t>FS-4F-T</t>
  </si>
  <si>
    <t>Hypernet Полка вентиляторная, 4 вентилятора и термостат, 19" 1U, 220В</t>
  </si>
  <si>
    <t>Двери передние для настенных шкафов PRO EUBOX</t>
  </si>
  <si>
    <t>SY08TCM07U5400E-BL</t>
  </si>
  <si>
    <t>Hypernet Дверь 7U для настенного шкафа EUBOX стеклянная</t>
  </si>
  <si>
    <t>SY08TCM09U5400E-BL</t>
  </si>
  <si>
    <t>Hypernet Дверь 9U для настенного шкафа EUBOX стеклянная</t>
  </si>
  <si>
    <t>SY08TCM12U5400E-BL</t>
  </si>
  <si>
    <t>Hypernet Дверь 12U для настенного шкафа EUBOX стеклянная</t>
  </si>
  <si>
    <t>Двери передние для настенных шкафов STANDART</t>
  </si>
  <si>
    <t>MD-WM-F6U  NETS Дверь 6U передняя для настенного шкафа металлическая перфорированная</t>
  </si>
  <si>
    <t>MD-WM-F9U  NETS Дверь 9U передняя для настенного шкафа металлическая перфорированная</t>
  </si>
  <si>
    <t>Двери передняя/задняя для напольных шкафов</t>
  </si>
  <si>
    <t>MD-FS-F18U  NETS Дверь 18U передняя/задняя для напольного шкафа металлическая перфорированная</t>
  </si>
  <si>
    <t>MD-FS-F20U  NETS Дверь 20U передняя/задняя для напольного шкафа металлическая перфорированная</t>
  </si>
  <si>
    <t>MD-FS-F25U  NETS Дверь 25U передняя/задняя для напольного шкафа металлическая перфорированная</t>
  </si>
  <si>
    <t>MD-FS-F30U  NETS Дверь 30U передняя/задняя для напольного шкафа металлическая перфорированная</t>
  </si>
  <si>
    <t>MD-FS-F35U  NETS Дверь 35U передняя/задняя для напольного шкафа металлическая перфорированная</t>
  </si>
  <si>
    <t>MD-FS-F38U  NETS Дверь 38U передняя/задняя для напольного шкафа металлическая перфорированная</t>
  </si>
  <si>
    <t>MD-FS-F42U  NETS Дверь 42U передняя/задняя для напольного шкафа металлическая перфорированная</t>
  </si>
  <si>
    <t>Кабельные органайзеры</t>
  </si>
  <si>
    <t>CM-1U</t>
  </si>
  <si>
    <t>Hypernet Менеджмент кабеля 1U с крышкой для шкафа или стойки, металл</t>
  </si>
  <si>
    <t>CM-1U-PC</t>
  </si>
  <si>
    <t>Hypernet Менеджмент кабеля 1U с крышкой, пластик</t>
  </si>
  <si>
    <t>CM-1U-PF</t>
  </si>
  <si>
    <t>CM-2U</t>
  </si>
  <si>
    <t>Hypernet Менеджмент кабеля 2U с крышкой, металл</t>
  </si>
  <si>
    <t>CM-4M</t>
  </si>
  <si>
    <t>Hypernet Менеджмент кабеля 1U 19" с металлическими кольцами, металл</t>
  </si>
  <si>
    <t>CM-5HP</t>
  </si>
  <si>
    <t>Hypernet Менеджмент кабеля 19" с 5 пластиковыми кольцами, сквозное отверстие, металл</t>
  </si>
  <si>
    <t>CM-5P</t>
  </si>
  <si>
    <t>Hypernet Менеджмент кабеля 19" 5 пластиковых колец 1U, металл</t>
  </si>
  <si>
    <t>CM-PP</t>
  </si>
  <si>
    <t>Hypernet Менеджмент кабеля 19" для неэкранированных патч-панелей, металл</t>
  </si>
  <si>
    <t>CMR-PR</t>
  </si>
  <si>
    <t>Hypernet Менеджмент кабеля, пластиковое кольцо, центральная фиксация</t>
  </si>
  <si>
    <t>CMV-48U</t>
  </si>
  <si>
    <t>Hypernet Менджмент кабеля 48U вертикальный</t>
  </si>
  <si>
    <t>NETS-CM-10  Net's Менеджмент кабеля 10" 1U, металл</t>
  </si>
  <si>
    <t>Кабельные органайзеры PRO</t>
  </si>
  <si>
    <t>DYN-CMV-32U</t>
  </si>
  <si>
    <t>Hypernet Менджмент кабеля 32U вертикальный сетчатый, комплект 2 шт (прав/лев)</t>
  </si>
  <si>
    <t>DYN-CMV-36U</t>
  </si>
  <si>
    <t>Hypernet Менджмент кабеля 36U вертикальный сетчатый, комплект 2 шт (прав/лев)</t>
  </si>
  <si>
    <t>DYN-CMV-42U</t>
  </si>
  <si>
    <t>Hypernet Менджмент кабеля 42U вертикальный сетчатый, комплект 2 шт (прав/лев)</t>
  </si>
  <si>
    <t>DYN-CMV-47U</t>
  </si>
  <si>
    <t>Hypernet Менджмент кабеля 47U вертикальный сетчатый, комплект 2 шт (прав/лев)</t>
  </si>
  <si>
    <t>Полки и направляющие для шкафов и стоек PRO</t>
  </si>
  <si>
    <t>DYN-CS-RA</t>
  </si>
  <si>
    <t>Hypernet Адаптер для крепления задней части консольной полки, комплект 2 шт</t>
  </si>
  <si>
    <t>DYN-FS-100</t>
  </si>
  <si>
    <t>Hypernet Полка для шкафа на 4 точки, глубина 1000 (770 мм)</t>
  </si>
  <si>
    <t>DYN-FS-60</t>
  </si>
  <si>
    <t>Hypernet Полка для шкафа на 4 точки, глубина 600 (370 мм)</t>
  </si>
  <si>
    <t>DYN-FS-80</t>
  </si>
  <si>
    <t>Hypernet Полка для шкафа на 4 точки, глубина 800 (570 мм)</t>
  </si>
  <si>
    <t>DYN-SD-1U</t>
  </si>
  <si>
    <t>Hypernet Ящик-полка для клавиатуры и документов 1U глубина 400мм</t>
  </si>
  <si>
    <t>DYN-SD-2U</t>
  </si>
  <si>
    <t>Hypernet Ящик-полка для клавиатуры и документов 2U глубина 400мм</t>
  </si>
  <si>
    <t>DYN-SS-60</t>
  </si>
  <si>
    <t>Hypernet Полка выдвижная глубиной 600 (370) до 30 кг</t>
  </si>
  <si>
    <t>DYN-SS-80</t>
  </si>
  <si>
    <t>Hypernet Полка выдвижная глубиной 800 (570) до 30 кг</t>
  </si>
  <si>
    <t>Полки и направляющие для шкафов и стоек STANDART</t>
  </si>
  <si>
    <t>FS-100</t>
  </si>
  <si>
    <t>Hypernet Полка для напольного шкафа глубиной 1000 (750)</t>
  </si>
  <si>
    <t>FS-45</t>
  </si>
  <si>
    <t>Hypernet Полка для настенного шкафа, глубина 450 (300 мм)</t>
  </si>
  <si>
    <t>FS-60</t>
  </si>
  <si>
    <t>Hypernet Полка для шкафа, глубина 600 (350 мм)</t>
  </si>
  <si>
    <t>FS-80</t>
  </si>
  <si>
    <t>Hypernet Полка для напольного шкафа, глубина 800 (600 мм)</t>
  </si>
  <si>
    <t>SS-100</t>
  </si>
  <si>
    <t>Hypernet Полка выдвижная для напольного шкафа, глубина 1000</t>
  </si>
  <si>
    <t>SS-60</t>
  </si>
  <si>
    <t>Hypernet Полка выдвижная для напольного шкафа, глубина 600</t>
  </si>
  <si>
    <t>SS-80</t>
  </si>
  <si>
    <t>Hypernet Полка выдвижная для напольного шкафа, глубина 800</t>
  </si>
  <si>
    <t>Полки и направляющие для шкафов и стоек универсальные</t>
  </si>
  <si>
    <t>CS-280-1U</t>
  </si>
  <si>
    <t>Hypernet Полка консольная для напольного шкафа, глубина 280мм, 1U</t>
  </si>
  <si>
    <t>CS-400-2U</t>
  </si>
  <si>
    <t>Hypernet Полка консольная для шкафа, глубина 400мм, 2U</t>
  </si>
  <si>
    <t>DYN-CS-250-1U</t>
  </si>
  <si>
    <t>Hypernet Полка консольная 1U 19" глубина 250мм, нагрузка 30 кг</t>
  </si>
  <si>
    <t>DYN-CS-350-2U</t>
  </si>
  <si>
    <t>Hypernet Полка консольная 2U 19" глубина 350мм, нагрузка 30 кг</t>
  </si>
  <si>
    <t>DYN-CS-400-1U</t>
  </si>
  <si>
    <t>Hypernet Полка консольная 1U 19" глубина 400мм, нагрузка 30 кг</t>
  </si>
  <si>
    <t>DYN-FS-80-HD</t>
  </si>
  <si>
    <t>Hypernet Полка универсальная глубиной 800 усиленная на 4 точки для шкафа</t>
  </si>
  <si>
    <t>DYN-LS-100</t>
  </si>
  <si>
    <t>Hypernet  Направляющие (комплект 2 штуки) для шкафа глубиной 1000, размер 720мм</t>
  </si>
  <si>
    <t>DYN-LS-60</t>
  </si>
  <si>
    <t>Hypernet  Направляющие (комплект 2 штуки) для шкафа глубиной 600, размер 350мм</t>
  </si>
  <si>
    <t>DYN-LS-80</t>
  </si>
  <si>
    <t>Hypernet  Направляющие (комплект 2 штуки) для шкафа глубиной 800, размер 570мм</t>
  </si>
  <si>
    <t>DYN-FS-100-HD</t>
  </si>
  <si>
    <t>Hypernet Полка универсальная усиленная на 4 точки для шкафа/стойки глубиной 1000 (770) до 100 кг</t>
  </si>
  <si>
    <t>DYN-U-FS-60</t>
  </si>
  <si>
    <t>Hypernet Полка универсальная на 4 точки для шкафа/стойки глубиной 600 (370) до 50 кг</t>
  </si>
  <si>
    <t>DYN-U-FS-80</t>
  </si>
  <si>
    <t>DYN - U- FS -80 Hypernet Полка універсальна на 4 точки для шафи / стійки глибиною 800 ( 570 ) до 50 кг</t>
  </si>
  <si>
    <t>U-FS-100</t>
  </si>
  <si>
    <t>Полка универсальная на 4 точки для шкафа/стойки глубиной 1000, глубина полки 800</t>
  </si>
  <si>
    <t>U-FS-45</t>
  </si>
  <si>
    <t>Полка универсальная на 4 точки для шкафа/стойки глубиной 450, глубина полки 300</t>
  </si>
  <si>
    <t>U-FS-60</t>
  </si>
  <si>
    <t>Полка универсальная на 4 точки для шкафа/стойки глубиной 600, глубина полки 400</t>
  </si>
  <si>
    <t>U-FS-80</t>
  </si>
  <si>
    <t>Полка универсальная на 4 точки для шкафа/стойки глубиной 800, глубина полки 600</t>
  </si>
  <si>
    <t>U-LS-100</t>
  </si>
  <si>
    <t>Направляющие (комплект 2 штуки) для шкафа/стойки глубиной 1000, длина реальная 800</t>
  </si>
  <si>
    <t>U-LS-60</t>
  </si>
  <si>
    <t>Направляющие (комплект 2 штуки) длядля шкафа/стойки глубиной 600, глубина реальная 250</t>
  </si>
  <si>
    <t>US-DIN-3U</t>
  </si>
  <si>
    <t>NETS Кронштейн крепления DIN рейки, 3U</t>
  </si>
  <si>
    <t>Реки 19" для настенных EUBOX PRO</t>
  </si>
  <si>
    <t>DYN-MR-WM-12U</t>
  </si>
  <si>
    <t>Hypernet Комплект реков 12U для настенного шкафа (2 шт)</t>
  </si>
  <si>
    <t>DYN-MR-WM-16U</t>
  </si>
  <si>
    <t>Hypernet Комплект реков 16U для настенного шкафа (2 шт)</t>
  </si>
  <si>
    <t>DYN-MR-WM-7U</t>
  </si>
  <si>
    <t>Hypernet Комплект реков 7U для настенного шкафа (2 шт)</t>
  </si>
  <si>
    <t>DYN-MR-WM-9U</t>
  </si>
  <si>
    <t>Hypernet Комплект реков 9U для настенного шкафа (2 шт)</t>
  </si>
  <si>
    <t>Реки 19" для настенных ProfiLine PRO</t>
  </si>
  <si>
    <t>DYN-MR-FS-12U</t>
  </si>
  <si>
    <t>Hypernet Комплект реков 12U для настенного шкафа ProfiLine (2 шт)</t>
  </si>
  <si>
    <t>DYN-MR-FS-16U</t>
  </si>
  <si>
    <t>Hypernet Комплект реков 16U для настенного шкафа ProfiLine (2 шт)</t>
  </si>
  <si>
    <t>DYN-MR-FS-20U</t>
  </si>
  <si>
    <t>Hypernet Комплект реков 20U для настенного шкафа ProfiLine (2 шт)</t>
  </si>
  <si>
    <t>DYN-MR-FS-7U</t>
  </si>
  <si>
    <t>Hypernet Комплект реков 7U для настенного шкафа ProfiLine (2 шт)</t>
  </si>
  <si>
    <t>DYN-MR-FS-9U</t>
  </si>
  <si>
    <t>Hypernet Комплект реков 9U для настенного шкафа ProfiLine (2 шт)</t>
  </si>
  <si>
    <t>SPP3-10</t>
  </si>
  <si>
    <t>Hypernet Фильтр сетевой алюминиевый 3 розетки 1.8m 10'' 220В с выключателем</t>
  </si>
  <si>
    <t>SPP3-10-WC</t>
  </si>
  <si>
    <t>Hypernet Фильтр сетевой алюминиевый 3 розетки 10'' 220В с выключателем без кабеля</t>
  </si>
  <si>
    <t>SPP8</t>
  </si>
  <si>
    <t>Hypernet Фильтр 8 розеток 1.8m 19'' алюминиевый с выключателем 220В</t>
  </si>
  <si>
    <t>SPP8-E</t>
  </si>
  <si>
    <t>Hypernet Фильтр сетевой пластиковый корпус 220В с выключателем 8 розеток 1.8m 19''</t>
  </si>
  <si>
    <t>SPP8-WC-OLP</t>
  </si>
  <si>
    <t>(PDU8AL-DSP)  Hypernet Блок розеток 8п без кабеля 19'' выкл. защита от перегрузки алюмин</t>
  </si>
  <si>
    <t>SPP8-WC</t>
  </si>
  <si>
    <t>(PDU8AL-DS)  Hypernet Блок розеток 8 порт без кабеля 19'' с вим. алюминій</t>
  </si>
  <si>
    <t>SPP9</t>
  </si>
  <si>
    <t>Hypernet Разветвитель 9 розеток 1.8m 19'' алюминиевый 220В</t>
  </si>
  <si>
    <t>SPP9-E</t>
  </si>
  <si>
    <t>Hypernet Фильтр 9 розеток 1.8m 19'' пластиковый корпус 220В</t>
  </si>
  <si>
    <t>SPP9-WC</t>
  </si>
  <si>
    <t>(PDU9AL-D)  Hypernet Блок розеток 9 порт без кабеля 19'' алюмин</t>
  </si>
  <si>
    <t>Цоколи PRO</t>
  </si>
  <si>
    <t>DYN-PLINT-R-610</t>
  </si>
  <si>
    <t>Hypernet Цоколь модульный для напольного шкафа 600*1000</t>
  </si>
  <si>
    <t>DYN-PLINT-R-66</t>
  </si>
  <si>
    <t>Hypernet Цоколь модульный для напольного шкафа 600*600</t>
  </si>
  <si>
    <t>DYN-PLINT-R-68</t>
  </si>
  <si>
    <t>Hypernet Цоколь модульный для напольного шкафа 600*800</t>
  </si>
  <si>
    <t>DYN-PLINT-R-810</t>
  </si>
  <si>
    <t>Hypernet Цоколь модульный для напольного шкафа 800*1000</t>
  </si>
  <si>
    <t>DYN-PLINT-R-88</t>
  </si>
  <si>
    <t>Hypernet Цоколь модульный для напольного шкафа 800*800</t>
  </si>
  <si>
    <t>Коммутационные стойки Hypernet 19"</t>
  </si>
  <si>
    <t>Двойные стойки PRO</t>
  </si>
  <si>
    <t>DYN-EFRAME-BASE-1000</t>
  </si>
  <si>
    <t>Hypernet База для двойной стойки Ecoframe глубина 1000</t>
  </si>
  <si>
    <t>DYN-EFRAME-BASE-800</t>
  </si>
  <si>
    <t>Hypernet База для двойной стойки Ecoframe глубина 800</t>
  </si>
  <si>
    <t>DYN-EFRAME-RACK-42U</t>
  </si>
  <si>
    <t>Hypernet Фреймы 2 шт 42U для двойной стойки Ecoframe</t>
  </si>
  <si>
    <t>Двойные стойки STANDART</t>
  </si>
  <si>
    <t>US-ORDR-16U-R</t>
  </si>
  <si>
    <t>NETS Стойка коммутационная напольная двойная 16U, регулируемая глубина 400-750</t>
  </si>
  <si>
    <t>US-ORDR-24U-R</t>
  </si>
  <si>
    <t>NETS Стойка коммутационная напольная двойная 24U, регулируемая глубина 400-750</t>
  </si>
  <si>
    <t>US-ORDR-42U-R</t>
  </si>
  <si>
    <t>NETS Стойка коммутационная напольная двойная 42U, регулируемая глубина 400-750</t>
  </si>
  <si>
    <t>USP-ORDR-24U-750</t>
  </si>
  <si>
    <t>NETS Стойка коммутационная серверная напольная двойная 24U, глубина 750</t>
  </si>
  <si>
    <t>Коммутационные шкафы</t>
  </si>
  <si>
    <t>Напольные шкафы 600*1000 STANDART</t>
  </si>
  <si>
    <t>FNC1000-20U-FLAT</t>
  </si>
  <si>
    <t>Hypernet Шкаф коммутационный напольный 20U 600x1000 разборный конструктив</t>
  </si>
  <si>
    <t>FNC1000-25U-FLAT</t>
  </si>
  <si>
    <t>Hypernet Шкаф коммутационный напольный 25U 600x1000 разборный конструктив</t>
  </si>
  <si>
    <t>FNC1000-30U-FLAT</t>
  </si>
  <si>
    <t>Hypernet Шкаф коммутационный напольный 30U 600x1000 разборный конструктив</t>
  </si>
  <si>
    <t>FNC1000-35U-FLAT</t>
  </si>
  <si>
    <t>Hypernet Шкаф коммутационный напольный 35U 600x1000 разборный конструктив ш(62)</t>
  </si>
  <si>
    <t>FNC1000-38U-FLAT</t>
  </si>
  <si>
    <t>Hypernet Шкаф коммутационный напольный 38U 600x1000 разборный конструктив</t>
  </si>
  <si>
    <t>FNC1000-42U-FLAT</t>
  </si>
  <si>
    <t>Hypernet Шкаф коммутационный напольный 42U 600x1000 разборный конструктив</t>
  </si>
  <si>
    <t>FNC1000-47U-FLAT</t>
  </si>
  <si>
    <t>Hypernet Шкаф коммутационный напольный 47U 600x1000 разборный конструктив</t>
  </si>
  <si>
    <t>Напольные шкафы 600*600 STANDART</t>
  </si>
  <si>
    <t>FNC-18U-FLAT</t>
  </si>
  <si>
    <t>Hypernet Шкаф коммутационный напольный 18U 600x600 разборный конструктив</t>
  </si>
  <si>
    <t>FNC-20U-FLAT</t>
  </si>
  <si>
    <t>Hypernet Шкаф коммутационный напольный 20U 600x600 разборный конструктив ш(62)*г(62)</t>
  </si>
  <si>
    <t>FNC-25U-FLAT</t>
  </si>
  <si>
    <t>Hypernet Шкаф коммутационный напольный 25U 600x600 разборной ш(62)*г(62)*в(130)</t>
  </si>
  <si>
    <t>FNC-30U-FLAT</t>
  </si>
  <si>
    <t>Hypernet Шкаф коммутационный напольный разборной 30U 600x600 ш(62)*г(62)*в(150)</t>
  </si>
  <si>
    <t>FNC-35U-FLAT</t>
  </si>
  <si>
    <t>Hypernet Шкаф коммутационный напольный разборной 35U 600x600 ш(62)*г(62)*в(175)</t>
  </si>
  <si>
    <t>FNC-38U-FLAT</t>
  </si>
  <si>
    <t>Hypernet Шкаф коммутационный напольный разборной 38U 600x600</t>
  </si>
  <si>
    <t>FNC-42U-FLAT</t>
  </si>
  <si>
    <t>Hypernet Шкаф коммутационный напольный 42U 600x600 разборный конструктив ш(62)*г(62)</t>
  </si>
  <si>
    <t>Напольные шкафы 600*800 STANDART</t>
  </si>
  <si>
    <t>FNC8-18U-FLAT</t>
  </si>
  <si>
    <t>Hypernet Шкаф коммутационный напольный 18U 600x800 разборный конструктив</t>
  </si>
  <si>
    <t>FNC8-20U-FLAT</t>
  </si>
  <si>
    <t>Hypernet Шкаф коммутационный напольный 20U 600x800 разборный конструктив, ш(62)*г(8</t>
  </si>
  <si>
    <t>FNC8-25U-FLAT</t>
  </si>
  <si>
    <t>Hypernet Шкаф коммутационный напольный 25U 600x800 разборный конструктив, ш(62)*г(8</t>
  </si>
  <si>
    <t>FNC8-35U-FLAT</t>
  </si>
  <si>
    <t>Hypernet Шкаф коммутационный напольный 35U 600x800 разборный конструктив</t>
  </si>
  <si>
    <t>FNC8-38U-FLAT</t>
  </si>
  <si>
    <t>Hypernet Шкаф коммутационный напольный 38U 600x800 разборный конструктив</t>
  </si>
  <si>
    <t>FNC8-42U-FLAT</t>
  </si>
  <si>
    <t>Hypernet Шкаф коммутационный напольный 42U 600x800 разборный конструктив</t>
  </si>
  <si>
    <t>FNC8-47U-FLAT</t>
  </si>
  <si>
    <t>Hypernet Шкаф коммутационный напольный 47U 600x800 разборный конструктив</t>
  </si>
  <si>
    <t>US-FNC88-42U-FLAT</t>
  </si>
  <si>
    <t>Nets Шкаф коммутационный напольный 42U 800x800 разборный конструктив</t>
  </si>
  <si>
    <t>Напольные шкафы 800*x STANDART</t>
  </si>
  <si>
    <t>FNC8100-42U-FLAT</t>
  </si>
  <si>
    <t>Hypernet Шкаф коммутационный напольный 42U 800x1000 разборный конструктив</t>
  </si>
  <si>
    <t>FNC81200-48U-FLAT</t>
  </si>
  <si>
    <t>Hypernet Шкаф серверный напольный 48U 800x1200 разборный, перфодвери</t>
  </si>
  <si>
    <t>FNC88-42U-FLAT</t>
  </si>
  <si>
    <t>Hypernet Шкаф коммутационный напольный 42U 800x800 разборный конструктив</t>
  </si>
  <si>
    <t>Напольные шкафы HYPERNET 600*1000 PRO CK</t>
  </si>
  <si>
    <t>CK-FNC1000-22U</t>
  </si>
  <si>
    <t>Hypernet Шкаф коммутационный напольный 22U 19'' 600х1000 неразборной</t>
  </si>
  <si>
    <t>CK-FNC1000-26U</t>
  </si>
  <si>
    <t>Hypernet Шкаф коммутационный напольный 26U 19'' 600х1000 неразборной</t>
  </si>
  <si>
    <t>CK-FNC1000-32U</t>
  </si>
  <si>
    <t>Hypernet Шкаф коммутационный напольный 32U 19'' 600х1000 неразборной</t>
  </si>
  <si>
    <t>CK-FNC1000-36U</t>
  </si>
  <si>
    <t>Hypernet Шкаф коммутационный напольный 36U 19'' 600х1000 неразборной</t>
  </si>
  <si>
    <t>CK-FNC1000-42U</t>
  </si>
  <si>
    <t>Hypernet Шкаф коммутационный напольный 42U 19'' 600х1000 неразборной</t>
  </si>
  <si>
    <t>CK-FNC1000-47U</t>
  </si>
  <si>
    <t>Hypernet Шкаф коммутационный напольный 47U 19'' 600х1000 неразборной</t>
  </si>
  <si>
    <t>Напольные шкафы HYPERNET 600*1000 PRO DB</t>
  </si>
  <si>
    <t>DB-FNC1000-22U-FLAT</t>
  </si>
  <si>
    <t>Hypernet Шкаф коммутационный напольный 22U 19'' 600х1000 разборной</t>
  </si>
  <si>
    <t>DB-FNC1000-26U-FLAT</t>
  </si>
  <si>
    <t>Hypernet Шкаф коммутационный напольный 26U 19'' 600х1000 разборной</t>
  </si>
  <si>
    <t>DB-FNC1000-32U-FLAT</t>
  </si>
  <si>
    <t>Hypernet Шкаф коммутационный напольный 32U 19'' 600х1000 разборной</t>
  </si>
  <si>
    <t>DB-FNC1000-42U-FLAT</t>
  </si>
  <si>
    <t>Hypernet Шкаф коммутационный напольный 42U 19'' 600х1000 разборной</t>
  </si>
  <si>
    <t>DB-FNC1000-47U-FLAT</t>
  </si>
  <si>
    <t>Hypernet Шкаф коммутационный напольный 47U 19'' 600х1000 разборной</t>
  </si>
  <si>
    <t>Напольные шкафы HYPERNET 600*1000 PRO SERVER</t>
  </si>
  <si>
    <t>CKSR-FNC1000-22U</t>
  </si>
  <si>
    <t>Hypernet Шкаф серверный напольный 22U 19'' 600х1000 неразборной</t>
  </si>
  <si>
    <t>CKSR-FNC1000-26U</t>
  </si>
  <si>
    <t>Hypernet Шкаф серверный напольный 26U 19'' 600х1000 неразборной</t>
  </si>
  <si>
    <t>CKSR-FNC1000-32U</t>
  </si>
  <si>
    <t>Hypernet Шкаф серверный напольный 32U 19'' 600х1000 неразборной</t>
  </si>
  <si>
    <t>CKSR-FNC1000-36U</t>
  </si>
  <si>
    <t>Hypernet Шкаф серверный напольный 36U 19'' 600х1000 неразборной</t>
  </si>
  <si>
    <t>CKSR-FNC1000-42U</t>
  </si>
  <si>
    <t>Hypernet Шкаф серверный напольный 42U 19'' 600х1000 неразборной</t>
  </si>
  <si>
    <t>CKSR-FNC1000-47U</t>
  </si>
  <si>
    <t>Hypernet Шкаф серверный напольный 47U 19'' 600х1000 неразборной</t>
  </si>
  <si>
    <t>DBSR-FNC1000-26U-FLAT</t>
  </si>
  <si>
    <t>DBSR-FNC1000-26U-FLA</t>
  </si>
  <si>
    <t>T  Hypernet Шкаф серверный напольный 26U 19'' 600х1000 разборной, перф. перед и задняя дверь</t>
  </si>
  <si>
    <t>DBSR-FNC1000-42U-FLAT</t>
  </si>
  <si>
    <t>DBSR-FNC1000-42U-FLA</t>
  </si>
  <si>
    <t>T  Hypernet Шкаф серверный напольный 42U 19'' 600х1000 разборной, перф. перед и зад дверь</t>
  </si>
  <si>
    <t>DYNSR-FNC1000-42U-FLAT</t>
  </si>
  <si>
    <t>DYNSR-FNC1000-42U-FL</t>
  </si>
  <si>
    <t>AT  Hypernet Шкаф серверный напольный 42U 19'' 600х1000 разборный, перф. перед и зад дверь</t>
  </si>
  <si>
    <t>Напольные шкафы HYPERNET 600*600 PRO CK</t>
  </si>
  <si>
    <t>CK-FNC-12U</t>
  </si>
  <si>
    <t>Hypernet Шкаф коммутационный напольный 12U 19'' 600х600 неразборной</t>
  </si>
  <si>
    <t>CK-FNC-16U</t>
  </si>
  <si>
    <t>Hypernet Шкаф коммутационный напольный 16U 19'' 600х600 неразборной</t>
  </si>
  <si>
    <t>CK-FNC-20U</t>
  </si>
  <si>
    <t>Hypernet Шкаф коммутационный напольный 20U 19'' 600х600 неразборной</t>
  </si>
  <si>
    <t>CK-FNC-22U</t>
  </si>
  <si>
    <t>Hypernet Шкаф коммутационный напольный 22U 19'' 600х600 неразборной</t>
  </si>
  <si>
    <t>CK-FNC-26U</t>
  </si>
  <si>
    <t>Hypernet Шкаф коммутационный напольный 26U 19'' 600х600 неразборной</t>
  </si>
  <si>
    <t>CK-FNC-32U</t>
  </si>
  <si>
    <t>Hypernet Шкаф коммутационный напольный 32U 19'' 600х600 неразборной</t>
  </si>
  <si>
    <t>CK-FNC-36U</t>
  </si>
  <si>
    <t>Hypernet Шкаф коммутационный напольный 36U 19'' 600х600 неразборной</t>
  </si>
  <si>
    <t>CK-FNC-42U</t>
  </si>
  <si>
    <t>Hypernet Шкаф коммутационный напольный 42U 19'' 600х600 неразборной</t>
  </si>
  <si>
    <t>CK-FNC-47U</t>
  </si>
  <si>
    <t>Hypernet Шкаф коммутационный напольный 47U 19'' 600х600 неразборной</t>
  </si>
  <si>
    <t>Напольные шкафы HYPERNET 600*600 PRO DB</t>
  </si>
  <si>
    <t>DB-FNC-22U-FLAT</t>
  </si>
  <si>
    <t>Hypernet Шкаф коммутационный напольный 22U 19'' 600х600 разборной</t>
  </si>
  <si>
    <t>DB-FNC-22U-FLAT-black</t>
  </si>
  <si>
    <t>DB-FNC-22U-FLAT-blac</t>
  </si>
  <si>
    <t>k  Hypernet Шкаф коммутационный напольный 22U 19'' 600х600 разборной черный</t>
  </si>
  <si>
    <t>DB-FNC-26U-FLAT</t>
  </si>
  <si>
    <t>Hypernet Шкаф коммутационный напольный 26U 19'' 600х600 разборной</t>
  </si>
  <si>
    <t>DB-FNC-26U-FLAT-black</t>
  </si>
  <si>
    <t>DB-FNC-26U-FLAT-blac</t>
  </si>
  <si>
    <t>k   Hypernet Шкаф коммутационный напольный 26U 19'' 600х600 разборной черный</t>
  </si>
  <si>
    <t>DB-FNC-32U-FLAT</t>
  </si>
  <si>
    <t>Hypernet Шкаф коммутационный напольный 32U 19'' 600х600 разборной</t>
  </si>
  <si>
    <t>DB-FNC-36U-FLAT</t>
  </si>
  <si>
    <t>Hypernet Шкаф коммутационный напольный 36U 19'' 600х600 разборной</t>
  </si>
  <si>
    <t>DB-FNC-42U-FLAT</t>
  </si>
  <si>
    <t>Hypernet Шкаф коммутационный напольный 42U 19'' 600х600 разборной</t>
  </si>
  <si>
    <t>DB-FNC-42U-FLAT-black</t>
  </si>
  <si>
    <t>DB-FNC-42U-FLAT-blac</t>
  </si>
  <si>
    <t>k   Hypernet Шкаф коммутационный напольный 42U 19'' 600х600 разборной черный</t>
  </si>
  <si>
    <t>Напольные шкафы HYPERNET 600*600 PRO DYN</t>
  </si>
  <si>
    <t>DYN-FNC-20U-FLAT</t>
  </si>
  <si>
    <t>Hypernet Шкаф коммутационный напольный 20U 19'' 600х600 разборной</t>
  </si>
  <si>
    <t>Напольные шкафы HYPERNET 600*800 PRO CK</t>
  </si>
  <si>
    <t>CK-FNC8-12U</t>
  </si>
  <si>
    <t>Hypernet Шкаф коммутационный напольный 12U 19'' 600х800 неразборной</t>
  </si>
  <si>
    <t>CK-FNC8-16U</t>
  </si>
  <si>
    <t>Hypernet Шкаф коммутационный напольный 16U 19'' 600х800 неразборной</t>
  </si>
  <si>
    <t>CK-FNC8-20U</t>
  </si>
  <si>
    <t>Hypernet Шкаф коммутационный напольный 20U 19'' 600х800 неразборной</t>
  </si>
  <si>
    <t>CK-FNC8-22U</t>
  </si>
  <si>
    <t>Hypernet Шкаф коммутационный напольный 22U 19'' 600х800 неразборной</t>
  </si>
  <si>
    <t>CK-FNC8-26U</t>
  </si>
  <si>
    <t>Hypernet Шкаф коммутационный напольный 26U 19'' 600х800 неразборной</t>
  </si>
  <si>
    <t>CK-FNC8-32U</t>
  </si>
  <si>
    <t>Hypernet Шкаф коммутационный напольный 32U 19'' 600х800 неразборной</t>
  </si>
  <si>
    <t>CK-FNC8-36U</t>
  </si>
  <si>
    <t>Hypernet Шкаф коммутационный напольный 36U 19'' 600х800 неразборной</t>
  </si>
  <si>
    <t>CK-FNC8-42U</t>
  </si>
  <si>
    <t>Hypernet Шкаф коммутационный напольный 42U 19'' 600х800 неразборной</t>
  </si>
  <si>
    <t>CK-FNC8-47U</t>
  </si>
  <si>
    <t>ypernet Шкаф коммутационный напольный 42U 19'' 600х800 неразборной</t>
  </si>
  <si>
    <t>Напольные шкафы HYPERNET 600*800 PRO DB</t>
  </si>
  <si>
    <t>DB-FNC8-22U-FLAT</t>
  </si>
  <si>
    <t>Hypernet Шкаф коммутационный напольный 22U 19'' 600х800 разборной</t>
  </si>
  <si>
    <t>DB-FNC8-26U-FLAT</t>
  </si>
  <si>
    <t>Hypernet Шкаф коммутационный напольный 26U 19'' 600х800 разборной</t>
  </si>
  <si>
    <t>DB-FNC8-26U-FLAT-black</t>
  </si>
  <si>
    <t>DB-FNC8-26U-FLAT-bla</t>
  </si>
  <si>
    <t>ck   Hypernet Шкаф коммутационный напольный 26U 19'' 600х800 разборной черный</t>
  </si>
  <si>
    <t>DB-FNC8-32U-FLAT</t>
  </si>
  <si>
    <t>Hypernet Шкаф коммутационный напольный 32U 19'' 600х800 разборной</t>
  </si>
  <si>
    <t>DB-FNC8-36U-FLAT</t>
  </si>
  <si>
    <t>Hypernet Шкаф коммутационный напольный 36U 19'' 600х800 разборной</t>
  </si>
  <si>
    <t>DB-FNC8-42U-FLAT</t>
  </si>
  <si>
    <t>Hypernet Шкаф коммутационный напольный 42U 19'' 600х800 разборной</t>
  </si>
  <si>
    <t>DB-FNC8-42U-FLAT-black</t>
  </si>
  <si>
    <t>DB-FNC8-42U-FLAT-bla</t>
  </si>
  <si>
    <t>ck  Hypernet Шкаф коммутационный напольный 42U 19'' 600х800 разборной черный</t>
  </si>
  <si>
    <t>DB-FNC8-47U-FLAT</t>
  </si>
  <si>
    <t>Hypernet Шкаф коммутационный напольный 47U 19'' 600х800 разборной</t>
  </si>
  <si>
    <t>EUBOX-FNC8-42U-FLAT</t>
  </si>
  <si>
    <t>Hypernet Шкаф коммутационный напольный 42U 19'' 600х800 разборной, неоткрывающиеся бока</t>
  </si>
  <si>
    <t>Напольные шкафы HYPERNET 600*800 PRO DYN</t>
  </si>
  <si>
    <t>DYN-FNC8-42U-FLAT</t>
  </si>
  <si>
    <t>Напольные шкафы HYPERNET 800*х PRO CK</t>
  </si>
  <si>
    <t>CK-FNC8100-42U</t>
  </si>
  <si>
    <t>Hypernet Шкаф коммутационный напольный 42U 19'' 800х1000 неразборной</t>
  </si>
  <si>
    <t>CK-FNC8100-47U</t>
  </si>
  <si>
    <t>Hypernet Шкаф коммутационный напольный 47U 19'' 800х1000 неразборной</t>
  </si>
  <si>
    <t>CK-FNC88-32U</t>
  </si>
  <si>
    <t>Hypernet Шкаф коммутационный напольный 32U 19'' 800х800 неразборной</t>
  </si>
  <si>
    <t>CK-FNC88-36U</t>
  </si>
  <si>
    <t>Hypernet Шкаф коммутационный напольный 36U 19'' 800х800 неразборной</t>
  </si>
  <si>
    <t>CK-FNC88-42U</t>
  </si>
  <si>
    <t>Hypernet Шкаф коммутационный напольный 42U 19'' 800х800 неразборной</t>
  </si>
  <si>
    <t>CK-FNC88-47U</t>
  </si>
  <si>
    <t>Hypernet Шкаф коммутационный напольный 47U 19'' 800х800 неразборной</t>
  </si>
  <si>
    <t>Напольные шкафы HYPERNET 800*х PRO DB</t>
  </si>
  <si>
    <t>DB-FNC8100-42U-FLAT</t>
  </si>
  <si>
    <t>Hypernet Шкаф коммутационный напольный 42U 19'' 800х1000 разборной</t>
  </si>
  <si>
    <t>DB-FNC88-42U-FLAT</t>
  </si>
  <si>
    <t>Hypernet Шкаф коммутационный напольный 42U 19'' 800х800 разборной</t>
  </si>
  <si>
    <t>Напольные шкафы HYPERNET 800*х PRO DYN</t>
  </si>
  <si>
    <t>DYN-FNC88-42U-FLAT-black</t>
  </si>
  <si>
    <t>DYN-FNC88-42U-FLAT-b</t>
  </si>
  <si>
    <t>lack  Hypernet Шкаф коммутационный напольный 42U 19'' 800х800 разборный, черный</t>
  </si>
  <si>
    <t>Напольные шкафы HYPERNET 800*х PRO SERVER</t>
  </si>
  <si>
    <t>CKSR-FNC8100-42U</t>
  </si>
  <si>
    <t>Hypernet Шкаф серверный напольный 42U 19'' 800х1000 неразборной</t>
  </si>
  <si>
    <t>CKSR-FNC8100-47U</t>
  </si>
  <si>
    <t>Hypernet Шкаф серверный напольный 47U 19'' 800х1000 неразборной</t>
  </si>
  <si>
    <t>CKSR-FNC88-32U</t>
  </si>
  <si>
    <t>Hypernet Шкаф серверный напольный 32U 19'' 800х800 разборной, перф. перед и задняя дверь</t>
  </si>
  <si>
    <t>CKSR-FNC88-36U</t>
  </si>
  <si>
    <t>Hypernet Шкаф серверный напольный 36U 19'' 800х800 разборной, перф. перед и задняя дверь</t>
  </si>
  <si>
    <t>CKSR-FNC88-42U</t>
  </si>
  <si>
    <t>Hypernet Шкаф серверный напольный 42U 19'' 800х800 разборной, перф. перед и задняя дверь</t>
  </si>
  <si>
    <t>DBSR-FNC8100-42U-FLAT</t>
  </si>
  <si>
    <t>DBSR-FNC8100-42U-FLA</t>
  </si>
  <si>
    <t>T  Hypernet Шкаф серверный напольный 42U 19'' 800х1000 разборный, перф. перед и зад дверь</t>
  </si>
  <si>
    <t>DBSR-FNC88-42U-FLAT</t>
  </si>
  <si>
    <t>DYNSR-FNC8100-42U-FLAT</t>
  </si>
  <si>
    <t>DYNSR-FNC8100-42U-FL</t>
  </si>
  <si>
    <t>AT  Hypernet Шкаф серверный напольный 42U 19'' 800х1000 разборный, черный, перф. перед и зад дверь</t>
  </si>
  <si>
    <t>Настенные шкафы 10"</t>
  </si>
  <si>
    <t>WMNC10-12U</t>
  </si>
  <si>
    <t>Hypernet Шкаф коммутационный настенный 12U 10"x280 ш(36)*г(29)*в(57)</t>
  </si>
  <si>
    <t>WMNC10-4U</t>
  </si>
  <si>
    <t>Hypernet Шкаф коммутационный настенный 4U 10"x280</t>
  </si>
  <si>
    <t>WMNC10-6U</t>
  </si>
  <si>
    <t>Hypernet Шкаф коммутационный настенный 6U 10"x280 ш(36)*г(29)*в(33)</t>
  </si>
  <si>
    <t>WMNC10-9U</t>
  </si>
  <si>
    <t>Hypernet Шкаф коммутационный настенный 9U 10"x280 ш(36)*г(29)*в(57)</t>
  </si>
  <si>
    <t>Настенные шкафы 19" глубина 400 STANDART</t>
  </si>
  <si>
    <t>WMNC-40-6U-black</t>
  </si>
  <si>
    <t>Hypernet Шкаф коммутационный настенный 6U 540x400 черный</t>
  </si>
  <si>
    <t>WMNC-40-9U-black</t>
  </si>
  <si>
    <t>Hypernet Шкаф коммутационный настенный 9U 540x400 черный</t>
  </si>
  <si>
    <t>Настенные шкафы 19" глубина 450 PRO</t>
  </si>
  <si>
    <t>EUBOX-WMNC-12U</t>
  </si>
  <si>
    <t>Hypernet Шкаф коммутационный настенный 12U 19'' 600х450</t>
  </si>
  <si>
    <t>EUBOX-WMNC-16U</t>
  </si>
  <si>
    <t>Hypernet Шкаф коммутационный настенный 16U 19'' 600х450</t>
  </si>
  <si>
    <t>EUBOX-WMNC-7U</t>
  </si>
  <si>
    <t>Hypernet Шкаф коммутационный настенный 7U 19'' 600х450</t>
  </si>
  <si>
    <t>EUBOX-WMNC-7U-black</t>
  </si>
  <si>
    <t>Hypernet Шкаф коммутационный настенный 7U 19'' 600х450 черный</t>
  </si>
  <si>
    <t>EUBOX-WMNC-9U</t>
  </si>
  <si>
    <t>Hypernet Шкаф коммутационный настенный 9U 19'' 600х450</t>
  </si>
  <si>
    <t>EUBOX-WMNC-9U-black</t>
  </si>
  <si>
    <t>Hypernet Шкаф коммутационный настенный 9U 19'' 600х450 черный</t>
  </si>
  <si>
    <t>PL-WMNC-12U</t>
  </si>
  <si>
    <t>Hypernet Шкаф коммутационный настенный 12U 19'' 600х450 серия ProfiLine</t>
  </si>
  <si>
    <t>PL-WMNC-16U</t>
  </si>
  <si>
    <t>Hypernet Шкаф коммутационный настенный 16U 19'' 600х450 серия ProfiLine</t>
  </si>
  <si>
    <t>PL-WMNC-20U</t>
  </si>
  <si>
    <t>Hypernet Шкаф коммутационный настенный 20U 19'' 600х450 серия ProfiLine</t>
  </si>
  <si>
    <t>PL-WMNC-7U</t>
  </si>
  <si>
    <t>Hypernet Шкаф коммутационный настенный 7U 19'' 600х450 серия ProfiLine</t>
  </si>
  <si>
    <t>PL-WMNC-9U</t>
  </si>
  <si>
    <t>Hypernet Шкаф коммутационный настенный 9U 19'' 600х450 серия ProfiLine</t>
  </si>
  <si>
    <t>Настенные шкафы 19" глубина 450 STANDART</t>
  </si>
  <si>
    <t>WMNC-12U-black</t>
  </si>
  <si>
    <t>Hypernet Шкаф коммутационный настенный 12U 600x450 черный</t>
  </si>
  <si>
    <t>WMNC-12U-FLAT</t>
  </si>
  <si>
    <t>Hypernet Шкаф коммутационный настенный 12U 600x450 разборной</t>
  </si>
  <si>
    <t>WMNC-15U-black</t>
  </si>
  <si>
    <t>Hypernet Шкаф коммутационный настенный 15U 600x450 черный</t>
  </si>
  <si>
    <t>WMNC-15U-FLAT</t>
  </si>
  <si>
    <t>Hypernet Шкаф коммутационный настенный 15U 600x450 разборной</t>
  </si>
  <si>
    <t>WMNC-18U-black</t>
  </si>
  <si>
    <t>Hypernet Шкаф коммутационный настенный 18U 600x450 черный</t>
  </si>
  <si>
    <t>WMNC-18U-FLAT</t>
  </si>
  <si>
    <t>Hypernet Шкаф коммутационный настенный 18U 600x450 разборной</t>
  </si>
  <si>
    <t>WMNC-6U-black</t>
  </si>
  <si>
    <t>Hypernet Шкаф коммутационный настенный 6U 600x450 черный</t>
  </si>
  <si>
    <t>Hypernet Шкаф коммутационный настенный 6U 600x450 разборной</t>
  </si>
  <si>
    <t>WMNC-9U-black</t>
  </si>
  <si>
    <t>Hypernet Шкаф коммутационный настенный 9U 600x450 черный</t>
  </si>
  <si>
    <t>WMNC-9U-ECO</t>
  </si>
  <si>
    <t>Hypenet Шкаф 9U 600x450 коммутационный настенный</t>
  </si>
  <si>
    <t>WMNC-9U-FLAT</t>
  </si>
  <si>
    <t>Hypernet Шкаф коммутационный настенный 9U 600x450 разборной</t>
  </si>
  <si>
    <t>NETS NETS-PLFADSL-filter фильтр телефонной линии ADSL</t>
  </si>
  <si>
    <t xml:space="preserve">из колонки д </t>
  </si>
  <si>
    <t>из колонки G</t>
  </si>
  <si>
    <t>из колонки М</t>
  </si>
  <si>
    <t>из колонки К</t>
  </si>
  <si>
    <t>из колонки  F</t>
  </si>
  <si>
    <t>Из колонки 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</si>
</sst>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0"/>
      <color indexed="8"/>
      <name val="Tahoma"/>
    </font>
    <font>
      <b/>
      <sz val="10"/>
      <color indexed="8"/>
      <name val="Tahoma"/>
    </font>
    <font>
      <b/>
      <sz val="10"/>
      <color rgb="FFFF0000"/>
      <name val="Calibri"/>
      <family val="2"/>
      <charset val="204"/>
    </font>
    <font>
      <b/>
      <sz val="8"/>
      <color indexed="8"/>
      <name val="Tahoma"/>
    </font>
    <font>
      <b/>
      <sz val="8"/>
      <color rgb="FFFF0000"/>
      <name val="Tahoma"/>
      <family val="2"/>
      <charset val="204"/>
    </font>
    <font>
      <b/>
      <sz val="8"/>
      <color indexed="11"/>
      <name val="Tahoma"/>
    </font>
    <font>
      <sz val="8"/>
      <color indexed="8"/>
      <name val="Tahoma"/>
    </font>
    <font>
      <sz val="8"/>
      <color indexed="11"/>
      <name val="Tahoma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</font>
    <font>
      <sz val="8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indexed="12"/>
        <bgColor indexed="8"/>
      </patternFill>
    </fill>
    <fill>
      <patternFill patternType="solid">
        <fgColor theme="0" tint="-0.14996795556505021"/>
        <bgColor indexed="64"/>
      </patternFill>
    </fill>
  </fills>
  <borders count="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/>
    <xf numFmtId="0" fontId="10" fillId="0" borderId="0">
      <alignment vertical="center"/>
    </xf>
  </cellStyleXfs>
  <cellXfs count="37">
    <xf numFmtId="0" fontId="0" fillId="0" borderId="0" xfId="0"/>
    <xf numFmtId="0" fontId="1" fillId="0" borderId="0" xfId="0" applyFont="1" applyFill="1" applyAlignment="1" applyProtection="1">
      <alignment horizontal="right" vertical="center"/>
    </xf>
    <xf numFmtId="2" fontId="2" fillId="2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 applyFill="1" applyAlignment="1" applyProtection="1">
      <alignment vertical="center"/>
    </xf>
    <xf numFmtId="2" fontId="1" fillId="0" borderId="0" xfId="0" applyNumberFormat="1" applyFont="1" applyFill="1" applyAlignment="1" applyProtection="1">
      <alignment vertical="center"/>
    </xf>
    <xf numFmtId="2" fontId="3" fillId="0" borderId="0" xfId="0" applyNumberFormat="1" applyFont="1" applyFill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/>
    </xf>
    <xf numFmtId="14" fontId="4" fillId="3" borderId="1" xfId="0" applyNumberFormat="1" applyFont="1" applyFill="1" applyBorder="1" applyAlignment="1" applyProtection="1">
      <alignment horizontal="center" vertical="center"/>
    </xf>
    <xf numFmtId="0" fontId="4" fillId="3" borderId="2" xfId="0" applyFont="1" applyFill="1" applyBorder="1" applyAlignment="1" applyProtection="1">
      <alignment horizontal="center" vertical="center"/>
    </xf>
    <xf numFmtId="0" fontId="4" fillId="3" borderId="3" xfId="0" applyFont="1" applyFill="1" applyBorder="1" applyAlignment="1" applyProtection="1">
      <alignment horizontal="center" vertical="center"/>
    </xf>
    <xf numFmtId="2" fontId="4" fillId="3" borderId="3" xfId="0" applyNumberFormat="1" applyFont="1" applyFill="1" applyBorder="1" applyAlignment="1" applyProtection="1">
      <alignment horizontal="center" vertical="center" wrapText="1"/>
    </xf>
    <xf numFmtId="2" fontId="5" fillId="3" borderId="3" xfId="0" applyNumberFormat="1" applyFont="1" applyFill="1" applyBorder="1" applyAlignment="1" applyProtection="1">
      <alignment horizontal="center" vertical="center" wrapText="1"/>
    </xf>
    <xf numFmtId="0" fontId="6" fillId="3" borderId="3" xfId="0" applyFont="1" applyFill="1" applyBorder="1" applyAlignment="1" applyProtection="1">
      <alignment horizontal="center" vertical="center"/>
    </xf>
    <xf numFmtId="0" fontId="0" fillId="0" borderId="0" xfId="0" applyFill="1" applyProtection="1"/>
    <xf numFmtId="0" fontId="7" fillId="4" borderId="4" xfId="0" applyFont="1" applyFill="1" applyBorder="1" applyAlignment="1" applyProtection="1">
      <alignment horizontal="left"/>
    </xf>
    <xf numFmtId="0" fontId="7" fillId="4" borderId="5" xfId="0" applyFont="1" applyFill="1" applyBorder="1" applyAlignment="1" applyProtection="1">
      <alignment horizontal="left"/>
    </xf>
    <xf numFmtId="0" fontId="7" fillId="4" borderId="5" xfId="0" applyFont="1" applyFill="1" applyBorder="1" applyProtection="1"/>
    <xf numFmtId="2" fontId="7" fillId="4" borderId="5" xfId="0" applyNumberFormat="1" applyFont="1" applyFill="1" applyBorder="1" applyAlignment="1" applyProtection="1">
      <alignment horizontal="right"/>
    </xf>
    <xf numFmtId="2" fontId="3" fillId="4" borderId="5" xfId="0" applyNumberFormat="1" applyFont="1" applyFill="1" applyBorder="1" applyAlignment="1" applyProtection="1">
      <alignment horizontal="center" vertical="center"/>
    </xf>
    <xf numFmtId="0" fontId="7" fillId="4" borderId="5" xfId="0" applyFont="1" applyFill="1" applyBorder="1" applyAlignment="1" applyProtection="1">
      <alignment horizontal="center"/>
    </xf>
    <xf numFmtId="0" fontId="8" fillId="4" borderId="5" xfId="0" applyFont="1" applyFill="1" applyBorder="1" applyAlignment="1" applyProtection="1">
      <alignment horizontal="center"/>
    </xf>
    <xf numFmtId="0" fontId="7" fillId="0" borderId="6" xfId="0" applyFont="1" applyFill="1" applyBorder="1" applyAlignment="1" applyProtection="1">
      <alignment horizontal="left"/>
    </xf>
    <xf numFmtId="49" fontId="7" fillId="0" borderId="6" xfId="0" applyNumberFormat="1" applyFont="1" applyFill="1" applyBorder="1" applyAlignment="1" applyProtection="1">
      <alignment horizontal="left"/>
    </xf>
    <xf numFmtId="0" fontId="7" fillId="0" borderId="6" xfId="0" applyFont="1" applyFill="1" applyBorder="1" applyProtection="1"/>
    <xf numFmtId="2" fontId="7" fillId="0" borderId="6" xfId="0" applyNumberFormat="1" applyFont="1" applyFill="1" applyBorder="1" applyAlignment="1" applyProtection="1">
      <alignment horizontal="right"/>
    </xf>
    <xf numFmtId="2" fontId="3" fillId="0" borderId="6" xfId="0" applyNumberFormat="1" applyFont="1" applyFill="1" applyBorder="1" applyAlignment="1" applyProtection="1">
      <alignment horizontal="center" vertical="center"/>
    </xf>
    <xf numFmtId="0" fontId="7" fillId="0" borderId="6" xfId="0" applyFont="1" applyFill="1" applyBorder="1" applyAlignment="1" applyProtection="1">
      <alignment horizontal="center"/>
    </xf>
    <xf numFmtId="0" fontId="8" fillId="0" borderId="6" xfId="0" applyFont="1" applyFill="1" applyBorder="1" applyAlignment="1" applyProtection="1">
      <alignment horizontal="center"/>
    </xf>
    <xf numFmtId="0" fontId="7" fillId="0" borderId="6" xfId="0" applyFont="1" applyFill="1" applyBorder="1" applyAlignment="1" applyProtection="1">
      <alignment wrapText="1"/>
    </xf>
    <xf numFmtId="0" fontId="7" fillId="0" borderId="0" xfId="0" applyFont="1" applyFill="1" applyAlignment="1" applyProtection="1">
      <alignment horizontal="left"/>
    </xf>
    <xf numFmtId="0" fontId="7" fillId="0" borderId="0" xfId="0" applyFont="1" applyFill="1" applyProtection="1"/>
    <xf numFmtId="2" fontId="7" fillId="0" borderId="0" xfId="0" applyNumberFormat="1" applyFont="1" applyFill="1" applyAlignment="1" applyProtection="1">
      <alignment horizontal="right"/>
    </xf>
    <xf numFmtId="0" fontId="7" fillId="0" borderId="0" xfId="0" applyFont="1" applyFill="1" applyAlignment="1" applyProtection="1">
      <alignment horizontal="center"/>
    </xf>
    <xf numFmtId="0" fontId="8" fillId="0" borderId="0" xfId="0" applyFont="1" applyFill="1" applyAlignment="1" applyProtection="1">
      <alignment horizontal="center"/>
    </xf>
    <xf numFmtId="0" fontId="11" fillId="0" borderId="6" xfId="0" applyFont="1" applyFill="1" applyBorder="1" applyAlignment="1" applyProtection="1">
      <alignment horizontal="center"/>
    </xf>
    <xf numFmtId="49" fontId="0" fillId="0" borderId="0" xfId="0" applyNumberFormat="1"/>
  </cellXfs>
  <cellStyles count="3">
    <cellStyle name="Excel Built-in Normal 1" xfId="1"/>
    <cellStyle name="Обычный" xfId="0" builtinId="0"/>
    <cellStyle name="常规 2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"/>
  <sheetViews>
    <sheetView tabSelected="1" workbookViewId="0">
      <selection activeCell="A4" sqref="A4"/>
    </sheetView>
  </sheetViews>
  <sheetFormatPr defaultColWidth="14.85546875" defaultRowHeight="15" x14ac:dyDescent="0.25"/>
  <cols>
    <col min="1" max="1" width="33.28515625" customWidth="1"/>
  </cols>
  <sheetData>
    <row r="1" spans="1:14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N1" t="s">
        <v>14</v>
      </c>
    </row>
    <row r="2" spans="1:14" x14ac:dyDescent="0.25">
      <c r="A2" t="s">
        <v>29</v>
      </c>
      <c r="B2" s="24" t="s">
        <v>30</v>
      </c>
      <c r="C2" t="s">
        <v>1120</v>
      </c>
      <c r="E2">
        <v>19.399999999999999</v>
      </c>
      <c r="J2" s="35" t="s">
        <v>27</v>
      </c>
    </row>
    <row r="3" spans="1:14" x14ac:dyDescent="0.25">
      <c r="A3" t="s">
        <v>1121</v>
      </c>
      <c r="B3" t="s">
        <v>1125</v>
      </c>
      <c r="C3" t="s">
        <v>1122</v>
      </c>
      <c r="E3" t="s">
        <v>1123</v>
      </c>
      <c r="J3" t="s">
        <v>1124</v>
      </c>
      <c r="N3" t="s">
        <v>1126</v>
      </c>
    </row>
    <row r="5" spans="1:14" x14ac:dyDescent="0.25">
      <c r="A5" s="36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L649"/>
  <sheetViews>
    <sheetView workbookViewId="0">
      <selection activeCell="D7" sqref="D7"/>
    </sheetView>
  </sheetViews>
  <sheetFormatPr defaultRowHeight="15" outlineLevelRow="1" x14ac:dyDescent="0.25"/>
  <cols>
    <col min="1" max="1" width="3.85546875" style="30" customWidth="1"/>
    <col min="2" max="2" width="14.7109375" style="30" customWidth="1"/>
    <col min="3" max="3" width="7" style="30" customWidth="1"/>
    <col min="4" max="4" width="10.85546875" style="30" customWidth="1"/>
    <col min="5" max="5" width="8.85546875" style="30" customWidth="1"/>
    <col min="6" max="6" width="64" style="31" customWidth="1"/>
    <col min="7" max="7" width="59.5703125" style="31" customWidth="1"/>
    <col min="8" max="8" width="8.140625" style="32" customWidth="1"/>
    <col min="9" max="9" width="6.5703125" style="6" customWidth="1"/>
    <col min="10" max="10" width="4.28515625" style="33" customWidth="1"/>
    <col min="11" max="11" width="16.140625" style="34" customWidth="1"/>
    <col min="12" max="256" width="9.140625" style="14"/>
    <col min="257" max="257" width="3.85546875" style="14" customWidth="1"/>
    <col min="258" max="258" width="14.7109375" style="14" customWidth="1"/>
    <col min="259" max="259" width="7" style="14" customWidth="1"/>
    <col min="260" max="261" width="14" style="14" customWidth="1"/>
    <col min="262" max="262" width="59.5703125" style="14" customWidth="1"/>
    <col min="263" max="263" width="8.140625" style="14" customWidth="1"/>
    <col min="264" max="264" width="6.5703125" style="14" customWidth="1"/>
    <col min="265" max="265" width="4.28515625" style="14" customWidth="1"/>
    <col min="266" max="266" width="6.7109375" style="14" customWidth="1"/>
    <col min="267" max="267" width="53" style="14" customWidth="1"/>
    <col min="268" max="512" width="9.140625" style="14"/>
    <col min="513" max="513" width="3.85546875" style="14" customWidth="1"/>
    <col min="514" max="514" width="14.7109375" style="14" customWidth="1"/>
    <col min="515" max="515" width="7" style="14" customWidth="1"/>
    <col min="516" max="517" width="14" style="14" customWidth="1"/>
    <col min="518" max="518" width="59.5703125" style="14" customWidth="1"/>
    <col min="519" max="519" width="8.140625" style="14" customWidth="1"/>
    <col min="520" max="520" width="6.5703125" style="14" customWidth="1"/>
    <col min="521" max="521" width="4.28515625" style="14" customWidth="1"/>
    <col min="522" max="522" width="6.7109375" style="14" customWidth="1"/>
    <col min="523" max="523" width="53" style="14" customWidth="1"/>
    <col min="524" max="768" width="9.140625" style="14"/>
    <col min="769" max="769" width="3.85546875" style="14" customWidth="1"/>
    <col min="770" max="770" width="14.7109375" style="14" customWidth="1"/>
    <col min="771" max="771" width="7" style="14" customWidth="1"/>
    <col min="772" max="773" width="14" style="14" customWidth="1"/>
    <col min="774" max="774" width="59.5703125" style="14" customWidth="1"/>
    <col min="775" max="775" width="8.140625" style="14" customWidth="1"/>
    <col min="776" max="776" width="6.5703125" style="14" customWidth="1"/>
    <col min="777" max="777" width="4.28515625" style="14" customWidth="1"/>
    <col min="778" max="778" width="6.7109375" style="14" customWidth="1"/>
    <col min="779" max="779" width="53" style="14" customWidth="1"/>
    <col min="780" max="1024" width="9.140625" style="14"/>
    <col min="1025" max="1025" width="3.85546875" style="14" customWidth="1"/>
    <col min="1026" max="1026" width="14.7109375" style="14" customWidth="1"/>
    <col min="1027" max="1027" width="7" style="14" customWidth="1"/>
    <col min="1028" max="1029" width="14" style="14" customWidth="1"/>
    <col min="1030" max="1030" width="59.5703125" style="14" customWidth="1"/>
    <col min="1031" max="1031" width="8.140625" style="14" customWidth="1"/>
    <col min="1032" max="1032" width="6.5703125" style="14" customWidth="1"/>
    <col min="1033" max="1033" width="4.28515625" style="14" customWidth="1"/>
    <col min="1034" max="1034" width="6.7109375" style="14" customWidth="1"/>
    <col min="1035" max="1035" width="53" style="14" customWidth="1"/>
    <col min="1036" max="1280" width="9.140625" style="14"/>
    <col min="1281" max="1281" width="3.85546875" style="14" customWidth="1"/>
    <col min="1282" max="1282" width="14.7109375" style="14" customWidth="1"/>
    <col min="1283" max="1283" width="7" style="14" customWidth="1"/>
    <col min="1284" max="1285" width="14" style="14" customWidth="1"/>
    <col min="1286" max="1286" width="59.5703125" style="14" customWidth="1"/>
    <col min="1287" max="1287" width="8.140625" style="14" customWidth="1"/>
    <col min="1288" max="1288" width="6.5703125" style="14" customWidth="1"/>
    <col min="1289" max="1289" width="4.28515625" style="14" customWidth="1"/>
    <col min="1290" max="1290" width="6.7109375" style="14" customWidth="1"/>
    <col min="1291" max="1291" width="53" style="14" customWidth="1"/>
    <col min="1292" max="1536" width="9.140625" style="14"/>
    <col min="1537" max="1537" width="3.85546875" style="14" customWidth="1"/>
    <col min="1538" max="1538" width="14.7109375" style="14" customWidth="1"/>
    <col min="1539" max="1539" width="7" style="14" customWidth="1"/>
    <col min="1540" max="1541" width="14" style="14" customWidth="1"/>
    <col min="1542" max="1542" width="59.5703125" style="14" customWidth="1"/>
    <col min="1543" max="1543" width="8.140625" style="14" customWidth="1"/>
    <col min="1544" max="1544" width="6.5703125" style="14" customWidth="1"/>
    <col min="1545" max="1545" width="4.28515625" style="14" customWidth="1"/>
    <col min="1546" max="1546" width="6.7109375" style="14" customWidth="1"/>
    <col min="1547" max="1547" width="53" style="14" customWidth="1"/>
    <col min="1548" max="1792" width="9.140625" style="14"/>
    <col min="1793" max="1793" width="3.85546875" style="14" customWidth="1"/>
    <col min="1794" max="1794" width="14.7109375" style="14" customWidth="1"/>
    <col min="1795" max="1795" width="7" style="14" customWidth="1"/>
    <col min="1796" max="1797" width="14" style="14" customWidth="1"/>
    <col min="1798" max="1798" width="59.5703125" style="14" customWidth="1"/>
    <col min="1799" max="1799" width="8.140625" style="14" customWidth="1"/>
    <col min="1800" max="1800" width="6.5703125" style="14" customWidth="1"/>
    <col min="1801" max="1801" width="4.28515625" style="14" customWidth="1"/>
    <col min="1802" max="1802" width="6.7109375" style="14" customWidth="1"/>
    <col min="1803" max="1803" width="53" style="14" customWidth="1"/>
    <col min="1804" max="2048" width="9.140625" style="14"/>
    <col min="2049" max="2049" width="3.85546875" style="14" customWidth="1"/>
    <col min="2050" max="2050" width="14.7109375" style="14" customWidth="1"/>
    <col min="2051" max="2051" width="7" style="14" customWidth="1"/>
    <col min="2052" max="2053" width="14" style="14" customWidth="1"/>
    <col min="2054" max="2054" width="59.5703125" style="14" customWidth="1"/>
    <col min="2055" max="2055" width="8.140625" style="14" customWidth="1"/>
    <col min="2056" max="2056" width="6.5703125" style="14" customWidth="1"/>
    <col min="2057" max="2057" width="4.28515625" style="14" customWidth="1"/>
    <col min="2058" max="2058" width="6.7109375" style="14" customWidth="1"/>
    <col min="2059" max="2059" width="53" style="14" customWidth="1"/>
    <col min="2060" max="2304" width="9.140625" style="14"/>
    <col min="2305" max="2305" width="3.85546875" style="14" customWidth="1"/>
    <col min="2306" max="2306" width="14.7109375" style="14" customWidth="1"/>
    <col min="2307" max="2307" width="7" style="14" customWidth="1"/>
    <col min="2308" max="2309" width="14" style="14" customWidth="1"/>
    <col min="2310" max="2310" width="59.5703125" style="14" customWidth="1"/>
    <col min="2311" max="2311" width="8.140625" style="14" customWidth="1"/>
    <col min="2312" max="2312" width="6.5703125" style="14" customWidth="1"/>
    <col min="2313" max="2313" width="4.28515625" style="14" customWidth="1"/>
    <col min="2314" max="2314" width="6.7109375" style="14" customWidth="1"/>
    <col min="2315" max="2315" width="53" style="14" customWidth="1"/>
    <col min="2316" max="2560" width="9.140625" style="14"/>
    <col min="2561" max="2561" width="3.85546875" style="14" customWidth="1"/>
    <col min="2562" max="2562" width="14.7109375" style="14" customWidth="1"/>
    <col min="2563" max="2563" width="7" style="14" customWidth="1"/>
    <col min="2564" max="2565" width="14" style="14" customWidth="1"/>
    <col min="2566" max="2566" width="59.5703125" style="14" customWidth="1"/>
    <col min="2567" max="2567" width="8.140625" style="14" customWidth="1"/>
    <col min="2568" max="2568" width="6.5703125" style="14" customWidth="1"/>
    <col min="2569" max="2569" width="4.28515625" style="14" customWidth="1"/>
    <col min="2570" max="2570" width="6.7109375" style="14" customWidth="1"/>
    <col min="2571" max="2571" width="53" style="14" customWidth="1"/>
    <col min="2572" max="2816" width="9.140625" style="14"/>
    <col min="2817" max="2817" width="3.85546875" style="14" customWidth="1"/>
    <col min="2818" max="2818" width="14.7109375" style="14" customWidth="1"/>
    <col min="2819" max="2819" width="7" style="14" customWidth="1"/>
    <col min="2820" max="2821" width="14" style="14" customWidth="1"/>
    <col min="2822" max="2822" width="59.5703125" style="14" customWidth="1"/>
    <col min="2823" max="2823" width="8.140625" style="14" customWidth="1"/>
    <col min="2824" max="2824" width="6.5703125" style="14" customWidth="1"/>
    <col min="2825" max="2825" width="4.28515625" style="14" customWidth="1"/>
    <col min="2826" max="2826" width="6.7109375" style="14" customWidth="1"/>
    <col min="2827" max="2827" width="53" style="14" customWidth="1"/>
    <col min="2828" max="3072" width="9.140625" style="14"/>
    <col min="3073" max="3073" width="3.85546875" style="14" customWidth="1"/>
    <col min="3074" max="3074" width="14.7109375" style="14" customWidth="1"/>
    <col min="3075" max="3075" width="7" style="14" customWidth="1"/>
    <col min="3076" max="3077" width="14" style="14" customWidth="1"/>
    <col min="3078" max="3078" width="59.5703125" style="14" customWidth="1"/>
    <col min="3079" max="3079" width="8.140625" style="14" customWidth="1"/>
    <col min="3080" max="3080" width="6.5703125" style="14" customWidth="1"/>
    <col min="3081" max="3081" width="4.28515625" style="14" customWidth="1"/>
    <col min="3082" max="3082" width="6.7109375" style="14" customWidth="1"/>
    <col min="3083" max="3083" width="53" style="14" customWidth="1"/>
    <col min="3084" max="3328" width="9.140625" style="14"/>
    <col min="3329" max="3329" width="3.85546875" style="14" customWidth="1"/>
    <col min="3330" max="3330" width="14.7109375" style="14" customWidth="1"/>
    <col min="3331" max="3331" width="7" style="14" customWidth="1"/>
    <col min="3332" max="3333" width="14" style="14" customWidth="1"/>
    <col min="3334" max="3334" width="59.5703125" style="14" customWidth="1"/>
    <col min="3335" max="3335" width="8.140625" style="14" customWidth="1"/>
    <col min="3336" max="3336" width="6.5703125" style="14" customWidth="1"/>
    <col min="3337" max="3337" width="4.28515625" style="14" customWidth="1"/>
    <col min="3338" max="3338" width="6.7109375" style="14" customWidth="1"/>
    <col min="3339" max="3339" width="53" style="14" customWidth="1"/>
    <col min="3340" max="3584" width="9.140625" style="14"/>
    <col min="3585" max="3585" width="3.85546875" style="14" customWidth="1"/>
    <col min="3586" max="3586" width="14.7109375" style="14" customWidth="1"/>
    <col min="3587" max="3587" width="7" style="14" customWidth="1"/>
    <col min="3588" max="3589" width="14" style="14" customWidth="1"/>
    <col min="3590" max="3590" width="59.5703125" style="14" customWidth="1"/>
    <col min="3591" max="3591" width="8.140625" style="14" customWidth="1"/>
    <col min="3592" max="3592" width="6.5703125" style="14" customWidth="1"/>
    <col min="3593" max="3593" width="4.28515625" style="14" customWidth="1"/>
    <col min="3594" max="3594" width="6.7109375" style="14" customWidth="1"/>
    <col min="3595" max="3595" width="53" style="14" customWidth="1"/>
    <col min="3596" max="3840" width="9.140625" style="14"/>
    <col min="3841" max="3841" width="3.85546875" style="14" customWidth="1"/>
    <col min="3842" max="3842" width="14.7109375" style="14" customWidth="1"/>
    <col min="3843" max="3843" width="7" style="14" customWidth="1"/>
    <col min="3844" max="3845" width="14" style="14" customWidth="1"/>
    <col min="3846" max="3846" width="59.5703125" style="14" customWidth="1"/>
    <col min="3847" max="3847" width="8.140625" style="14" customWidth="1"/>
    <col min="3848" max="3848" width="6.5703125" style="14" customWidth="1"/>
    <col min="3849" max="3849" width="4.28515625" style="14" customWidth="1"/>
    <col min="3850" max="3850" width="6.7109375" style="14" customWidth="1"/>
    <col min="3851" max="3851" width="53" style="14" customWidth="1"/>
    <col min="3852" max="4096" width="9.140625" style="14"/>
    <col min="4097" max="4097" width="3.85546875" style="14" customWidth="1"/>
    <col min="4098" max="4098" width="14.7109375" style="14" customWidth="1"/>
    <col min="4099" max="4099" width="7" style="14" customWidth="1"/>
    <col min="4100" max="4101" width="14" style="14" customWidth="1"/>
    <col min="4102" max="4102" width="59.5703125" style="14" customWidth="1"/>
    <col min="4103" max="4103" width="8.140625" style="14" customWidth="1"/>
    <col min="4104" max="4104" width="6.5703125" style="14" customWidth="1"/>
    <col min="4105" max="4105" width="4.28515625" style="14" customWidth="1"/>
    <col min="4106" max="4106" width="6.7109375" style="14" customWidth="1"/>
    <col min="4107" max="4107" width="53" style="14" customWidth="1"/>
    <col min="4108" max="4352" width="9.140625" style="14"/>
    <col min="4353" max="4353" width="3.85546875" style="14" customWidth="1"/>
    <col min="4354" max="4354" width="14.7109375" style="14" customWidth="1"/>
    <col min="4355" max="4355" width="7" style="14" customWidth="1"/>
    <col min="4356" max="4357" width="14" style="14" customWidth="1"/>
    <col min="4358" max="4358" width="59.5703125" style="14" customWidth="1"/>
    <col min="4359" max="4359" width="8.140625" style="14" customWidth="1"/>
    <col min="4360" max="4360" width="6.5703125" style="14" customWidth="1"/>
    <col min="4361" max="4361" width="4.28515625" style="14" customWidth="1"/>
    <col min="4362" max="4362" width="6.7109375" style="14" customWidth="1"/>
    <col min="4363" max="4363" width="53" style="14" customWidth="1"/>
    <col min="4364" max="4608" width="9.140625" style="14"/>
    <col min="4609" max="4609" width="3.85546875" style="14" customWidth="1"/>
    <col min="4610" max="4610" width="14.7109375" style="14" customWidth="1"/>
    <col min="4611" max="4611" width="7" style="14" customWidth="1"/>
    <col min="4612" max="4613" width="14" style="14" customWidth="1"/>
    <col min="4614" max="4614" width="59.5703125" style="14" customWidth="1"/>
    <col min="4615" max="4615" width="8.140625" style="14" customWidth="1"/>
    <col min="4616" max="4616" width="6.5703125" style="14" customWidth="1"/>
    <col min="4617" max="4617" width="4.28515625" style="14" customWidth="1"/>
    <col min="4618" max="4618" width="6.7109375" style="14" customWidth="1"/>
    <col min="4619" max="4619" width="53" style="14" customWidth="1"/>
    <col min="4620" max="4864" width="9.140625" style="14"/>
    <col min="4865" max="4865" width="3.85546875" style="14" customWidth="1"/>
    <col min="4866" max="4866" width="14.7109375" style="14" customWidth="1"/>
    <col min="4867" max="4867" width="7" style="14" customWidth="1"/>
    <col min="4868" max="4869" width="14" style="14" customWidth="1"/>
    <col min="4870" max="4870" width="59.5703125" style="14" customWidth="1"/>
    <col min="4871" max="4871" width="8.140625" style="14" customWidth="1"/>
    <col min="4872" max="4872" width="6.5703125" style="14" customWidth="1"/>
    <col min="4873" max="4873" width="4.28515625" style="14" customWidth="1"/>
    <col min="4874" max="4874" width="6.7109375" style="14" customWidth="1"/>
    <col min="4875" max="4875" width="53" style="14" customWidth="1"/>
    <col min="4876" max="5120" width="9.140625" style="14"/>
    <col min="5121" max="5121" width="3.85546875" style="14" customWidth="1"/>
    <col min="5122" max="5122" width="14.7109375" style="14" customWidth="1"/>
    <col min="5123" max="5123" width="7" style="14" customWidth="1"/>
    <col min="5124" max="5125" width="14" style="14" customWidth="1"/>
    <col min="5126" max="5126" width="59.5703125" style="14" customWidth="1"/>
    <col min="5127" max="5127" width="8.140625" style="14" customWidth="1"/>
    <col min="5128" max="5128" width="6.5703125" style="14" customWidth="1"/>
    <col min="5129" max="5129" width="4.28515625" style="14" customWidth="1"/>
    <col min="5130" max="5130" width="6.7109375" style="14" customWidth="1"/>
    <col min="5131" max="5131" width="53" style="14" customWidth="1"/>
    <col min="5132" max="5376" width="9.140625" style="14"/>
    <col min="5377" max="5377" width="3.85546875" style="14" customWidth="1"/>
    <col min="5378" max="5378" width="14.7109375" style="14" customWidth="1"/>
    <col min="5379" max="5379" width="7" style="14" customWidth="1"/>
    <col min="5380" max="5381" width="14" style="14" customWidth="1"/>
    <col min="5382" max="5382" width="59.5703125" style="14" customWidth="1"/>
    <col min="5383" max="5383" width="8.140625" style="14" customWidth="1"/>
    <col min="5384" max="5384" width="6.5703125" style="14" customWidth="1"/>
    <col min="5385" max="5385" width="4.28515625" style="14" customWidth="1"/>
    <col min="5386" max="5386" width="6.7109375" style="14" customWidth="1"/>
    <col min="5387" max="5387" width="53" style="14" customWidth="1"/>
    <col min="5388" max="5632" width="9.140625" style="14"/>
    <col min="5633" max="5633" width="3.85546875" style="14" customWidth="1"/>
    <col min="5634" max="5634" width="14.7109375" style="14" customWidth="1"/>
    <col min="5635" max="5635" width="7" style="14" customWidth="1"/>
    <col min="5636" max="5637" width="14" style="14" customWidth="1"/>
    <col min="5638" max="5638" width="59.5703125" style="14" customWidth="1"/>
    <col min="5639" max="5639" width="8.140625" style="14" customWidth="1"/>
    <col min="5640" max="5640" width="6.5703125" style="14" customWidth="1"/>
    <col min="5641" max="5641" width="4.28515625" style="14" customWidth="1"/>
    <col min="5642" max="5642" width="6.7109375" style="14" customWidth="1"/>
    <col min="5643" max="5643" width="53" style="14" customWidth="1"/>
    <col min="5644" max="5888" width="9.140625" style="14"/>
    <col min="5889" max="5889" width="3.85546875" style="14" customWidth="1"/>
    <col min="5890" max="5890" width="14.7109375" style="14" customWidth="1"/>
    <col min="5891" max="5891" width="7" style="14" customWidth="1"/>
    <col min="5892" max="5893" width="14" style="14" customWidth="1"/>
    <col min="5894" max="5894" width="59.5703125" style="14" customWidth="1"/>
    <col min="5895" max="5895" width="8.140625" style="14" customWidth="1"/>
    <col min="5896" max="5896" width="6.5703125" style="14" customWidth="1"/>
    <col min="5897" max="5897" width="4.28515625" style="14" customWidth="1"/>
    <col min="5898" max="5898" width="6.7109375" style="14" customWidth="1"/>
    <col min="5899" max="5899" width="53" style="14" customWidth="1"/>
    <col min="5900" max="6144" width="9.140625" style="14"/>
    <col min="6145" max="6145" width="3.85546875" style="14" customWidth="1"/>
    <col min="6146" max="6146" width="14.7109375" style="14" customWidth="1"/>
    <col min="6147" max="6147" width="7" style="14" customWidth="1"/>
    <col min="6148" max="6149" width="14" style="14" customWidth="1"/>
    <col min="6150" max="6150" width="59.5703125" style="14" customWidth="1"/>
    <col min="6151" max="6151" width="8.140625" style="14" customWidth="1"/>
    <col min="6152" max="6152" width="6.5703125" style="14" customWidth="1"/>
    <col min="6153" max="6153" width="4.28515625" style="14" customWidth="1"/>
    <col min="6154" max="6154" width="6.7109375" style="14" customWidth="1"/>
    <col min="6155" max="6155" width="53" style="14" customWidth="1"/>
    <col min="6156" max="6400" width="9.140625" style="14"/>
    <col min="6401" max="6401" width="3.85546875" style="14" customWidth="1"/>
    <col min="6402" max="6402" width="14.7109375" style="14" customWidth="1"/>
    <col min="6403" max="6403" width="7" style="14" customWidth="1"/>
    <col min="6404" max="6405" width="14" style="14" customWidth="1"/>
    <col min="6406" max="6406" width="59.5703125" style="14" customWidth="1"/>
    <col min="6407" max="6407" width="8.140625" style="14" customWidth="1"/>
    <col min="6408" max="6408" width="6.5703125" style="14" customWidth="1"/>
    <col min="6409" max="6409" width="4.28515625" style="14" customWidth="1"/>
    <col min="6410" max="6410" width="6.7109375" style="14" customWidth="1"/>
    <col min="6411" max="6411" width="53" style="14" customWidth="1"/>
    <col min="6412" max="6656" width="9.140625" style="14"/>
    <col min="6657" max="6657" width="3.85546875" style="14" customWidth="1"/>
    <col min="6658" max="6658" width="14.7109375" style="14" customWidth="1"/>
    <col min="6659" max="6659" width="7" style="14" customWidth="1"/>
    <col min="6660" max="6661" width="14" style="14" customWidth="1"/>
    <col min="6662" max="6662" width="59.5703125" style="14" customWidth="1"/>
    <col min="6663" max="6663" width="8.140625" style="14" customWidth="1"/>
    <col min="6664" max="6664" width="6.5703125" style="14" customWidth="1"/>
    <col min="6665" max="6665" width="4.28515625" style="14" customWidth="1"/>
    <col min="6666" max="6666" width="6.7109375" style="14" customWidth="1"/>
    <col min="6667" max="6667" width="53" style="14" customWidth="1"/>
    <col min="6668" max="6912" width="9.140625" style="14"/>
    <col min="6913" max="6913" width="3.85546875" style="14" customWidth="1"/>
    <col min="6914" max="6914" width="14.7109375" style="14" customWidth="1"/>
    <col min="6915" max="6915" width="7" style="14" customWidth="1"/>
    <col min="6916" max="6917" width="14" style="14" customWidth="1"/>
    <col min="6918" max="6918" width="59.5703125" style="14" customWidth="1"/>
    <col min="6919" max="6919" width="8.140625" style="14" customWidth="1"/>
    <col min="6920" max="6920" width="6.5703125" style="14" customWidth="1"/>
    <col min="6921" max="6921" width="4.28515625" style="14" customWidth="1"/>
    <col min="6922" max="6922" width="6.7109375" style="14" customWidth="1"/>
    <col min="6923" max="6923" width="53" style="14" customWidth="1"/>
    <col min="6924" max="7168" width="9.140625" style="14"/>
    <col min="7169" max="7169" width="3.85546875" style="14" customWidth="1"/>
    <col min="7170" max="7170" width="14.7109375" style="14" customWidth="1"/>
    <col min="7171" max="7171" width="7" style="14" customWidth="1"/>
    <col min="7172" max="7173" width="14" style="14" customWidth="1"/>
    <col min="7174" max="7174" width="59.5703125" style="14" customWidth="1"/>
    <col min="7175" max="7175" width="8.140625" style="14" customWidth="1"/>
    <col min="7176" max="7176" width="6.5703125" style="14" customWidth="1"/>
    <col min="7177" max="7177" width="4.28515625" style="14" customWidth="1"/>
    <col min="7178" max="7178" width="6.7109375" style="14" customWidth="1"/>
    <col min="7179" max="7179" width="53" style="14" customWidth="1"/>
    <col min="7180" max="7424" width="9.140625" style="14"/>
    <col min="7425" max="7425" width="3.85546875" style="14" customWidth="1"/>
    <col min="7426" max="7426" width="14.7109375" style="14" customWidth="1"/>
    <col min="7427" max="7427" width="7" style="14" customWidth="1"/>
    <col min="7428" max="7429" width="14" style="14" customWidth="1"/>
    <col min="7430" max="7430" width="59.5703125" style="14" customWidth="1"/>
    <col min="7431" max="7431" width="8.140625" style="14" customWidth="1"/>
    <col min="7432" max="7432" width="6.5703125" style="14" customWidth="1"/>
    <col min="7433" max="7433" width="4.28515625" style="14" customWidth="1"/>
    <col min="7434" max="7434" width="6.7109375" style="14" customWidth="1"/>
    <col min="7435" max="7435" width="53" style="14" customWidth="1"/>
    <col min="7436" max="7680" width="9.140625" style="14"/>
    <col min="7681" max="7681" width="3.85546875" style="14" customWidth="1"/>
    <col min="7682" max="7682" width="14.7109375" style="14" customWidth="1"/>
    <col min="7683" max="7683" width="7" style="14" customWidth="1"/>
    <col min="7684" max="7685" width="14" style="14" customWidth="1"/>
    <col min="7686" max="7686" width="59.5703125" style="14" customWidth="1"/>
    <col min="7687" max="7687" width="8.140625" style="14" customWidth="1"/>
    <col min="7688" max="7688" width="6.5703125" style="14" customWidth="1"/>
    <col min="7689" max="7689" width="4.28515625" style="14" customWidth="1"/>
    <col min="7690" max="7690" width="6.7109375" style="14" customWidth="1"/>
    <col min="7691" max="7691" width="53" style="14" customWidth="1"/>
    <col min="7692" max="7936" width="9.140625" style="14"/>
    <col min="7937" max="7937" width="3.85546875" style="14" customWidth="1"/>
    <col min="7938" max="7938" width="14.7109375" style="14" customWidth="1"/>
    <col min="7939" max="7939" width="7" style="14" customWidth="1"/>
    <col min="7940" max="7941" width="14" style="14" customWidth="1"/>
    <col min="7942" max="7942" width="59.5703125" style="14" customWidth="1"/>
    <col min="7943" max="7943" width="8.140625" style="14" customWidth="1"/>
    <col min="7944" max="7944" width="6.5703125" style="14" customWidth="1"/>
    <col min="7945" max="7945" width="4.28515625" style="14" customWidth="1"/>
    <col min="7946" max="7946" width="6.7109375" style="14" customWidth="1"/>
    <col min="7947" max="7947" width="53" style="14" customWidth="1"/>
    <col min="7948" max="8192" width="9.140625" style="14"/>
    <col min="8193" max="8193" width="3.85546875" style="14" customWidth="1"/>
    <col min="8194" max="8194" width="14.7109375" style="14" customWidth="1"/>
    <col min="8195" max="8195" width="7" style="14" customWidth="1"/>
    <col min="8196" max="8197" width="14" style="14" customWidth="1"/>
    <col min="8198" max="8198" width="59.5703125" style="14" customWidth="1"/>
    <col min="8199" max="8199" width="8.140625" style="14" customWidth="1"/>
    <col min="8200" max="8200" width="6.5703125" style="14" customWidth="1"/>
    <col min="8201" max="8201" width="4.28515625" style="14" customWidth="1"/>
    <col min="8202" max="8202" width="6.7109375" style="14" customWidth="1"/>
    <col min="8203" max="8203" width="53" style="14" customWidth="1"/>
    <col min="8204" max="8448" width="9.140625" style="14"/>
    <col min="8449" max="8449" width="3.85546875" style="14" customWidth="1"/>
    <col min="8450" max="8450" width="14.7109375" style="14" customWidth="1"/>
    <col min="8451" max="8451" width="7" style="14" customWidth="1"/>
    <col min="8452" max="8453" width="14" style="14" customWidth="1"/>
    <col min="8454" max="8454" width="59.5703125" style="14" customWidth="1"/>
    <col min="8455" max="8455" width="8.140625" style="14" customWidth="1"/>
    <col min="8456" max="8456" width="6.5703125" style="14" customWidth="1"/>
    <col min="8457" max="8457" width="4.28515625" style="14" customWidth="1"/>
    <col min="8458" max="8458" width="6.7109375" style="14" customWidth="1"/>
    <col min="8459" max="8459" width="53" style="14" customWidth="1"/>
    <col min="8460" max="8704" width="9.140625" style="14"/>
    <col min="8705" max="8705" width="3.85546875" style="14" customWidth="1"/>
    <col min="8706" max="8706" width="14.7109375" style="14" customWidth="1"/>
    <col min="8707" max="8707" width="7" style="14" customWidth="1"/>
    <col min="8708" max="8709" width="14" style="14" customWidth="1"/>
    <col min="8710" max="8710" width="59.5703125" style="14" customWidth="1"/>
    <col min="8711" max="8711" width="8.140625" style="14" customWidth="1"/>
    <col min="8712" max="8712" width="6.5703125" style="14" customWidth="1"/>
    <col min="8713" max="8713" width="4.28515625" style="14" customWidth="1"/>
    <col min="8714" max="8714" width="6.7109375" style="14" customWidth="1"/>
    <col min="8715" max="8715" width="53" style="14" customWidth="1"/>
    <col min="8716" max="8960" width="9.140625" style="14"/>
    <col min="8961" max="8961" width="3.85546875" style="14" customWidth="1"/>
    <col min="8962" max="8962" width="14.7109375" style="14" customWidth="1"/>
    <col min="8963" max="8963" width="7" style="14" customWidth="1"/>
    <col min="8964" max="8965" width="14" style="14" customWidth="1"/>
    <col min="8966" max="8966" width="59.5703125" style="14" customWidth="1"/>
    <col min="8967" max="8967" width="8.140625" style="14" customWidth="1"/>
    <col min="8968" max="8968" width="6.5703125" style="14" customWidth="1"/>
    <col min="8969" max="8969" width="4.28515625" style="14" customWidth="1"/>
    <col min="8970" max="8970" width="6.7109375" style="14" customWidth="1"/>
    <col min="8971" max="8971" width="53" style="14" customWidth="1"/>
    <col min="8972" max="9216" width="9.140625" style="14"/>
    <col min="9217" max="9217" width="3.85546875" style="14" customWidth="1"/>
    <col min="9218" max="9218" width="14.7109375" style="14" customWidth="1"/>
    <col min="9219" max="9219" width="7" style="14" customWidth="1"/>
    <col min="9220" max="9221" width="14" style="14" customWidth="1"/>
    <col min="9222" max="9222" width="59.5703125" style="14" customWidth="1"/>
    <col min="9223" max="9223" width="8.140625" style="14" customWidth="1"/>
    <col min="9224" max="9224" width="6.5703125" style="14" customWidth="1"/>
    <col min="9225" max="9225" width="4.28515625" style="14" customWidth="1"/>
    <col min="9226" max="9226" width="6.7109375" style="14" customWidth="1"/>
    <col min="9227" max="9227" width="53" style="14" customWidth="1"/>
    <col min="9228" max="9472" width="9.140625" style="14"/>
    <col min="9473" max="9473" width="3.85546875" style="14" customWidth="1"/>
    <col min="9474" max="9474" width="14.7109375" style="14" customWidth="1"/>
    <col min="9475" max="9475" width="7" style="14" customWidth="1"/>
    <col min="9476" max="9477" width="14" style="14" customWidth="1"/>
    <col min="9478" max="9478" width="59.5703125" style="14" customWidth="1"/>
    <col min="9479" max="9479" width="8.140625" style="14" customWidth="1"/>
    <col min="9480" max="9480" width="6.5703125" style="14" customWidth="1"/>
    <col min="9481" max="9481" width="4.28515625" style="14" customWidth="1"/>
    <col min="9482" max="9482" width="6.7109375" style="14" customWidth="1"/>
    <col min="9483" max="9483" width="53" style="14" customWidth="1"/>
    <col min="9484" max="9728" width="9.140625" style="14"/>
    <col min="9729" max="9729" width="3.85546875" style="14" customWidth="1"/>
    <col min="9730" max="9730" width="14.7109375" style="14" customWidth="1"/>
    <col min="9731" max="9731" width="7" style="14" customWidth="1"/>
    <col min="9732" max="9733" width="14" style="14" customWidth="1"/>
    <col min="9734" max="9734" width="59.5703125" style="14" customWidth="1"/>
    <col min="9735" max="9735" width="8.140625" style="14" customWidth="1"/>
    <col min="9736" max="9736" width="6.5703125" style="14" customWidth="1"/>
    <col min="9737" max="9737" width="4.28515625" style="14" customWidth="1"/>
    <col min="9738" max="9738" width="6.7109375" style="14" customWidth="1"/>
    <col min="9739" max="9739" width="53" style="14" customWidth="1"/>
    <col min="9740" max="9984" width="9.140625" style="14"/>
    <col min="9985" max="9985" width="3.85546875" style="14" customWidth="1"/>
    <col min="9986" max="9986" width="14.7109375" style="14" customWidth="1"/>
    <col min="9987" max="9987" width="7" style="14" customWidth="1"/>
    <col min="9988" max="9989" width="14" style="14" customWidth="1"/>
    <col min="9990" max="9990" width="59.5703125" style="14" customWidth="1"/>
    <col min="9991" max="9991" width="8.140625" style="14" customWidth="1"/>
    <col min="9992" max="9992" width="6.5703125" style="14" customWidth="1"/>
    <col min="9993" max="9993" width="4.28515625" style="14" customWidth="1"/>
    <col min="9994" max="9994" width="6.7109375" style="14" customWidth="1"/>
    <col min="9995" max="9995" width="53" style="14" customWidth="1"/>
    <col min="9996" max="10240" width="9.140625" style="14"/>
    <col min="10241" max="10241" width="3.85546875" style="14" customWidth="1"/>
    <col min="10242" max="10242" width="14.7109375" style="14" customWidth="1"/>
    <col min="10243" max="10243" width="7" style="14" customWidth="1"/>
    <col min="10244" max="10245" width="14" style="14" customWidth="1"/>
    <col min="10246" max="10246" width="59.5703125" style="14" customWidth="1"/>
    <col min="10247" max="10247" width="8.140625" style="14" customWidth="1"/>
    <col min="10248" max="10248" width="6.5703125" style="14" customWidth="1"/>
    <col min="10249" max="10249" width="4.28515625" style="14" customWidth="1"/>
    <col min="10250" max="10250" width="6.7109375" style="14" customWidth="1"/>
    <col min="10251" max="10251" width="53" style="14" customWidth="1"/>
    <col min="10252" max="10496" width="9.140625" style="14"/>
    <col min="10497" max="10497" width="3.85546875" style="14" customWidth="1"/>
    <col min="10498" max="10498" width="14.7109375" style="14" customWidth="1"/>
    <col min="10499" max="10499" width="7" style="14" customWidth="1"/>
    <col min="10500" max="10501" width="14" style="14" customWidth="1"/>
    <col min="10502" max="10502" width="59.5703125" style="14" customWidth="1"/>
    <col min="10503" max="10503" width="8.140625" style="14" customWidth="1"/>
    <col min="10504" max="10504" width="6.5703125" style="14" customWidth="1"/>
    <col min="10505" max="10505" width="4.28515625" style="14" customWidth="1"/>
    <col min="10506" max="10506" width="6.7109375" style="14" customWidth="1"/>
    <col min="10507" max="10507" width="53" style="14" customWidth="1"/>
    <col min="10508" max="10752" width="9.140625" style="14"/>
    <col min="10753" max="10753" width="3.85546875" style="14" customWidth="1"/>
    <col min="10754" max="10754" width="14.7109375" style="14" customWidth="1"/>
    <col min="10755" max="10755" width="7" style="14" customWidth="1"/>
    <col min="10756" max="10757" width="14" style="14" customWidth="1"/>
    <col min="10758" max="10758" width="59.5703125" style="14" customWidth="1"/>
    <col min="10759" max="10759" width="8.140625" style="14" customWidth="1"/>
    <col min="10760" max="10760" width="6.5703125" style="14" customWidth="1"/>
    <col min="10761" max="10761" width="4.28515625" style="14" customWidth="1"/>
    <col min="10762" max="10762" width="6.7109375" style="14" customWidth="1"/>
    <col min="10763" max="10763" width="53" style="14" customWidth="1"/>
    <col min="10764" max="11008" width="9.140625" style="14"/>
    <col min="11009" max="11009" width="3.85546875" style="14" customWidth="1"/>
    <col min="11010" max="11010" width="14.7109375" style="14" customWidth="1"/>
    <col min="11011" max="11011" width="7" style="14" customWidth="1"/>
    <col min="11012" max="11013" width="14" style="14" customWidth="1"/>
    <col min="11014" max="11014" width="59.5703125" style="14" customWidth="1"/>
    <col min="11015" max="11015" width="8.140625" style="14" customWidth="1"/>
    <col min="11016" max="11016" width="6.5703125" style="14" customWidth="1"/>
    <col min="11017" max="11017" width="4.28515625" style="14" customWidth="1"/>
    <col min="11018" max="11018" width="6.7109375" style="14" customWidth="1"/>
    <col min="11019" max="11019" width="53" style="14" customWidth="1"/>
    <col min="11020" max="11264" width="9.140625" style="14"/>
    <col min="11265" max="11265" width="3.85546875" style="14" customWidth="1"/>
    <col min="11266" max="11266" width="14.7109375" style="14" customWidth="1"/>
    <col min="11267" max="11267" width="7" style="14" customWidth="1"/>
    <col min="11268" max="11269" width="14" style="14" customWidth="1"/>
    <col min="11270" max="11270" width="59.5703125" style="14" customWidth="1"/>
    <col min="11271" max="11271" width="8.140625" style="14" customWidth="1"/>
    <col min="11272" max="11272" width="6.5703125" style="14" customWidth="1"/>
    <col min="11273" max="11273" width="4.28515625" style="14" customWidth="1"/>
    <col min="11274" max="11274" width="6.7109375" style="14" customWidth="1"/>
    <col min="11275" max="11275" width="53" style="14" customWidth="1"/>
    <col min="11276" max="11520" width="9.140625" style="14"/>
    <col min="11521" max="11521" width="3.85546875" style="14" customWidth="1"/>
    <col min="11522" max="11522" width="14.7109375" style="14" customWidth="1"/>
    <col min="11523" max="11523" width="7" style="14" customWidth="1"/>
    <col min="11524" max="11525" width="14" style="14" customWidth="1"/>
    <col min="11526" max="11526" width="59.5703125" style="14" customWidth="1"/>
    <col min="11527" max="11527" width="8.140625" style="14" customWidth="1"/>
    <col min="11528" max="11528" width="6.5703125" style="14" customWidth="1"/>
    <col min="11529" max="11529" width="4.28515625" style="14" customWidth="1"/>
    <col min="11530" max="11530" width="6.7109375" style="14" customWidth="1"/>
    <col min="11531" max="11531" width="53" style="14" customWidth="1"/>
    <col min="11532" max="11776" width="9.140625" style="14"/>
    <col min="11777" max="11777" width="3.85546875" style="14" customWidth="1"/>
    <col min="11778" max="11778" width="14.7109375" style="14" customWidth="1"/>
    <col min="11779" max="11779" width="7" style="14" customWidth="1"/>
    <col min="11780" max="11781" width="14" style="14" customWidth="1"/>
    <col min="11782" max="11782" width="59.5703125" style="14" customWidth="1"/>
    <col min="11783" max="11783" width="8.140625" style="14" customWidth="1"/>
    <col min="11784" max="11784" width="6.5703125" style="14" customWidth="1"/>
    <col min="11785" max="11785" width="4.28515625" style="14" customWidth="1"/>
    <col min="11786" max="11786" width="6.7109375" style="14" customWidth="1"/>
    <col min="11787" max="11787" width="53" style="14" customWidth="1"/>
    <col min="11788" max="12032" width="9.140625" style="14"/>
    <col min="12033" max="12033" width="3.85546875" style="14" customWidth="1"/>
    <col min="12034" max="12034" width="14.7109375" style="14" customWidth="1"/>
    <col min="12035" max="12035" width="7" style="14" customWidth="1"/>
    <col min="12036" max="12037" width="14" style="14" customWidth="1"/>
    <col min="12038" max="12038" width="59.5703125" style="14" customWidth="1"/>
    <col min="12039" max="12039" width="8.140625" style="14" customWidth="1"/>
    <col min="12040" max="12040" width="6.5703125" style="14" customWidth="1"/>
    <col min="12041" max="12041" width="4.28515625" style="14" customWidth="1"/>
    <col min="12042" max="12042" width="6.7109375" style="14" customWidth="1"/>
    <col min="12043" max="12043" width="53" style="14" customWidth="1"/>
    <col min="12044" max="12288" width="9.140625" style="14"/>
    <col min="12289" max="12289" width="3.85546875" style="14" customWidth="1"/>
    <col min="12290" max="12290" width="14.7109375" style="14" customWidth="1"/>
    <col min="12291" max="12291" width="7" style="14" customWidth="1"/>
    <col min="12292" max="12293" width="14" style="14" customWidth="1"/>
    <col min="12294" max="12294" width="59.5703125" style="14" customWidth="1"/>
    <col min="12295" max="12295" width="8.140625" style="14" customWidth="1"/>
    <col min="12296" max="12296" width="6.5703125" style="14" customWidth="1"/>
    <col min="12297" max="12297" width="4.28515625" style="14" customWidth="1"/>
    <col min="12298" max="12298" width="6.7109375" style="14" customWidth="1"/>
    <col min="12299" max="12299" width="53" style="14" customWidth="1"/>
    <col min="12300" max="12544" width="9.140625" style="14"/>
    <col min="12545" max="12545" width="3.85546875" style="14" customWidth="1"/>
    <col min="12546" max="12546" width="14.7109375" style="14" customWidth="1"/>
    <col min="12547" max="12547" width="7" style="14" customWidth="1"/>
    <col min="12548" max="12549" width="14" style="14" customWidth="1"/>
    <col min="12550" max="12550" width="59.5703125" style="14" customWidth="1"/>
    <col min="12551" max="12551" width="8.140625" style="14" customWidth="1"/>
    <col min="12552" max="12552" width="6.5703125" style="14" customWidth="1"/>
    <col min="12553" max="12553" width="4.28515625" style="14" customWidth="1"/>
    <col min="12554" max="12554" width="6.7109375" style="14" customWidth="1"/>
    <col min="12555" max="12555" width="53" style="14" customWidth="1"/>
    <col min="12556" max="12800" width="9.140625" style="14"/>
    <col min="12801" max="12801" width="3.85546875" style="14" customWidth="1"/>
    <col min="12802" max="12802" width="14.7109375" style="14" customWidth="1"/>
    <col min="12803" max="12803" width="7" style="14" customWidth="1"/>
    <col min="12804" max="12805" width="14" style="14" customWidth="1"/>
    <col min="12806" max="12806" width="59.5703125" style="14" customWidth="1"/>
    <col min="12807" max="12807" width="8.140625" style="14" customWidth="1"/>
    <col min="12808" max="12808" width="6.5703125" style="14" customWidth="1"/>
    <col min="12809" max="12809" width="4.28515625" style="14" customWidth="1"/>
    <col min="12810" max="12810" width="6.7109375" style="14" customWidth="1"/>
    <col min="12811" max="12811" width="53" style="14" customWidth="1"/>
    <col min="12812" max="13056" width="9.140625" style="14"/>
    <col min="13057" max="13057" width="3.85546875" style="14" customWidth="1"/>
    <col min="13058" max="13058" width="14.7109375" style="14" customWidth="1"/>
    <col min="13059" max="13059" width="7" style="14" customWidth="1"/>
    <col min="13060" max="13061" width="14" style="14" customWidth="1"/>
    <col min="13062" max="13062" width="59.5703125" style="14" customWidth="1"/>
    <col min="13063" max="13063" width="8.140625" style="14" customWidth="1"/>
    <col min="13064" max="13064" width="6.5703125" style="14" customWidth="1"/>
    <col min="13065" max="13065" width="4.28515625" style="14" customWidth="1"/>
    <col min="13066" max="13066" width="6.7109375" style="14" customWidth="1"/>
    <col min="13067" max="13067" width="53" style="14" customWidth="1"/>
    <col min="13068" max="13312" width="9.140625" style="14"/>
    <col min="13313" max="13313" width="3.85546875" style="14" customWidth="1"/>
    <col min="13314" max="13314" width="14.7109375" style="14" customWidth="1"/>
    <col min="13315" max="13315" width="7" style="14" customWidth="1"/>
    <col min="13316" max="13317" width="14" style="14" customWidth="1"/>
    <col min="13318" max="13318" width="59.5703125" style="14" customWidth="1"/>
    <col min="13319" max="13319" width="8.140625" style="14" customWidth="1"/>
    <col min="13320" max="13320" width="6.5703125" style="14" customWidth="1"/>
    <col min="13321" max="13321" width="4.28515625" style="14" customWidth="1"/>
    <col min="13322" max="13322" width="6.7109375" style="14" customWidth="1"/>
    <col min="13323" max="13323" width="53" style="14" customWidth="1"/>
    <col min="13324" max="13568" width="9.140625" style="14"/>
    <col min="13569" max="13569" width="3.85546875" style="14" customWidth="1"/>
    <col min="13570" max="13570" width="14.7109375" style="14" customWidth="1"/>
    <col min="13571" max="13571" width="7" style="14" customWidth="1"/>
    <col min="13572" max="13573" width="14" style="14" customWidth="1"/>
    <col min="13574" max="13574" width="59.5703125" style="14" customWidth="1"/>
    <col min="13575" max="13575" width="8.140625" style="14" customWidth="1"/>
    <col min="13576" max="13576" width="6.5703125" style="14" customWidth="1"/>
    <col min="13577" max="13577" width="4.28515625" style="14" customWidth="1"/>
    <col min="13578" max="13578" width="6.7109375" style="14" customWidth="1"/>
    <col min="13579" max="13579" width="53" style="14" customWidth="1"/>
    <col min="13580" max="13824" width="9.140625" style="14"/>
    <col min="13825" max="13825" width="3.85546875" style="14" customWidth="1"/>
    <col min="13826" max="13826" width="14.7109375" style="14" customWidth="1"/>
    <col min="13827" max="13827" width="7" style="14" customWidth="1"/>
    <col min="13828" max="13829" width="14" style="14" customWidth="1"/>
    <col min="13830" max="13830" width="59.5703125" style="14" customWidth="1"/>
    <col min="13831" max="13831" width="8.140625" style="14" customWidth="1"/>
    <col min="13832" max="13832" width="6.5703125" style="14" customWidth="1"/>
    <col min="13833" max="13833" width="4.28515625" style="14" customWidth="1"/>
    <col min="13834" max="13834" width="6.7109375" style="14" customWidth="1"/>
    <col min="13835" max="13835" width="53" style="14" customWidth="1"/>
    <col min="13836" max="14080" width="9.140625" style="14"/>
    <col min="14081" max="14081" width="3.85546875" style="14" customWidth="1"/>
    <col min="14082" max="14082" width="14.7109375" style="14" customWidth="1"/>
    <col min="14083" max="14083" width="7" style="14" customWidth="1"/>
    <col min="14084" max="14085" width="14" style="14" customWidth="1"/>
    <col min="14086" max="14086" width="59.5703125" style="14" customWidth="1"/>
    <col min="14087" max="14087" width="8.140625" style="14" customWidth="1"/>
    <col min="14088" max="14088" width="6.5703125" style="14" customWidth="1"/>
    <col min="14089" max="14089" width="4.28515625" style="14" customWidth="1"/>
    <col min="14090" max="14090" width="6.7109375" style="14" customWidth="1"/>
    <col min="14091" max="14091" width="53" style="14" customWidth="1"/>
    <col min="14092" max="14336" width="9.140625" style="14"/>
    <col min="14337" max="14337" width="3.85546875" style="14" customWidth="1"/>
    <col min="14338" max="14338" width="14.7109375" style="14" customWidth="1"/>
    <col min="14339" max="14339" width="7" style="14" customWidth="1"/>
    <col min="14340" max="14341" width="14" style="14" customWidth="1"/>
    <col min="14342" max="14342" width="59.5703125" style="14" customWidth="1"/>
    <col min="14343" max="14343" width="8.140625" style="14" customWidth="1"/>
    <col min="14344" max="14344" width="6.5703125" style="14" customWidth="1"/>
    <col min="14345" max="14345" width="4.28515625" style="14" customWidth="1"/>
    <col min="14346" max="14346" width="6.7109375" style="14" customWidth="1"/>
    <col min="14347" max="14347" width="53" style="14" customWidth="1"/>
    <col min="14348" max="14592" width="9.140625" style="14"/>
    <col min="14593" max="14593" width="3.85546875" style="14" customWidth="1"/>
    <col min="14594" max="14594" width="14.7109375" style="14" customWidth="1"/>
    <col min="14595" max="14595" width="7" style="14" customWidth="1"/>
    <col min="14596" max="14597" width="14" style="14" customWidth="1"/>
    <col min="14598" max="14598" width="59.5703125" style="14" customWidth="1"/>
    <col min="14599" max="14599" width="8.140625" style="14" customWidth="1"/>
    <col min="14600" max="14600" width="6.5703125" style="14" customWidth="1"/>
    <col min="14601" max="14601" width="4.28515625" style="14" customWidth="1"/>
    <col min="14602" max="14602" width="6.7109375" style="14" customWidth="1"/>
    <col min="14603" max="14603" width="53" style="14" customWidth="1"/>
    <col min="14604" max="14848" width="9.140625" style="14"/>
    <col min="14849" max="14849" width="3.85546875" style="14" customWidth="1"/>
    <col min="14850" max="14850" width="14.7109375" style="14" customWidth="1"/>
    <col min="14851" max="14851" width="7" style="14" customWidth="1"/>
    <col min="14852" max="14853" width="14" style="14" customWidth="1"/>
    <col min="14854" max="14854" width="59.5703125" style="14" customWidth="1"/>
    <col min="14855" max="14855" width="8.140625" style="14" customWidth="1"/>
    <col min="14856" max="14856" width="6.5703125" style="14" customWidth="1"/>
    <col min="14857" max="14857" width="4.28515625" style="14" customWidth="1"/>
    <col min="14858" max="14858" width="6.7109375" style="14" customWidth="1"/>
    <col min="14859" max="14859" width="53" style="14" customWidth="1"/>
    <col min="14860" max="15104" width="9.140625" style="14"/>
    <col min="15105" max="15105" width="3.85546875" style="14" customWidth="1"/>
    <col min="15106" max="15106" width="14.7109375" style="14" customWidth="1"/>
    <col min="15107" max="15107" width="7" style="14" customWidth="1"/>
    <col min="15108" max="15109" width="14" style="14" customWidth="1"/>
    <col min="15110" max="15110" width="59.5703125" style="14" customWidth="1"/>
    <col min="15111" max="15111" width="8.140625" style="14" customWidth="1"/>
    <col min="15112" max="15112" width="6.5703125" style="14" customWidth="1"/>
    <col min="15113" max="15113" width="4.28515625" style="14" customWidth="1"/>
    <col min="15114" max="15114" width="6.7109375" style="14" customWidth="1"/>
    <col min="15115" max="15115" width="53" style="14" customWidth="1"/>
    <col min="15116" max="15360" width="9.140625" style="14"/>
    <col min="15361" max="15361" width="3.85546875" style="14" customWidth="1"/>
    <col min="15362" max="15362" width="14.7109375" style="14" customWidth="1"/>
    <col min="15363" max="15363" width="7" style="14" customWidth="1"/>
    <col min="15364" max="15365" width="14" style="14" customWidth="1"/>
    <col min="15366" max="15366" width="59.5703125" style="14" customWidth="1"/>
    <col min="15367" max="15367" width="8.140625" style="14" customWidth="1"/>
    <col min="15368" max="15368" width="6.5703125" style="14" customWidth="1"/>
    <col min="15369" max="15369" width="4.28515625" style="14" customWidth="1"/>
    <col min="15370" max="15370" width="6.7109375" style="14" customWidth="1"/>
    <col min="15371" max="15371" width="53" style="14" customWidth="1"/>
    <col min="15372" max="15616" width="9.140625" style="14"/>
    <col min="15617" max="15617" width="3.85546875" style="14" customWidth="1"/>
    <col min="15618" max="15618" width="14.7109375" style="14" customWidth="1"/>
    <col min="15619" max="15619" width="7" style="14" customWidth="1"/>
    <col min="15620" max="15621" width="14" style="14" customWidth="1"/>
    <col min="15622" max="15622" width="59.5703125" style="14" customWidth="1"/>
    <col min="15623" max="15623" width="8.140625" style="14" customWidth="1"/>
    <col min="15624" max="15624" width="6.5703125" style="14" customWidth="1"/>
    <col min="15625" max="15625" width="4.28515625" style="14" customWidth="1"/>
    <col min="15626" max="15626" width="6.7109375" style="14" customWidth="1"/>
    <col min="15627" max="15627" width="53" style="14" customWidth="1"/>
    <col min="15628" max="15872" width="9.140625" style="14"/>
    <col min="15873" max="15873" width="3.85546875" style="14" customWidth="1"/>
    <col min="15874" max="15874" width="14.7109375" style="14" customWidth="1"/>
    <col min="15875" max="15875" width="7" style="14" customWidth="1"/>
    <col min="15876" max="15877" width="14" style="14" customWidth="1"/>
    <col min="15878" max="15878" width="59.5703125" style="14" customWidth="1"/>
    <col min="15879" max="15879" width="8.140625" style="14" customWidth="1"/>
    <col min="15880" max="15880" width="6.5703125" style="14" customWidth="1"/>
    <col min="15881" max="15881" width="4.28515625" style="14" customWidth="1"/>
    <col min="15882" max="15882" width="6.7109375" style="14" customWidth="1"/>
    <col min="15883" max="15883" width="53" style="14" customWidth="1"/>
    <col min="15884" max="16128" width="9.140625" style="14"/>
    <col min="16129" max="16129" width="3.85546875" style="14" customWidth="1"/>
    <col min="16130" max="16130" width="14.7109375" style="14" customWidth="1"/>
    <col min="16131" max="16131" width="7" style="14" customWidth="1"/>
    <col min="16132" max="16133" width="14" style="14" customWidth="1"/>
    <col min="16134" max="16134" width="59.5703125" style="14" customWidth="1"/>
    <col min="16135" max="16135" width="8.140625" style="14" customWidth="1"/>
    <col min="16136" max="16136" width="6.5703125" style="14" customWidth="1"/>
    <col min="16137" max="16137" width="4.28515625" style="14" customWidth="1"/>
    <col min="16138" max="16138" width="6.7109375" style="14" customWidth="1"/>
    <col min="16139" max="16139" width="53" style="14" customWidth="1"/>
    <col min="16140" max="16384" width="9.140625" style="14"/>
  </cols>
  <sheetData>
    <row r="1" spans="1:12" s="4" customFormat="1" ht="16.5" customHeight="1" thickBot="1" x14ac:dyDescent="0.3">
      <c r="A1" s="1"/>
      <c r="B1" s="1" t="s">
        <v>12</v>
      </c>
      <c r="C1" s="2">
        <v>22</v>
      </c>
      <c r="D1" s="3" t="s">
        <v>13</v>
      </c>
      <c r="E1" s="3"/>
      <c r="H1" s="5"/>
      <c r="I1" s="6"/>
      <c r="J1" s="7"/>
    </row>
    <row r="2" spans="1:12" ht="49.5" customHeight="1" x14ac:dyDescent="0.25">
      <c r="A2" s="8"/>
      <c r="B2" s="9" t="s">
        <v>14</v>
      </c>
      <c r="C2" s="9" t="s">
        <v>15</v>
      </c>
      <c r="D2" s="10" t="s">
        <v>16</v>
      </c>
      <c r="E2" s="10" t="s">
        <v>17</v>
      </c>
      <c r="F2" s="10" t="s">
        <v>18</v>
      </c>
      <c r="G2" s="10"/>
      <c r="H2" s="11" t="s">
        <v>4</v>
      </c>
      <c r="I2" s="12" t="s">
        <v>19</v>
      </c>
      <c r="J2" s="10" t="s">
        <v>20</v>
      </c>
      <c r="K2" s="13" t="s">
        <v>21</v>
      </c>
    </row>
    <row r="3" spans="1:12" ht="10.5" customHeight="1" x14ac:dyDescent="0.25">
      <c r="A3" s="15" t="s">
        <v>22</v>
      </c>
      <c r="B3" s="16"/>
      <c r="C3" s="16"/>
      <c r="D3" s="16"/>
      <c r="E3" s="16"/>
      <c r="F3" s="17"/>
      <c r="G3" s="17"/>
      <c r="H3" s="18"/>
      <c r="I3" s="19"/>
      <c r="J3" s="20"/>
      <c r="K3" s="21"/>
    </row>
    <row r="4" spans="1:12" ht="10.5" customHeight="1" x14ac:dyDescent="0.25">
      <c r="A4" s="15"/>
      <c r="B4" s="16" t="s">
        <v>23</v>
      </c>
      <c r="C4" s="16"/>
      <c r="D4" s="16"/>
      <c r="E4" s="16"/>
      <c r="F4" s="17"/>
      <c r="G4" s="17"/>
      <c r="H4" s="18"/>
      <c r="I4" s="19"/>
      <c r="J4" s="20"/>
      <c r="K4" s="21"/>
    </row>
    <row r="5" spans="1:12" ht="10.5" customHeight="1" outlineLevel="1" x14ac:dyDescent="0.25">
      <c r="A5" s="22"/>
      <c r="B5" s="22" t="s">
        <v>24</v>
      </c>
      <c r="C5" s="22">
        <v>86437</v>
      </c>
      <c r="D5" s="23" t="s">
        <v>25</v>
      </c>
      <c r="E5" s="23" t="s">
        <v>25</v>
      </c>
      <c r="F5" s="24" t="s">
        <v>26</v>
      </c>
      <c r="G5" s="24"/>
      <c r="H5" s="25">
        <f>$C$1*        0.74</f>
        <v>16.28</v>
      </c>
      <c r="I5" s="26"/>
      <c r="J5" s="27">
        <v>0</v>
      </c>
      <c r="K5" s="28" t="s">
        <v>27</v>
      </c>
      <c r="L5" s="14">
        <f>ROUND(H5*0.98,2)</f>
        <v>15.95</v>
      </c>
    </row>
    <row r="6" spans="1:12" ht="10.5" customHeight="1" outlineLevel="1" x14ac:dyDescent="0.25">
      <c r="A6" s="22"/>
      <c r="B6" s="22" t="s">
        <v>24</v>
      </c>
      <c r="C6" s="22">
        <v>88216</v>
      </c>
      <c r="D6" s="23" t="s">
        <v>25</v>
      </c>
      <c r="E6" s="23" t="s">
        <v>25</v>
      </c>
      <c r="F6" s="24" t="s">
        <v>28</v>
      </c>
      <c r="G6" s="24"/>
      <c r="H6" s="25">
        <f>$C$1*        1.02</f>
        <v>22.44</v>
      </c>
      <c r="I6" s="26"/>
      <c r="J6" s="27">
        <v>0</v>
      </c>
      <c r="K6" s="28" t="s">
        <v>27</v>
      </c>
      <c r="L6" s="14">
        <f t="shared" ref="L6:L69" si="0">ROUND(H6*0.98,2)</f>
        <v>21.99</v>
      </c>
    </row>
    <row r="7" spans="1:12" ht="10.5" customHeight="1" outlineLevel="1" x14ac:dyDescent="0.25">
      <c r="A7" s="22"/>
      <c r="B7" s="22" t="s">
        <v>24</v>
      </c>
      <c r="C7" s="22">
        <v>92932</v>
      </c>
      <c r="D7" s="23" t="s">
        <v>29</v>
      </c>
      <c r="E7" s="23" t="s">
        <v>29</v>
      </c>
      <c r="F7" s="24" t="s">
        <v>30</v>
      </c>
      <c r="G7" s="24" t="str">
        <f>REPLACE(F7,SEARCH(" ",F7)+1,0,D7&amp;" ")</f>
        <v>NETS NETS-PLFADSL-filter фильтр телефонной линии ADSL</v>
      </c>
      <c r="H7" s="25">
        <f>$C$1*        0.9</f>
        <v>19.8</v>
      </c>
      <c r="I7" s="26"/>
      <c r="J7" s="27">
        <v>0</v>
      </c>
      <c r="K7" s="28" t="s">
        <v>27</v>
      </c>
      <c r="L7" s="14">
        <f t="shared" si="0"/>
        <v>19.399999999999999</v>
      </c>
    </row>
    <row r="8" spans="1:12" ht="10.5" customHeight="1" x14ac:dyDescent="0.25">
      <c r="A8" s="15"/>
      <c r="B8" s="16" t="s">
        <v>31</v>
      </c>
      <c r="C8" s="16"/>
      <c r="D8" s="16"/>
      <c r="E8" s="16"/>
      <c r="F8" s="17"/>
      <c r="G8" s="24" t="e">
        <f t="shared" ref="G8:G71" si="1">REPLACE(F8,SEARCH(" ",F8)+1,0,D8&amp;" ")</f>
        <v>#VALUE!</v>
      </c>
      <c r="H8" s="18"/>
      <c r="I8" s="19"/>
      <c r="J8" s="20"/>
      <c r="K8" s="21"/>
      <c r="L8" s="14">
        <f t="shared" si="0"/>
        <v>0</v>
      </c>
    </row>
    <row r="9" spans="1:12" ht="10.5" customHeight="1" outlineLevel="1" x14ac:dyDescent="0.25">
      <c r="A9" s="22"/>
      <c r="B9" s="22" t="s">
        <v>24</v>
      </c>
      <c r="C9" s="22">
        <v>86276</v>
      </c>
      <c r="D9" s="23" t="s">
        <v>25</v>
      </c>
      <c r="E9" s="23" t="s">
        <v>25</v>
      </c>
      <c r="F9" s="24" t="s">
        <v>32</v>
      </c>
      <c r="G9" s="24" t="str">
        <f t="shared" si="1"/>
        <v>Nets-USB2-PCI4   Nets Контроллер USB 2.0 PCI 4-х портовый</v>
      </c>
      <c r="H9" s="25">
        <f>$C$1*        3.9</f>
        <v>85.8</v>
      </c>
      <c r="I9" s="26"/>
      <c r="J9" s="27">
        <v>6</v>
      </c>
      <c r="K9" s="28" t="s">
        <v>27</v>
      </c>
      <c r="L9" s="14">
        <f t="shared" si="0"/>
        <v>84.08</v>
      </c>
    </row>
    <row r="10" spans="1:12" ht="10.5" customHeight="1" outlineLevel="1" x14ac:dyDescent="0.25">
      <c r="A10" s="22"/>
      <c r="B10" s="22" t="s">
        <v>24</v>
      </c>
      <c r="C10" s="22">
        <v>87256</v>
      </c>
      <c r="D10" s="23" t="s">
        <v>25</v>
      </c>
      <c r="E10" s="23" t="s">
        <v>25</v>
      </c>
      <c r="F10" s="24" t="s">
        <v>33</v>
      </c>
      <c r="G10" s="24" t="str">
        <f t="shared" si="1"/>
        <v>USB-BT2   USB BlueTooth 2.0/EDR dongle, class 1 макс. расстояние до100м, 3 Mb/sec</v>
      </c>
      <c r="H10" s="25">
        <f>$C$1*        5</f>
        <v>110</v>
      </c>
      <c r="I10" s="26"/>
      <c r="J10" s="27">
        <v>0</v>
      </c>
      <c r="K10" s="28" t="s">
        <v>27</v>
      </c>
      <c r="L10" s="14">
        <f t="shared" si="0"/>
        <v>107.8</v>
      </c>
    </row>
    <row r="11" spans="1:12" ht="10.5" customHeight="1" x14ac:dyDescent="0.25">
      <c r="A11" s="15"/>
      <c r="B11" s="16" t="s">
        <v>34</v>
      </c>
      <c r="C11" s="16"/>
      <c r="D11" s="16"/>
      <c r="E11" s="16"/>
      <c r="F11" s="17"/>
      <c r="G11" s="24" t="e">
        <f t="shared" si="1"/>
        <v>#VALUE!</v>
      </c>
      <c r="H11" s="18"/>
      <c r="I11" s="19"/>
      <c r="J11" s="20"/>
      <c r="K11" s="21"/>
      <c r="L11" s="14">
        <f t="shared" si="0"/>
        <v>0</v>
      </c>
    </row>
    <row r="12" spans="1:12" ht="10.5" customHeight="1" outlineLevel="1" x14ac:dyDescent="0.25">
      <c r="A12" s="22"/>
      <c r="B12" s="22" t="s">
        <v>35</v>
      </c>
      <c r="C12" s="22">
        <v>92616</v>
      </c>
      <c r="D12" s="23" t="s">
        <v>36</v>
      </c>
      <c r="E12" s="23" t="s">
        <v>36</v>
      </c>
      <c r="F12" s="24" t="s">
        <v>37</v>
      </c>
      <c r="G12" s="24" t="str">
        <f t="shared" si="1"/>
        <v>Чехол APPLE-IPAD2-0429 защитный c подставкой и наплечным ремнем кожаный для iPAD2, черный</v>
      </c>
      <c r="H12" s="25">
        <f>$C$1*       18</f>
        <v>396</v>
      </c>
      <c r="I12" s="26"/>
      <c r="J12" s="27">
        <v>0</v>
      </c>
      <c r="K12" s="28" t="s">
        <v>27</v>
      </c>
      <c r="L12" s="14">
        <f t="shared" si="0"/>
        <v>388.08</v>
      </c>
    </row>
    <row r="13" spans="1:12" ht="10.5" customHeight="1" x14ac:dyDescent="0.25">
      <c r="A13" s="15"/>
      <c r="B13" s="16" t="s">
        <v>38</v>
      </c>
      <c r="C13" s="16"/>
      <c r="D13" s="16"/>
      <c r="E13" s="16"/>
      <c r="F13" s="17"/>
      <c r="G13" s="24" t="e">
        <f t="shared" si="1"/>
        <v>#VALUE!</v>
      </c>
      <c r="H13" s="18"/>
      <c r="I13" s="19"/>
      <c r="J13" s="20"/>
      <c r="K13" s="21"/>
      <c r="L13" s="14">
        <f t="shared" si="0"/>
        <v>0</v>
      </c>
    </row>
    <row r="14" spans="1:12" ht="10.5" customHeight="1" x14ac:dyDescent="0.25">
      <c r="A14" s="15"/>
      <c r="B14" s="16" t="s">
        <v>39</v>
      </c>
      <c r="C14" s="16"/>
      <c r="D14" s="16"/>
      <c r="E14" s="16"/>
      <c r="F14" s="17"/>
      <c r="G14" s="24" t="e">
        <f t="shared" si="1"/>
        <v>#VALUE!</v>
      </c>
      <c r="H14" s="18"/>
      <c r="I14" s="19"/>
      <c r="J14" s="20"/>
      <c r="K14" s="21"/>
      <c r="L14" s="14">
        <f t="shared" si="0"/>
        <v>0</v>
      </c>
    </row>
    <row r="15" spans="1:12" ht="10.5" customHeight="1" outlineLevel="1" x14ac:dyDescent="0.25">
      <c r="A15" s="22"/>
      <c r="B15" s="22" t="s">
        <v>40</v>
      </c>
      <c r="C15" s="22">
        <v>93772</v>
      </c>
      <c r="D15" s="23" t="s">
        <v>25</v>
      </c>
      <c r="E15" s="23" t="s">
        <v>41</v>
      </c>
      <c r="F15" s="24" t="s">
        <v>42</v>
      </c>
      <c r="G15" s="24" t="str">
        <f t="shared" si="1"/>
        <v>Telenco  Зажим натяжной алюминиевый корпус, трос 500мм, кабель 4-7мм</v>
      </c>
      <c r="H15" s="25">
        <f>$C$1*        6.3</f>
        <v>138.6</v>
      </c>
      <c r="I15" s="26"/>
      <c r="J15" s="27">
        <v>0</v>
      </c>
      <c r="K15" s="28" t="s">
        <v>27</v>
      </c>
      <c r="L15" s="14">
        <f t="shared" si="0"/>
        <v>135.83000000000001</v>
      </c>
    </row>
    <row r="16" spans="1:12" ht="10.5" customHeight="1" outlineLevel="1" x14ac:dyDescent="0.25">
      <c r="A16" s="22"/>
      <c r="B16" s="22" t="s">
        <v>40</v>
      </c>
      <c r="C16" s="22">
        <v>93779</v>
      </c>
      <c r="D16" s="23" t="s">
        <v>25</v>
      </c>
      <c r="E16" s="23" t="s">
        <v>43</v>
      </c>
      <c r="F16" s="24" t="s">
        <v>44</v>
      </c>
      <c r="G16" s="24" t="str">
        <f t="shared" si="1"/>
        <v>Telenco  Зажим натяжной для круглого кабеля, трос 500мм, кабель 12-14мм</v>
      </c>
      <c r="H16" s="25">
        <f>$C$1*        9.7</f>
        <v>213.39999999999998</v>
      </c>
      <c r="I16" s="26"/>
      <c r="J16" s="27">
        <v>0</v>
      </c>
      <c r="K16" s="28" t="s">
        <v>27</v>
      </c>
      <c r="L16" s="14">
        <f t="shared" si="0"/>
        <v>209.13</v>
      </c>
    </row>
    <row r="17" spans="1:12" ht="10.5" customHeight="1" outlineLevel="1" x14ac:dyDescent="0.25">
      <c r="A17" s="22"/>
      <c r="B17" s="22" t="s">
        <v>40</v>
      </c>
      <c r="C17" s="22">
        <v>93770</v>
      </c>
      <c r="D17" s="23" t="s">
        <v>25</v>
      </c>
      <c r="E17" s="23" t="s">
        <v>45</v>
      </c>
      <c r="F17" s="24" t="s">
        <v>46</v>
      </c>
      <c r="G17" s="24" t="str">
        <f t="shared" si="1"/>
        <v>Telenco  Зажим натяжной для круглого кабеля, трос 500мм, кабель 14-16мм</v>
      </c>
      <c r="H17" s="25">
        <f>$C$1*        9.7</f>
        <v>213.39999999999998</v>
      </c>
      <c r="I17" s="26"/>
      <c r="J17" s="27">
        <v>0</v>
      </c>
      <c r="K17" s="28" t="s">
        <v>27</v>
      </c>
      <c r="L17" s="14">
        <f t="shared" si="0"/>
        <v>209.13</v>
      </c>
    </row>
    <row r="18" spans="1:12" ht="10.5" customHeight="1" outlineLevel="1" x14ac:dyDescent="0.25">
      <c r="A18" s="22"/>
      <c r="B18" s="22" t="s">
        <v>40</v>
      </c>
      <c r="C18" s="22">
        <v>93781</v>
      </c>
      <c r="D18" s="23" t="s">
        <v>25</v>
      </c>
      <c r="E18" s="23" t="s">
        <v>47</v>
      </c>
      <c r="F18" s="24" t="s">
        <v>48</v>
      </c>
      <c r="G18" s="24" t="str">
        <f t="shared" si="1"/>
        <v>Telenco  Зажим натяжной для плоского кабеля 6*11мм, оцинкованная сталь</v>
      </c>
      <c r="H18" s="25">
        <f>$C$1*        1.55</f>
        <v>34.1</v>
      </c>
      <c r="I18" s="26"/>
      <c r="J18" s="27">
        <v>0</v>
      </c>
      <c r="K18" s="28" t="s">
        <v>27</v>
      </c>
      <c r="L18" s="14">
        <f t="shared" si="0"/>
        <v>33.42</v>
      </c>
    </row>
    <row r="19" spans="1:12" ht="10.5" customHeight="1" outlineLevel="1" x14ac:dyDescent="0.25">
      <c r="A19" s="22"/>
      <c r="B19" s="22" t="s">
        <v>40</v>
      </c>
      <c r="C19" s="22">
        <v>93775</v>
      </c>
      <c r="D19" s="23" t="s">
        <v>25</v>
      </c>
      <c r="E19" s="23" t="s">
        <v>49</v>
      </c>
      <c r="F19" s="24" t="s">
        <v>50</v>
      </c>
      <c r="G19" s="24" t="str">
        <f t="shared" si="1"/>
        <v>Telenco  Зажим поддерживающий, кабель 4-9мм</v>
      </c>
      <c r="H19" s="25">
        <f>$C$1*        3.95</f>
        <v>86.9</v>
      </c>
      <c r="I19" s="26"/>
      <c r="J19" s="27">
        <v>0</v>
      </c>
      <c r="K19" s="28" t="s">
        <v>27</v>
      </c>
      <c r="L19" s="14">
        <f t="shared" si="0"/>
        <v>85.16</v>
      </c>
    </row>
    <row r="20" spans="1:12" ht="10.5" customHeight="1" x14ac:dyDescent="0.25">
      <c r="A20" s="15"/>
      <c r="B20" s="16" t="s">
        <v>51</v>
      </c>
      <c r="C20" s="16"/>
      <c r="D20" s="16"/>
      <c r="E20" s="16"/>
      <c r="F20" s="17"/>
      <c r="G20" s="24" t="e">
        <f t="shared" si="1"/>
        <v>#VALUE!</v>
      </c>
      <c r="H20" s="18"/>
      <c r="I20" s="19"/>
      <c r="J20" s="20"/>
      <c r="K20" s="21"/>
      <c r="L20" s="14">
        <f t="shared" si="0"/>
        <v>0</v>
      </c>
    </row>
    <row r="21" spans="1:12" ht="10.5" customHeight="1" outlineLevel="1" x14ac:dyDescent="0.25">
      <c r="A21" s="22"/>
      <c r="B21" s="22" t="s">
        <v>40</v>
      </c>
      <c r="C21" s="22">
        <v>93650</v>
      </c>
      <c r="D21" s="23" t="s">
        <v>25</v>
      </c>
      <c r="E21" s="23" t="s">
        <v>52</v>
      </c>
      <c r="F21" s="24" t="s">
        <v>53</v>
      </c>
      <c r="G21" s="24" t="str">
        <f t="shared" si="1"/>
        <v>Telenco  Крюк под ленту, оцинкованная сталь</v>
      </c>
      <c r="H21" s="25">
        <f>$C$1*        2.25</f>
        <v>49.5</v>
      </c>
      <c r="I21" s="26"/>
      <c r="J21" s="27">
        <v>0</v>
      </c>
      <c r="K21" s="28" t="s">
        <v>27</v>
      </c>
      <c r="L21" s="14">
        <f t="shared" si="0"/>
        <v>48.51</v>
      </c>
    </row>
    <row r="22" spans="1:12" ht="10.5" customHeight="1" outlineLevel="1" x14ac:dyDescent="0.25">
      <c r="A22" s="22"/>
      <c r="B22" s="22" t="s">
        <v>40</v>
      </c>
      <c r="C22" s="22">
        <v>93651</v>
      </c>
      <c r="D22" s="23" t="s">
        <v>25</v>
      </c>
      <c r="E22" s="23" t="s">
        <v>54</v>
      </c>
      <c r="F22" s="24" t="s">
        <v>55</v>
      </c>
      <c r="G22" s="24" t="str">
        <f t="shared" si="1"/>
        <v>Telenco  Крюк универсальный под болты или ленту, оцинкованная сталь</v>
      </c>
      <c r="H22" s="25">
        <f>$C$1*        2.35</f>
        <v>51.7</v>
      </c>
      <c r="I22" s="26"/>
      <c r="J22" s="27">
        <v>0</v>
      </c>
      <c r="K22" s="28" t="s">
        <v>27</v>
      </c>
      <c r="L22" s="14">
        <f t="shared" si="0"/>
        <v>50.67</v>
      </c>
    </row>
    <row r="23" spans="1:12" ht="10.5" customHeight="1" outlineLevel="1" x14ac:dyDescent="0.25">
      <c r="A23" s="22"/>
      <c r="B23" s="22" t="s">
        <v>40</v>
      </c>
      <c r="C23" s="22">
        <v>93778</v>
      </c>
      <c r="D23" s="23" t="s">
        <v>25</v>
      </c>
      <c r="E23" s="23" t="s">
        <v>56</v>
      </c>
      <c r="F23" s="24" t="s">
        <v>57</v>
      </c>
      <c r="G23" s="24" t="str">
        <f t="shared" si="1"/>
        <v>Telenco  Кронштейн анкерный универсальный под болты или ленту, алюминиевый сплав</v>
      </c>
      <c r="H23" s="25">
        <f>$C$1*        4.5</f>
        <v>99</v>
      </c>
      <c r="I23" s="26"/>
      <c r="J23" s="27">
        <v>0</v>
      </c>
      <c r="K23" s="28" t="s">
        <v>27</v>
      </c>
      <c r="L23" s="14">
        <f t="shared" si="0"/>
        <v>97.02</v>
      </c>
    </row>
    <row r="24" spans="1:12" ht="10.5" customHeight="1" x14ac:dyDescent="0.25">
      <c r="A24" s="15"/>
      <c r="B24" s="16" t="s">
        <v>58</v>
      </c>
      <c r="C24" s="16"/>
      <c r="D24" s="16"/>
      <c r="E24" s="16"/>
      <c r="F24" s="17"/>
      <c r="G24" s="24" t="e">
        <f t="shared" si="1"/>
        <v>#VALUE!</v>
      </c>
      <c r="H24" s="18"/>
      <c r="I24" s="19"/>
      <c r="J24" s="20"/>
      <c r="K24" s="21"/>
      <c r="L24" s="14">
        <f t="shared" si="0"/>
        <v>0</v>
      </c>
    </row>
    <row r="25" spans="1:12" ht="10.5" customHeight="1" outlineLevel="1" x14ac:dyDescent="0.25">
      <c r="A25" s="22"/>
      <c r="B25" s="22" t="s">
        <v>40</v>
      </c>
      <c r="C25" s="22">
        <v>93653</v>
      </c>
      <c r="D25" s="23" t="s">
        <v>25</v>
      </c>
      <c r="E25" s="23" t="s">
        <v>59</v>
      </c>
      <c r="F25" s="24" t="s">
        <v>60</v>
      </c>
      <c r="G25" s="24" t="str">
        <f t="shared" si="1"/>
        <v>Telenco  Скрепа стандартная для ленты 19-20мм, нержавеющая сталь, уп. 100шт</v>
      </c>
      <c r="H25" s="25">
        <f>$C$1*       14.7</f>
        <v>323.39999999999998</v>
      </c>
      <c r="I25" s="26"/>
      <c r="J25" s="27">
        <v>0</v>
      </c>
      <c r="K25" s="28" t="s">
        <v>27</v>
      </c>
      <c r="L25" s="14">
        <f t="shared" si="0"/>
        <v>316.93</v>
      </c>
    </row>
    <row r="26" spans="1:12" ht="10.5" customHeight="1" outlineLevel="1" x14ac:dyDescent="0.25">
      <c r="A26" s="22"/>
      <c r="B26" s="22" t="s">
        <v>40</v>
      </c>
      <c r="C26" s="22">
        <v>93654</v>
      </c>
      <c r="D26" s="23" t="s">
        <v>25</v>
      </c>
      <c r="E26" s="23" t="s">
        <v>61</v>
      </c>
      <c r="F26" s="24" t="s">
        <v>62</v>
      </c>
      <c r="G26" s="24" t="str">
        <f t="shared" si="1"/>
        <v>Telenco  Скрепа утяжеленная для ленты 19-20мм, нержавеющая сталь, уп. 100шт</v>
      </c>
      <c r="H26" s="25">
        <f>$C$1*       19.15</f>
        <v>421.29999999999995</v>
      </c>
      <c r="I26" s="26"/>
      <c r="J26" s="27">
        <v>0</v>
      </c>
      <c r="K26" s="28" t="s">
        <v>27</v>
      </c>
      <c r="L26" s="14">
        <f t="shared" si="0"/>
        <v>412.87</v>
      </c>
    </row>
    <row r="27" spans="1:12" ht="10.5" customHeight="1" outlineLevel="1" x14ac:dyDescent="0.25">
      <c r="A27" s="22"/>
      <c r="B27" s="22" t="s">
        <v>40</v>
      </c>
      <c r="C27" s="22">
        <v>93655</v>
      </c>
      <c r="D27" s="23" t="s">
        <v>25</v>
      </c>
      <c r="E27" s="23" t="s">
        <v>63</v>
      </c>
      <c r="F27" s="24" t="s">
        <v>64</v>
      </c>
      <c r="G27" s="24" t="str">
        <f t="shared" si="1"/>
        <v>Telenco  Инструмент для монтажа ленты рычажного типа, с трещеткой</v>
      </c>
      <c r="H27" s="25">
        <f>$C$1*      149.5</f>
        <v>3289</v>
      </c>
      <c r="I27" s="26"/>
      <c r="J27" s="27">
        <v>0</v>
      </c>
      <c r="K27" s="28" t="s">
        <v>27</v>
      </c>
      <c r="L27" s="14">
        <f t="shared" si="0"/>
        <v>3223.22</v>
      </c>
    </row>
    <row r="28" spans="1:12" ht="10.5" customHeight="1" outlineLevel="1" x14ac:dyDescent="0.25">
      <c r="A28" s="22"/>
      <c r="B28" s="22" t="s">
        <v>40</v>
      </c>
      <c r="C28" s="22">
        <v>93656</v>
      </c>
      <c r="D28" s="23" t="s">
        <v>25</v>
      </c>
      <c r="E28" s="23" t="s">
        <v>65</v>
      </c>
      <c r="F28" s="24" t="s">
        <v>66</v>
      </c>
      <c r="G28" s="24" t="str">
        <f t="shared" si="1"/>
        <v>Telenco  Инструмент для натяжки и резки ленты, винтового типа</v>
      </c>
      <c r="H28" s="25">
        <f>$C$1*      137</f>
        <v>3014</v>
      </c>
      <c r="I28" s="26"/>
      <c r="J28" s="27">
        <v>0</v>
      </c>
      <c r="K28" s="28" t="s">
        <v>27</v>
      </c>
      <c r="L28" s="14">
        <f t="shared" si="0"/>
        <v>2953.72</v>
      </c>
    </row>
    <row r="29" spans="1:12" ht="10.5" customHeight="1" x14ac:dyDescent="0.25">
      <c r="A29" s="15"/>
      <c r="B29" s="16" t="s">
        <v>67</v>
      </c>
      <c r="C29" s="16"/>
      <c r="D29" s="16"/>
      <c r="E29" s="16"/>
      <c r="F29" s="17"/>
      <c r="G29" s="24" t="e">
        <f t="shared" si="1"/>
        <v>#VALUE!</v>
      </c>
      <c r="H29" s="18"/>
      <c r="I29" s="19"/>
      <c r="J29" s="20"/>
      <c r="K29" s="21"/>
      <c r="L29" s="14">
        <f t="shared" si="0"/>
        <v>0</v>
      </c>
    </row>
    <row r="30" spans="1:12" ht="10.5" customHeight="1" outlineLevel="1" x14ac:dyDescent="0.25">
      <c r="A30" s="22"/>
      <c r="B30" s="22" t="s">
        <v>24</v>
      </c>
      <c r="C30" s="22">
        <v>89691</v>
      </c>
      <c r="D30" s="23" t="s">
        <v>25</v>
      </c>
      <c r="E30" s="23" t="s">
        <v>25</v>
      </c>
      <c r="F30" s="24" t="s">
        <v>68</v>
      </c>
      <c r="G30" s="24" t="str">
        <f t="shared" si="1"/>
        <v>F-RG6   Штекер F RG-6 18мм цинк, упаковка 100 шт на кабель накручиваются</v>
      </c>
      <c r="H30" s="25">
        <f>$C$1*        3</f>
        <v>66</v>
      </c>
      <c r="I30" s="26"/>
      <c r="J30" s="27">
        <v>0</v>
      </c>
      <c r="K30" s="28" t="s">
        <v>27</v>
      </c>
      <c r="L30" s="14">
        <f t="shared" si="0"/>
        <v>64.680000000000007</v>
      </c>
    </row>
    <row r="31" spans="1:12" ht="10.5" customHeight="1" outlineLevel="1" x14ac:dyDescent="0.25">
      <c r="A31" s="22"/>
      <c r="B31" s="22" t="s">
        <v>24</v>
      </c>
      <c r="C31" s="22">
        <v>89704</v>
      </c>
      <c r="D31" s="23" t="s">
        <v>25</v>
      </c>
      <c r="E31" s="23" t="s">
        <v>25</v>
      </c>
      <c r="F31" s="24" t="s">
        <v>69</v>
      </c>
      <c r="G31" s="24" t="str">
        <f t="shared" si="1"/>
        <v>S1-3   Сплитер 1 вход - 3 выхода</v>
      </c>
      <c r="H31" s="25">
        <f>$C$1*        0.95</f>
        <v>20.9</v>
      </c>
      <c r="I31" s="26"/>
      <c r="J31" s="27">
        <v>0</v>
      </c>
      <c r="K31" s="28" t="s">
        <v>27</v>
      </c>
      <c r="L31" s="14">
        <f t="shared" si="0"/>
        <v>20.48</v>
      </c>
    </row>
    <row r="32" spans="1:12" ht="10.5" customHeight="1" x14ac:dyDescent="0.25">
      <c r="A32" s="15"/>
      <c r="B32" s="16" t="s">
        <v>70</v>
      </c>
      <c r="C32" s="16"/>
      <c r="D32" s="16"/>
      <c r="E32" s="16"/>
      <c r="F32" s="17"/>
      <c r="G32" s="24" t="e">
        <f t="shared" si="1"/>
        <v>#VALUE!</v>
      </c>
      <c r="H32" s="18"/>
      <c r="I32" s="19"/>
      <c r="J32" s="20"/>
      <c r="K32" s="21"/>
      <c r="L32" s="14">
        <f t="shared" si="0"/>
        <v>0</v>
      </c>
    </row>
    <row r="33" spans="1:12" ht="10.5" customHeight="1" outlineLevel="1" x14ac:dyDescent="0.25">
      <c r="A33" s="22"/>
      <c r="B33" s="22" t="s">
        <v>24</v>
      </c>
      <c r="C33" s="22">
        <v>92941</v>
      </c>
      <c r="D33" s="23" t="s">
        <v>25</v>
      </c>
      <c r="E33" s="23" t="s">
        <v>71</v>
      </c>
      <c r="F33" s="24" t="s">
        <v>72</v>
      </c>
      <c r="G33" s="24" t="str">
        <f t="shared" si="1"/>
        <v>Адаптер  живлення 220В/5В-2А</v>
      </c>
      <c r="H33" s="25">
        <f>$C$1*        6.3</f>
        <v>138.6</v>
      </c>
      <c r="I33" s="26"/>
      <c r="J33" s="27">
        <v>0</v>
      </c>
      <c r="K33" s="28" t="s">
        <v>27</v>
      </c>
      <c r="L33" s="14">
        <f t="shared" si="0"/>
        <v>135.83000000000001</v>
      </c>
    </row>
    <row r="34" spans="1:12" ht="10.5" customHeight="1" x14ac:dyDescent="0.25">
      <c r="A34" s="15"/>
      <c r="B34" s="16" t="s">
        <v>73</v>
      </c>
      <c r="C34" s="16"/>
      <c r="D34" s="16"/>
      <c r="E34" s="16"/>
      <c r="F34" s="17"/>
      <c r="G34" s="24" t="e">
        <f t="shared" si="1"/>
        <v>#VALUE!</v>
      </c>
      <c r="H34" s="18"/>
      <c r="I34" s="19"/>
      <c r="J34" s="20"/>
      <c r="K34" s="21"/>
      <c r="L34" s="14">
        <f t="shared" si="0"/>
        <v>0</v>
      </c>
    </row>
    <row r="35" spans="1:12" ht="10.5" customHeight="1" outlineLevel="1" x14ac:dyDescent="0.25">
      <c r="A35" s="22"/>
      <c r="B35" s="22" t="s">
        <v>24</v>
      </c>
      <c r="C35" s="22">
        <v>92612</v>
      </c>
      <c r="D35" s="23" t="s">
        <v>25</v>
      </c>
      <c r="E35" s="23" t="s">
        <v>25</v>
      </c>
      <c r="F35" s="24" t="s">
        <v>74</v>
      </c>
      <c r="G35" s="24" t="str">
        <f t="shared" si="1"/>
        <v>NETS-ACS-0501   NETS Дверной глазок экран 2.5" цветной, пит 2 бат АА, обзор 150 град, дверь 35-75 мм</v>
      </c>
      <c r="H35" s="25">
        <f>$C$1*       68</f>
        <v>1496</v>
      </c>
      <c r="I35" s="26"/>
      <c r="J35" s="27">
        <v>12</v>
      </c>
      <c r="K35" s="28" t="s">
        <v>27</v>
      </c>
      <c r="L35" s="14">
        <f t="shared" si="0"/>
        <v>1466.08</v>
      </c>
    </row>
    <row r="36" spans="1:12" ht="10.5" customHeight="1" x14ac:dyDescent="0.25">
      <c r="A36" s="15"/>
      <c r="B36" s="16" t="s">
        <v>75</v>
      </c>
      <c r="C36" s="16"/>
      <c r="D36" s="16"/>
      <c r="E36" s="16"/>
      <c r="F36" s="17"/>
      <c r="G36" s="24" t="e">
        <f t="shared" si="1"/>
        <v>#VALUE!</v>
      </c>
      <c r="H36" s="18"/>
      <c r="I36" s="19"/>
      <c r="J36" s="20"/>
      <c r="K36" s="21"/>
      <c r="L36" s="14">
        <f t="shared" si="0"/>
        <v>0</v>
      </c>
    </row>
    <row r="37" spans="1:12" ht="10.5" customHeight="1" outlineLevel="1" x14ac:dyDescent="0.25">
      <c r="A37" s="22"/>
      <c r="B37" s="22" t="s">
        <v>76</v>
      </c>
      <c r="C37" s="22">
        <v>95102</v>
      </c>
      <c r="D37" s="23" t="s">
        <v>77</v>
      </c>
      <c r="E37" s="23" t="s">
        <v>77</v>
      </c>
      <c r="F37" s="24" t="s">
        <v>78</v>
      </c>
      <c r="G37" s="24" t="str">
        <f t="shared" si="1"/>
        <v>PARTIZAN CDM-223S-IR Видеокамера, 3,6, 420TVL, 1/4" Sharp, цвет, внутрішня, ИК 20 м</v>
      </c>
      <c r="H37" s="25">
        <f>$C$1*       21</f>
        <v>462</v>
      </c>
      <c r="I37" s="26"/>
      <c r="J37" s="27">
        <v>12</v>
      </c>
      <c r="K37" s="28" t="s">
        <v>27</v>
      </c>
      <c r="L37" s="14">
        <f t="shared" si="0"/>
        <v>452.76</v>
      </c>
    </row>
    <row r="38" spans="1:12" ht="10.5" customHeight="1" outlineLevel="1" x14ac:dyDescent="0.25">
      <c r="A38" s="22"/>
      <c r="B38" s="22" t="s">
        <v>76</v>
      </c>
      <c r="C38" s="22">
        <v>95101</v>
      </c>
      <c r="D38" s="23" t="s">
        <v>79</v>
      </c>
      <c r="E38" s="23" t="s">
        <v>79</v>
      </c>
      <c r="F38" s="24" t="s">
        <v>80</v>
      </c>
      <c r="G38" s="24" t="str">
        <f t="shared" si="1"/>
        <v>PARTIZAN COD-M341S Видеокамера, 3,6, 420TVL, 1/4" Sony, цвет, наружная, ИК 8 м</v>
      </c>
      <c r="H38" s="25">
        <f>$C$1*       22</f>
        <v>484</v>
      </c>
      <c r="I38" s="26"/>
      <c r="J38" s="27">
        <v>12</v>
      </c>
      <c r="K38" s="28" t="s">
        <v>27</v>
      </c>
      <c r="L38" s="14">
        <f t="shared" si="0"/>
        <v>474.32</v>
      </c>
    </row>
    <row r="39" spans="1:12" ht="10.5" customHeight="1" outlineLevel="1" x14ac:dyDescent="0.25">
      <c r="A39" s="22"/>
      <c r="B39" s="22" t="s">
        <v>76</v>
      </c>
      <c r="C39" s="22">
        <v>95103</v>
      </c>
      <c r="D39" s="23" t="s">
        <v>81</v>
      </c>
      <c r="E39" s="23" t="s">
        <v>81</v>
      </c>
      <c r="F39" s="24" t="s">
        <v>82</v>
      </c>
      <c r="G39" s="24" t="str">
        <f t="shared" si="1"/>
        <v>PARTIZAN COD-VF3CH Видеокамера, 3.6, 700TVL, 1/3" Sony, цвет, наружная, ИК 40 м</v>
      </c>
      <c r="H39" s="25">
        <f>$C$1*       83.5</f>
        <v>1837</v>
      </c>
      <c r="I39" s="26"/>
      <c r="J39" s="27">
        <v>12</v>
      </c>
      <c r="K39" s="28" t="s">
        <v>27</v>
      </c>
      <c r="L39" s="14">
        <f t="shared" si="0"/>
        <v>1800.26</v>
      </c>
    </row>
    <row r="40" spans="1:12" ht="10.5" customHeight="1" x14ac:dyDescent="0.25">
      <c r="A40" s="15"/>
      <c r="B40" s="16" t="s">
        <v>83</v>
      </c>
      <c r="C40" s="16"/>
      <c r="D40" s="16"/>
      <c r="E40" s="16"/>
      <c r="F40" s="17"/>
      <c r="G40" s="24" t="e">
        <f t="shared" si="1"/>
        <v>#VALUE!</v>
      </c>
      <c r="H40" s="18"/>
      <c r="I40" s="19"/>
      <c r="J40" s="20"/>
      <c r="K40" s="21"/>
      <c r="L40" s="14">
        <f t="shared" si="0"/>
        <v>0</v>
      </c>
    </row>
    <row r="41" spans="1:12" ht="10.5" customHeight="1" x14ac:dyDescent="0.25">
      <c r="A41" s="15"/>
      <c r="B41" s="16" t="s">
        <v>84</v>
      </c>
      <c r="C41" s="16"/>
      <c r="D41" s="16"/>
      <c r="E41" s="16"/>
      <c r="F41" s="17"/>
      <c r="G41" s="24" t="e">
        <f t="shared" si="1"/>
        <v>#VALUE!</v>
      </c>
      <c r="H41" s="18"/>
      <c r="I41" s="19"/>
      <c r="J41" s="20"/>
      <c r="K41" s="21"/>
      <c r="L41" s="14">
        <f t="shared" si="0"/>
        <v>0</v>
      </c>
    </row>
    <row r="42" spans="1:12" ht="10.5" customHeight="1" x14ac:dyDescent="0.25">
      <c r="A42" s="15"/>
      <c r="B42" s="16" t="s">
        <v>85</v>
      </c>
      <c r="C42" s="16"/>
      <c r="D42" s="16"/>
      <c r="E42" s="16"/>
      <c r="F42" s="17"/>
      <c r="G42" s="24" t="e">
        <f t="shared" si="1"/>
        <v>#VALUE!</v>
      </c>
      <c r="H42" s="18"/>
      <c r="I42" s="19"/>
      <c r="J42" s="20"/>
      <c r="K42" s="21"/>
      <c r="L42" s="14">
        <f t="shared" si="0"/>
        <v>0</v>
      </c>
    </row>
    <row r="43" spans="1:12" ht="10.5" customHeight="1" outlineLevel="1" x14ac:dyDescent="0.25">
      <c r="A43" s="22"/>
      <c r="B43" s="22" t="s">
        <v>83</v>
      </c>
      <c r="C43" s="22">
        <v>85119</v>
      </c>
      <c r="D43" s="23" t="s">
        <v>86</v>
      </c>
      <c r="E43" s="23" t="s">
        <v>86</v>
      </c>
      <c r="F43" s="24" t="s">
        <v>87</v>
      </c>
      <c r="G43" s="24" t="str">
        <f t="shared" si="1"/>
        <v>ДКС 01757 Т-образный отвод NTAN 100x40, для коробов серии TA-GN и TA-EN</v>
      </c>
      <c r="H43" s="25">
        <f>$C$1*        3.4</f>
        <v>74.8</v>
      </c>
      <c r="I43" s="26"/>
      <c r="J43" s="27">
        <v>0</v>
      </c>
      <c r="K43" s="28" t="s">
        <v>27</v>
      </c>
      <c r="L43" s="14">
        <f t="shared" si="0"/>
        <v>73.3</v>
      </c>
    </row>
    <row r="44" spans="1:12" ht="10.5" customHeight="1" outlineLevel="1" x14ac:dyDescent="0.25">
      <c r="A44" s="22"/>
      <c r="B44" s="22" t="s">
        <v>83</v>
      </c>
      <c r="C44" s="22">
        <v>85039</v>
      </c>
      <c r="D44" s="23" t="s">
        <v>88</v>
      </c>
      <c r="E44" s="23" t="s">
        <v>88</v>
      </c>
      <c r="F44" s="24" t="s">
        <v>89</v>
      </c>
      <c r="G44" s="24" t="str">
        <f t="shared" si="1"/>
        <v>ДКС 01782 Кабельный короб серии TA-GN 100x40, с направляющими на основании</v>
      </c>
      <c r="H44" s="25">
        <f>$C$1*        3</f>
        <v>66</v>
      </c>
      <c r="I44" s="26"/>
      <c r="J44" s="27">
        <v>0</v>
      </c>
      <c r="K44" s="28" t="s">
        <v>27</v>
      </c>
      <c r="L44" s="14">
        <f t="shared" si="0"/>
        <v>64.680000000000007</v>
      </c>
    </row>
    <row r="45" spans="1:12" ht="10.5" customHeight="1" outlineLevel="1" x14ac:dyDescent="0.25">
      <c r="A45" s="22"/>
      <c r="B45" s="22" t="s">
        <v>83</v>
      </c>
      <c r="C45" s="22">
        <v>92664</v>
      </c>
      <c r="D45" s="23" t="s">
        <v>90</v>
      </c>
      <c r="E45" s="23" t="s">
        <v>90</v>
      </c>
      <c r="F45" s="24" t="s">
        <v>91</v>
      </c>
      <c r="G45" s="24" t="str">
        <f t="shared" si="1"/>
        <v>ДКС 01809 Внешний неизменяемый угол NEAV 100x40, для коробов серии TA-GN и TA-EN</v>
      </c>
      <c r="H45" s="25">
        <f>$C$1*        1.2</f>
        <v>26.4</v>
      </c>
      <c r="I45" s="26"/>
      <c r="J45" s="27">
        <v>0</v>
      </c>
      <c r="K45" s="28" t="s">
        <v>27</v>
      </c>
      <c r="L45" s="14">
        <f t="shared" si="0"/>
        <v>25.87</v>
      </c>
    </row>
    <row r="46" spans="1:12" ht="10.5" customHeight="1" outlineLevel="1" x14ac:dyDescent="0.25">
      <c r="A46" s="22"/>
      <c r="B46" s="22" t="s">
        <v>83</v>
      </c>
      <c r="C46" s="22">
        <v>92663</v>
      </c>
      <c r="D46" s="23" t="s">
        <v>92</v>
      </c>
      <c r="E46" s="23" t="s">
        <v>92</v>
      </c>
      <c r="F46" s="24" t="s">
        <v>93</v>
      </c>
      <c r="G46" s="24" t="str">
        <f t="shared" si="1"/>
        <v>ДКС 01825 Внутренний неизменяемый угол NIAV 100x40, для коробов серии TA-GN и TA-EN</v>
      </c>
      <c r="H46" s="25">
        <f>$C$1*        1.06</f>
        <v>23.32</v>
      </c>
      <c r="I46" s="26"/>
      <c r="J46" s="27">
        <v>0</v>
      </c>
      <c r="K46" s="28" t="s">
        <v>27</v>
      </c>
      <c r="L46" s="14">
        <f t="shared" si="0"/>
        <v>22.85</v>
      </c>
    </row>
    <row r="47" spans="1:12" ht="10.5" customHeight="1" outlineLevel="1" x14ac:dyDescent="0.25">
      <c r="A47" s="22"/>
      <c r="B47" s="22" t="s">
        <v>83</v>
      </c>
      <c r="C47" s="22">
        <v>93364</v>
      </c>
      <c r="D47" s="23" t="s">
        <v>94</v>
      </c>
      <c r="E47" s="23" t="s">
        <v>94</v>
      </c>
      <c r="F47" s="24" t="s">
        <v>95</v>
      </c>
      <c r="G47" s="24" t="str">
        <f t="shared" si="1"/>
        <v>ДКС 09514 Разделитель SEP-N 40, высота 26.47мм, длина 2м</v>
      </c>
      <c r="H47" s="25">
        <f>$C$1*        0.64</f>
        <v>14.08</v>
      </c>
      <c r="I47" s="26"/>
      <c r="J47" s="27">
        <v>0</v>
      </c>
      <c r="K47" s="28" t="s">
        <v>27</v>
      </c>
      <c r="L47" s="14">
        <f t="shared" si="0"/>
        <v>13.8</v>
      </c>
    </row>
    <row r="48" spans="1:12" ht="10.5" customHeight="1" x14ac:dyDescent="0.25">
      <c r="A48" s="15"/>
      <c r="B48" s="16" t="s">
        <v>96</v>
      </c>
      <c r="C48" s="16"/>
      <c r="D48" s="16"/>
      <c r="E48" s="16"/>
      <c r="F48" s="17"/>
      <c r="G48" s="24" t="e">
        <f t="shared" si="1"/>
        <v>#VALUE!</v>
      </c>
      <c r="H48" s="18"/>
      <c r="I48" s="19"/>
      <c r="J48" s="20"/>
      <c r="K48" s="21"/>
      <c r="L48" s="14">
        <f t="shared" si="0"/>
        <v>0</v>
      </c>
    </row>
    <row r="49" spans="1:12" ht="10.5" customHeight="1" outlineLevel="1" x14ac:dyDescent="0.25">
      <c r="A49" s="22"/>
      <c r="B49" s="22" t="s">
        <v>83</v>
      </c>
      <c r="C49" s="22">
        <v>85132</v>
      </c>
      <c r="D49" s="23" t="s">
        <v>97</v>
      </c>
      <c r="E49" s="23" t="s">
        <v>97</v>
      </c>
      <c r="F49" s="24" t="s">
        <v>98</v>
      </c>
      <c r="G49" s="24" t="str">
        <f t="shared" si="1"/>
        <v>ДКС 00874 Заглушка на торец LAN 100x60, для коробов серии TA-GN и TA-EN</v>
      </c>
      <c r="H49" s="25">
        <f>$C$1*        1.61</f>
        <v>35.42</v>
      </c>
      <c r="I49" s="26"/>
      <c r="J49" s="27">
        <v>0</v>
      </c>
      <c r="K49" s="28" t="s">
        <v>27</v>
      </c>
      <c r="L49" s="14">
        <f t="shared" si="0"/>
        <v>34.71</v>
      </c>
    </row>
    <row r="50" spans="1:12" ht="10.5" customHeight="1" outlineLevel="1" x14ac:dyDescent="0.25">
      <c r="A50" s="22"/>
      <c r="B50" s="22" t="s">
        <v>83</v>
      </c>
      <c r="C50" s="22">
        <v>85044</v>
      </c>
      <c r="D50" s="23" t="s">
        <v>99</v>
      </c>
      <c r="E50" s="23" t="s">
        <v>99</v>
      </c>
      <c r="F50" s="24" t="s">
        <v>100</v>
      </c>
      <c r="G50" s="24" t="str">
        <f t="shared" si="1"/>
        <v>ДКС 01788 Кабельный короб серии TA-GN 150x60, с направляющими на основании</v>
      </c>
      <c r="H50" s="25">
        <f>$C$1*        6.27</f>
        <v>137.94</v>
      </c>
      <c r="I50" s="26"/>
      <c r="J50" s="27">
        <v>0</v>
      </c>
      <c r="K50" s="28" t="s">
        <v>27</v>
      </c>
      <c r="L50" s="14">
        <f t="shared" si="0"/>
        <v>135.18</v>
      </c>
    </row>
    <row r="51" spans="1:12" ht="10.5" customHeight="1" x14ac:dyDescent="0.25">
      <c r="A51" s="15"/>
      <c r="B51" s="16" t="s">
        <v>101</v>
      </c>
      <c r="C51" s="16"/>
      <c r="D51" s="16"/>
      <c r="E51" s="16"/>
      <c r="F51" s="17"/>
      <c r="G51" s="24" t="e">
        <f t="shared" si="1"/>
        <v>#VALUE!</v>
      </c>
      <c r="H51" s="18"/>
      <c r="I51" s="19"/>
      <c r="J51" s="20"/>
      <c r="K51" s="21"/>
      <c r="L51" s="14">
        <f t="shared" si="0"/>
        <v>0</v>
      </c>
    </row>
    <row r="52" spans="1:12" ht="10.5" customHeight="1" outlineLevel="1" x14ac:dyDescent="0.25">
      <c r="A52" s="22"/>
      <c r="B52" s="22" t="s">
        <v>83</v>
      </c>
      <c r="C52" s="22">
        <v>85036</v>
      </c>
      <c r="D52" s="23" t="s">
        <v>102</v>
      </c>
      <c r="E52" s="23" t="s">
        <v>102</v>
      </c>
      <c r="F52" s="24" t="s">
        <v>103</v>
      </c>
      <c r="G52" s="24" t="str">
        <f t="shared" si="1"/>
        <v>ДКС 00324 Кабельный короб серии TA-EN 40x40, с плоским основанием</v>
      </c>
      <c r="H52" s="25">
        <f>$C$1*        1.19</f>
        <v>26.18</v>
      </c>
      <c r="I52" s="26"/>
      <c r="J52" s="27">
        <v>0</v>
      </c>
      <c r="K52" s="28" t="s">
        <v>27</v>
      </c>
      <c r="L52" s="14">
        <f t="shared" si="0"/>
        <v>25.66</v>
      </c>
    </row>
    <row r="53" spans="1:12" ht="10.5" customHeight="1" outlineLevel="1" x14ac:dyDescent="0.25">
      <c r="A53" s="22"/>
      <c r="B53" s="22" t="s">
        <v>83</v>
      </c>
      <c r="C53" s="22">
        <v>85437</v>
      </c>
      <c r="D53" s="23" t="s">
        <v>104</v>
      </c>
      <c r="E53" s="23" t="s">
        <v>104</v>
      </c>
      <c r="F53" s="24" t="s">
        <v>105</v>
      </c>
      <c r="G53" s="24" t="str">
        <f t="shared" si="1"/>
        <v>ДКС 00868 Заглушка на торец LAN 40x40, для коробов серии TA-GN и TA-EN</v>
      </c>
      <c r="H53" s="25">
        <f>$C$1*        0.31</f>
        <v>6.82</v>
      </c>
      <c r="I53" s="26"/>
      <c r="J53" s="27">
        <v>0</v>
      </c>
      <c r="K53" s="28" t="s">
        <v>27</v>
      </c>
      <c r="L53" s="14">
        <f t="shared" si="0"/>
        <v>6.68</v>
      </c>
    </row>
    <row r="54" spans="1:12" ht="10.5" customHeight="1" outlineLevel="1" x14ac:dyDescent="0.25">
      <c r="A54" s="22"/>
      <c r="B54" s="22" t="s">
        <v>83</v>
      </c>
      <c r="C54" s="22">
        <v>85099</v>
      </c>
      <c r="D54" s="23" t="s">
        <v>106</v>
      </c>
      <c r="E54" s="23" t="s">
        <v>106</v>
      </c>
      <c r="F54" s="24" t="s">
        <v>107</v>
      </c>
      <c r="G54" s="24" t="str">
        <f t="shared" si="1"/>
        <v>ДКС 01738 Плоский угол NPAN 40x40, для коробов серии TA-GN и TA-EN</v>
      </c>
      <c r="H54" s="25">
        <f>$C$1*        0.56</f>
        <v>12.32</v>
      </c>
      <c r="I54" s="26"/>
      <c r="J54" s="27">
        <v>0</v>
      </c>
      <c r="K54" s="28" t="s">
        <v>27</v>
      </c>
      <c r="L54" s="14">
        <f t="shared" si="0"/>
        <v>12.07</v>
      </c>
    </row>
    <row r="55" spans="1:12" ht="10.5" customHeight="1" outlineLevel="1" x14ac:dyDescent="0.25">
      <c r="A55" s="22"/>
      <c r="B55" s="22" t="s">
        <v>83</v>
      </c>
      <c r="C55" s="22">
        <v>85116</v>
      </c>
      <c r="D55" s="23" t="s">
        <v>108</v>
      </c>
      <c r="E55" s="23" t="s">
        <v>108</v>
      </c>
      <c r="F55" s="24" t="s">
        <v>109</v>
      </c>
      <c r="G55" s="24" t="str">
        <f t="shared" si="1"/>
        <v>ДКС 01754 Т-образный отвод NTAN 40x40, для коробов серии TA-GN и TA-EN</v>
      </c>
      <c r="H55" s="25">
        <f>$C$1*        0.61</f>
        <v>13.42</v>
      </c>
      <c r="I55" s="26"/>
      <c r="J55" s="27">
        <v>0</v>
      </c>
      <c r="K55" s="28" t="s">
        <v>27</v>
      </c>
      <c r="L55" s="14">
        <f t="shared" si="0"/>
        <v>13.15</v>
      </c>
    </row>
    <row r="56" spans="1:12" ht="10.5" customHeight="1" x14ac:dyDescent="0.25">
      <c r="A56" s="15"/>
      <c r="B56" s="16" t="s">
        <v>110</v>
      </c>
      <c r="C56" s="16"/>
      <c r="D56" s="16"/>
      <c r="E56" s="16"/>
      <c r="F56" s="17"/>
      <c r="G56" s="24" t="e">
        <f t="shared" si="1"/>
        <v>#VALUE!</v>
      </c>
      <c r="H56" s="18"/>
      <c r="I56" s="19"/>
      <c r="J56" s="20"/>
      <c r="K56" s="21"/>
      <c r="L56" s="14">
        <f t="shared" si="0"/>
        <v>0</v>
      </c>
    </row>
    <row r="57" spans="1:12" ht="10.5" customHeight="1" outlineLevel="1" x14ac:dyDescent="0.25">
      <c r="A57" s="22"/>
      <c r="B57" s="22" t="s">
        <v>83</v>
      </c>
      <c r="C57" s="22">
        <v>85127</v>
      </c>
      <c r="D57" s="23" t="s">
        <v>111</v>
      </c>
      <c r="E57" s="23" t="s">
        <v>111</v>
      </c>
      <c r="F57" s="24" t="s">
        <v>112</v>
      </c>
      <c r="G57" s="24" t="str">
        <f t="shared" si="1"/>
        <v>ДКС 00869 Заглушка на торец LAN 60x40, для коробов серии TA-GN и TA-EN</v>
      </c>
      <c r="H57" s="25">
        <f>$C$1*        0.37</f>
        <v>8.14</v>
      </c>
      <c r="I57" s="26"/>
      <c r="J57" s="27">
        <v>0</v>
      </c>
      <c r="K57" s="28" t="s">
        <v>27</v>
      </c>
      <c r="L57" s="14">
        <f t="shared" si="0"/>
        <v>7.98</v>
      </c>
    </row>
    <row r="58" spans="1:12" ht="10.5" customHeight="1" outlineLevel="1" x14ac:dyDescent="0.25">
      <c r="A58" s="22"/>
      <c r="B58" s="22" t="s">
        <v>83</v>
      </c>
      <c r="C58" s="22">
        <v>85100</v>
      </c>
      <c r="D58" s="23" t="s">
        <v>113</v>
      </c>
      <c r="E58" s="23" t="s">
        <v>113</v>
      </c>
      <c r="F58" s="24" t="s">
        <v>114</v>
      </c>
      <c r="G58" s="24" t="str">
        <f t="shared" si="1"/>
        <v>ДКС 01739 Плоский угол NPAN 60x40, для коробов серии TA-GN и TA-EN</v>
      </c>
      <c r="H58" s="25">
        <f>$C$1*        0.98</f>
        <v>21.56</v>
      </c>
      <c r="I58" s="26"/>
      <c r="J58" s="27">
        <v>0</v>
      </c>
      <c r="K58" s="28" t="s">
        <v>27</v>
      </c>
      <c r="L58" s="14">
        <f t="shared" si="0"/>
        <v>21.13</v>
      </c>
    </row>
    <row r="59" spans="1:12" ht="10.5" customHeight="1" outlineLevel="1" x14ac:dyDescent="0.25">
      <c r="A59" s="22"/>
      <c r="B59" s="22" t="s">
        <v>83</v>
      </c>
      <c r="C59" s="22">
        <v>85117</v>
      </c>
      <c r="D59" s="23" t="s">
        <v>115</v>
      </c>
      <c r="E59" s="23" t="s">
        <v>115</v>
      </c>
      <c r="F59" s="24" t="s">
        <v>116</v>
      </c>
      <c r="G59" s="24" t="str">
        <f t="shared" si="1"/>
        <v>ДКС 01755 Т-образный отвод NTAN 60x40, для коробов серии TA-GN и TA-EN</v>
      </c>
      <c r="H59" s="25">
        <f>$C$1*        0.78</f>
        <v>17.16</v>
      </c>
      <c r="I59" s="26"/>
      <c r="J59" s="27">
        <v>0</v>
      </c>
      <c r="K59" s="28" t="s">
        <v>27</v>
      </c>
      <c r="L59" s="14">
        <f t="shared" si="0"/>
        <v>16.82</v>
      </c>
    </row>
    <row r="60" spans="1:12" ht="10.5" customHeight="1" outlineLevel="1" x14ac:dyDescent="0.25">
      <c r="A60" s="22"/>
      <c r="B60" s="22" t="s">
        <v>83</v>
      </c>
      <c r="C60" s="22">
        <v>85037</v>
      </c>
      <c r="D60" s="23" t="s">
        <v>117</v>
      </c>
      <c r="E60" s="23" t="s">
        <v>117</v>
      </c>
      <c r="F60" s="24" t="s">
        <v>118</v>
      </c>
      <c r="G60" s="24" t="str">
        <f t="shared" si="1"/>
        <v>ДКС 01780 Кабельный короб серии TA-GN 60x40, с направляющими на основании</v>
      </c>
      <c r="H60" s="25">
        <f>$C$1*        2.21</f>
        <v>48.62</v>
      </c>
      <c r="I60" s="26"/>
      <c r="J60" s="27">
        <v>0</v>
      </c>
      <c r="K60" s="28" t="s">
        <v>27</v>
      </c>
      <c r="L60" s="14">
        <f t="shared" si="0"/>
        <v>47.65</v>
      </c>
    </row>
    <row r="61" spans="1:12" ht="10.5" customHeight="1" outlineLevel="1" x14ac:dyDescent="0.25">
      <c r="A61" s="22"/>
      <c r="B61" s="22" t="s">
        <v>83</v>
      </c>
      <c r="C61" s="22">
        <v>93367</v>
      </c>
      <c r="D61" s="23" t="s">
        <v>119</v>
      </c>
      <c r="E61" s="23" t="s">
        <v>119</v>
      </c>
      <c r="F61" s="24" t="s">
        <v>120</v>
      </c>
      <c r="G61" s="24" t="str">
        <f t="shared" si="1"/>
        <v>ДКС 01823 Внутренний неизменяемый угол NIA 60x40, для коробов серии TA-GN</v>
      </c>
      <c r="H61" s="25">
        <f>$C$1*        0.8</f>
        <v>17.600000000000001</v>
      </c>
      <c r="I61" s="26"/>
      <c r="J61" s="27">
        <v>0</v>
      </c>
      <c r="K61" s="28" t="s">
        <v>27</v>
      </c>
      <c r="L61" s="14">
        <f t="shared" si="0"/>
        <v>17.25</v>
      </c>
    </row>
    <row r="62" spans="1:12" ht="10.5" customHeight="1" x14ac:dyDescent="0.25">
      <c r="A62" s="15"/>
      <c r="B62" s="16" t="s">
        <v>121</v>
      </c>
      <c r="C62" s="16"/>
      <c r="D62" s="16"/>
      <c r="E62" s="16"/>
      <c r="F62" s="17"/>
      <c r="G62" s="24" t="e">
        <f t="shared" si="1"/>
        <v>#VALUE!</v>
      </c>
      <c r="H62" s="18"/>
      <c r="I62" s="19"/>
      <c r="J62" s="20"/>
      <c r="K62" s="21"/>
      <c r="L62" s="14">
        <f t="shared" si="0"/>
        <v>0</v>
      </c>
    </row>
    <row r="63" spans="1:12" ht="10.5" customHeight="1" outlineLevel="1" x14ac:dyDescent="0.25">
      <c r="A63" s="22"/>
      <c r="B63" s="22" t="s">
        <v>83</v>
      </c>
      <c r="C63" s="22">
        <v>85128</v>
      </c>
      <c r="D63" s="23" t="s">
        <v>122</v>
      </c>
      <c r="E63" s="23" t="s">
        <v>122</v>
      </c>
      <c r="F63" s="24" t="s">
        <v>123</v>
      </c>
      <c r="G63" s="24" t="str">
        <f t="shared" si="1"/>
        <v>ДКС 00871 Заглушка на торец LAN 80x40, для коробов серии TA-GN и TA-EN</v>
      </c>
      <c r="H63" s="25">
        <f>$C$1*        0.44</f>
        <v>9.68</v>
      </c>
      <c r="I63" s="26"/>
      <c r="J63" s="27">
        <v>0</v>
      </c>
      <c r="K63" s="28" t="s">
        <v>27</v>
      </c>
      <c r="L63" s="14">
        <f t="shared" si="0"/>
        <v>9.49</v>
      </c>
    </row>
    <row r="64" spans="1:12" ht="10.5" customHeight="1" outlineLevel="1" x14ac:dyDescent="0.25">
      <c r="A64" s="22"/>
      <c r="B64" s="22" t="s">
        <v>83</v>
      </c>
      <c r="C64" s="22">
        <v>85112</v>
      </c>
      <c r="D64" s="23" t="s">
        <v>124</v>
      </c>
      <c r="E64" s="23" t="s">
        <v>124</v>
      </c>
      <c r="F64" s="24" t="s">
        <v>125</v>
      </c>
      <c r="G64" s="24" t="str">
        <f t="shared" si="1"/>
        <v>ДКС 00886 Соединение на стык GAN 80, для коробов серии TA-GN и TA-EN</v>
      </c>
      <c r="H64" s="25">
        <f>$C$1*        0.27</f>
        <v>5.94</v>
      </c>
      <c r="I64" s="26"/>
      <c r="J64" s="27">
        <v>0</v>
      </c>
      <c r="K64" s="28" t="s">
        <v>27</v>
      </c>
      <c r="L64" s="14">
        <f t="shared" si="0"/>
        <v>5.82</v>
      </c>
    </row>
    <row r="65" spans="1:12" ht="10.5" customHeight="1" outlineLevel="1" x14ac:dyDescent="0.25">
      <c r="A65" s="22"/>
      <c r="B65" s="22" t="s">
        <v>83</v>
      </c>
      <c r="C65" s="22">
        <v>85083</v>
      </c>
      <c r="D65" s="23" t="s">
        <v>126</v>
      </c>
      <c r="E65" s="23" t="s">
        <v>126</v>
      </c>
      <c r="F65" s="24" t="s">
        <v>127</v>
      </c>
      <c r="G65" s="24" t="str">
        <f t="shared" si="1"/>
        <v>ДКС 01708 Внешний изменяемый угол NEAV 80x40, для коробов серии TA-GN и TA-EN</v>
      </c>
      <c r="H65" s="25">
        <f>$C$1*        4.27</f>
        <v>93.94</v>
      </c>
      <c r="I65" s="26"/>
      <c r="J65" s="27">
        <v>0</v>
      </c>
      <c r="K65" s="28" t="s">
        <v>27</v>
      </c>
      <c r="L65" s="14">
        <f t="shared" si="0"/>
        <v>92.06</v>
      </c>
    </row>
    <row r="66" spans="1:12" ht="10.5" customHeight="1" outlineLevel="1" x14ac:dyDescent="0.25">
      <c r="A66" s="22"/>
      <c r="B66" s="22" t="s">
        <v>83</v>
      </c>
      <c r="C66" s="22">
        <v>85101</v>
      </c>
      <c r="D66" s="23" t="s">
        <v>128</v>
      </c>
      <c r="E66" s="23" t="s">
        <v>128</v>
      </c>
      <c r="F66" s="24" t="s">
        <v>129</v>
      </c>
      <c r="G66" s="24" t="str">
        <f t="shared" si="1"/>
        <v>ДКС 01740 Плоский угол NPAN 80x40, для коробов серии TA-GN и TA-EN</v>
      </c>
      <c r="H66" s="25">
        <f>$C$1*        1.12</f>
        <v>24.64</v>
      </c>
      <c r="I66" s="26"/>
      <c r="J66" s="27">
        <v>0</v>
      </c>
      <c r="K66" s="28" t="s">
        <v>27</v>
      </c>
      <c r="L66" s="14">
        <f t="shared" si="0"/>
        <v>24.15</v>
      </c>
    </row>
    <row r="67" spans="1:12" ht="10.5" customHeight="1" outlineLevel="1" x14ac:dyDescent="0.25">
      <c r="A67" s="22"/>
      <c r="B67" s="22" t="s">
        <v>83</v>
      </c>
      <c r="C67" s="22">
        <v>85118</v>
      </c>
      <c r="D67" s="23" t="s">
        <v>130</v>
      </c>
      <c r="E67" s="23" t="s">
        <v>130</v>
      </c>
      <c r="F67" s="24" t="s">
        <v>131</v>
      </c>
      <c r="G67" s="24" t="str">
        <f t="shared" si="1"/>
        <v>ДКС 01756 Т-образный отвод NTAN 80x40, для коробов серии TA-GN и TA-EN</v>
      </c>
      <c r="H67" s="25">
        <f>$C$1*        1.25</f>
        <v>27.5</v>
      </c>
      <c r="I67" s="26"/>
      <c r="J67" s="27">
        <v>0</v>
      </c>
      <c r="K67" s="28" t="s">
        <v>27</v>
      </c>
      <c r="L67" s="14">
        <f t="shared" si="0"/>
        <v>26.95</v>
      </c>
    </row>
    <row r="68" spans="1:12" ht="10.5" customHeight="1" outlineLevel="1" x14ac:dyDescent="0.25">
      <c r="A68" s="22"/>
      <c r="B68" s="22" t="s">
        <v>83</v>
      </c>
      <c r="C68" s="22">
        <v>93361</v>
      </c>
      <c r="D68" s="23" t="s">
        <v>132</v>
      </c>
      <c r="E68" s="23" t="s">
        <v>132</v>
      </c>
      <c r="F68" s="24" t="s">
        <v>133</v>
      </c>
      <c r="G68" s="24" t="str">
        <f t="shared" si="1"/>
        <v>ДКС 01808 Угол внешний неизменяемый (90°)  NEA 80x40, цвет белый RAL9001</v>
      </c>
      <c r="H68" s="25">
        <f>$C$1*        0.96</f>
        <v>21.119999999999997</v>
      </c>
      <c r="I68" s="26"/>
      <c r="J68" s="27">
        <v>0</v>
      </c>
      <c r="K68" s="28" t="s">
        <v>27</v>
      </c>
      <c r="L68" s="14">
        <f t="shared" si="0"/>
        <v>20.7</v>
      </c>
    </row>
    <row r="69" spans="1:12" ht="10.5" customHeight="1" outlineLevel="1" x14ac:dyDescent="0.25">
      <c r="A69" s="22"/>
      <c r="B69" s="22" t="s">
        <v>83</v>
      </c>
      <c r="C69" s="22">
        <v>93362</v>
      </c>
      <c r="D69" s="23" t="s">
        <v>134</v>
      </c>
      <c r="E69" s="23" t="s">
        <v>134</v>
      </c>
      <c r="F69" s="24" t="s">
        <v>135</v>
      </c>
      <c r="G69" s="24" t="str">
        <f t="shared" si="1"/>
        <v>ДКС 01824 Внутренний неизменяемый угол NIAV 80x40, для коробов серии TA-GN и TA-EN</v>
      </c>
      <c r="H69" s="25">
        <f>$C$1*        0.85</f>
        <v>18.7</v>
      </c>
      <c r="I69" s="26"/>
      <c r="J69" s="27">
        <v>0</v>
      </c>
      <c r="K69" s="28" t="s">
        <v>27</v>
      </c>
      <c r="L69" s="14">
        <f t="shared" si="0"/>
        <v>18.329999999999998</v>
      </c>
    </row>
    <row r="70" spans="1:12" ht="10.5" customHeight="1" x14ac:dyDescent="0.25">
      <c r="A70" s="15"/>
      <c r="B70" s="16" t="s">
        <v>136</v>
      </c>
      <c r="C70" s="16"/>
      <c r="D70" s="16"/>
      <c r="E70" s="16"/>
      <c r="F70" s="17"/>
      <c r="G70" s="24" t="e">
        <f t="shared" si="1"/>
        <v>#VALUE!</v>
      </c>
      <c r="H70" s="18"/>
      <c r="I70" s="19"/>
      <c r="J70" s="20"/>
      <c r="K70" s="21"/>
      <c r="L70" s="14">
        <f t="shared" ref="L70:L133" si="2">ROUND(H70*0.98,2)</f>
        <v>0</v>
      </c>
    </row>
    <row r="71" spans="1:12" ht="10.5" customHeight="1" outlineLevel="1" x14ac:dyDescent="0.25">
      <c r="A71" s="22"/>
      <c r="B71" s="22" t="s">
        <v>83</v>
      </c>
      <c r="C71" s="22">
        <v>93995</v>
      </c>
      <c r="D71" s="23" t="s">
        <v>137</v>
      </c>
      <c r="E71" s="23" t="s">
        <v>137</v>
      </c>
      <c r="F71" s="24" t="s">
        <v>138</v>
      </c>
      <c r="G71" s="24" t="str">
        <f t="shared" si="1"/>
        <v>ДКС 09501 Короб з фронтальною кришкою In-Liner Front 90x50мм RAL9016</v>
      </c>
      <c r="H71" s="25">
        <f>$C$1*        4.01</f>
        <v>88.22</v>
      </c>
      <c r="I71" s="26"/>
      <c r="J71" s="27">
        <v>0</v>
      </c>
      <c r="K71" s="28" t="s">
        <v>27</v>
      </c>
      <c r="L71" s="14">
        <f t="shared" si="2"/>
        <v>86.46</v>
      </c>
    </row>
    <row r="72" spans="1:12" ht="10.5" customHeight="1" x14ac:dyDescent="0.25">
      <c r="A72" s="15"/>
      <c r="B72" s="16" t="s">
        <v>139</v>
      </c>
      <c r="C72" s="16"/>
      <c r="D72" s="16"/>
      <c r="E72" s="16"/>
      <c r="F72" s="17"/>
      <c r="G72" s="24" t="e">
        <f t="shared" ref="G72:G135" si="3">REPLACE(F72,SEARCH(" ",F72)+1,0,D72&amp;" ")</f>
        <v>#VALUE!</v>
      </c>
      <c r="H72" s="18"/>
      <c r="I72" s="19"/>
      <c r="J72" s="20"/>
      <c r="K72" s="21"/>
      <c r="L72" s="14">
        <f t="shared" si="2"/>
        <v>0</v>
      </c>
    </row>
    <row r="73" spans="1:12" ht="10.5" customHeight="1" outlineLevel="1" x14ac:dyDescent="0.25">
      <c r="A73" s="22"/>
      <c r="B73" s="22" t="s">
        <v>83</v>
      </c>
      <c r="C73" s="22">
        <v>92848</v>
      </c>
      <c r="D73" s="23" t="s">
        <v>140</v>
      </c>
      <c r="E73" s="23" t="s">
        <v>140</v>
      </c>
      <c r="F73" s="24" t="s">
        <v>141</v>
      </c>
      <c r="G73" s="24" t="str">
        <f t="shared" si="3"/>
        <v>ДКС 10034 Коробка монтажная PDB под 2 модуля Brava, цвет белый RAL9016</v>
      </c>
      <c r="H73" s="25">
        <f>$C$1*        0.89</f>
        <v>19.580000000000002</v>
      </c>
      <c r="I73" s="26"/>
      <c r="J73" s="27">
        <v>0</v>
      </c>
      <c r="K73" s="28" t="s">
        <v>27</v>
      </c>
      <c r="L73" s="14">
        <f t="shared" si="2"/>
        <v>19.190000000000001</v>
      </c>
    </row>
    <row r="74" spans="1:12" ht="10.5" customHeight="1" outlineLevel="1" x14ac:dyDescent="0.25">
      <c r="A74" s="22"/>
      <c r="B74" s="22" t="s">
        <v>83</v>
      </c>
      <c r="C74" s="22">
        <v>93360</v>
      </c>
      <c r="D74" s="23" t="s">
        <v>142</v>
      </c>
      <c r="E74" s="23" t="s">
        <v>142</v>
      </c>
      <c r="F74" s="24" t="s">
        <v>143</v>
      </c>
      <c r="G74" s="24" t="str">
        <f t="shared" si="3"/>
        <v>ДКС 10123 Коробка монтажная PDD-N 60 универсальная, цвет белый RAL9016</v>
      </c>
      <c r="H74" s="25">
        <f>$C$1*        2.05</f>
        <v>45.099999999999994</v>
      </c>
      <c r="I74" s="26"/>
      <c r="J74" s="27">
        <v>0</v>
      </c>
      <c r="K74" s="28" t="s">
        <v>27</v>
      </c>
      <c r="L74" s="14">
        <f t="shared" si="2"/>
        <v>44.2</v>
      </c>
    </row>
    <row r="75" spans="1:12" ht="10.5" customHeight="1" outlineLevel="1" x14ac:dyDescent="0.25">
      <c r="A75" s="22"/>
      <c r="B75" s="22" t="s">
        <v>83</v>
      </c>
      <c r="C75" s="22">
        <v>93374</v>
      </c>
      <c r="D75" s="23" t="s">
        <v>144</v>
      </c>
      <c r="E75" s="23" t="s">
        <v>144</v>
      </c>
      <c r="F75" s="24" t="s">
        <v>145</v>
      </c>
      <c r="G75" s="24" t="str">
        <f t="shared" si="3"/>
        <v>ДКС 75010W Рамка на 2 модуля (одноместная) Brava, цвет белый RAL9010</v>
      </c>
      <c r="H75" s="25">
        <f>$C$1*        0.4</f>
        <v>8.8000000000000007</v>
      </c>
      <c r="I75" s="26"/>
      <c r="J75" s="27">
        <v>0</v>
      </c>
      <c r="K75" s="28" t="s">
        <v>27</v>
      </c>
      <c r="L75" s="14">
        <f t="shared" si="2"/>
        <v>8.6199999999999992</v>
      </c>
    </row>
    <row r="76" spans="1:12" ht="10.5" customHeight="1" outlineLevel="1" x14ac:dyDescent="0.25">
      <c r="A76" s="22"/>
      <c r="B76" s="22" t="s">
        <v>83</v>
      </c>
      <c r="C76" s="22">
        <v>93375</v>
      </c>
      <c r="D76" s="23" t="s">
        <v>146</v>
      </c>
      <c r="E76" s="23" t="s">
        <v>146</v>
      </c>
      <c r="F76" s="24" t="s">
        <v>147</v>
      </c>
      <c r="G76" s="24" t="str">
        <f t="shared" si="3"/>
        <v>ДКС 75011W Рамка на 4 модуля Brava, цвет белый RAL9010</v>
      </c>
      <c r="H76" s="25">
        <f>$C$1*        0.68</f>
        <v>14.96</v>
      </c>
      <c r="I76" s="26"/>
      <c r="J76" s="27">
        <v>0</v>
      </c>
      <c r="K76" s="28" t="s">
        <v>27</v>
      </c>
      <c r="L76" s="14">
        <f t="shared" si="2"/>
        <v>14.66</v>
      </c>
    </row>
    <row r="77" spans="1:12" ht="10.5" customHeight="1" outlineLevel="1" x14ac:dyDescent="0.25">
      <c r="A77" s="22"/>
      <c r="B77" s="22" t="s">
        <v>83</v>
      </c>
      <c r="C77" s="22">
        <v>93373</v>
      </c>
      <c r="D77" s="23" t="s">
        <v>148</v>
      </c>
      <c r="E77" s="23" t="s">
        <v>148</v>
      </c>
      <c r="F77" s="24" t="s">
        <v>149</v>
      </c>
      <c r="G77" s="24" t="str">
        <f t="shared" si="3"/>
        <v>ДКС 75021W Каркас на 4 модуля (двухместный) Brava, цвет белый RAL9010</v>
      </c>
      <c r="H77" s="25">
        <f>$C$1*        0.81</f>
        <v>17.82</v>
      </c>
      <c r="I77" s="26"/>
      <c r="J77" s="27">
        <v>0</v>
      </c>
      <c r="K77" s="28" t="s">
        <v>27</v>
      </c>
      <c r="L77" s="14">
        <f t="shared" si="2"/>
        <v>17.46</v>
      </c>
    </row>
    <row r="78" spans="1:12" ht="10.5" customHeight="1" outlineLevel="1" x14ac:dyDescent="0.25">
      <c r="A78" s="22"/>
      <c r="B78" s="22" t="s">
        <v>83</v>
      </c>
      <c r="C78" s="22">
        <v>93372</v>
      </c>
      <c r="D78" s="23" t="s">
        <v>150</v>
      </c>
      <c r="E78" s="23" t="s">
        <v>150</v>
      </c>
      <c r="F78" s="24" t="s">
        <v>151</v>
      </c>
      <c r="G78" s="24" t="str">
        <f t="shared" si="3"/>
        <v>ДКС 75023W Каркас на 2 модуля 1-местный, без винтов и лапок, под коробки PDD-N60, цвет белый</v>
      </c>
      <c r="H78" s="25">
        <f>$C$1*        0.51</f>
        <v>11.22</v>
      </c>
      <c r="I78" s="26"/>
      <c r="J78" s="27">
        <v>0</v>
      </c>
      <c r="K78" s="28" t="s">
        <v>27</v>
      </c>
      <c r="L78" s="14">
        <f t="shared" si="2"/>
        <v>11</v>
      </c>
    </row>
    <row r="79" spans="1:12" ht="10.5" customHeight="1" outlineLevel="1" x14ac:dyDescent="0.25">
      <c r="A79" s="22"/>
      <c r="B79" s="22" t="s">
        <v>83</v>
      </c>
      <c r="C79" s="22">
        <v>93990</v>
      </c>
      <c r="D79" s="23" t="s">
        <v>152</v>
      </c>
      <c r="E79" s="23" t="s">
        <v>152</v>
      </c>
      <c r="F79" s="24" t="s">
        <v>153</v>
      </c>
      <c r="G79" s="24" t="str">
        <f t="shared" si="3"/>
        <v>ДКС F0000MB Каркас под 2 модуля Brava, черный RAL9016</v>
      </c>
      <c r="H79" s="25">
        <f>$C$1*        0.3</f>
        <v>6.6</v>
      </c>
      <c r="I79" s="26"/>
      <c r="J79" s="27">
        <v>0</v>
      </c>
      <c r="K79" s="28" t="s">
        <v>27</v>
      </c>
      <c r="L79" s="14">
        <f t="shared" si="2"/>
        <v>6.47</v>
      </c>
    </row>
    <row r="80" spans="1:12" ht="10.5" customHeight="1" x14ac:dyDescent="0.25">
      <c r="A80" s="15"/>
      <c r="B80" s="16" t="s">
        <v>154</v>
      </c>
      <c r="C80" s="16"/>
      <c r="D80" s="16"/>
      <c r="E80" s="16"/>
      <c r="F80" s="17"/>
      <c r="G80" s="24" t="e">
        <f t="shared" si="3"/>
        <v>#VALUE!</v>
      </c>
      <c r="H80" s="18"/>
      <c r="I80" s="19"/>
      <c r="J80" s="20"/>
      <c r="K80" s="21"/>
      <c r="L80" s="14">
        <f t="shared" si="2"/>
        <v>0</v>
      </c>
    </row>
    <row r="81" spans="1:12" ht="10.5" customHeight="1" outlineLevel="1" x14ac:dyDescent="0.25">
      <c r="A81" s="22"/>
      <c r="B81" s="22" t="s">
        <v>83</v>
      </c>
      <c r="C81" s="22">
        <v>85052</v>
      </c>
      <c r="D81" s="23" t="s">
        <v>155</v>
      </c>
      <c r="E81" s="23" t="s">
        <v>155</v>
      </c>
      <c r="F81" s="24" t="s">
        <v>156</v>
      </c>
      <c r="G81" s="24" t="str">
        <f t="shared" si="3"/>
        <v>ДКС 00386 Угол внутренний AIM для миниканала 22x10</v>
      </c>
      <c r="H81" s="25">
        <f>$C$1*        0.21</f>
        <v>4.62</v>
      </c>
      <c r="I81" s="26"/>
      <c r="J81" s="27">
        <v>0</v>
      </c>
      <c r="K81" s="28" t="s">
        <v>27</v>
      </c>
      <c r="L81" s="14">
        <f t="shared" si="2"/>
        <v>4.53</v>
      </c>
    </row>
    <row r="82" spans="1:12" ht="10.5" customHeight="1" outlineLevel="1" x14ac:dyDescent="0.25">
      <c r="A82" s="22"/>
      <c r="B82" s="22" t="s">
        <v>83</v>
      </c>
      <c r="C82" s="22">
        <v>85047</v>
      </c>
      <c r="D82" s="23" t="s">
        <v>157</v>
      </c>
      <c r="E82" s="23" t="s">
        <v>157</v>
      </c>
      <c r="F82" s="24" t="s">
        <v>158</v>
      </c>
      <c r="G82" s="24" t="str">
        <f t="shared" si="3"/>
        <v>ДКС 00396 Угол внешний AEM для миниканала 22x10</v>
      </c>
      <c r="H82" s="25">
        <f>$C$1*        0.2</f>
        <v>4.4000000000000004</v>
      </c>
      <c r="I82" s="26"/>
      <c r="J82" s="27">
        <v>0</v>
      </c>
      <c r="K82" s="28" t="s">
        <v>27</v>
      </c>
      <c r="L82" s="14">
        <f t="shared" si="2"/>
        <v>4.3099999999999996</v>
      </c>
    </row>
    <row r="83" spans="1:12" ht="10.5" customHeight="1" outlineLevel="1" x14ac:dyDescent="0.25">
      <c r="A83" s="22"/>
      <c r="B83" s="22" t="s">
        <v>83</v>
      </c>
      <c r="C83" s="22">
        <v>85057</v>
      </c>
      <c r="D83" s="23" t="s">
        <v>159</v>
      </c>
      <c r="E83" s="23" t="s">
        <v>159</v>
      </c>
      <c r="F83" s="24" t="s">
        <v>160</v>
      </c>
      <c r="G83" s="24" t="str">
        <f t="shared" si="3"/>
        <v>ДКС 00407 Угол плоский APM для миниканала 22x10</v>
      </c>
      <c r="H83" s="25">
        <f>$C$1*        0.21</f>
        <v>4.62</v>
      </c>
      <c r="I83" s="26"/>
      <c r="J83" s="27">
        <v>0</v>
      </c>
      <c r="K83" s="28" t="s">
        <v>27</v>
      </c>
      <c r="L83" s="14">
        <f t="shared" si="2"/>
        <v>4.53</v>
      </c>
    </row>
    <row r="84" spans="1:12" ht="10.5" customHeight="1" outlineLevel="1" x14ac:dyDescent="0.25">
      <c r="A84" s="22"/>
      <c r="B84" s="22" t="s">
        <v>83</v>
      </c>
      <c r="C84" s="22">
        <v>85073</v>
      </c>
      <c r="D84" s="23" t="s">
        <v>161</v>
      </c>
      <c r="E84" s="23" t="s">
        <v>161</v>
      </c>
      <c r="F84" s="24" t="s">
        <v>162</v>
      </c>
      <c r="G84" s="24" t="str">
        <f t="shared" si="3"/>
        <v>ДКС 00580 Заглушка на торец LM для миниканала 22x10</v>
      </c>
      <c r="H84" s="25">
        <f>$C$1*        0.18</f>
        <v>3.96</v>
      </c>
      <c r="I84" s="26"/>
      <c r="J84" s="27">
        <v>0</v>
      </c>
      <c r="K84" s="28" t="s">
        <v>27</v>
      </c>
      <c r="L84" s="14">
        <f t="shared" si="2"/>
        <v>3.88</v>
      </c>
    </row>
    <row r="85" spans="1:12" ht="10.5" customHeight="1" x14ac:dyDescent="0.25">
      <c r="A85" s="15"/>
      <c r="B85" s="16" t="s">
        <v>163</v>
      </c>
      <c r="C85" s="16"/>
      <c r="D85" s="16"/>
      <c r="E85" s="16"/>
      <c r="F85" s="17"/>
      <c r="G85" s="24" t="e">
        <f t="shared" si="3"/>
        <v>#VALUE!</v>
      </c>
      <c r="H85" s="18"/>
      <c r="I85" s="19"/>
      <c r="J85" s="20"/>
      <c r="K85" s="21"/>
      <c r="L85" s="14">
        <f t="shared" si="2"/>
        <v>0</v>
      </c>
    </row>
    <row r="86" spans="1:12" ht="10.5" customHeight="1" outlineLevel="1" x14ac:dyDescent="0.25">
      <c r="A86" s="22"/>
      <c r="B86" s="22" t="s">
        <v>83</v>
      </c>
      <c r="C86" s="22">
        <v>85420</v>
      </c>
      <c r="D86" s="23" t="s">
        <v>164</v>
      </c>
      <c r="E86" s="23" t="s">
        <v>164</v>
      </c>
      <c r="F86" s="24" t="s">
        <v>165</v>
      </c>
      <c r="G86" s="24" t="str">
        <f t="shared" si="3"/>
        <v>ДКС 00391 Угол внутренний AIM для миниканала 25x17</v>
      </c>
      <c r="H86" s="25">
        <f>$C$1*        0.26</f>
        <v>5.7200000000000006</v>
      </c>
      <c r="I86" s="26"/>
      <c r="J86" s="27">
        <v>0</v>
      </c>
      <c r="K86" s="28" t="s">
        <v>27</v>
      </c>
      <c r="L86" s="14">
        <f t="shared" si="2"/>
        <v>5.61</v>
      </c>
    </row>
    <row r="87" spans="1:12" ht="10.5" customHeight="1" outlineLevel="1" x14ac:dyDescent="0.25">
      <c r="A87" s="22"/>
      <c r="B87" s="22" t="s">
        <v>83</v>
      </c>
      <c r="C87" s="22">
        <v>85419</v>
      </c>
      <c r="D87" s="23" t="s">
        <v>166</v>
      </c>
      <c r="E87" s="23" t="s">
        <v>166</v>
      </c>
      <c r="F87" s="24" t="s">
        <v>167</v>
      </c>
      <c r="G87" s="24" t="str">
        <f t="shared" si="3"/>
        <v>ДКС 00404 Угол внешний AEM для миниканала 25x17</v>
      </c>
      <c r="H87" s="25">
        <f>$C$1*        0.27</f>
        <v>5.94</v>
      </c>
      <c r="I87" s="26"/>
      <c r="J87" s="27">
        <v>0</v>
      </c>
      <c r="K87" s="28" t="s">
        <v>27</v>
      </c>
      <c r="L87" s="14">
        <f t="shared" si="2"/>
        <v>5.82</v>
      </c>
    </row>
    <row r="88" spans="1:12" ht="10.5" customHeight="1" outlineLevel="1" x14ac:dyDescent="0.25">
      <c r="A88" s="22"/>
      <c r="B88" s="22" t="s">
        <v>83</v>
      </c>
      <c r="C88" s="22">
        <v>85065</v>
      </c>
      <c r="D88" s="23" t="s">
        <v>168</v>
      </c>
      <c r="E88" s="23" t="s">
        <v>168</v>
      </c>
      <c r="F88" s="24" t="s">
        <v>169</v>
      </c>
      <c r="G88" s="24" t="str">
        <f t="shared" si="3"/>
        <v>ДКС 00591 Соединение на стык GM для миниканала 25x17</v>
      </c>
      <c r="H88" s="25">
        <f>$C$1*        0.8</f>
        <v>17.600000000000001</v>
      </c>
      <c r="I88" s="26"/>
      <c r="J88" s="27">
        <v>0</v>
      </c>
      <c r="K88" s="28" t="s">
        <v>27</v>
      </c>
      <c r="L88" s="14">
        <f t="shared" si="2"/>
        <v>17.25</v>
      </c>
    </row>
    <row r="89" spans="1:12" ht="10.5" customHeight="1" x14ac:dyDescent="0.25">
      <c r="A89" s="15"/>
      <c r="B89" s="16" t="s">
        <v>170</v>
      </c>
      <c r="C89" s="16"/>
      <c r="D89" s="16"/>
      <c r="E89" s="16"/>
      <c r="F89" s="17"/>
      <c r="G89" s="24" t="e">
        <f t="shared" si="3"/>
        <v>#VALUE!</v>
      </c>
      <c r="H89" s="18"/>
      <c r="I89" s="19"/>
      <c r="J89" s="20"/>
      <c r="K89" s="21"/>
      <c r="L89" s="14">
        <f t="shared" si="2"/>
        <v>0</v>
      </c>
    </row>
    <row r="90" spans="1:12" ht="10.5" customHeight="1" outlineLevel="1" x14ac:dyDescent="0.25">
      <c r="A90" s="22"/>
      <c r="B90" s="22" t="s">
        <v>83</v>
      </c>
      <c r="C90" s="22">
        <v>85055</v>
      </c>
      <c r="D90" s="23" t="s">
        <v>171</v>
      </c>
      <c r="E90" s="23" t="s">
        <v>171</v>
      </c>
      <c r="F90" s="24" t="s">
        <v>172</v>
      </c>
      <c r="G90" s="24" t="str">
        <f t="shared" si="3"/>
        <v>ДКС 00395 Угол внутренний AIM для миниканала 40x17</v>
      </c>
      <c r="H90" s="25">
        <f>$C$1*        0.31</f>
        <v>6.82</v>
      </c>
      <c r="I90" s="26"/>
      <c r="J90" s="27">
        <v>0</v>
      </c>
      <c r="K90" s="28" t="s">
        <v>27</v>
      </c>
      <c r="L90" s="14">
        <f t="shared" si="2"/>
        <v>6.68</v>
      </c>
    </row>
    <row r="91" spans="1:12" ht="10.5" customHeight="1" outlineLevel="1" x14ac:dyDescent="0.25">
      <c r="A91" s="22"/>
      <c r="B91" s="22" t="s">
        <v>83</v>
      </c>
      <c r="C91" s="22">
        <v>85050</v>
      </c>
      <c r="D91" s="23" t="s">
        <v>173</v>
      </c>
      <c r="E91" s="23" t="s">
        <v>173</v>
      </c>
      <c r="F91" s="24" t="s">
        <v>174</v>
      </c>
      <c r="G91" s="24" t="str">
        <f t="shared" si="3"/>
        <v>ДКС 00406 Угол внешний AEM для миниканала 40x17</v>
      </c>
      <c r="H91" s="25">
        <f>$C$1*        0.3</f>
        <v>6.6</v>
      </c>
      <c r="I91" s="26"/>
      <c r="J91" s="27">
        <v>0</v>
      </c>
      <c r="K91" s="28" t="s">
        <v>27</v>
      </c>
      <c r="L91" s="14">
        <f t="shared" si="2"/>
        <v>6.47</v>
      </c>
    </row>
    <row r="92" spans="1:12" ht="10.5" customHeight="1" outlineLevel="1" x14ac:dyDescent="0.25">
      <c r="A92" s="22"/>
      <c r="B92" s="22" t="s">
        <v>83</v>
      </c>
      <c r="C92" s="22">
        <v>85060</v>
      </c>
      <c r="D92" s="23" t="s">
        <v>175</v>
      </c>
      <c r="E92" s="23" t="s">
        <v>175</v>
      </c>
      <c r="F92" s="24" t="s">
        <v>176</v>
      </c>
      <c r="G92" s="24" t="str">
        <f t="shared" si="3"/>
        <v>ДКС 00425 Угол плоский APM для миниканала 40x17</v>
      </c>
      <c r="H92" s="25">
        <f>$C$1*        0.33</f>
        <v>7.2600000000000007</v>
      </c>
      <c r="I92" s="26"/>
      <c r="J92" s="27">
        <v>0</v>
      </c>
      <c r="K92" s="28" t="s">
        <v>27</v>
      </c>
      <c r="L92" s="14">
        <f t="shared" si="2"/>
        <v>7.11</v>
      </c>
    </row>
    <row r="93" spans="1:12" ht="10.5" customHeight="1" outlineLevel="1" x14ac:dyDescent="0.25">
      <c r="A93" s="22"/>
      <c r="B93" s="22" t="s">
        <v>83</v>
      </c>
      <c r="C93" s="22">
        <v>85422</v>
      </c>
      <c r="D93" s="23" t="s">
        <v>177</v>
      </c>
      <c r="E93" s="23" t="s">
        <v>177</v>
      </c>
      <c r="F93" s="24" t="s">
        <v>178</v>
      </c>
      <c r="G93" s="24" t="str">
        <f t="shared" si="3"/>
        <v>ДКС 00541 Тройной отвод IM для миниканала 40x17</v>
      </c>
      <c r="H93" s="25">
        <f>$C$1*        0.35</f>
        <v>7.6999999999999993</v>
      </c>
      <c r="I93" s="26"/>
      <c r="J93" s="27">
        <v>0</v>
      </c>
      <c r="K93" s="28" t="s">
        <v>27</v>
      </c>
      <c r="L93" s="14">
        <f t="shared" si="2"/>
        <v>7.55</v>
      </c>
    </row>
    <row r="94" spans="1:12" ht="10.5" customHeight="1" outlineLevel="1" x14ac:dyDescent="0.25">
      <c r="A94" s="22"/>
      <c r="B94" s="22" t="s">
        <v>83</v>
      </c>
      <c r="C94" s="22">
        <v>85076</v>
      </c>
      <c r="D94" s="23" t="s">
        <v>179</v>
      </c>
      <c r="E94" s="23" t="s">
        <v>179</v>
      </c>
      <c r="F94" s="24" t="s">
        <v>180</v>
      </c>
      <c r="G94" s="24" t="str">
        <f t="shared" si="3"/>
        <v>ДКС 00579 Заглушка на торец LM для миниканала 40x17</v>
      </c>
      <c r="H94" s="25">
        <f>$C$1*        0.2</f>
        <v>4.4000000000000004</v>
      </c>
      <c r="I94" s="26"/>
      <c r="J94" s="27">
        <v>0</v>
      </c>
      <c r="K94" s="28" t="s">
        <v>27</v>
      </c>
      <c r="L94" s="14">
        <f t="shared" si="2"/>
        <v>4.3099999999999996</v>
      </c>
    </row>
    <row r="95" spans="1:12" ht="10.5" customHeight="1" outlineLevel="1" x14ac:dyDescent="0.25">
      <c r="A95" s="22"/>
      <c r="B95" s="22" t="s">
        <v>83</v>
      </c>
      <c r="C95" s="22">
        <v>85066</v>
      </c>
      <c r="D95" s="23" t="s">
        <v>181</v>
      </c>
      <c r="E95" s="23" t="s">
        <v>181</v>
      </c>
      <c r="F95" s="24" t="s">
        <v>182</v>
      </c>
      <c r="G95" s="24" t="str">
        <f t="shared" si="3"/>
        <v>ДКС 00597 Соединение на стык GM для миниканала 40x17</v>
      </c>
      <c r="H95" s="25">
        <f>$C$1*        1.01</f>
        <v>22.22</v>
      </c>
      <c r="I95" s="26"/>
      <c r="J95" s="27">
        <v>0</v>
      </c>
      <c r="K95" s="28" t="s">
        <v>27</v>
      </c>
      <c r="L95" s="14">
        <f t="shared" si="2"/>
        <v>21.78</v>
      </c>
    </row>
    <row r="96" spans="1:12" ht="10.5" customHeight="1" x14ac:dyDescent="0.25">
      <c r="A96" s="15"/>
      <c r="B96" s="16" t="s">
        <v>183</v>
      </c>
      <c r="C96" s="16"/>
      <c r="D96" s="16"/>
      <c r="E96" s="16"/>
      <c r="F96" s="17"/>
      <c r="G96" s="24" t="e">
        <f t="shared" si="3"/>
        <v>#VALUE!</v>
      </c>
      <c r="H96" s="18"/>
      <c r="I96" s="19"/>
      <c r="J96" s="20"/>
      <c r="K96" s="21"/>
      <c r="L96" s="14">
        <f t="shared" si="2"/>
        <v>0</v>
      </c>
    </row>
    <row r="97" spans="1:12" ht="10.5" customHeight="1" outlineLevel="1" x14ac:dyDescent="0.25">
      <c r="A97" s="22"/>
      <c r="B97" s="22" t="s">
        <v>83</v>
      </c>
      <c r="C97" s="22">
        <v>85077</v>
      </c>
      <c r="D97" s="23" t="s">
        <v>184</v>
      </c>
      <c r="E97" s="23" t="s">
        <v>184</v>
      </c>
      <c r="F97" s="24" t="s">
        <v>185</v>
      </c>
      <c r="G97" s="24" t="str">
        <f t="shared" si="3"/>
        <v>ДКС 00651 Заглушка на торец LM для миниканала 50x20</v>
      </c>
      <c r="H97" s="25">
        <f>$C$1*        0.21</f>
        <v>4.62</v>
      </c>
      <c r="I97" s="26"/>
      <c r="J97" s="27">
        <v>0</v>
      </c>
      <c r="K97" s="28" t="s">
        <v>27</v>
      </c>
      <c r="L97" s="14">
        <f t="shared" si="2"/>
        <v>4.53</v>
      </c>
    </row>
    <row r="98" spans="1:12" ht="10.5" customHeight="1" outlineLevel="1" x14ac:dyDescent="0.25">
      <c r="A98" s="22"/>
      <c r="B98" s="22" t="s">
        <v>83</v>
      </c>
      <c r="C98" s="22">
        <v>85072</v>
      </c>
      <c r="D98" s="23" t="s">
        <v>186</v>
      </c>
      <c r="E98" s="23" t="s">
        <v>186</v>
      </c>
      <c r="F98" s="24" t="s">
        <v>187</v>
      </c>
      <c r="G98" s="24" t="str">
        <f t="shared" si="3"/>
        <v>ДКС 00652 Тройной отвод IM для миниканала 50x20</v>
      </c>
      <c r="H98" s="25">
        <f>$C$1*        0.37</f>
        <v>8.14</v>
      </c>
      <c r="I98" s="26"/>
      <c r="J98" s="27">
        <v>0</v>
      </c>
      <c r="K98" s="28" t="s">
        <v>27</v>
      </c>
      <c r="L98" s="14">
        <f t="shared" si="2"/>
        <v>7.98</v>
      </c>
    </row>
    <row r="99" spans="1:12" ht="10.5" customHeight="1" outlineLevel="1" x14ac:dyDescent="0.25">
      <c r="A99" s="22"/>
      <c r="B99" s="22" t="s">
        <v>83</v>
      </c>
      <c r="C99" s="22">
        <v>85061</v>
      </c>
      <c r="D99" s="23" t="s">
        <v>188</v>
      </c>
      <c r="E99" s="23" t="s">
        <v>188</v>
      </c>
      <c r="F99" s="24" t="s">
        <v>189</v>
      </c>
      <c r="G99" s="24" t="str">
        <f t="shared" si="3"/>
        <v>ДКС 00654 Угол плоский APM для миниканала 50x20</v>
      </c>
      <c r="H99" s="25">
        <f>$C$1*        0.38</f>
        <v>8.36</v>
      </c>
      <c r="I99" s="26"/>
      <c r="J99" s="27">
        <v>0</v>
      </c>
      <c r="K99" s="28" t="s">
        <v>27</v>
      </c>
      <c r="L99" s="14">
        <f t="shared" si="2"/>
        <v>8.19</v>
      </c>
    </row>
    <row r="100" spans="1:12" ht="10.5" customHeight="1" outlineLevel="1" x14ac:dyDescent="0.25">
      <c r="A100" s="22"/>
      <c r="B100" s="22" t="s">
        <v>83</v>
      </c>
      <c r="C100" s="22">
        <v>85056</v>
      </c>
      <c r="D100" s="23" t="s">
        <v>190</v>
      </c>
      <c r="E100" s="23" t="s">
        <v>190</v>
      </c>
      <c r="F100" s="24" t="s">
        <v>191</v>
      </c>
      <c r="G100" s="24" t="str">
        <f t="shared" si="3"/>
        <v>ДКС 00655 Угол внутренний AIM для миниканала 50x20</v>
      </c>
      <c r="H100" s="25">
        <f>$C$1*        0.35</f>
        <v>7.6999999999999993</v>
      </c>
      <c r="I100" s="26"/>
      <c r="J100" s="27">
        <v>0</v>
      </c>
      <c r="K100" s="28" t="s">
        <v>27</v>
      </c>
      <c r="L100" s="14">
        <f t="shared" si="2"/>
        <v>7.55</v>
      </c>
    </row>
    <row r="101" spans="1:12" ht="10.5" customHeight="1" outlineLevel="1" x14ac:dyDescent="0.25">
      <c r="A101" s="22"/>
      <c r="B101" s="22" t="s">
        <v>83</v>
      </c>
      <c r="C101" s="22">
        <v>85051</v>
      </c>
      <c r="D101" s="23" t="s">
        <v>192</v>
      </c>
      <c r="E101" s="23" t="s">
        <v>192</v>
      </c>
      <c r="F101" s="24" t="s">
        <v>193</v>
      </c>
      <c r="G101" s="24" t="str">
        <f t="shared" si="3"/>
        <v>ДКС 00656 Угол внешний AEM для миниканала 50x20</v>
      </c>
      <c r="H101" s="25">
        <f>$C$1*        0.35</f>
        <v>7.6999999999999993</v>
      </c>
      <c r="I101" s="26"/>
      <c r="J101" s="27">
        <v>0</v>
      </c>
      <c r="K101" s="28" t="s">
        <v>27</v>
      </c>
      <c r="L101" s="14">
        <f t="shared" si="2"/>
        <v>7.55</v>
      </c>
    </row>
    <row r="102" spans="1:12" ht="10.5" customHeight="1" x14ac:dyDescent="0.25">
      <c r="A102" s="15"/>
      <c r="B102" s="16" t="s">
        <v>194</v>
      </c>
      <c r="C102" s="16"/>
      <c r="D102" s="16"/>
      <c r="E102" s="16"/>
      <c r="F102" s="17"/>
      <c r="G102" s="24" t="e">
        <f t="shared" si="3"/>
        <v>#VALUE!</v>
      </c>
      <c r="H102" s="18"/>
      <c r="I102" s="19"/>
      <c r="J102" s="20"/>
      <c r="K102" s="21"/>
      <c r="L102" s="14">
        <f t="shared" si="2"/>
        <v>0</v>
      </c>
    </row>
    <row r="103" spans="1:12" ht="10.5" customHeight="1" outlineLevel="1" x14ac:dyDescent="0.25">
      <c r="A103" s="22"/>
      <c r="B103" s="22" t="s">
        <v>83</v>
      </c>
      <c r="C103" s="22">
        <v>93505</v>
      </c>
      <c r="D103" s="23" t="s">
        <v>195</v>
      </c>
      <c r="E103" s="23" t="s">
        <v>195</v>
      </c>
      <c r="F103" s="24" t="s">
        <v>196</v>
      </c>
      <c r="G103" s="24" t="str">
        <f t="shared" si="3"/>
        <v>ДКС 00563 Рамка-суппорт PDA3-45N 80 под 6 модулей 45х45мм, цвет белый RAL9001</v>
      </c>
      <c r="H103" s="25">
        <f>$C$1*        1.57</f>
        <v>34.54</v>
      </c>
      <c r="I103" s="26"/>
      <c r="J103" s="27">
        <v>0</v>
      </c>
      <c r="K103" s="28" t="s">
        <v>27</v>
      </c>
      <c r="L103" s="14">
        <f t="shared" si="2"/>
        <v>33.85</v>
      </c>
    </row>
    <row r="104" spans="1:12" ht="10.5" customHeight="1" outlineLevel="1" x14ac:dyDescent="0.25">
      <c r="A104" s="22"/>
      <c r="B104" s="22" t="s">
        <v>83</v>
      </c>
      <c r="C104" s="22">
        <v>93363</v>
      </c>
      <c r="D104" s="23" t="s">
        <v>197</v>
      </c>
      <c r="E104" s="23" t="s">
        <v>197</v>
      </c>
      <c r="F104" s="24" t="s">
        <v>198</v>
      </c>
      <c r="G104" s="24" t="str">
        <f t="shared" si="3"/>
        <v>ДКС 07713R Фиксатор кабеля TR-ER 80</v>
      </c>
      <c r="H104" s="25">
        <f>$C$1*        0.14</f>
        <v>3.08</v>
      </c>
      <c r="I104" s="26"/>
      <c r="J104" s="27">
        <v>0</v>
      </c>
      <c r="K104" s="28" t="s">
        <v>27</v>
      </c>
      <c r="L104" s="14">
        <f t="shared" si="2"/>
        <v>3.02</v>
      </c>
    </row>
    <row r="105" spans="1:12" ht="10.5" customHeight="1" outlineLevel="1" x14ac:dyDescent="0.25">
      <c r="A105" s="22"/>
      <c r="B105" s="22" t="s">
        <v>83</v>
      </c>
      <c r="C105" s="22">
        <v>94313</v>
      </c>
      <c r="D105" s="23" t="s">
        <v>199</v>
      </c>
      <c r="E105" s="23" t="s">
        <v>199</v>
      </c>
      <c r="F105" s="24" t="s">
        <v>200</v>
      </c>
      <c r="G105" s="24" t="str">
        <f t="shared" si="3"/>
        <v>ДКС 07714 Фиксатор кабеля TR-E 100</v>
      </c>
      <c r="H105" s="25">
        <f>$C$1*        1.19</f>
        <v>26.18</v>
      </c>
      <c r="I105" s="26"/>
      <c r="J105" s="27">
        <v>0</v>
      </c>
      <c r="K105" s="28" t="s">
        <v>27</v>
      </c>
      <c r="L105" s="14">
        <f t="shared" si="2"/>
        <v>25.66</v>
      </c>
    </row>
    <row r="106" spans="1:12" ht="10.5" customHeight="1" outlineLevel="1" x14ac:dyDescent="0.25">
      <c r="A106" s="22"/>
      <c r="B106" s="22" t="s">
        <v>83</v>
      </c>
      <c r="C106" s="22">
        <v>93058</v>
      </c>
      <c r="D106" s="23" t="s">
        <v>201</v>
      </c>
      <c r="E106" s="23" t="s">
        <v>201</v>
      </c>
      <c r="F106" s="24" t="s">
        <v>202</v>
      </c>
      <c r="G106" s="24" t="str">
        <f t="shared" si="3"/>
        <v>07714 07714R  ДКС Фиксатор кабеля TR-ER 100</v>
      </c>
      <c r="H106" s="25">
        <f>$C$1*        0.18</f>
        <v>3.96</v>
      </c>
      <c r="I106" s="26"/>
      <c r="J106" s="27">
        <v>0</v>
      </c>
      <c r="K106" s="28" t="s">
        <v>27</v>
      </c>
      <c r="L106" s="14">
        <f t="shared" si="2"/>
        <v>3.88</v>
      </c>
    </row>
    <row r="107" spans="1:12" ht="10.5" customHeight="1" outlineLevel="1" x14ac:dyDescent="0.25">
      <c r="A107" s="22"/>
      <c r="B107" s="22" t="s">
        <v>83</v>
      </c>
      <c r="C107" s="22">
        <v>93365</v>
      </c>
      <c r="D107" s="23" t="s">
        <v>203</v>
      </c>
      <c r="E107" s="23" t="s">
        <v>203</v>
      </c>
      <c r="F107" s="24" t="s">
        <v>204</v>
      </c>
      <c r="G107" s="24" t="str">
        <f t="shared" si="3"/>
        <v>ДКС 10443 Рамка-суппорт PDA-BN 80 под 2 модуля Brava, цвет белый RAL9001</v>
      </c>
      <c r="H107" s="25">
        <f>$C$1*        0.77</f>
        <v>16.940000000000001</v>
      </c>
      <c r="I107" s="26"/>
      <c r="J107" s="27">
        <v>0</v>
      </c>
      <c r="K107" s="28" t="s">
        <v>27</v>
      </c>
      <c r="L107" s="14">
        <f t="shared" si="2"/>
        <v>16.600000000000001</v>
      </c>
    </row>
    <row r="108" spans="1:12" ht="10.5" customHeight="1" outlineLevel="1" x14ac:dyDescent="0.25">
      <c r="A108" s="22"/>
      <c r="B108" s="22" t="s">
        <v>83</v>
      </c>
      <c r="C108" s="22">
        <v>93451</v>
      </c>
      <c r="D108" s="23" t="s">
        <v>205</v>
      </c>
      <c r="E108" s="23" t="s">
        <v>205</v>
      </c>
      <c r="F108" s="24" t="s">
        <v>206</v>
      </c>
      <c r="G108" s="24" t="str">
        <f t="shared" si="3"/>
        <v>ДКС 10653 Рамка-суппорт PDA-3BN 100 под 6-ть модулей Brava, цвет белый RAL9001</v>
      </c>
      <c r="H108" s="25">
        <f>$C$1*        1.47</f>
        <v>32.339999999999996</v>
      </c>
      <c r="I108" s="26"/>
      <c r="J108" s="27">
        <v>0</v>
      </c>
      <c r="K108" s="28" t="s">
        <v>27</v>
      </c>
      <c r="L108" s="14">
        <f t="shared" si="2"/>
        <v>31.69</v>
      </c>
    </row>
    <row r="109" spans="1:12" ht="10.5" customHeight="1" outlineLevel="1" x14ac:dyDescent="0.25">
      <c r="A109" s="22"/>
      <c r="B109" s="22" t="s">
        <v>83</v>
      </c>
      <c r="C109" s="22">
        <v>94042</v>
      </c>
      <c r="D109" s="23" t="s">
        <v>207</v>
      </c>
      <c r="E109" s="23" t="s">
        <v>207</v>
      </c>
      <c r="F109" s="24" t="s">
        <v>208</v>
      </c>
      <c r="G109" s="24" t="str">
        <f t="shared" si="3"/>
        <v>ДКС F00011 Рамка универсальная на 2 модуля, белый RAL9016</v>
      </c>
      <c r="H109" s="25">
        <f>$C$1*        0.31</f>
        <v>6.82</v>
      </c>
      <c r="I109" s="26"/>
      <c r="J109" s="27">
        <v>0</v>
      </c>
      <c r="K109" s="28" t="s">
        <v>27</v>
      </c>
      <c r="L109" s="14">
        <f t="shared" si="2"/>
        <v>6.68</v>
      </c>
    </row>
    <row r="110" spans="1:12" ht="10.5" customHeight="1" x14ac:dyDescent="0.25">
      <c r="A110" s="15"/>
      <c r="B110" s="16" t="s">
        <v>209</v>
      </c>
      <c r="C110" s="16"/>
      <c r="D110" s="16"/>
      <c r="E110" s="16"/>
      <c r="F110" s="17"/>
      <c r="G110" s="24" t="e">
        <f t="shared" si="3"/>
        <v>#VALUE!</v>
      </c>
      <c r="H110" s="18"/>
      <c r="I110" s="19"/>
      <c r="J110" s="20"/>
      <c r="K110" s="21"/>
      <c r="L110" s="14">
        <f t="shared" si="2"/>
        <v>0</v>
      </c>
    </row>
    <row r="111" spans="1:12" ht="10.5" customHeight="1" outlineLevel="1" x14ac:dyDescent="0.25">
      <c r="A111" s="22"/>
      <c r="B111" s="22" t="s">
        <v>83</v>
      </c>
      <c r="C111" s="22">
        <v>94830</v>
      </c>
      <c r="D111" s="23" t="s">
        <v>210</v>
      </c>
      <c r="E111" s="23" t="s">
        <v>210</v>
      </c>
      <c r="F111" s="24" t="s">
        <v>211</v>
      </c>
      <c r="G111" s="24" t="str">
        <f t="shared" si="3"/>
        <v>ДКС 01032 Напольный канал 50x12мм CSP-F, серый RAL7030</v>
      </c>
      <c r="H111" s="25">
        <f>$C$1*        2.75</f>
        <v>60.5</v>
      </c>
      <c r="I111" s="26"/>
      <c r="J111" s="27">
        <v>0</v>
      </c>
      <c r="K111" s="28"/>
      <c r="L111" s="14">
        <f t="shared" si="2"/>
        <v>59.29</v>
      </c>
    </row>
    <row r="112" spans="1:12" ht="10.5" customHeight="1" outlineLevel="1" x14ac:dyDescent="0.25">
      <c r="A112" s="22"/>
      <c r="B112" s="22" t="s">
        <v>83</v>
      </c>
      <c r="C112" s="22">
        <v>85588</v>
      </c>
      <c r="D112" s="23" t="s">
        <v>212</v>
      </c>
      <c r="E112" s="23" t="s">
        <v>212</v>
      </c>
      <c r="F112" s="24" t="s">
        <v>213</v>
      </c>
      <c r="G112" s="24" t="str">
        <f t="shared" si="3"/>
        <v>ДКС 01332 Напольный канал 75x17мм CSP-F, серый RAL7030</v>
      </c>
      <c r="H112" s="25">
        <f>$C$1*        7.01</f>
        <v>154.22</v>
      </c>
      <c r="I112" s="26"/>
      <c r="J112" s="27">
        <v>0</v>
      </c>
      <c r="K112" s="28" t="s">
        <v>27</v>
      </c>
      <c r="L112" s="14">
        <f t="shared" si="2"/>
        <v>151.13999999999999</v>
      </c>
    </row>
    <row r="113" spans="1:12" ht="10.5" customHeight="1" outlineLevel="1" x14ac:dyDescent="0.25">
      <c r="A113" s="22"/>
      <c r="B113" s="22" t="s">
        <v>83</v>
      </c>
      <c r="C113" s="22">
        <v>85150</v>
      </c>
      <c r="D113" s="23" t="s">
        <v>214</v>
      </c>
      <c r="E113" s="23" t="s">
        <v>214</v>
      </c>
      <c r="F113" s="24" t="s">
        <v>215</v>
      </c>
      <c r="G113" s="24" t="str">
        <f t="shared" si="3"/>
        <v>ДКС 05912 Плоский угол APSP для напольного короба, серый</v>
      </c>
      <c r="H113" s="25">
        <f>$C$1*        5.3</f>
        <v>116.6</v>
      </c>
      <c r="I113" s="26"/>
      <c r="J113" s="27">
        <v>0</v>
      </c>
      <c r="K113" s="28" t="s">
        <v>27</v>
      </c>
      <c r="L113" s="14">
        <f t="shared" si="2"/>
        <v>114.27</v>
      </c>
    </row>
    <row r="114" spans="1:12" ht="10.5" customHeight="1" outlineLevel="1" x14ac:dyDescent="0.25">
      <c r="A114" s="22"/>
      <c r="B114" s="22" t="s">
        <v>83</v>
      </c>
      <c r="C114" s="22">
        <v>85151</v>
      </c>
      <c r="D114" s="23" t="s">
        <v>216</v>
      </c>
      <c r="E114" s="23" t="s">
        <v>216</v>
      </c>
      <c r="F114" s="24" t="s">
        <v>217</v>
      </c>
      <c r="G114" s="24" t="str">
        <f t="shared" si="3"/>
        <v>ДКС 05914 Соединение GSP для напольного короба, серый</v>
      </c>
      <c r="H114" s="25">
        <f>$C$1*        1.67</f>
        <v>36.739999999999995</v>
      </c>
      <c r="I114" s="26"/>
      <c r="J114" s="27">
        <v>0</v>
      </c>
      <c r="K114" s="28"/>
      <c r="L114" s="14">
        <f t="shared" si="2"/>
        <v>36.01</v>
      </c>
    </row>
    <row r="115" spans="1:12" ht="10.5" customHeight="1" outlineLevel="1" x14ac:dyDescent="0.25">
      <c r="A115" s="22"/>
      <c r="B115" s="22" t="s">
        <v>83</v>
      </c>
      <c r="C115" s="22">
        <v>85152</v>
      </c>
      <c r="D115" s="23" t="s">
        <v>218</v>
      </c>
      <c r="E115" s="23" t="s">
        <v>218</v>
      </c>
      <c r="F115" s="24" t="s">
        <v>219</v>
      </c>
      <c r="G115" s="24" t="str">
        <f t="shared" si="3"/>
        <v>ДКС 05916 Тройной ответвитель DSP для напольного короба, серый</v>
      </c>
      <c r="H115" s="25">
        <f>$C$1*       10.65</f>
        <v>234.3</v>
      </c>
      <c r="I115" s="26"/>
      <c r="J115" s="27">
        <v>0</v>
      </c>
      <c r="K115" s="28"/>
      <c r="L115" s="14">
        <f t="shared" si="2"/>
        <v>229.61</v>
      </c>
    </row>
    <row r="116" spans="1:12" ht="10.5" customHeight="1" x14ac:dyDescent="0.25">
      <c r="A116" s="15"/>
      <c r="B116" s="16" t="s">
        <v>220</v>
      </c>
      <c r="C116" s="16"/>
      <c r="D116" s="16"/>
      <c r="E116" s="16"/>
      <c r="F116" s="17"/>
      <c r="G116" s="24" t="e">
        <f t="shared" si="3"/>
        <v>#VALUE!</v>
      </c>
      <c r="H116" s="18"/>
      <c r="I116" s="19"/>
      <c r="J116" s="20"/>
      <c r="K116" s="21"/>
      <c r="L116" s="14">
        <f t="shared" si="2"/>
        <v>0</v>
      </c>
    </row>
    <row r="117" spans="1:12" ht="10.5" customHeight="1" outlineLevel="1" x14ac:dyDescent="0.25">
      <c r="A117" s="22"/>
      <c r="B117" s="22" t="s">
        <v>83</v>
      </c>
      <c r="C117" s="22">
        <v>93369</v>
      </c>
      <c r="D117" s="23" t="s">
        <v>221</v>
      </c>
      <c r="E117" s="23" t="s">
        <v>221</v>
      </c>
      <c r="F117" s="24" t="s">
        <v>222</v>
      </c>
      <c r="G117" s="24" t="str">
        <f t="shared" si="3"/>
        <v>ДКС 09090 Напольная башенка BUS 12 модулей, цвет черный RAL7016</v>
      </c>
      <c r="H117" s="25">
        <f>$C$1*       13.34</f>
        <v>293.48</v>
      </c>
      <c r="I117" s="26"/>
      <c r="J117" s="27">
        <v>0</v>
      </c>
      <c r="K117" s="28" t="s">
        <v>27</v>
      </c>
      <c r="L117" s="14">
        <f t="shared" si="2"/>
        <v>287.61</v>
      </c>
    </row>
    <row r="118" spans="1:12" ht="10.5" customHeight="1" outlineLevel="1" x14ac:dyDescent="0.25">
      <c r="A118" s="22"/>
      <c r="B118" s="22" t="s">
        <v>83</v>
      </c>
      <c r="C118" s="22">
        <v>93370</v>
      </c>
      <c r="D118" s="23" t="s">
        <v>223</v>
      </c>
      <c r="E118" s="23" t="s">
        <v>223</v>
      </c>
      <c r="F118" s="24" t="s">
        <v>224</v>
      </c>
      <c r="G118" s="24" t="str">
        <f t="shared" si="3"/>
        <v>ДКС F0000L Каркас под 2 модуля 45х45, белый RAL9016</v>
      </c>
      <c r="H118" s="25">
        <f>$C$1*        0.3</f>
        <v>6.6</v>
      </c>
      <c r="I118" s="26"/>
      <c r="J118" s="27">
        <v>0</v>
      </c>
      <c r="K118" s="28" t="s">
        <v>27</v>
      </c>
      <c r="L118" s="14">
        <f t="shared" si="2"/>
        <v>6.47</v>
      </c>
    </row>
    <row r="119" spans="1:12" ht="10.5" customHeight="1" x14ac:dyDescent="0.25">
      <c r="A119" s="15"/>
      <c r="B119" s="16" t="s">
        <v>225</v>
      </c>
      <c r="C119" s="16"/>
      <c r="D119" s="16"/>
      <c r="E119" s="16"/>
      <c r="F119" s="17"/>
      <c r="G119" s="24" t="e">
        <f t="shared" si="3"/>
        <v>#VALUE!</v>
      </c>
      <c r="H119" s="18"/>
      <c r="I119" s="19"/>
      <c r="J119" s="20"/>
      <c r="K119" s="21"/>
      <c r="L119" s="14">
        <f t="shared" si="2"/>
        <v>0</v>
      </c>
    </row>
    <row r="120" spans="1:12" ht="10.5" customHeight="1" x14ac:dyDescent="0.25">
      <c r="A120" s="15"/>
      <c r="B120" s="16" t="s">
        <v>226</v>
      </c>
      <c r="C120" s="16"/>
      <c r="D120" s="16"/>
      <c r="E120" s="16"/>
      <c r="F120" s="17"/>
      <c r="G120" s="24" t="e">
        <f t="shared" si="3"/>
        <v>#VALUE!</v>
      </c>
      <c r="H120" s="18"/>
      <c r="I120" s="19"/>
      <c r="J120" s="20"/>
      <c r="K120" s="21"/>
      <c r="L120" s="14">
        <f t="shared" si="2"/>
        <v>0</v>
      </c>
    </row>
    <row r="121" spans="1:12" ht="10.5" customHeight="1" outlineLevel="1" x14ac:dyDescent="0.25">
      <c r="A121" s="22"/>
      <c r="B121" s="22" t="s">
        <v>83</v>
      </c>
      <c r="C121" s="22">
        <v>94400</v>
      </c>
      <c r="D121" s="23" t="s">
        <v>227</v>
      </c>
      <c r="E121" s="23" t="s">
        <v>227</v>
      </c>
      <c r="F121" s="24" t="s">
        <v>228</v>
      </c>
      <c r="G121" s="24" t="str">
        <f t="shared" si="3"/>
        <v>ДКС 43112FVP Клеммная колодка LP с пластиной предохраняющей провод от повреждения винтом 12p, 450V, 17,5A, 1,5 мм</v>
      </c>
      <c r="H121" s="25">
        <f>$C$1*        1.3</f>
        <v>28.6</v>
      </c>
      <c r="I121" s="26"/>
      <c r="J121" s="27">
        <v>0</v>
      </c>
      <c r="K121" s="28" t="s">
        <v>27</v>
      </c>
      <c r="L121" s="14">
        <f t="shared" si="2"/>
        <v>28.03</v>
      </c>
    </row>
    <row r="122" spans="1:12" ht="10.5" customHeight="1" outlineLevel="1" x14ac:dyDescent="0.25">
      <c r="A122" s="22"/>
      <c r="B122" s="22" t="s">
        <v>83</v>
      </c>
      <c r="C122" s="22">
        <v>94401</v>
      </c>
      <c r="D122" s="23" t="s">
        <v>229</v>
      </c>
      <c r="E122" s="23" t="s">
        <v>229</v>
      </c>
      <c r="F122" s="24" t="s">
        <v>230</v>
      </c>
      <c r="G122" s="24" t="str">
        <f t="shared" si="3"/>
        <v>ДКС 43212FVP Клеммная колодка LP с пластиной предохраняющей провод от повреждения винтом 12p, 450V, 24A, 2,5 мм</v>
      </c>
      <c r="H122" s="25">
        <f>$C$1*        1.41</f>
        <v>31.02</v>
      </c>
      <c r="I122" s="26"/>
      <c r="J122" s="27">
        <v>0</v>
      </c>
      <c r="K122" s="28" t="s">
        <v>27</v>
      </c>
      <c r="L122" s="14">
        <f t="shared" si="2"/>
        <v>30.4</v>
      </c>
    </row>
    <row r="123" spans="1:12" ht="10.5" customHeight="1" outlineLevel="1" x14ac:dyDescent="0.25">
      <c r="A123" s="22"/>
      <c r="B123" s="22" t="s">
        <v>83</v>
      </c>
      <c r="C123" s="22">
        <v>94429</v>
      </c>
      <c r="D123" s="23" t="s">
        <v>231</v>
      </c>
      <c r="E123" s="23" t="s">
        <v>231</v>
      </c>
      <c r="F123" s="24" t="s">
        <v>232</v>
      </c>
      <c r="G123" s="24" t="str">
        <f t="shared" si="3"/>
        <v>ДКС 43412NY клема для кабелю 10 мм, прохідна на 12 полюсів матер. корпусу поліамід 6.6</v>
      </c>
      <c r="H123" s="25">
        <f>$C$1*        1.48</f>
        <v>32.56</v>
      </c>
      <c r="I123" s="26"/>
      <c r="J123" s="27">
        <v>0</v>
      </c>
      <c r="K123" s="28" t="s">
        <v>27</v>
      </c>
      <c r="L123" s="14">
        <f t="shared" si="2"/>
        <v>31.91</v>
      </c>
    </row>
    <row r="124" spans="1:12" ht="10.5" customHeight="1" x14ac:dyDescent="0.25">
      <c r="A124" s="15"/>
      <c r="B124" s="16" t="s">
        <v>233</v>
      </c>
      <c r="C124" s="16"/>
      <c r="D124" s="16"/>
      <c r="E124" s="16"/>
      <c r="F124" s="17"/>
      <c r="G124" s="24" t="e">
        <f t="shared" si="3"/>
        <v>#VALUE!</v>
      </c>
      <c r="H124" s="18"/>
      <c r="I124" s="19"/>
      <c r="J124" s="20"/>
      <c r="K124" s="21"/>
      <c r="L124" s="14">
        <f t="shared" si="2"/>
        <v>0</v>
      </c>
    </row>
    <row r="125" spans="1:12" ht="10.5" customHeight="1" x14ac:dyDescent="0.25">
      <c r="A125" s="15"/>
      <c r="B125" s="16" t="s">
        <v>234</v>
      </c>
      <c r="C125" s="16"/>
      <c r="D125" s="16"/>
      <c r="E125" s="16"/>
      <c r="F125" s="17"/>
      <c r="G125" s="24" t="e">
        <f t="shared" si="3"/>
        <v>#VALUE!</v>
      </c>
      <c r="H125" s="18"/>
      <c r="I125" s="19"/>
      <c r="J125" s="20"/>
      <c r="K125" s="21"/>
      <c r="L125" s="14">
        <f t="shared" si="2"/>
        <v>0</v>
      </c>
    </row>
    <row r="126" spans="1:12" ht="10.5" customHeight="1" outlineLevel="1" x14ac:dyDescent="0.25">
      <c r="A126" s="22"/>
      <c r="B126" s="22" t="s">
        <v>83</v>
      </c>
      <c r="C126" s="22">
        <v>94302</v>
      </c>
      <c r="D126" s="23" t="s">
        <v>235</v>
      </c>
      <c r="E126" s="23" t="s">
        <v>235</v>
      </c>
      <c r="F126" s="24" t="s">
        <v>236</v>
      </c>
      <c r="G126" s="24" t="str">
        <f t="shared" si="3"/>
        <v>ДКС 50525 Коліно 90гр. що відкривається жтр-жтр IP40 д25мм ПП RAL7035  арт.</v>
      </c>
      <c r="H126" s="25">
        <f>$C$1*        0.23</f>
        <v>5.0600000000000005</v>
      </c>
      <c r="I126" s="26"/>
      <c r="J126" s="27">
        <v>0</v>
      </c>
      <c r="K126" s="28" t="s">
        <v>27</v>
      </c>
      <c r="L126" s="14">
        <f t="shared" si="2"/>
        <v>4.96</v>
      </c>
    </row>
    <row r="127" spans="1:12" ht="10.5" customHeight="1" outlineLevel="1" x14ac:dyDescent="0.25">
      <c r="A127" s="22"/>
      <c r="B127" s="22" t="s">
        <v>83</v>
      </c>
      <c r="C127" s="22">
        <v>94303</v>
      </c>
      <c r="D127" s="23" t="s">
        <v>237</v>
      </c>
      <c r="E127" s="23" t="s">
        <v>237</v>
      </c>
      <c r="F127" s="24" t="s">
        <v>238</v>
      </c>
      <c r="G127" s="24" t="str">
        <f t="shared" si="3"/>
        <v>ДКС 53344 Тримач односторонній д25-26мм з вушком д7,0/4,5мм сталь цинкована  арт.</v>
      </c>
      <c r="H127" s="25">
        <f>$C$1*        0.1</f>
        <v>2.2000000000000002</v>
      </c>
      <c r="I127" s="26"/>
      <c r="J127" s="27">
        <v>0</v>
      </c>
      <c r="K127" s="28" t="s">
        <v>27</v>
      </c>
      <c r="L127" s="14">
        <f t="shared" si="2"/>
        <v>2.16</v>
      </c>
    </row>
    <row r="128" spans="1:12" ht="10.5" customHeight="1" outlineLevel="1" x14ac:dyDescent="0.25">
      <c r="A128" s="22"/>
      <c r="B128" s="22" t="s">
        <v>83</v>
      </c>
      <c r="C128" s="22">
        <v>93475</v>
      </c>
      <c r="D128" s="23" t="s">
        <v>239</v>
      </c>
      <c r="E128" s="23" t="s">
        <v>239</v>
      </c>
      <c r="F128" s="24" t="s">
        <v>240</v>
      </c>
      <c r="G128" s="24" t="str">
        <f t="shared" si="3"/>
        <v>ДКС 54925 Муфта труба-труба с ограничителем IP40 д.25мм</v>
      </c>
      <c r="H128" s="25">
        <f>$C$1*        0.2</f>
        <v>4.4000000000000004</v>
      </c>
      <c r="I128" s="26"/>
      <c r="J128" s="27">
        <v>0</v>
      </c>
      <c r="K128" s="28" t="s">
        <v>27</v>
      </c>
      <c r="L128" s="14">
        <f t="shared" si="2"/>
        <v>4.3099999999999996</v>
      </c>
    </row>
    <row r="129" spans="1:12" ht="10.5" customHeight="1" x14ac:dyDescent="0.25">
      <c r="A129" s="15"/>
      <c r="B129" s="16" t="s">
        <v>241</v>
      </c>
      <c r="C129" s="16"/>
      <c r="D129" s="16"/>
      <c r="E129" s="16"/>
      <c r="F129" s="17"/>
      <c r="G129" s="24" t="e">
        <f t="shared" si="3"/>
        <v>#VALUE!</v>
      </c>
      <c r="H129" s="18"/>
      <c r="I129" s="19"/>
      <c r="J129" s="20"/>
      <c r="K129" s="21"/>
      <c r="L129" s="14">
        <f t="shared" si="2"/>
        <v>0</v>
      </c>
    </row>
    <row r="130" spans="1:12" ht="10.5" customHeight="1" outlineLevel="1" x14ac:dyDescent="0.25">
      <c r="A130" s="22"/>
      <c r="B130" s="22" t="s">
        <v>83</v>
      </c>
      <c r="C130" s="22">
        <v>93870</v>
      </c>
      <c r="D130" s="23" t="s">
        <v>242</v>
      </c>
      <c r="E130" s="23" t="s">
        <v>242</v>
      </c>
      <c r="F130" s="24" t="s">
        <v>243</v>
      </c>
      <c r="G130" s="24" t="str">
        <f t="shared" si="3"/>
        <v>ДКС 91920 Гофротруба гнучка 320Н ПВХ д20/14,1мм з/п сіра 100м</v>
      </c>
      <c r="H130" s="25">
        <f>$C$1*        9.67</f>
        <v>212.74</v>
      </c>
      <c r="I130" s="26"/>
      <c r="J130" s="27">
        <v>0</v>
      </c>
      <c r="K130" s="28" t="s">
        <v>27</v>
      </c>
      <c r="L130" s="14">
        <f t="shared" si="2"/>
        <v>208.49</v>
      </c>
    </row>
    <row r="131" spans="1:12" ht="10.5" customHeight="1" outlineLevel="1" x14ac:dyDescent="0.25">
      <c r="A131" s="22"/>
      <c r="B131" s="22" t="s">
        <v>83</v>
      </c>
      <c r="C131" s="22">
        <v>94066</v>
      </c>
      <c r="D131" s="23" t="s">
        <v>244</v>
      </c>
      <c r="E131" s="23" t="s">
        <v>244</v>
      </c>
      <c r="F131" s="24" t="s">
        <v>245</v>
      </c>
      <c r="G131" s="24" t="str">
        <f t="shared" si="3"/>
        <v>ДКС 91940 Труба ПВХ гибкая гофр. д.40мм, лёгкая с протяжкой, цвет серый, 20м</v>
      </c>
      <c r="H131" s="25">
        <f>$C$1*        6.15</f>
        <v>135.30000000000001</v>
      </c>
      <c r="I131" s="26"/>
      <c r="J131" s="27">
        <v>0</v>
      </c>
      <c r="K131" s="28" t="s">
        <v>27</v>
      </c>
      <c r="L131" s="14">
        <f t="shared" si="2"/>
        <v>132.59</v>
      </c>
    </row>
    <row r="132" spans="1:12" ht="10.5" customHeight="1" x14ac:dyDescent="0.25">
      <c r="A132" s="15"/>
      <c r="B132" s="16" t="s">
        <v>246</v>
      </c>
      <c r="C132" s="16"/>
      <c r="D132" s="16"/>
      <c r="E132" s="16"/>
      <c r="F132" s="17"/>
      <c r="G132" s="24" t="e">
        <f t="shared" si="3"/>
        <v>#VALUE!</v>
      </c>
      <c r="H132" s="18"/>
      <c r="I132" s="19"/>
      <c r="J132" s="20"/>
      <c r="K132" s="21"/>
      <c r="L132" s="14">
        <f t="shared" si="2"/>
        <v>0</v>
      </c>
    </row>
    <row r="133" spans="1:12" ht="10.5" customHeight="1" outlineLevel="1" x14ac:dyDescent="0.25">
      <c r="A133" s="22"/>
      <c r="B133" s="22" t="s">
        <v>83</v>
      </c>
      <c r="C133" s="22">
        <v>92849</v>
      </c>
      <c r="D133" s="23" t="s">
        <v>247</v>
      </c>
      <c r="E133" s="23" t="s">
        <v>247</v>
      </c>
      <c r="F133" s="24" t="s">
        <v>248</v>
      </c>
      <c r="G133" s="24" t="str">
        <f t="shared" si="3"/>
        <v>ДКС 76482B Эл. розетка Brava с заземл., шторками 16А 250В, 2 модуля, поликарбонат IP20, цвет белый</v>
      </c>
      <c r="H133" s="25">
        <f>$C$1*        2.32</f>
        <v>51.04</v>
      </c>
      <c r="I133" s="26"/>
      <c r="J133" s="27">
        <v>0</v>
      </c>
      <c r="K133" s="28" t="s">
        <v>27</v>
      </c>
      <c r="L133" s="14">
        <f t="shared" si="2"/>
        <v>50.02</v>
      </c>
    </row>
    <row r="134" spans="1:12" ht="10.5" customHeight="1" outlineLevel="1" x14ac:dyDescent="0.25">
      <c r="A134" s="22"/>
      <c r="B134" s="22" t="s">
        <v>83</v>
      </c>
      <c r="C134" s="22">
        <v>93131</v>
      </c>
      <c r="D134" s="23" t="s">
        <v>249</v>
      </c>
      <c r="E134" s="23" t="s">
        <v>249</v>
      </c>
      <c r="F134" s="24" t="s">
        <v>250</v>
      </c>
      <c r="G134" s="24" t="str">
        <f t="shared" si="3"/>
        <v>ДКС 76482R Эл. розетка Brava, с заземл., шторками, 16А 250В, 2 модуля, поликарбонат, IP20, красный</v>
      </c>
      <c r="H134" s="25">
        <f>$C$1*        2.49</f>
        <v>54.78</v>
      </c>
      <c r="I134" s="26"/>
      <c r="J134" s="27">
        <v>0</v>
      </c>
      <c r="K134" s="28" t="s">
        <v>27</v>
      </c>
      <c r="L134" s="14">
        <f t="shared" ref="L134:L197" si="4">ROUND(H134*0.98,2)</f>
        <v>53.68</v>
      </c>
    </row>
    <row r="135" spans="1:12" ht="10.5" customHeight="1" outlineLevel="1" x14ac:dyDescent="0.25">
      <c r="A135" s="22"/>
      <c r="B135" s="22" t="s">
        <v>83</v>
      </c>
      <c r="C135" s="22">
        <v>93452</v>
      </c>
      <c r="D135" s="23" t="s">
        <v>251</v>
      </c>
      <c r="E135" s="23" t="s">
        <v>251</v>
      </c>
      <c r="F135" s="24" t="s">
        <v>252</v>
      </c>
      <c r="G135" s="24" t="str">
        <f t="shared" si="3"/>
        <v>ДКС 76607B Адаптер для информационных разъемов Keystone, 1 модуль, поликарбонат, цвет белый RAL9010</v>
      </c>
      <c r="H135" s="25">
        <f>$C$1*        0.18</f>
        <v>3.96</v>
      </c>
      <c r="I135" s="26"/>
      <c r="J135" s="27">
        <v>0</v>
      </c>
      <c r="K135" s="28" t="s">
        <v>27</v>
      </c>
      <c r="L135" s="14">
        <f t="shared" si="4"/>
        <v>3.88</v>
      </c>
    </row>
    <row r="136" spans="1:12" ht="10.5" customHeight="1" outlineLevel="1" x14ac:dyDescent="0.25">
      <c r="A136" s="22"/>
      <c r="B136" s="22" t="s">
        <v>83</v>
      </c>
      <c r="C136" s="22">
        <v>93371</v>
      </c>
      <c r="D136" s="23" t="s">
        <v>253</v>
      </c>
      <c r="E136" s="23" t="s">
        <v>253</v>
      </c>
      <c r="F136" s="24" t="s">
        <v>254</v>
      </c>
      <c r="G136" s="24" t="str">
        <f t="shared" ref="G136:G199" si="5">REPLACE(F136,SEARCH(" ",F136)+1,0,D136&amp;" ")</f>
        <v>ДКС 77482N Эл. розетка Brava, с заземлением, шторками, 16А 250В, 2 модуля, поликарбонат, черная</v>
      </c>
      <c r="H136" s="25">
        <f>$C$1*        2.5</f>
        <v>55</v>
      </c>
      <c r="I136" s="26"/>
      <c r="J136" s="27">
        <v>0</v>
      </c>
      <c r="K136" s="28" t="s">
        <v>27</v>
      </c>
      <c r="L136" s="14">
        <f t="shared" si="4"/>
        <v>53.9</v>
      </c>
    </row>
    <row r="137" spans="1:12" ht="10.5" customHeight="1" outlineLevel="1" x14ac:dyDescent="0.25">
      <c r="A137" s="22"/>
      <c r="B137" s="22" t="s">
        <v>83</v>
      </c>
      <c r="C137" s="22">
        <v>94024</v>
      </c>
      <c r="D137" s="23" t="s">
        <v>255</v>
      </c>
      <c r="E137" s="23" t="s">
        <v>255</v>
      </c>
      <c r="F137" s="24" t="s">
        <v>256</v>
      </c>
      <c r="G137" s="24" t="str">
        <f t="shared" si="5"/>
        <v>ДКС 52900 Зажим кабельный с контргайкой, IP68, PG16, д.9-14мм</v>
      </c>
      <c r="H137" s="25">
        <f>$C$1*        0.79</f>
        <v>17.380000000000003</v>
      </c>
      <c r="I137" s="26"/>
      <c r="J137" s="27">
        <v>0</v>
      </c>
      <c r="K137" s="28" t="s">
        <v>27</v>
      </c>
      <c r="L137" s="14">
        <f t="shared" si="4"/>
        <v>17.03</v>
      </c>
    </row>
    <row r="138" spans="1:12" ht="10.5" customHeight="1" outlineLevel="1" x14ac:dyDescent="0.25">
      <c r="A138" s="22"/>
      <c r="B138" s="22" t="s">
        <v>83</v>
      </c>
      <c r="C138" s="22">
        <v>94041</v>
      </c>
      <c r="D138" s="23" t="s">
        <v>257</v>
      </c>
      <c r="E138" s="23" t="s">
        <v>257</v>
      </c>
      <c r="F138" s="24" t="s">
        <v>258</v>
      </c>
      <c r="G138" s="24" t="str">
        <f t="shared" si="5"/>
        <v>ДКС F0000M Каркас под 2 модуля "Brava", белый RAL9016</v>
      </c>
      <c r="H138" s="25">
        <f>$C$1*        0.3</f>
        <v>6.6</v>
      </c>
      <c r="I138" s="26"/>
      <c r="J138" s="27">
        <v>0</v>
      </c>
      <c r="K138" s="28" t="s">
        <v>27</v>
      </c>
      <c r="L138" s="14">
        <f t="shared" si="4"/>
        <v>6.47</v>
      </c>
    </row>
    <row r="139" spans="1:12" ht="10.5" customHeight="1" x14ac:dyDescent="0.25">
      <c r="A139" s="15"/>
      <c r="B139" s="16" t="s">
        <v>259</v>
      </c>
      <c r="C139" s="16"/>
      <c r="D139" s="16"/>
      <c r="E139" s="16"/>
      <c r="F139" s="17"/>
      <c r="G139" s="24" t="e">
        <f t="shared" si="5"/>
        <v>#VALUE!</v>
      </c>
      <c r="H139" s="18"/>
      <c r="I139" s="19"/>
      <c r="J139" s="20"/>
      <c r="K139" s="21"/>
      <c r="L139" s="14">
        <f t="shared" si="4"/>
        <v>0</v>
      </c>
    </row>
    <row r="140" spans="1:12" ht="10.5" customHeight="1" outlineLevel="1" x14ac:dyDescent="0.25">
      <c r="A140" s="22"/>
      <c r="B140" s="22" t="s">
        <v>24</v>
      </c>
      <c r="C140" s="22">
        <v>86938</v>
      </c>
      <c r="D140" s="23" t="s">
        <v>25</v>
      </c>
      <c r="E140" s="23" t="s">
        <v>25</v>
      </c>
      <c r="F140" s="24" t="s">
        <v>260</v>
      </c>
      <c r="G140" s="24" t="str">
        <f t="shared" si="5"/>
        <v>NETS-CP-75   Nets автомобильный инвертер питания с USB портом, 220в, 75 ватт</v>
      </c>
      <c r="H140" s="25">
        <f>$C$1*        8</f>
        <v>176</v>
      </c>
      <c r="I140" s="26"/>
      <c r="J140" s="27">
        <v>6</v>
      </c>
      <c r="K140" s="28" t="s">
        <v>27</v>
      </c>
      <c r="L140" s="14">
        <f t="shared" si="4"/>
        <v>172.48</v>
      </c>
    </row>
    <row r="141" spans="1:12" ht="10.5" customHeight="1" x14ac:dyDescent="0.25">
      <c r="A141" s="15"/>
      <c r="B141" s="16" t="s">
        <v>261</v>
      </c>
      <c r="C141" s="16"/>
      <c r="D141" s="16"/>
      <c r="E141" s="16"/>
      <c r="F141" s="17"/>
      <c r="G141" s="24" t="e">
        <f t="shared" si="5"/>
        <v>#VALUE!</v>
      </c>
      <c r="H141" s="18"/>
      <c r="I141" s="19"/>
      <c r="J141" s="20"/>
      <c r="K141" s="21"/>
      <c r="L141" s="14">
        <f t="shared" si="4"/>
        <v>0</v>
      </c>
    </row>
    <row r="142" spans="1:12" ht="10.5" customHeight="1" outlineLevel="1" x14ac:dyDescent="0.25">
      <c r="A142" s="22"/>
      <c r="B142" s="22" t="s">
        <v>24</v>
      </c>
      <c r="C142" s="22">
        <v>86736</v>
      </c>
      <c r="D142" s="23" t="s">
        <v>25</v>
      </c>
      <c r="E142" s="23" t="s">
        <v>25</v>
      </c>
      <c r="F142" s="24" t="s">
        <v>262</v>
      </c>
      <c r="G142" s="24" t="str">
        <f t="shared" si="5"/>
        <v>NETS-SATA   Nets SATA кабель интерфейсный</v>
      </c>
      <c r="H142" s="25">
        <f>$C$1*        0.27</f>
        <v>5.94</v>
      </c>
      <c r="I142" s="26"/>
      <c r="J142" s="27">
        <v>0</v>
      </c>
      <c r="K142" s="28" t="s">
        <v>27</v>
      </c>
      <c r="L142" s="14">
        <f t="shared" si="4"/>
        <v>5.82</v>
      </c>
    </row>
    <row r="143" spans="1:12" ht="10.5" customHeight="1" outlineLevel="1" x14ac:dyDescent="0.25">
      <c r="A143" s="22"/>
      <c r="B143" s="22" t="s">
        <v>24</v>
      </c>
      <c r="C143" s="22">
        <v>86657</v>
      </c>
      <c r="D143" s="23" t="s">
        <v>25</v>
      </c>
      <c r="E143" s="23" t="s">
        <v>25</v>
      </c>
      <c r="F143" s="24" t="s">
        <v>263</v>
      </c>
      <c r="G143" s="24" t="str">
        <f t="shared" si="5"/>
        <v>NETS-SATA-POWER   Nets SATA кабель питания</v>
      </c>
      <c r="H143" s="25">
        <f>$C$1*        0.15</f>
        <v>3.3</v>
      </c>
      <c r="I143" s="26"/>
      <c r="J143" s="27">
        <v>0</v>
      </c>
      <c r="K143" s="28" t="s">
        <v>27</v>
      </c>
      <c r="L143" s="14">
        <f t="shared" si="4"/>
        <v>3.23</v>
      </c>
    </row>
    <row r="144" spans="1:12" ht="10.5" customHeight="1" x14ac:dyDescent="0.25">
      <c r="A144" s="15"/>
      <c r="B144" s="16" t="s">
        <v>264</v>
      </c>
      <c r="C144" s="16"/>
      <c r="D144" s="16"/>
      <c r="E144" s="16"/>
      <c r="F144" s="17"/>
      <c r="G144" s="24" t="e">
        <f t="shared" si="5"/>
        <v>#VALUE!</v>
      </c>
      <c r="H144" s="18"/>
      <c r="I144" s="19"/>
      <c r="J144" s="20"/>
      <c r="K144" s="21"/>
      <c r="L144" s="14">
        <f t="shared" si="4"/>
        <v>0</v>
      </c>
    </row>
    <row r="145" spans="1:12" ht="10.5" customHeight="1" outlineLevel="1" x14ac:dyDescent="0.25">
      <c r="A145" s="22"/>
      <c r="B145" s="22" t="s">
        <v>265</v>
      </c>
      <c r="C145" s="22">
        <v>95584</v>
      </c>
      <c r="D145" s="23" t="s">
        <v>266</v>
      </c>
      <c r="E145" s="23" t="s">
        <v>266</v>
      </c>
      <c r="F145" s="24" t="s">
        <v>267</v>
      </c>
      <c r="G145" s="24" t="str">
        <f t="shared" si="5"/>
        <v>PL 206141115 Кабель U/UTP кат 6 серый, по метрам</v>
      </c>
      <c r="H145" s="25">
        <f>$C$1*        0.33</f>
        <v>7.2600000000000007</v>
      </c>
      <c r="I145" s="26"/>
      <c r="J145" s="27">
        <v>0</v>
      </c>
      <c r="K145" s="28"/>
      <c r="L145" s="14">
        <f t="shared" si="4"/>
        <v>7.11</v>
      </c>
    </row>
    <row r="146" spans="1:12" ht="10.5" customHeight="1" outlineLevel="1" x14ac:dyDescent="0.25">
      <c r="A146" s="22"/>
      <c r="B146" s="22" t="s">
        <v>265</v>
      </c>
      <c r="C146" s="22">
        <v>95221</v>
      </c>
      <c r="D146" s="23" t="s">
        <v>268</v>
      </c>
      <c r="E146" s="23" t="s">
        <v>268</v>
      </c>
      <c r="F146" s="24" t="s">
        <v>269</v>
      </c>
      <c r="G146" s="24" t="str">
        <f t="shared" si="5"/>
        <v>PL 209142220 Кабель U/UTP, кат. 6A, LS0H, 500МГц, оранжевый, 1м</v>
      </c>
      <c r="H146" s="25">
        <f>$C$1*        0.5</f>
        <v>11</v>
      </c>
      <c r="I146" s="26"/>
      <c r="J146" s="27">
        <v>0</v>
      </c>
      <c r="K146" s="28" t="s">
        <v>27</v>
      </c>
      <c r="L146" s="14">
        <f t="shared" si="4"/>
        <v>10.78</v>
      </c>
    </row>
    <row r="147" spans="1:12" ht="10.5" customHeight="1" x14ac:dyDescent="0.25">
      <c r="A147" s="15"/>
      <c r="B147" s="16" t="s">
        <v>270</v>
      </c>
      <c r="C147" s="16"/>
      <c r="D147" s="16"/>
      <c r="E147" s="16"/>
      <c r="F147" s="17"/>
      <c r="G147" s="24" t="e">
        <f t="shared" si="5"/>
        <v>#VALUE!</v>
      </c>
      <c r="H147" s="18"/>
      <c r="I147" s="19"/>
      <c r="J147" s="20"/>
      <c r="K147" s="21"/>
      <c r="L147" s="14">
        <f t="shared" si="4"/>
        <v>0</v>
      </c>
    </row>
    <row r="148" spans="1:12" ht="10.5" customHeight="1" outlineLevel="1" x14ac:dyDescent="0.25">
      <c r="A148" s="22"/>
      <c r="B148" s="22" t="s">
        <v>271</v>
      </c>
      <c r="C148" s="22">
        <v>88835</v>
      </c>
      <c r="D148" s="23" t="s">
        <v>25</v>
      </c>
      <c r="E148" s="23" t="s">
        <v>25</v>
      </c>
      <c r="F148" s="24" t="s">
        <v>272</v>
      </c>
      <c r="G148" s="24" t="str">
        <f t="shared" si="5"/>
        <v>3318-000-0000   Tplast Комбинированный щиток IP 67 130х220</v>
      </c>
      <c r="H148" s="25">
        <f>$C$1*        6</f>
        <v>132</v>
      </c>
      <c r="I148" s="26"/>
      <c r="J148" s="27">
        <v>0</v>
      </c>
      <c r="K148" s="28" t="s">
        <v>27</v>
      </c>
      <c r="L148" s="14">
        <f t="shared" si="4"/>
        <v>129.36000000000001</v>
      </c>
    </row>
    <row r="149" spans="1:12" ht="10.5" customHeight="1" x14ac:dyDescent="0.25">
      <c r="A149" s="15"/>
      <c r="B149" s="16" t="s">
        <v>273</v>
      </c>
      <c r="C149" s="16"/>
      <c r="D149" s="16"/>
      <c r="E149" s="16"/>
      <c r="F149" s="17"/>
      <c r="G149" s="24" t="e">
        <f t="shared" si="5"/>
        <v>#VALUE!</v>
      </c>
      <c r="H149" s="18"/>
      <c r="I149" s="19"/>
      <c r="J149" s="20"/>
      <c r="K149" s="21"/>
      <c r="L149" s="14">
        <f t="shared" si="4"/>
        <v>0</v>
      </c>
    </row>
    <row r="150" spans="1:12" ht="10.5" customHeight="1" x14ac:dyDescent="0.25">
      <c r="A150" s="15"/>
      <c r="B150" s="16" t="s">
        <v>274</v>
      </c>
      <c r="C150" s="16"/>
      <c r="D150" s="16"/>
      <c r="E150" s="16"/>
      <c r="F150" s="17"/>
      <c r="G150" s="24" t="e">
        <f t="shared" si="5"/>
        <v>#VALUE!</v>
      </c>
      <c r="H150" s="18"/>
      <c r="I150" s="19"/>
      <c r="J150" s="20"/>
      <c r="K150" s="21"/>
      <c r="L150" s="14">
        <f t="shared" si="4"/>
        <v>0</v>
      </c>
    </row>
    <row r="151" spans="1:12" ht="10.5" customHeight="1" outlineLevel="1" x14ac:dyDescent="0.25">
      <c r="A151" s="22"/>
      <c r="B151" s="22" t="s">
        <v>275</v>
      </c>
      <c r="C151" s="22">
        <v>95469</v>
      </c>
      <c r="D151" s="23" t="s">
        <v>276</v>
      </c>
      <c r="E151" s="23" t="s">
        <v>276</v>
      </c>
      <c r="F151" s="24" t="s">
        <v>277</v>
      </c>
      <c r="G151" s="24" t="str">
        <f t="shared" si="5"/>
        <v>Hypernet KR-AMWA Магазин защиты для 10-и парного плинта, с комплектом предохранителей (ABS)</v>
      </c>
      <c r="H151" s="25">
        <f>$C$1*        5.65</f>
        <v>124.30000000000001</v>
      </c>
      <c r="I151" s="26"/>
      <c r="J151" s="27">
        <v>0</v>
      </c>
      <c r="K151" s="28" t="s">
        <v>27</v>
      </c>
      <c r="L151" s="14">
        <f t="shared" si="4"/>
        <v>121.81</v>
      </c>
    </row>
    <row r="152" spans="1:12" ht="10.5" customHeight="1" outlineLevel="1" x14ac:dyDescent="0.25">
      <c r="A152" s="22"/>
      <c r="B152" s="22" t="s">
        <v>275</v>
      </c>
      <c r="C152" s="22">
        <v>95470</v>
      </c>
      <c r="D152" s="23" t="s">
        <v>278</v>
      </c>
      <c r="E152" s="23" t="s">
        <v>25</v>
      </c>
      <c r="F152" s="24" t="s">
        <v>279</v>
      </c>
      <c r="G152" s="24" t="str">
        <f t="shared" si="5"/>
        <v>KR-HLH-10 KR-HLH-10  Hypernet Держатель этикетки и пыльник для 10-и парного плинта откидной</v>
      </c>
      <c r="H152" s="25">
        <f>$C$1*        0.24</f>
        <v>5.2799999999999994</v>
      </c>
      <c r="I152" s="26"/>
      <c r="J152" s="27">
        <v>0</v>
      </c>
      <c r="K152" s="28" t="s">
        <v>27</v>
      </c>
      <c r="L152" s="14">
        <f t="shared" si="4"/>
        <v>5.17</v>
      </c>
    </row>
    <row r="153" spans="1:12" ht="10.5" customHeight="1" outlineLevel="1" x14ac:dyDescent="0.25">
      <c r="A153" s="22"/>
      <c r="B153" s="22" t="s">
        <v>275</v>
      </c>
      <c r="C153" s="22">
        <v>94975</v>
      </c>
      <c r="D153" s="23" t="s">
        <v>280</v>
      </c>
      <c r="E153" s="23" t="s">
        <v>280</v>
      </c>
      <c r="F153" s="24" t="s">
        <v>281</v>
      </c>
      <c r="G153" s="24" t="str">
        <f t="shared" si="5"/>
        <v>Hypernet KR-PTDM10 Плинт на 10 пар размыкаемый, крепление на профили (PTB)</v>
      </c>
      <c r="H153" s="25">
        <f>$C$1*        0.84</f>
        <v>18.48</v>
      </c>
      <c r="I153" s="26"/>
      <c r="J153" s="27">
        <v>0</v>
      </c>
      <c r="K153" s="28" t="s">
        <v>27</v>
      </c>
      <c r="L153" s="14">
        <f t="shared" si="4"/>
        <v>18.11</v>
      </c>
    </row>
    <row r="154" spans="1:12" ht="10.5" customHeight="1" outlineLevel="1" x14ac:dyDescent="0.25">
      <c r="A154" s="22"/>
      <c r="B154" s="22" t="s">
        <v>275</v>
      </c>
      <c r="C154" s="22">
        <v>94582</v>
      </c>
      <c r="D154" s="23" t="s">
        <v>282</v>
      </c>
      <c r="E154" s="23" t="s">
        <v>282</v>
      </c>
      <c r="F154" s="24" t="s">
        <v>283</v>
      </c>
      <c r="G154" s="24" t="str">
        <f t="shared" si="5"/>
        <v>Hypernet KR-PTSM10 Плинт переключаемый на 10 пар крепление на профили</v>
      </c>
      <c r="H154" s="25">
        <f>$C$1*        0.81</f>
        <v>17.82</v>
      </c>
      <c r="I154" s="26"/>
      <c r="J154" s="27">
        <v>0</v>
      </c>
      <c r="K154" s="28" t="s">
        <v>27</v>
      </c>
      <c r="L154" s="14">
        <f t="shared" si="4"/>
        <v>17.46</v>
      </c>
    </row>
    <row r="155" spans="1:12" ht="10.5" customHeight="1" outlineLevel="1" x14ac:dyDescent="0.25">
      <c r="A155" s="22"/>
      <c r="B155" s="22" t="s">
        <v>24</v>
      </c>
      <c r="C155" s="22">
        <v>85692</v>
      </c>
      <c r="D155" s="23" t="s">
        <v>25</v>
      </c>
      <c r="E155" s="23" t="s">
        <v>284</v>
      </c>
      <c r="F155" s="24" t="s">
        <v>285</v>
      </c>
      <c r="G155" s="24" t="str">
        <f t="shared" si="5"/>
        <v>Net's  Плинт на 10 пар неразмыкаемый (ABS)</v>
      </c>
      <c r="H155" s="25">
        <f>$C$1*        0.92</f>
        <v>20.240000000000002</v>
      </c>
      <c r="I155" s="26"/>
      <c r="J155" s="27">
        <v>0</v>
      </c>
      <c r="K155" s="28" t="s">
        <v>27</v>
      </c>
      <c r="L155" s="14">
        <f t="shared" si="4"/>
        <v>19.84</v>
      </c>
    </row>
    <row r="156" spans="1:12" ht="10.5" customHeight="1" outlineLevel="1" x14ac:dyDescent="0.25">
      <c r="A156" s="22"/>
      <c r="B156" s="22" t="s">
        <v>24</v>
      </c>
      <c r="C156" s="22">
        <v>85957</v>
      </c>
      <c r="D156" s="23" t="s">
        <v>25</v>
      </c>
      <c r="E156" s="23" t="s">
        <v>286</v>
      </c>
      <c r="F156" s="24" t="s">
        <v>287</v>
      </c>
      <c r="G156" s="24" t="str">
        <f t="shared" si="5"/>
        <v>Net's  Плинт на 10 пар размыкаемый (ABS)</v>
      </c>
      <c r="H156" s="25">
        <f>$C$1*        0.77</f>
        <v>16.940000000000001</v>
      </c>
      <c r="I156" s="26"/>
      <c r="J156" s="27">
        <v>0</v>
      </c>
      <c r="K156" s="28" t="s">
        <v>27</v>
      </c>
      <c r="L156" s="14">
        <f t="shared" si="4"/>
        <v>16.600000000000001</v>
      </c>
    </row>
    <row r="157" spans="1:12" ht="10.5" customHeight="1" outlineLevel="1" x14ac:dyDescent="0.25">
      <c r="A157" s="22"/>
      <c r="B157" s="22" t="s">
        <v>24</v>
      </c>
      <c r="C157" s="22">
        <v>86755</v>
      </c>
      <c r="D157" s="23" t="s">
        <v>25</v>
      </c>
      <c r="E157" s="23" t="s">
        <v>25</v>
      </c>
      <c r="F157" s="24" t="s">
        <v>288</v>
      </c>
      <c r="G157" s="24" t="str">
        <f t="shared" si="5"/>
        <v>NETS-KR-DM10-09   Net's Плинт на 10 пар размыкаемый (ABS), маркированные 0-9</v>
      </c>
      <c r="H157" s="25">
        <f>$C$1*        1.65</f>
        <v>36.299999999999997</v>
      </c>
      <c r="I157" s="26"/>
      <c r="J157" s="27">
        <v>0</v>
      </c>
      <c r="K157" s="28"/>
      <c r="L157" s="14">
        <f t="shared" si="4"/>
        <v>35.57</v>
      </c>
    </row>
    <row r="158" spans="1:12" ht="10.5" customHeight="1" outlineLevel="1" x14ac:dyDescent="0.25">
      <c r="A158" s="22"/>
      <c r="B158" s="22" t="s">
        <v>24</v>
      </c>
      <c r="C158" s="22">
        <v>88469</v>
      </c>
      <c r="D158" s="23" t="s">
        <v>25</v>
      </c>
      <c r="E158" s="23" t="s">
        <v>25</v>
      </c>
      <c r="F158" s="24" t="s">
        <v>289</v>
      </c>
      <c r="G158" s="24" t="str">
        <f t="shared" si="5"/>
        <v>NETS-KR-HBM5cat-8   Net's Плинт на 8 пар 5 категории, размыкаемый, цветная кодировка (PBT)</v>
      </c>
      <c r="H158" s="25">
        <f>$C$1*        1.3</f>
        <v>28.6</v>
      </c>
      <c r="I158" s="26"/>
      <c r="J158" s="27">
        <v>0</v>
      </c>
      <c r="K158" s="28" t="s">
        <v>27</v>
      </c>
      <c r="L158" s="14">
        <f t="shared" si="4"/>
        <v>28.03</v>
      </c>
    </row>
    <row r="159" spans="1:12" ht="10.5" customHeight="1" outlineLevel="1" x14ac:dyDescent="0.25">
      <c r="A159" s="22"/>
      <c r="B159" s="22" t="s">
        <v>24</v>
      </c>
      <c r="C159" s="22">
        <v>87130</v>
      </c>
      <c r="D159" s="23" t="s">
        <v>25</v>
      </c>
      <c r="E159" s="23" t="s">
        <v>290</v>
      </c>
      <c r="F159" s="24" t="s">
        <v>291</v>
      </c>
      <c r="G159" s="24" t="str">
        <f t="shared" si="5"/>
        <v>Nets  устройство защиты линии</v>
      </c>
      <c r="H159" s="25">
        <f>$C$1*        1.08</f>
        <v>23.76</v>
      </c>
      <c r="I159" s="26"/>
      <c r="J159" s="27">
        <v>0</v>
      </c>
      <c r="K159" s="28" t="s">
        <v>27</v>
      </c>
      <c r="L159" s="14">
        <f t="shared" si="4"/>
        <v>23.28</v>
      </c>
    </row>
    <row r="160" spans="1:12" ht="10.5" customHeight="1" outlineLevel="1" x14ac:dyDescent="0.25">
      <c r="A160" s="22"/>
      <c r="B160" s="22" t="s">
        <v>24</v>
      </c>
      <c r="C160" s="22">
        <v>86691</v>
      </c>
      <c r="D160" s="23" t="s">
        <v>25</v>
      </c>
      <c r="E160" s="23" t="s">
        <v>25</v>
      </c>
      <c r="F160" s="24" t="s">
        <v>292</v>
      </c>
      <c r="G160" s="24" t="str">
        <f t="shared" si="5"/>
        <v>NETS-KR-PTCM10   Net's Плинт на 10 пар неразмыкаемый, крепление на профили (PTB)</v>
      </c>
      <c r="H160" s="25">
        <f>$C$1*        1</f>
        <v>22</v>
      </c>
      <c r="I160" s="26"/>
      <c r="J160" s="27">
        <v>0</v>
      </c>
      <c r="K160" s="28" t="s">
        <v>27</v>
      </c>
      <c r="L160" s="14">
        <f t="shared" si="4"/>
        <v>21.56</v>
      </c>
    </row>
    <row r="161" spans="1:12" ht="10.5" customHeight="1" outlineLevel="1" x14ac:dyDescent="0.25">
      <c r="A161" s="22"/>
      <c r="B161" s="22" t="s">
        <v>24</v>
      </c>
      <c r="C161" s="22">
        <v>86690</v>
      </c>
      <c r="D161" s="23" t="s">
        <v>25</v>
      </c>
      <c r="E161" s="23" t="s">
        <v>25</v>
      </c>
      <c r="F161" s="24" t="s">
        <v>293</v>
      </c>
      <c r="G161" s="24" t="str">
        <f t="shared" si="5"/>
        <v>NETS-KR-PTDM10   Net's Плинт на 10 пар размыкаемый, крепление на профили (PTB)</v>
      </c>
      <c r="H161" s="25">
        <f>$C$1*        1</f>
        <v>22</v>
      </c>
      <c r="I161" s="26"/>
      <c r="J161" s="27">
        <v>0</v>
      </c>
      <c r="K161" s="28" t="s">
        <v>27</v>
      </c>
      <c r="L161" s="14">
        <f t="shared" si="4"/>
        <v>21.56</v>
      </c>
    </row>
    <row r="162" spans="1:12" ht="10.5" customHeight="1" outlineLevel="1" x14ac:dyDescent="0.25">
      <c r="A162" s="22"/>
      <c r="B162" s="22" t="s">
        <v>24</v>
      </c>
      <c r="C162" s="22">
        <v>88488</v>
      </c>
      <c r="D162" s="23" t="s">
        <v>25</v>
      </c>
      <c r="E162" s="23" t="s">
        <v>25</v>
      </c>
      <c r="F162" s="24" t="s">
        <v>294</v>
      </c>
      <c r="G162" s="24" t="str">
        <f t="shared" si="5"/>
        <v>NETS-KR-PTСM10-09   Net's Плинт на 10 пар неразмыкаемый крепление на профили (PTB), маркированые 0-9</v>
      </c>
      <c r="H162" s="25">
        <f>$C$1*        0.76</f>
        <v>16.72</v>
      </c>
      <c r="I162" s="26"/>
      <c r="J162" s="27">
        <v>0</v>
      </c>
      <c r="K162" s="28" t="s">
        <v>27</v>
      </c>
      <c r="L162" s="14">
        <f t="shared" si="4"/>
        <v>16.39</v>
      </c>
    </row>
    <row r="163" spans="1:12" ht="10.5" customHeight="1" outlineLevel="1" x14ac:dyDescent="0.25">
      <c r="A163" s="22"/>
      <c r="B163" s="22" t="s">
        <v>24</v>
      </c>
      <c r="C163" s="22">
        <v>88465</v>
      </c>
      <c r="D163" s="23" t="s">
        <v>25</v>
      </c>
      <c r="E163" s="23" t="s">
        <v>25</v>
      </c>
      <c r="F163" s="24" t="s">
        <v>295</v>
      </c>
      <c r="G163" s="24" t="str">
        <f t="shared" si="5"/>
        <v>NETS-KR-СM10-09   Net's Плинт на 10 пар неразмыкаемый (ABS), маркированные 0-9</v>
      </c>
      <c r="H163" s="25">
        <f>$C$1*        0.92</f>
        <v>20.240000000000002</v>
      </c>
      <c r="I163" s="26"/>
      <c r="J163" s="27">
        <v>0</v>
      </c>
      <c r="K163" s="28" t="s">
        <v>27</v>
      </c>
      <c r="L163" s="14">
        <f t="shared" si="4"/>
        <v>19.84</v>
      </c>
    </row>
    <row r="164" spans="1:12" ht="10.5" customHeight="1" x14ac:dyDescent="0.25">
      <c r="A164" s="15"/>
      <c r="B164" s="16" t="s">
        <v>296</v>
      </c>
      <c r="C164" s="16"/>
      <c r="D164" s="16"/>
      <c r="E164" s="16"/>
      <c r="F164" s="17"/>
      <c r="G164" s="24" t="e">
        <f t="shared" si="5"/>
        <v>#VALUE!</v>
      </c>
      <c r="H164" s="18"/>
      <c r="I164" s="19"/>
      <c r="J164" s="20"/>
      <c r="K164" s="21"/>
      <c r="L164" s="14">
        <f t="shared" si="4"/>
        <v>0</v>
      </c>
    </row>
    <row r="165" spans="1:12" ht="10.5" customHeight="1" outlineLevel="1" x14ac:dyDescent="0.25">
      <c r="A165" s="22"/>
      <c r="B165" s="22" t="s">
        <v>275</v>
      </c>
      <c r="C165" s="22">
        <v>95471</v>
      </c>
      <c r="D165" s="23" t="s">
        <v>297</v>
      </c>
      <c r="E165" s="23" t="s">
        <v>25</v>
      </c>
      <c r="F165" s="24" t="s">
        <v>298</v>
      </c>
      <c r="G165" s="24" t="str">
        <f t="shared" si="5"/>
        <v>KR-MF-1915 KR-MF-1915  Hypernet Кронштейн для установки в 19" шкаф 3U для 15 плинтов Krone (150 пар)</v>
      </c>
      <c r="H165" s="25">
        <f>$C$1*       16.5</f>
        <v>363</v>
      </c>
      <c r="I165" s="26"/>
      <c r="J165" s="27">
        <v>0</v>
      </c>
      <c r="K165" s="28"/>
      <c r="L165" s="14">
        <f t="shared" si="4"/>
        <v>355.74</v>
      </c>
    </row>
    <row r="166" spans="1:12" ht="10.5" customHeight="1" outlineLevel="1" x14ac:dyDescent="0.25">
      <c r="A166" s="22"/>
      <c r="B166" s="22" t="s">
        <v>275</v>
      </c>
      <c r="C166" s="22">
        <v>95473</v>
      </c>
      <c r="D166" s="23" t="s">
        <v>299</v>
      </c>
      <c r="E166" s="23" t="s">
        <v>25</v>
      </c>
      <c r="F166" s="24" t="s">
        <v>300</v>
      </c>
      <c r="G166" s="24" t="str">
        <f t="shared" si="5"/>
        <v>KR-MF-WM2 KR-MF-WM2  Hypernet Монтажный хомут для крепления на стену 2 плинтов (20 пар)</v>
      </c>
      <c r="H166" s="25">
        <f>$C$1*        0.64</f>
        <v>14.08</v>
      </c>
      <c r="I166" s="26"/>
      <c r="J166" s="27">
        <v>0</v>
      </c>
      <c r="K166" s="28" t="s">
        <v>27</v>
      </c>
      <c r="L166" s="14">
        <f t="shared" si="4"/>
        <v>13.8</v>
      </c>
    </row>
    <row r="167" spans="1:12" ht="10.5" customHeight="1" outlineLevel="1" x14ac:dyDescent="0.25">
      <c r="A167" s="22"/>
      <c r="B167" s="22" t="s">
        <v>275</v>
      </c>
      <c r="C167" s="22">
        <v>95474</v>
      </c>
      <c r="D167" s="23" t="s">
        <v>301</v>
      </c>
      <c r="E167" s="23" t="s">
        <v>25</v>
      </c>
      <c r="F167" s="24" t="s">
        <v>302</v>
      </c>
      <c r="G167" s="24" t="str">
        <f t="shared" si="5"/>
        <v>KR-MF-WM3 KR-MF-WM3  Hypernet Монтажный хомут для крепления на стену 3 плинтов (30 пар)</v>
      </c>
      <c r="H167" s="25">
        <f>$C$1*        0.82</f>
        <v>18.04</v>
      </c>
      <c r="I167" s="26"/>
      <c r="J167" s="27">
        <v>0</v>
      </c>
      <c r="K167" s="28" t="s">
        <v>27</v>
      </c>
      <c r="L167" s="14">
        <f t="shared" si="4"/>
        <v>17.68</v>
      </c>
    </row>
    <row r="168" spans="1:12" ht="10.5" customHeight="1" outlineLevel="1" x14ac:dyDescent="0.25">
      <c r="A168" s="22"/>
      <c r="B168" s="22" t="s">
        <v>24</v>
      </c>
      <c r="C168" s="22">
        <v>86595</v>
      </c>
      <c r="D168" s="23" t="s">
        <v>25</v>
      </c>
      <c r="E168" s="23" t="s">
        <v>303</v>
      </c>
      <c r="F168" s="24" t="s">
        <v>304</v>
      </c>
      <c r="G168" s="24" t="str">
        <f t="shared" si="5"/>
        <v>Nets  Кронштейн для установки в 19" шкаф 3U для 15 плинтов Krone (150 пар)</v>
      </c>
      <c r="H168" s="25">
        <f>$C$1*       15.95</f>
        <v>350.9</v>
      </c>
      <c r="I168" s="26"/>
      <c r="J168" s="27">
        <v>0</v>
      </c>
      <c r="K168" s="28" t="s">
        <v>27</v>
      </c>
      <c r="L168" s="14">
        <f t="shared" si="4"/>
        <v>343.88</v>
      </c>
    </row>
    <row r="169" spans="1:12" ht="10.5" customHeight="1" outlineLevel="1" x14ac:dyDescent="0.25">
      <c r="A169" s="22"/>
      <c r="B169" s="22" t="s">
        <v>24</v>
      </c>
      <c r="C169" s="22">
        <v>86598</v>
      </c>
      <c r="D169" s="23" t="s">
        <v>25</v>
      </c>
      <c r="E169" s="23" t="s">
        <v>25</v>
      </c>
      <c r="F169" s="24" t="s">
        <v>305</v>
      </c>
      <c r="G169" s="24" t="str">
        <f t="shared" si="5"/>
        <v>NETS-KR-MF-WM2   Net's Монтажный хомут для крепления на стену 2 плинтов (20 пар)</v>
      </c>
      <c r="H169" s="25">
        <f>$C$1*        0.55</f>
        <v>12.100000000000001</v>
      </c>
      <c r="I169" s="26"/>
      <c r="J169" s="27">
        <v>0</v>
      </c>
      <c r="K169" s="28" t="s">
        <v>27</v>
      </c>
      <c r="L169" s="14">
        <f t="shared" si="4"/>
        <v>11.86</v>
      </c>
    </row>
    <row r="170" spans="1:12" ht="10.5" customHeight="1" outlineLevel="1" x14ac:dyDescent="0.25">
      <c r="A170" s="22"/>
      <c r="B170" s="22" t="s">
        <v>24</v>
      </c>
      <c r="C170" s="22">
        <v>86597</v>
      </c>
      <c r="D170" s="23" t="s">
        <v>25</v>
      </c>
      <c r="E170" s="23" t="s">
        <v>25</v>
      </c>
      <c r="F170" s="24" t="s">
        <v>306</v>
      </c>
      <c r="G170" s="24" t="str">
        <f t="shared" si="5"/>
        <v>NETS-KR-MF-WM8   Net's Монтажный хомут для крепления на стену 8 плинтов (80 пар)</v>
      </c>
      <c r="H170" s="25">
        <f>$C$1*        2.33</f>
        <v>51.260000000000005</v>
      </c>
      <c r="I170" s="26"/>
      <c r="J170" s="27">
        <v>0</v>
      </c>
      <c r="K170" s="28" t="s">
        <v>27</v>
      </c>
      <c r="L170" s="14">
        <f t="shared" si="4"/>
        <v>50.23</v>
      </c>
    </row>
    <row r="171" spans="1:12" ht="10.5" customHeight="1" x14ac:dyDescent="0.25">
      <c r="A171" s="15"/>
      <c r="B171" s="16" t="s">
        <v>307</v>
      </c>
      <c r="C171" s="16"/>
      <c r="D171" s="16"/>
      <c r="E171" s="16"/>
      <c r="F171" s="17"/>
      <c r="G171" s="24" t="e">
        <f t="shared" si="5"/>
        <v>#VALUE!</v>
      </c>
      <c r="H171" s="18"/>
      <c r="I171" s="19"/>
      <c r="J171" s="20"/>
      <c r="K171" s="21"/>
      <c r="L171" s="14">
        <f t="shared" si="4"/>
        <v>0</v>
      </c>
    </row>
    <row r="172" spans="1:12" ht="10.5" customHeight="1" outlineLevel="1" x14ac:dyDescent="0.25">
      <c r="A172" s="22"/>
      <c r="B172" s="22" t="s">
        <v>275</v>
      </c>
      <c r="C172" s="22">
        <v>95466</v>
      </c>
      <c r="D172" s="23" t="s">
        <v>308</v>
      </c>
      <c r="E172" s="23" t="s">
        <v>25</v>
      </c>
      <c r="F172" s="24" t="s">
        <v>309</v>
      </c>
      <c r="G172" s="24" t="str">
        <f t="shared" si="5"/>
        <v>KR-ODB-1 KR-ODB-1  Hypernet Настенная коробка под 1 плинт, внешнее исполнение</v>
      </c>
      <c r="H172" s="25">
        <f>$C$1*        3.75</f>
        <v>82.5</v>
      </c>
      <c r="I172" s="26"/>
      <c r="J172" s="27">
        <v>0</v>
      </c>
      <c r="K172" s="28" t="s">
        <v>27</v>
      </c>
      <c r="L172" s="14">
        <f t="shared" si="4"/>
        <v>80.849999999999994</v>
      </c>
    </row>
    <row r="173" spans="1:12" ht="10.5" customHeight="1" x14ac:dyDescent="0.25">
      <c r="A173" s="15"/>
      <c r="B173" s="16" t="s">
        <v>310</v>
      </c>
      <c r="C173" s="16"/>
      <c r="D173" s="16"/>
      <c r="E173" s="16"/>
      <c r="F173" s="17"/>
      <c r="G173" s="24" t="e">
        <f t="shared" si="5"/>
        <v>#VALUE!</v>
      </c>
      <c r="H173" s="18"/>
      <c r="I173" s="19"/>
      <c r="J173" s="20"/>
      <c r="K173" s="21"/>
      <c r="L173" s="14">
        <f t="shared" si="4"/>
        <v>0</v>
      </c>
    </row>
    <row r="174" spans="1:12" ht="10.5" customHeight="1" outlineLevel="1" x14ac:dyDescent="0.25">
      <c r="A174" s="22"/>
      <c r="B174" s="22" t="s">
        <v>275</v>
      </c>
      <c r="C174" s="22">
        <v>95463</v>
      </c>
      <c r="D174" s="23" t="s">
        <v>311</v>
      </c>
      <c r="E174" s="23" t="s">
        <v>25</v>
      </c>
      <c r="F174" s="24" t="s">
        <v>312</v>
      </c>
      <c r="G174" s="24" t="str">
        <f t="shared" si="5"/>
        <v>PC-0903 PC-0903  Hypernet Маркеры пластиковые (0-10), 10 цветов, 10*10 шт в коробке</v>
      </c>
      <c r="H174" s="25">
        <f>$C$1*        0.5</f>
        <v>11</v>
      </c>
      <c r="I174" s="26"/>
      <c r="J174" s="27">
        <v>0</v>
      </c>
      <c r="K174" s="28" t="s">
        <v>27</v>
      </c>
      <c r="L174" s="14">
        <f t="shared" si="4"/>
        <v>10.78</v>
      </c>
    </row>
    <row r="175" spans="1:12" ht="10.5" customHeight="1" x14ac:dyDescent="0.25">
      <c r="A175" s="15"/>
      <c r="B175" s="16" t="s">
        <v>313</v>
      </c>
      <c r="C175" s="16"/>
      <c r="D175" s="16"/>
      <c r="E175" s="16"/>
      <c r="F175" s="17"/>
      <c r="G175" s="24" t="e">
        <f t="shared" si="5"/>
        <v>#VALUE!</v>
      </c>
      <c r="H175" s="18"/>
      <c r="I175" s="19"/>
      <c r="J175" s="20"/>
      <c r="K175" s="21"/>
      <c r="L175" s="14">
        <f t="shared" si="4"/>
        <v>0</v>
      </c>
    </row>
    <row r="176" spans="1:12" ht="10.5" customHeight="1" outlineLevel="1" x14ac:dyDescent="0.25">
      <c r="A176" s="22"/>
      <c r="B176" s="22" t="s">
        <v>24</v>
      </c>
      <c r="C176" s="22">
        <v>92196</v>
      </c>
      <c r="D176" s="23" t="s">
        <v>25</v>
      </c>
      <c r="E176" s="23" t="s">
        <v>25</v>
      </c>
      <c r="F176" s="24" t="s">
        <v>314</v>
      </c>
      <c r="G176" s="24" t="str">
        <f t="shared" si="5"/>
        <v>МО-50-10   Металлорукав стальной оцинкованый с протяжкой D=50 мм, 10 м упаковка</v>
      </c>
      <c r="H176" s="25">
        <f>$C$1*       18</f>
        <v>396</v>
      </c>
      <c r="I176" s="26"/>
      <c r="J176" s="27">
        <v>0</v>
      </c>
      <c r="K176" s="28" t="s">
        <v>27</v>
      </c>
      <c r="L176" s="14">
        <f t="shared" si="4"/>
        <v>388.08</v>
      </c>
    </row>
    <row r="177" spans="1:12" ht="10.5" customHeight="1" x14ac:dyDescent="0.25">
      <c r="A177" s="15"/>
      <c r="B177" s="16" t="s">
        <v>315</v>
      </c>
      <c r="C177" s="16"/>
      <c r="D177" s="16"/>
      <c r="E177" s="16"/>
      <c r="F177" s="17"/>
      <c r="G177" s="24" t="e">
        <f t="shared" si="5"/>
        <v>#VALUE!</v>
      </c>
      <c r="H177" s="18"/>
      <c r="I177" s="19"/>
      <c r="J177" s="20"/>
      <c r="K177" s="21"/>
      <c r="L177" s="14">
        <f t="shared" si="4"/>
        <v>0</v>
      </c>
    </row>
    <row r="178" spans="1:12" ht="10.5" customHeight="1" outlineLevel="1" x14ac:dyDescent="0.25">
      <c r="A178" s="22"/>
      <c r="B178" s="22" t="s">
        <v>24</v>
      </c>
      <c r="C178" s="22">
        <v>86660</v>
      </c>
      <c r="D178" s="23" t="s">
        <v>25</v>
      </c>
      <c r="E178" s="23" t="s">
        <v>25</v>
      </c>
      <c r="F178" s="24" t="s">
        <v>316</v>
      </c>
      <c r="G178" s="24" t="str">
        <f t="shared" si="5"/>
        <v>LCDTV-Tuner   TV тюнер для LCD TV</v>
      </c>
      <c r="H178" s="25">
        <f>$C$1*       30</f>
        <v>660</v>
      </c>
      <c r="I178" s="26"/>
      <c r="J178" s="27">
        <v>6</v>
      </c>
      <c r="K178" s="28" t="s">
        <v>27</v>
      </c>
      <c r="L178" s="14">
        <f t="shared" si="4"/>
        <v>646.79999999999995</v>
      </c>
    </row>
    <row r="179" spans="1:12" ht="10.5" customHeight="1" outlineLevel="1" x14ac:dyDescent="0.25">
      <c r="A179" s="22"/>
      <c r="B179" s="22" t="s">
        <v>24</v>
      </c>
      <c r="C179" s="22">
        <v>86933</v>
      </c>
      <c r="D179" s="23" t="s">
        <v>25</v>
      </c>
      <c r="E179" s="23" t="s">
        <v>25</v>
      </c>
      <c r="F179" s="24" t="s">
        <v>317</v>
      </c>
      <c r="G179" s="24" t="str">
        <f t="shared" si="5"/>
        <v>USB-KIT   Набор USB кабели, мышь, хаб, переходники для ноутбука</v>
      </c>
      <c r="H179" s="25">
        <f>$C$1*        7.7</f>
        <v>169.4</v>
      </c>
      <c r="I179" s="26"/>
      <c r="J179" s="27">
        <v>0</v>
      </c>
      <c r="K179" s="28" t="s">
        <v>27</v>
      </c>
      <c r="L179" s="14">
        <f t="shared" si="4"/>
        <v>166.01</v>
      </c>
    </row>
    <row r="180" spans="1:12" ht="10.5" customHeight="1" x14ac:dyDescent="0.25">
      <c r="A180" s="15"/>
      <c r="B180" s="16" t="s">
        <v>318</v>
      </c>
      <c r="C180" s="16"/>
      <c r="D180" s="16"/>
      <c r="E180" s="16"/>
      <c r="F180" s="17"/>
      <c r="G180" s="24" t="e">
        <f t="shared" si="5"/>
        <v>#VALUE!</v>
      </c>
      <c r="H180" s="18"/>
      <c r="I180" s="19"/>
      <c r="J180" s="20"/>
      <c r="K180" s="21"/>
      <c r="L180" s="14">
        <f t="shared" si="4"/>
        <v>0</v>
      </c>
    </row>
    <row r="181" spans="1:12" ht="10.5" customHeight="1" x14ac:dyDescent="0.25">
      <c r="A181" s="15"/>
      <c r="B181" s="16" t="s">
        <v>319</v>
      </c>
      <c r="C181" s="16"/>
      <c r="D181" s="16"/>
      <c r="E181" s="16"/>
      <c r="F181" s="17"/>
      <c r="G181" s="24" t="e">
        <f t="shared" si="5"/>
        <v>#VALUE!</v>
      </c>
      <c r="H181" s="18"/>
      <c r="I181" s="19"/>
      <c r="J181" s="20"/>
      <c r="K181" s="21"/>
      <c r="L181" s="14">
        <f t="shared" si="4"/>
        <v>0</v>
      </c>
    </row>
    <row r="182" spans="1:12" ht="10.5" customHeight="1" outlineLevel="1" x14ac:dyDescent="0.25">
      <c r="A182" s="22"/>
      <c r="B182" s="22" t="s">
        <v>271</v>
      </c>
      <c r="C182" s="22">
        <v>88755</v>
      </c>
      <c r="D182" s="23" t="s">
        <v>25</v>
      </c>
      <c r="E182" s="23" t="s">
        <v>25</v>
      </c>
      <c r="F182" s="24" t="s">
        <v>320</v>
      </c>
      <c r="G182" s="24" t="str">
        <f t="shared" si="5"/>
        <v>65952   Tplast Выключатель влагозащитный IP54 одинарный Camilya</v>
      </c>
      <c r="H182" s="25">
        <f>$C$1*        1.06</f>
        <v>23.32</v>
      </c>
      <c r="I182" s="26"/>
      <c r="J182" s="27">
        <v>0</v>
      </c>
      <c r="K182" s="28" t="s">
        <v>27</v>
      </c>
      <c r="L182" s="14">
        <f t="shared" si="4"/>
        <v>22.85</v>
      </c>
    </row>
    <row r="183" spans="1:12" ht="10.5" customHeight="1" outlineLevel="1" x14ac:dyDescent="0.25">
      <c r="A183" s="22"/>
      <c r="B183" s="22" t="s">
        <v>271</v>
      </c>
      <c r="C183" s="22">
        <v>88756</v>
      </c>
      <c r="D183" s="23" t="s">
        <v>25</v>
      </c>
      <c r="E183" s="23" t="s">
        <v>25</v>
      </c>
      <c r="F183" s="24" t="s">
        <v>321</v>
      </c>
      <c r="G183" s="24" t="str">
        <f t="shared" si="5"/>
        <v>65953   Tplast Выключатель двойной влагозащитный IP54 Camilya</v>
      </c>
      <c r="H183" s="25">
        <f>$C$1*        1.28</f>
        <v>28.16</v>
      </c>
      <c r="I183" s="26"/>
      <c r="J183" s="27">
        <v>0</v>
      </c>
      <c r="K183" s="28" t="s">
        <v>27</v>
      </c>
      <c r="L183" s="14">
        <f t="shared" si="4"/>
        <v>27.6</v>
      </c>
    </row>
    <row r="184" spans="1:12" ht="10.5" customHeight="1" outlineLevel="1" x14ac:dyDescent="0.25">
      <c r="A184" s="22"/>
      <c r="B184" s="22" t="s">
        <v>271</v>
      </c>
      <c r="C184" s="22">
        <v>88757</v>
      </c>
      <c r="D184" s="23" t="s">
        <v>25</v>
      </c>
      <c r="E184" s="23" t="s">
        <v>25</v>
      </c>
      <c r="F184" s="24" t="s">
        <v>322</v>
      </c>
      <c r="G184" s="24" t="str">
        <f t="shared" si="5"/>
        <v>65955   Tplast Выключатель + розетка с заземлением влагозащитный IP54 Camilya</v>
      </c>
      <c r="H184" s="25">
        <f>$C$1*        2.29</f>
        <v>50.38</v>
      </c>
      <c r="I184" s="26"/>
      <c r="J184" s="27">
        <v>0</v>
      </c>
      <c r="K184" s="28" t="s">
        <v>27</v>
      </c>
      <c r="L184" s="14">
        <f t="shared" si="4"/>
        <v>49.37</v>
      </c>
    </row>
    <row r="185" spans="1:12" ht="10.5" customHeight="1" outlineLevel="1" x14ac:dyDescent="0.25">
      <c r="A185" s="22"/>
      <c r="B185" s="22" t="s">
        <v>271</v>
      </c>
      <c r="C185" s="22">
        <v>88758</v>
      </c>
      <c r="D185" s="23" t="s">
        <v>25</v>
      </c>
      <c r="E185" s="23" t="s">
        <v>25</v>
      </c>
      <c r="F185" s="24" t="s">
        <v>323</v>
      </c>
      <c r="G185" s="24" t="str">
        <f t="shared" si="5"/>
        <v>65956   Tplast Выключатель двойной + розетка с заземлением влагозащитный IP54 Camilya</v>
      </c>
      <c r="H185" s="25">
        <f>$C$1*        2.45</f>
        <v>53.900000000000006</v>
      </c>
      <c r="I185" s="26"/>
      <c r="J185" s="27">
        <v>0</v>
      </c>
      <c r="K185" s="28" t="s">
        <v>27</v>
      </c>
      <c r="L185" s="14">
        <f t="shared" si="4"/>
        <v>52.82</v>
      </c>
    </row>
    <row r="186" spans="1:12" ht="10.5" customHeight="1" outlineLevel="1" x14ac:dyDescent="0.25">
      <c r="A186" s="22"/>
      <c r="B186" s="22" t="s">
        <v>271</v>
      </c>
      <c r="C186" s="22">
        <v>88761</v>
      </c>
      <c r="D186" s="23" t="s">
        <v>25</v>
      </c>
      <c r="E186" s="23" t="s">
        <v>25</v>
      </c>
      <c r="F186" s="24" t="s">
        <v>324</v>
      </c>
      <c r="G186" s="24" t="str">
        <f t="shared" si="5"/>
        <v>66214   Tplast Розетка телефонная влагозащитная IP54 Camilya</v>
      </c>
      <c r="H186" s="25">
        <f>$C$1*        1.31</f>
        <v>28.82</v>
      </c>
      <c r="I186" s="26"/>
      <c r="J186" s="27">
        <v>0</v>
      </c>
      <c r="K186" s="28" t="s">
        <v>27</v>
      </c>
      <c r="L186" s="14">
        <f t="shared" si="4"/>
        <v>28.24</v>
      </c>
    </row>
    <row r="187" spans="1:12" ht="10.5" customHeight="1" x14ac:dyDescent="0.25">
      <c r="A187" s="15"/>
      <c r="B187" s="16" t="s">
        <v>325</v>
      </c>
      <c r="C187" s="16"/>
      <c r="D187" s="16"/>
      <c r="E187" s="16"/>
      <c r="F187" s="17"/>
      <c r="G187" s="24" t="e">
        <f t="shared" si="5"/>
        <v>#VALUE!</v>
      </c>
      <c r="H187" s="18"/>
      <c r="I187" s="19"/>
      <c r="J187" s="20"/>
      <c r="K187" s="21"/>
      <c r="L187" s="14">
        <f t="shared" si="4"/>
        <v>0</v>
      </c>
    </row>
    <row r="188" spans="1:12" ht="10.5" customHeight="1" outlineLevel="1" x14ac:dyDescent="0.25">
      <c r="A188" s="22"/>
      <c r="B188" s="22" t="s">
        <v>271</v>
      </c>
      <c r="C188" s="22">
        <v>88227</v>
      </c>
      <c r="D188" s="23" t="s">
        <v>25</v>
      </c>
      <c r="E188" s="23" t="s">
        <v>25</v>
      </c>
      <c r="F188" s="24" t="s">
        <v>326</v>
      </c>
      <c r="G188" s="24" t="str">
        <f t="shared" si="5"/>
        <v>20173   Выключатель двойной с подсветкой белый Camilya</v>
      </c>
      <c r="H188" s="25">
        <f>$C$1*        1.52</f>
        <v>33.44</v>
      </c>
      <c r="I188" s="26"/>
      <c r="J188" s="27">
        <v>0</v>
      </c>
      <c r="K188" s="28" t="s">
        <v>27</v>
      </c>
      <c r="L188" s="14">
        <f t="shared" si="4"/>
        <v>32.770000000000003</v>
      </c>
    </row>
    <row r="189" spans="1:12" ht="10.5" customHeight="1" outlineLevel="1" x14ac:dyDescent="0.25">
      <c r="A189" s="22"/>
      <c r="B189" s="22" t="s">
        <v>271</v>
      </c>
      <c r="C189" s="22">
        <v>88228</v>
      </c>
      <c r="D189" s="23" t="s">
        <v>25</v>
      </c>
      <c r="E189" s="23" t="s">
        <v>25</v>
      </c>
      <c r="F189" s="24" t="s">
        <v>327</v>
      </c>
      <c r="G189" s="24" t="str">
        <f t="shared" si="5"/>
        <v>20174   Выключатель проходной белый Camilya</v>
      </c>
      <c r="H189" s="25">
        <f>$C$1*        1.28</f>
        <v>28.16</v>
      </c>
      <c r="I189" s="26"/>
      <c r="J189" s="27">
        <v>0</v>
      </c>
      <c r="K189" s="28" t="s">
        <v>27</v>
      </c>
      <c r="L189" s="14">
        <f t="shared" si="4"/>
        <v>27.6</v>
      </c>
    </row>
    <row r="190" spans="1:12" ht="10.5" customHeight="1" outlineLevel="1" x14ac:dyDescent="0.25">
      <c r="A190" s="22"/>
      <c r="B190" s="22" t="s">
        <v>271</v>
      </c>
      <c r="C190" s="22">
        <v>88229</v>
      </c>
      <c r="D190" s="23" t="s">
        <v>25</v>
      </c>
      <c r="E190" s="23" t="s">
        <v>25</v>
      </c>
      <c r="F190" s="24" t="s">
        <v>328</v>
      </c>
      <c r="G190" s="24" t="str">
        <f t="shared" si="5"/>
        <v>20175   Выключатель проходной двойной белый Camilya</v>
      </c>
      <c r="H190" s="25">
        <f>$C$1*        1.67</f>
        <v>36.739999999999995</v>
      </c>
      <c r="I190" s="26"/>
      <c r="J190" s="27">
        <v>0</v>
      </c>
      <c r="K190" s="28" t="s">
        <v>27</v>
      </c>
      <c r="L190" s="14">
        <f t="shared" si="4"/>
        <v>36.01</v>
      </c>
    </row>
    <row r="191" spans="1:12" ht="10.5" customHeight="1" outlineLevel="1" x14ac:dyDescent="0.25">
      <c r="A191" s="22"/>
      <c r="B191" s="22" t="s">
        <v>271</v>
      </c>
      <c r="C191" s="22">
        <v>88230</v>
      </c>
      <c r="D191" s="23" t="s">
        <v>25</v>
      </c>
      <c r="E191" s="23" t="s">
        <v>25</v>
      </c>
      <c r="F191" s="24" t="s">
        <v>329</v>
      </c>
      <c r="G191" s="24" t="str">
        <f t="shared" si="5"/>
        <v>20176   Выключатель одинарный с подсветкой белый Camilya</v>
      </c>
      <c r="H191" s="25">
        <f>$C$1*        1.33</f>
        <v>29.26</v>
      </c>
      <c r="I191" s="26"/>
      <c r="J191" s="27">
        <v>0</v>
      </c>
      <c r="K191" s="28" t="s">
        <v>27</v>
      </c>
      <c r="L191" s="14">
        <f t="shared" si="4"/>
        <v>28.67</v>
      </c>
    </row>
    <row r="192" spans="1:12" ht="10.5" customHeight="1" outlineLevel="1" x14ac:dyDescent="0.25">
      <c r="A192" s="22"/>
      <c r="B192" s="22" t="s">
        <v>271</v>
      </c>
      <c r="C192" s="22">
        <v>88231</v>
      </c>
      <c r="D192" s="23" t="s">
        <v>25</v>
      </c>
      <c r="E192" s="23" t="s">
        <v>25</v>
      </c>
      <c r="F192" s="24" t="s">
        <v>330</v>
      </c>
      <c r="G192" s="24" t="str">
        <f t="shared" si="5"/>
        <v>20178   Диммер 1000W с подсветкой белый Camilya</v>
      </c>
      <c r="H192" s="25">
        <f>$C$1*        6.74</f>
        <v>148.28</v>
      </c>
      <c r="I192" s="26"/>
      <c r="J192" s="27">
        <v>0</v>
      </c>
      <c r="K192" s="28" t="s">
        <v>27</v>
      </c>
      <c r="L192" s="14">
        <f t="shared" si="4"/>
        <v>145.31</v>
      </c>
    </row>
    <row r="193" spans="1:12" ht="10.5" customHeight="1" outlineLevel="1" x14ac:dyDescent="0.25">
      <c r="A193" s="22"/>
      <c r="B193" s="22" t="s">
        <v>271</v>
      </c>
      <c r="C193" s="22">
        <v>88233</v>
      </c>
      <c r="D193" s="23" t="s">
        <v>25</v>
      </c>
      <c r="E193" s="23" t="s">
        <v>25</v>
      </c>
      <c r="F193" s="24" t="s">
        <v>331</v>
      </c>
      <c r="G193" s="24" t="str">
        <f t="shared" si="5"/>
        <v>20179   Tplast Рамка 2-я горизонтальная белая Camilya</v>
      </c>
      <c r="H193" s="25">
        <f>$C$1*        0.54</f>
        <v>11.88</v>
      </c>
      <c r="I193" s="26"/>
      <c r="J193" s="27">
        <v>0</v>
      </c>
      <c r="K193" s="28" t="s">
        <v>27</v>
      </c>
      <c r="L193" s="14">
        <f t="shared" si="4"/>
        <v>11.64</v>
      </c>
    </row>
    <row r="194" spans="1:12" ht="10.5" customHeight="1" outlineLevel="1" x14ac:dyDescent="0.25">
      <c r="A194" s="22"/>
      <c r="B194" s="22" t="s">
        <v>271</v>
      </c>
      <c r="C194" s="22">
        <v>88237</v>
      </c>
      <c r="D194" s="23" t="s">
        <v>25</v>
      </c>
      <c r="E194" s="23" t="s">
        <v>25</v>
      </c>
      <c r="F194" s="24" t="s">
        <v>332</v>
      </c>
      <c r="G194" s="24" t="str">
        <f t="shared" si="5"/>
        <v>20183   Tplast Рамка 6-я горизонтальная белая Camilya</v>
      </c>
      <c r="H194" s="25">
        <f>$C$1*        1.82</f>
        <v>40.04</v>
      </c>
      <c r="I194" s="26"/>
      <c r="J194" s="27">
        <v>0</v>
      </c>
      <c r="K194" s="28" t="s">
        <v>27</v>
      </c>
      <c r="L194" s="14">
        <f t="shared" si="4"/>
        <v>39.24</v>
      </c>
    </row>
    <row r="195" spans="1:12" ht="10.5" customHeight="1" outlineLevel="1" x14ac:dyDescent="0.25">
      <c r="A195" s="22"/>
      <c r="B195" s="22" t="s">
        <v>271</v>
      </c>
      <c r="C195" s="22">
        <v>88226</v>
      </c>
      <c r="D195" s="23" t="s">
        <v>25</v>
      </c>
      <c r="E195" s="23" t="s">
        <v>25</v>
      </c>
      <c r="F195" s="24" t="s">
        <v>333</v>
      </c>
      <c r="G195" s="24" t="str">
        <f t="shared" si="5"/>
        <v>20249   Tplast Выключатель двойной белый Camilya</v>
      </c>
      <c r="H195" s="25">
        <f>$C$1*        1.06</f>
        <v>23.32</v>
      </c>
      <c r="I195" s="26"/>
      <c r="J195" s="27">
        <v>0</v>
      </c>
      <c r="K195" s="28" t="s">
        <v>27</v>
      </c>
      <c r="L195" s="14">
        <f t="shared" si="4"/>
        <v>22.85</v>
      </c>
    </row>
    <row r="196" spans="1:12" ht="10.5" customHeight="1" outlineLevel="1" x14ac:dyDescent="0.25">
      <c r="A196" s="22"/>
      <c r="B196" s="22" t="s">
        <v>271</v>
      </c>
      <c r="C196" s="22">
        <v>88129</v>
      </c>
      <c r="D196" s="23" t="s">
        <v>25</v>
      </c>
      <c r="E196" s="23" t="s">
        <v>25</v>
      </c>
      <c r="F196" s="24" t="s">
        <v>334</v>
      </c>
      <c r="G196" s="24" t="str">
        <f t="shared" si="5"/>
        <v>20250   Tplast Розетка двойная электрическая без заземления белая Camilya (бакелит)</v>
      </c>
      <c r="H196" s="25">
        <f>$C$1*        1.2</f>
        <v>26.4</v>
      </c>
      <c r="I196" s="26"/>
      <c r="J196" s="27">
        <v>0</v>
      </c>
      <c r="K196" s="28" t="s">
        <v>27</v>
      </c>
      <c r="L196" s="14">
        <f t="shared" si="4"/>
        <v>25.87</v>
      </c>
    </row>
    <row r="197" spans="1:12" ht="10.5" customHeight="1" outlineLevel="1" x14ac:dyDescent="0.25">
      <c r="A197" s="22"/>
      <c r="B197" s="22" t="s">
        <v>271</v>
      </c>
      <c r="C197" s="22">
        <v>88130</v>
      </c>
      <c r="D197" s="23" t="s">
        <v>25</v>
      </c>
      <c r="E197" s="23" t="s">
        <v>25</v>
      </c>
      <c r="F197" s="24" t="s">
        <v>335</v>
      </c>
      <c r="G197" s="24" t="str">
        <f t="shared" si="5"/>
        <v>20251   Tplast Розетка двойная электрическая с заземлением белая Camilya (бакелит)</v>
      </c>
      <c r="H197" s="25">
        <f>$C$1*        1.48</f>
        <v>32.56</v>
      </c>
      <c r="I197" s="26"/>
      <c r="J197" s="27">
        <v>0</v>
      </c>
      <c r="K197" s="28" t="s">
        <v>27</v>
      </c>
      <c r="L197" s="14">
        <f t="shared" si="4"/>
        <v>31.91</v>
      </c>
    </row>
    <row r="198" spans="1:12" ht="10.5" customHeight="1" outlineLevel="1" x14ac:dyDescent="0.25">
      <c r="A198" s="22"/>
      <c r="B198" s="22" t="s">
        <v>271</v>
      </c>
      <c r="C198" s="22">
        <v>88131</v>
      </c>
      <c r="D198" s="23" t="s">
        <v>25</v>
      </c>
      <c r="E198" s="23" t="s">
        <v>25</v>
      </c>
      <c r="F198" s="24" t="s">
        <v>336</v>
      </c>
      <c r="G198" s="24" t="str">
        <f t="shared" si="5"/>
        <v>20605   Tplast Розетка одинарная компьютерная 1хRJ45 cat. 5e белая Camilya</v>
      </c>
      <c r="H198" s="25">
        <f>$C$1*        6.56</f>
        <v>144.32</v>
      </c>
      <c r="I198" s="26"/>
      <c r="J198" s="27">
        <v>0</v>
      </c>
      <c r="K198" s="28" t="s">
        <v>27</v>
      </c>
      <c r="L198" s="14">
        <f t="shared" ref="L198:L261" si="6">ROUND(H198*0.98,2)</f>
        <v>141.43</v>
      </c>
    </row>
    <row r="199" spans="1:12" ht="10.5" customHeight="1" outlineLevel="1" x14ac:dyDescent="0.25">
      <c r="A199" s="22"/>
      <c r="B199" s="22" t="s">
        <v>271</v>
      </c>
      <c r="C199" s="22">
        <v>88137</v>
      </c>
      <c r="D199" s="23" t="s">
        <v>25</v>
      </c>
      <c r="E199" s="23" t="s">
        <v>25</v>
      </c>
      <c r="F199" s="24" t="s">
        <v>337</v>
      </c>
      <c r="G199" s="24" t="str">
        <f t="shared" si="5"/>
        <v>20608   Tplast Розетка двойная телефонная 2хRJ12 белая Camilya</v>
      </c>
      <c r="H199" s="25">
        <f>$C$1*        1.87</f>
        <v>41.14</v>
      </c>
      <c r="I199" s="26"/>
      <c r="J199" s="27">
        <v>0</v>
      </c>
      <c r="K199" s="28" t="s">
        <v>27</v>
      </c>
      <c r="L199" s="14">
        <f t="shared" si="6"/>
        <v>40.32</v>
      </c>
    </row>
    <row r="200" spans="1:12" ht="10.5" customHeight="1" outlineLevel="1" x14ac:dyDescent="0.25">
      <c r="A200" s="22"/>
      <c r="B200" s="22" t="s">
        <v>271</v>
      </c>
      <c r="C200" s="22">
        <v>88232</v>
      </c>
      <c r="D200" s="23" t="s">
        <v>25</v>
      </c>
      <c r="E200" s="23" t="s">
        <v>25</v>
      </c>
      <c r="F200" s="24" t="s">
        <v>338</v>
      </c>
      <c r="G200" s="24" t="str">
        <f t="shared" ref="G200:G263" si="7">REPLACE(F200,SEARCH(" ",F200)+1,0,D200&amp;" ")</f>
        <v>65266   Tplast Кнопка звонка Camilya</v>
      </c>
      <c r="H200" s="25">
        <f>$C$1*        1.51</f>
        <v>33.22</v>
      </c>
      <c r="I200" s="26"/>
      <c r="J200" s="27">
        <v>0</v>
      </c>
      <c r="K200" s="28" t="s">
        <v>27</v>
      </c>
      <c r="L200" s="14">
        <f t="shared" si="6"/>
        <v>32.56</v>
      </c>
    </row>
    <row r="201" spans="1:12" ht="10.5" customHeight="1" x14ac:dyDescent="0.25">
      <c r="A201" s="15"/>
      <c r="B201" s="16" t="s">
        <v>339</v>
      </c>
      <c r="C201" s="16"/>
      <c r="D201" s="16"/>
      <c r="E201" s="16"/>
      <c r="F201" s="17"/>
      <c r="G201" s="24" t="e">
        <f t="shared" si="7"/>
        <v>#VALUE!</v>
      </c>
      <c r="H201" s="18"/>
      <c r="I201" s="19"/>
      <c r="J201" s="20"/>
      <c r="K201" s="21"/>
      <c r="L201" s="14">
        <f t="shared" si="6"/>
        <v>0</v>
      </c>
    </row>
    <row r="202" spans="1:12" ht="10.5" customHeight="1" x14ac:dyDescent="0.25">
      <c r="A202" s="15"/>
      <c r="B202" s="16" t="s">
        <v>340</v>
      </c>
      <c r="C202" s="16"/>
      <c r="D202" s="16"/>
      <c r="E202" s="16"/>
      <c r="F202" s="17"/>
      <c r="G202" s="24" t="e">
        <f t="shared" si="7"/>
        <v>#VALUE!</v>
      </c>
      <c r="H202" s="18"/>
      <c r="I202" s="19"/>
      <c r="J202" s="20"/>
      <c r="K202" s="21"/>
      <c r="L202" s="14">
        <f t="shared" si="6"/>
        <v>0</v>
      </c>
    </row>
    <row r="203" spans="1:12" ht="10.5" customHeight="1" outlineLevel="1" x14ac:dyDescent="0.25">
      <c r="A203" s="22"/>
      <c r="B203" s="22" t="s">
        <v>24</v>
      </c>
      <c r="C203" s="22">
        <v>90112</v>
      </c>
      <c r="D203" s="23" t="s">
        <v>25</v>
      </c>
      <c r="E203" s="23" t="s">
        <v>25</v>
      </c>
      <c r="F203" s="24" t="s">
        <v>341</v>
      </c>
      <c r="G203" s="24" t="str">
        <f t="shared" si="7"/>
        <v>IPcam-NC-0202   IP Камера 0.3Mp подсв 8 LED, RJ45, M-JPEG</v>
      </c>
      <c r="H203" s="25">
        <f>$C$1*       59</f>
        <v>1298</v>
      </c>
      <c r="I203" s="26"/>
      <c r="J203" s="27">
        <v>6</v>
      </c>
      <c r="K203" s="28" t="s">
        <v>27</v>
      </c>
      <c r="L203" s="14">
        <f t="shared" si="6"/>
        <v>1272.04</v>
      </c>
    </row>
    <row r="204" spans="1:12" ht="10.5" customHeight="1" outlineLevel="1" x14ac:dyDescent="0.25">
      <c r="A204" s="22"/>
      <c r="B204" s="22" t="s">
        <v>24</v>
      </c>
      <c r="C204" s="22">
        <v>90111</v>
      </c>
      <c r="D204" s="23" t="s">
        <v>25</v>
      </c>
      <c r="E204" s="23" t="s">
        <v>25</v>
      </c>
      <c r="F204" s="24" t="s">
        <v>342</v>
      </c>
      <c r="G204" s="24" t="str">
        <f t="shared" si="7"/>
        <v>IPcam-NC-0203   IP Камера 0.3Mp подсв 9 LED, RJ45, M-JPEG</v>
      </c>
      <c r="H204" s="25">
        <f>$C$1*       57</f>
        <v>1254</v>
      </c>
      <c r="I204" s="26"/>
      <c r="J204" s="27">
        <v>6</v>
      </c>
      <c r="K204" s="28" t="s">
        <v>27</v>
      </c>
      <c r="L204" s="14">
        <f t="shared" si="6"/>
        <v>1228.92</v>
      </c>
    </row>
    <row r="205" spans="1:12" ht="10.5" customHeight="1" outlineLevel="1" x14ac:dyDescent="0.25">
      <c r="A205" s="22"/>
      <c r="B205" s="22" t="s">
        <v>24</v>
      </c>
      <c r="C205" s="22">
        <v>90110</v>
      </c>
      <c r="D205" s="23" t="s">
        <v>25</v>
      </c>
      <c r="E205" s="23" t="s">
        <v>25</v>
      </c>
      <c r="F205" s="24" t="s">
        <v>343</v>
      </c>
      <c r="G205" s="24" t="str">
        <f t="shared" si="7"/>
        <v>IPcam-NC-0207   IP Камера 0.3Mp подсв 9LED,поворот 350гор,60верт,RJ45,SDкарта,I\О,WiFi G, ауд,H.264</v>
      </c>
      <c r="H205" s="25">
        <f>$C$1*      124</f>
        <v>2728</v>
      </c>
      <c r="I205" s="26"/>
      <c r="J205" s="27">
        <v>6</v>
      </c>
      <c r="K205" s="28" t="s">
        <v>27</v>
      </c>
      <c r="L205" s="14">
        <f t="shared" si="6"/>
        <v>2673.44</v>
      </c>
    </row>
    <row r="206" spans="1:12" ht="10.5" customHeight="1" outlineLevel="1" x14ac:dyDescent="0.25">
      <c r="A206" s="22"/>
      <c r="B206" s="22" t="s">
        <v>24</v>
      </c>
      <c r="C206" s="22">
        <v>92602</v>
      </c>
      <c r="D206" s="23" t="s">
        <v>25</v>
      </c>
      <c r="E206" s="23" t="s">
        <v>25</v>
      </c>
      <c r="F206" s="24" t="s">
        <v>344</v>
      </c>
      <c r="G206" s="24" t="str">
        <f t="shared" si="7"/>
        <v>IPcam-NC-0211   IP Камера WiFi 0.3Mp поворотная (100 верт, 340гор), 8 LED, RJ45, M-JPEG</v>
      </c>
      <c r="H206" s="25">
        <f>$C$1*       90</f>
        <v>1980</v>
      </c>
      <c r="I206" s="26"/>
      <c r="J206" s="27">
        <v>6</v>
      </c>
      <c r="K206" s="28" t="s">
        <v>27</v>
      </c>
      <c r="L206" s="14">
        <f t="shared" si="6"/>
        <v>1940.4</v>
      </c>
    </row>
    <row r="207" spans="1:12" ht="10.5" customHeight="1" outlineLevel="1" x14ac:dyDescent="0.25">
      <c r="A207" s="22"/>
      <c r="B207" s="22" t="s">
        <v>24</v>
      </c>
      <c r="C207" s="22">
        <v>90113</v>
      </c>
      <c r="D207" s="23" t="s">
        <v>25</v>
      </c>
      <c r="E207" s="23" t="s">
        <v>25</v>
      </c>
      <c r="F207" s="24" t="s">
        <v>345</v>
      </c>
      <c r="G207" s="24" t="str">
        <f t="shared" si="7"/>
        <v>IPcam-TT-0052   DVR USB 2.0 для CCTV камер, 4 канала видео, 1 канал звук, поддержка всех функций DVR</v>
      </c>
      <c r="H207" s="25">
        <f>$C$1*       10</f>
        <v>220</v>
      </c>
      <c r="I207" s="26"/>
      <c r="J207" s="27">
        <v>6</v>
      </c>
      <c r="K207" s="28" t="s">
        <v>27</v>
      </c>
      <c r="L207" s="14">
        <f t="shared" si="6"/>
        <v>215.6</v>
      </c>
    </row>
    <row r="208" spans="1:12" ht="10.5" customHeight="1" x14ac:dyDescent="0.25">
      <c r="A208" s="15"/>
      <c r="B208" s="16" t="s">
        <v>346</v>
      </c>
      <c r="C208" s="16"/>
      <c r="D208" s="16"/>
      <c r="E208" s="16"/>
      <c r="F208" s="17"/>
      <c r="G208" s="24" t="e">
        <f t="shared" si="7"/>
        <v>#VALUE!</v>
      </c>
      <c r="H208" s="18"/>
      <c r="I208" s="19"/>
      <c r="J208" s="20"/>
      <c r="K208" s="21"/>
      <c r="L208" s="14">
        <f t="shared" si="6"/>
        <v>0</v>
      </c>
    </row>
    <row r="209" spans="1:12" ht="10.5" customHeight="1" outlineLevel="1" x14ac:dyDescent="0.25">
      <c r="A209" s="22"/>
      <c r="B209" s="22" t="s">
        <v>347</v>
      </c>
      <c r="C209" s="22">
        <v>91704</v>
      </c>
      <c r="D209" s="23" t="s">
        <v>25</v>
      </c>
      <c r="E209" s="23" t="s">
        <v>25</v>
      </c>
      <c r="F209" s="24" t="s">
        <v>348</v>
      </c>
      <c r="G209" s="24" t="str">
        <f t="shared" si="7"/>
        <v>DVG-7111S   Dlink Шлюз VoIP 1 WAN, 1 LAN, 1 FXS, 1 FXO</v>
      </c>
      <c r="H209" s="25">
        <f>$C$1*       59.18</f>
        <v>1301.96</v>
      </c>
      <c r="I209" s="26"/>
      <c r="J209" s="27">
        <v>12</v>
      </c>
      <c r="K209" s="28"/>
      <c r="L209" s="14">
        <f t="shared" si="6"/>
        <v>1275.92</v>
      </c>
    </row>
    <row r="210" spans="1:12" ht="10.5" customHeight="1" outlineLevel="1" x14ac:dyDescent="0.25">
      <c r="A210" s="22"/>
      <c r="B210" s="22" t="s">
        <v>347</v>
      </c>
      <c r="C210" s="22">
        <v>92771</v>
      </c>
      <c r="D210" s="23" t="s">
        <v>25</v>
      </c>
      <c r="E210" s="23" t="s">
        <v>25</v>
      </c>
      <c r="F210" s="24" t="s">
        <v>349</v>
      </c>
      <c r="G210" s="24" t="str">
        <f t="shared" si="7"/>
        <v>DVG-N5402SP   Dlink Маршрутизатор WiFi-N 300mbit VoIP 1 WAN, 4 LAN, 2 FXS, 1 FXO(lifeline), 1 USB</v>
      </c>
      <c r="H210" s="25">
        <f>$C$1*       71</f>
        <v>1562</v>
      </c>
      <c r="I210" s="26"/>
      <c r="J210" s="27">
        <v>12</v>
      </c>
      <c r="K210" s="28" t="s">
        <v>27</v>
      </c>
      <c r="L210" s="14">
        <f t="shared" si="6"/>
        <v>1530.76</v>
      </c>
    </row>
    <row r="211" spans="1:12" ht="10.5" customHeight="1" outlineLevel="1" x14ac:dyDescent="0.25">
      <c r="A211" s="22"/>
      <c r="B211" s="22" t="s">
        <v>350</v>
      </c>
      <c r="C211" s="22">
        <v>92636</v>
      </c>
      <c r="D211" s="23" t="s">
        <v>25</v>
      </c>
      <c r="E211" s="23" t="s">
        <v>25</v>
      </c>
      <c r="F211" s="24" t="s">
        <v>351</v>
      </c>
      <c r="G211" s="24" t="str">
        <f t="shared" si="7"/>
        <v>PAP2v2   Linksys Шлюз VoIP 1 WAN, 2 FXS, 1 SIP</v>
      </c>
      <c r="H211" s="25">
        <f>$C$1*       41</f>
        <v>902</v>
      </c>
      <c r="I211" s="26"/>
      <c r="J211" s="27">
        <v>6</v>
      </c>
      <c r="K211" s="28" t="s">
        <v>27</v>
      </c>
      <c r="L211" s="14">
        <f t="shared" si="6"/>
        <v>883.96</v>
      </c>
    </row>
    <row r="212" spans="1:12" ht="10.5" customHeight="1" outlineLevel="1" x14ac:dyDescent="0.25">
      <c r="A212" s="22"/>
      <c r="B212" s="22" t="s">
        <v>347</v>
      </c>
      <c r="C212" s="22">
        <v>92633</v>
      </c>
      <c r="D212" s="23" t="s">
        <v>25</v>
      </c>
      <c r="E212" s="23" t="s">
        <v>25</v>
      </c>
      <c r="F212" s="24" t="s">
        <v>352</v>
      </c>
      <c r="G212" s="24" t="str">
        <f t="shared" si="7"/>
        <v>VTA-VD   Dlink Шлюз VoIP 1 WAN, 2 FXS, 1 SIP</v>
      </c>
      <c r="H212" s="25">
        <f>$C$1*       35.5</f>
        <v>781</v>
      </c>
      <c r="I212" s="26"/>
      <c r="J212" s="27">
        <v>6</v>
      </c>
      <c r="K212" s="28" t="s">
        <v>27</v>
      </c>
      <c r="L212" s="14">
        <f t="shared" si="6"/>
        <v>765.38</v>
      </c>
    </row>
    <row r="213" spans="1:12" ht="10.5" customHeight="1" outlineLevel="1" x14ac:dyDescent="0.25">
      <c r="A213" s="22"/>
      <c r="B213" s="22" t="s">
        <v>24</v>
      </c>
      <c r="C213" s="22">
        <v>92941</v>
      </c>
      <c r="D213" s="23" t="s">
        <v>25</v>
      </c>
      <c r="E213" s="23" t="s">
        <v>71</v>
      </c>
      <c r="F213" s="24" t="s">
        <v>72</v>
      </c>
      <c r="G213" s="24" t="str">
        <f t="shared" si="7"/>
        <v>Адаптер  живлення 220В/5В-2А</v>
      </c>
      <c r="H213" s="25">
        <f>$C$1*        6.3</f>
        <v>138.6</v>
      </c>
      <c r="I213" s="26"/>
      <c r="J213" s="27">
        <v>0</v>
      </c>
      <c r="K213" s="28" t="s">
        <v>27</v>
      </c>
      <c r="L213" s="14">
        <f t="shared" si="6"/>
        <v>135.83000000000001</v>
      </c>
    </row>
    <row r="214" spans="1:12" ht="10.5" customHeight="1" x14ac:dyDescent="0.25">
      <c r="A214" s="15"/>
      <c r="B214" s="16" t="s">
        <v>353</v>
      </c>
      <c r="C214" s="16"/>
      <c r="D214" s="16"/>
      <c r="E214" s="16"/>
      <c r="F214" s="17"/>
      <c r="G214" s="24" t="e">
        <f t="shared" si="7"/>
        <v>#VALUE!</v>
      </c>
      <c r="H214" s="18"/>
      <c r="I214" s="19"/>
      <c r="J214" s="20"/>
      <c r="K214" s="21"/>
      <c r="L214" s="14">
        <f t="shared" si="6"/>
        <v>0</v>
      </c>
    </row>
    <row r="215" spans="1:12" ht="10.5" customHeight="1" outlineLevel="1" x14ac:dyDescent="0.25">
      <c r="A215" s="22"/>
      <c r="B215" s="22" t="s">
        <v>24</v>
      </c>
      <c r="C215" s="22">
        <v>92604</v>
      </c>
      <c r="D215" s="23" t="s">
        <v>25</v>
      </c>
      <c r="E215" s="23" t="s">
        <v>25</v>
      </c>
      <c r="F215" s="24" t="s">
        <v>354</v>
      </c>
      <c r="G215" s="24" t="str">
        <f t="shared" si="7"/>
        <v>NETS-PC-0802A   Антена 8dB для Wi-Fi, SMA (папа), всенаправленая, накручивается вместо стандартной</v>
      </c>
      <c r="H215" s="25">
        <f>$C$1*        2.3</f>
        <v>50.599999999999994</v>
      </c>
      <c r="I215" s="26"/>
      <c r="J215" s="27">
        <v>0</v>
      </c>
      <c r="K215" s="28" t="s">
        <v>27</v>
      </c>
      <c r="L215" s="14">
        <f t="shared" si="6"/>
        <v>49.59</v>
      </c>
    </row>
    <row r="216" spans="1:12" ht="10.5" customHeight="1" x14ac:dyDescent="0.25">
      <c r="A216" s="15"/>
      <c r="B216" s="16" t="s">
        <v>355</v>
      </c>
      <c r="C216" s="16"/>
      <c r="D216" s="16"/>
      <c r="E216" s="16"/>
      <c r="F216" s="17"/>
      <c r="G216" s="24" t="e">
        <f t="shared" si="7"/>
        <v>#VALUE!</v>
      </c>
      <c r="H216" s="18"/>
      <c r="I216" s="19"/>
      <c r="J216" s="20"/>
      <c r="K216" s="21"/>
      <c r="L216" s="14">
        <f t="shared" si="6"/>
        <v>0</v>
      </c>
    </row>
    <row r="217" spans="1:12" ht="10.5" customHeight="1" outlineLevel="1" x14ac:dyDescent="0.25">
      <c r="A217" s="22"/>
      <c r="B217" s="22" t="s">
        <v>356</v>
      </c>
      <c r="C217" s="22">
        <v>92313</v>
      </c>
      <c r="D217" s="23" t="s">
        <v>25</v>
      </c>
      <c r="E217" s="23" t="s">
        <v>25</v>
      </c>
      <c r="F217" s="24" t="s">
        <v>357</v>
      </c>
      <c r="G217" s="24" t="str">
        <f t="shared" si="7"/>
        <v>AR-7211A   Edimax Модем-маршрутизатор ADSL2+ 1WAN 1LAN 1USB</v>
      </c>
      <c r="H217" s="25">
        <f>$C$1*       14.7</f>
        <v>323.39999999999998</v>
      </c>
      <c r="I217" s="26"/>
      <c r="J217" s="27">
        <v>12</v>
      </c>
      <c r="K217" s="28" t="s">
        <v>27</v>
      </c>
      <c r="L217" s="14">
        <f t="shared" si="6"/>
        <v>316.93</v>
      </c>
    </row>
    <row r="218" spans="1:12" ht="10.5" customHeight="1" outlineLevel="1" x14ac:dyDescent="0.25">
      <c r="A218" s="22"/>
      <c r="B218" s="22" t="s">
        <v>356</v>
      </c>
      <c r="C218" s="22">
        <v>92978</v>
      </c>
      <c r="D218" s="23" t="s">
        <v>358</v>
      </c>
      <c r="E218" s="23" t="s">
        <v>358</v>
      </c>
      <c r="F218" s="24" t="s">
        <v>359</v>
      </c>
      <c r="G218" s="24" t="str">
        <f t="shared" si="7"/>
        <v>Edimax EW-7206PDG Точка доступа WiFi B/G 54 Мбит, PoE, WDS, мост, станция, клиент</v>
      </c>
      <c r="H218" s="25">
        <f>$C$1*       33</f>
        <v>726</v>
      </c>
      <c r="I218" s="26"/>
      <c r="J218" s="27">
        <v>12</v>
      </c>
      <c r="K218" s="28" t="s">
        <v>27</v>
      </c>
      <c r="L218" s="14">
        <f t="shared" si="6"/>
        <v>711.48</v>
      </c>
    </row>
    <row r="219" spans="1:12" ht="10.5" customHeight="1" outlineLevel="1" x14ac:dyDescent="0.25">
      <c r="A219" s="22"/>
      <c r="B219" s="22" t="s">
        <v>356</v>
      </c>
      <c r="C219" s="22">
        <v>92097</v>
      </c>
      <c r="D219" s="23" t="s">
        <v>25</v>
      </c>
      <c r="E219" s="23" t="s">
        <v>25</v>
      </c>
      <c r="F219" s="24" t="s">
        <v>360</v>
      </c>
      <c r="G219" s="24" t="str">
        <f t="shared" si="7"/>
        <v>EW-7303APN   Edimax Точка доступа OUTDOOR WiFi N 150 Мб 9dBi AP/Client/WDS Bridge/Repeater</v>
      </c>
      <c r="H219" s="25">
        <f>$C$1*       60</f>
        <v>1320</v>
      </c>
      <c r="I219" s="26"/>
      <c r="J219" s="27">
        <v>12</v>
      </c>
      <c r="K219" s="28" t="s">
        <v>27</v>
      </c>
      <c r="L219" s="14">
        <f t="shared" si="6"/>
        <v>1293.5999999999999</v>
      </c>
    </row>
    <row r="220" spans="1:12" ht="10.5" customHeight="1" outlineLevel="1" x14ac:dyDescent="0.25">
      <c r="A220" s="22"/>
      <c r="B220" s="22" t="s">
        <v>356</v>
      </c>
      <c r="C220" s="22">
        <v>92653</v>
      </c>
      <c r="D220" s="23" t="s">
        <v>25</v>
      </c>
      <c r="E220" s="23" t="s">
        <v>25</v>
      </c>
      <c r="F220" s="24" t="s">
        <v>361</v>
      </c>
      <c r="G220" s="24" t="str">
        <f t="shared" si="7"/>
        <v>EW-7733UND   Edimax USB двухполосный WiFi N+A адаптер 450 Мбит/с, складная антенна</v>
      </c>
      <c r="H220" s="25">
        <f>$C$1*       41.8</f>
        <v>919.59999999999991</v>
      </c>
      <c r="I220" s="26"/>
      <c r="J220" s="27">
        <v>12</v>
      </c>
      <c r="K220" s="28" t="s">
        <v>27</v>
      </c>
      <c r="L220" s="14">
        <f t="shared" si="6"/>
        <v>901.21</v>
      </c>
    </row>
    <row r="221" spans="1:12" ht="10.5" customHeight="1" outlineLevel="1" x14ac:dyDescent="0.25">
      <c r="A221" s="22"/>
      <c r="B221" s="22" t="s">
        <v>350</v>
      </c>
      <c r="C221" s="22">
        <v>87161</v>
      </c>
      <c r="D221" s="23" t="s">
        <v>25</v>
      </c>
      <c r="E221" s="23" t="s">
        <v>25</v>
      </c>
      <c r="F221" s="24" t="s">
        <v>362</v>
      </c>
      <c r="G221" s="24" t="str">
        <f t="shared" si="7"/>
        <v>WRT110   Linksys Маршрутизатор 4p LAN, 1p WAN, AP 802.11g, FireWall, DHCP, MIMO</v>
      </c>
      <c r="H221" s="25">
        <f>$C$1*       80</f>
        <v>1760</v>
      </c>
      <c r="I221" s="26"/>
      <c r="J221" s="27">
        <v>12</v>
      </c>
      <c r="K221" s="28" t="s">
        <v>27</v>
      </c>
      <c r="L221" s="14">
        <f t="shared" si="6"/>
        <v>1724.8</v>
      </c>
    </row>
    <row r="222" spans="1:12" ht="10.5" customHeight="1" x14ac:dyDescent="0.25">
      <c r="A222" s="15"/>
      <c r="B222" s="16" t="s">
        <v>363</v>
      </c>
      <c r="C222" s="16"/>
      <c r="D222" s="16"/>
      <c r="E222" s="16"/>
      <c r="F222" s="17"/>
      <c r="G222" s="24" t="e">
        <f t="shared" si="7"/>
        <v>#VALUE!</v>
      </c>
      <c r="H222" s="18"/>
      <c r="I222" s="19"/>
      <c r="J222" s="20"/>
      <c r="K222" s="21"/>
      <c r="L222" s="14">
        <f t="shared" si="6"/>
        <v>0</v>
      </c>
    </row>
    <row r="223" spans="1:12" ht="10.5" customHeight="1" outlineLevel="1" x14ac:dyDescent="0.25">
      <c r="A223" s="22"/>
      <c r="B223" s="22" t="s">
        <v>24</v>
      </c>
      <c r="C223" s="22">
        <v>92605</v>
      </c>
      <c r="D223" s="23" t="s">
        <v>25</v>
      </c>
      <c r="E223" s="23" t="s">
        <v>25</v>
      </c>
      <c r="F223" s="24" t="s">
        <v>364</v>
      </c>
      <c r="G223" s="24" t="str">
        <f t="shared" si="7"/>
        <v>NETS-PC-0767   Набор 3 терминала + PCI карта, PS/2, VGA, LAN, SPK, Win 2000/XP/2003, до 10М (NC360)</v>
      </c>
      <c r="H223" s="25">
        <f>$C$1*       64</f>
        <v>1408</v>
      </c>
      <c r="I223" s="26"/>
      <c r="J223" s="27">
        <v>6</v>
      </c>
      <c r="K223" s="28" t="s">
        <v>27</v>
      </c>
      <c r="L223" s="14">
        <f t="shared" si="6"/>
        <v>1379.84</v>
      </c>
    </row>
    <row r="224" spans="1:12" ht="10.5" customHeight="1" outlineLevel="1" x14ac:dyDescent="0.25">
      <c r="A224" s="22"/>
      <c r="B224" s="22" t="s">
        <v>24</v>
      </c>
      <c r="C224" s="22">
        <v>92608</v>
      </c>
      <c r="D224" s="23" t="s">
        <v>25</v>
      </c>
      <c r="E224" s="23" t="s">
        <v>25</v>
      </c>
      <c r="F224" s="24" t="s">
        <v>365</v>
      </c>
      <c r="G224" s="24" t="str">
        <f t="shared" si="7"/>
        <v>NETS-PC-0768   Компьютерный терм сет, 2*PS/2, VGA, LAN, SPK, MIC, USB, WS 2000/2003/XP/Linux (TS230)</v>
      </c>
      <c r="H224" s="25">
        <f>$C$1*       81.5</f>
        <v>1793</v>
      </c>
      <c r="I224" s="26"/>
      <c r="J224" s="27">
        <v>6</v>
      </c>
      <c r="K224" s="28" t="s">
        <v>27</v>
      </c>
      <c r="L224" s="14">
        <f t="shared" si="6"/>
        <v>1757.14</v>
      </c>
    </row>
    <row r="225" spans="1:12" ht="10.5" customHeight="1" outlineLevel="1" x14ac:dyDescent="0.25">
      <c r="A225" s="22"/>
      <c r="B225" s="22" t="s">
        <v>24</v>
      </c>
      <c r="C225" s="22">
        <v>92607</v>
      </c>
      <c r="D225" s="23" t="s">
        <v>25</v>
      </c>
      <c r="E225" s="23" t="s">
        <v>25</v>
      </c>
      <c r="F225" s="24" t="s">
        <v>366</v>
      </c>
      <c r="G225" s="24" t="str">
        <f t="shared" si="7"/>
        <v>NETS-PC-0782   Компьютерный терминал сетевой, PS/2, VGA, LAN, SPK Win 2000/2003/XP/Linux (TS100)</v>
      </c>
      <c r="H225" s="25">
        <f>$C$1*       41.2</f>
        <v>906.40000000000009</v>
      </c>
      <c r="I225" s="26"/>
      <c r="J225" s="27">
        <v>6</v>
      </c>
      <c r="K225" s="28" t="s">
        <v>27</v>
      </c>
      <c r="L225" s="14">
        <f t="shared" si="6"/>
        <v>888.27</v>
      </c>
    </row>
    <row r="226" spans="1:12" ht="10.5" customHeight="1" outlineLevel="1" x14ac:dyDescent="0.25">
      <c r="A226" s="22"/>
      <c r="B226" s="22" t="s">
        <v>24</v>
      </c>
      <c r="C226" s="22">
        <v>92610</v>
      </c>
      <c r="D226" s="23" t="s">
        <v>25</v>
      </c>
      <c r="E226" s="23" t="s">
        <v>25</v>
      </c>
      <c r="F226" s="24" t="s">
        <v>367</v>
      </c>
      <c r="G226" s="24" t="str">
        <f t="shared" si="7"/>
        <v>NETS-PC-0783   Комп терм сет WinCE 6.0, VGA, LAN, SPK/MIC, 3*USB, WS 2000/2003/XP/2008/7/V (TS660)</v>
      </c>
      <c r="H226" s="25">
        <f>$C$1*       48</f>
        <v>1056</v>
      </c>
      <c r="I226" s="26"/>
      <c r="J226" s="27">
        <v>6</v>
      </c>
      <c r="K226" s="28" t="s">
        <v>27</v>
      </c>
      <c r="L226" s="14">
        <f t="shared" si="6"/>
        <v>1034.8800000000001</v>
      </c>
    </row>
    <row r="227" spans="1:12" ht="10.5" customHeight="1" x14ac:dyDescent="0.25">
      <c r="A227" s="15"/>
      <c r="B227" s="16" t="s">
        <v>368</v>
      </c>
      <c r="C227" s="16"/>
      <c r="D227" s="16"/>
      <c r="E227" s="16"/>
      <c r="F227" s="17"/>
      <c r="G227" s="24" t="e">
        <f t="shared" si="7"/>
        <v>#VALUE!</v>
      </c>
      <c r="H227" s="18"/>
      <c r="I227" s="19"/>
      <c r="J227" s="20"/>
      <c r="K227" s="21"/>
      <c r="L227" s="14">
        <f t="shared" si="6"/>
        <v>0</v>
      </c>
    </row>
    <row r="228" spans="1:12" ht="10.5" customHeight="1" x14ac:dyDescent="0.25">
      <c r="A228" s="15"/>
      <c r="B228" s="16" t="s">
        <v>369</v>
      </c>
      <c r="C228" s="16"/>
      <c r="D228" s="16"/>
      <c r="E228" s="16"/>
      <c r="F228" s="17"/>
      <c r="G228" s="24" t="e">
        <f t="shared" si="7"/>
        <v>#VALUE!</v>
      </c>
      <c r="H228" s="18"/>
      <c r="I228" s="19"/>
      <c r="J228" s="20"/>
      <c r="K228" s="21"/>
      <c r="L228" s="14">
        <f t="shared" si="6"/>
        <v>0</v>
      </c>
    </row>
    <row r="229" spans="1:12" ht="10.5" customHeight="1" outlineLevel="1" x14ac:dyDescent="0.25">
      <c r="A229" s="22"/>
      <c r="B229" s="22" t="s">
        <v>370</v>
      </c>
      <c r="C229" s="22">
        <v>94140</v>
      </c>
      <c r="D229" s="23" t="s">
        <v>371</v>
      </c>
      <c r="E229" s="23" t="s">
        <v>371</v>
      </c>
      <c r="F229" s="24" t="s">
        <v>372</v>
      </c>
      <c r="G229" s="24" t="str">
        <f t="shared" si="7"/>
        <v>ESTAP EUBP66 Заглушка дна для шкафов EuroLine 600х600</v>
      </c>
      <c r="H229" s="25">
        <f>$C$1*       13.3</f>
        <v>292.60000000000002</v>
      </c>
      <c r="I229" s="26"/>
      <c r="J229" s="27">
        <v>0</v>
      </c>
      <c r="K229" s="28" t="s">
        <v>27</v>
      </c>
      <c r="L229" s="14">
        <f t="shared" si="6"/>
        <v>286.75</v>
      </c>
    </row>
    <row r="230" spans="1:12" ht="10.5" customHeight="1" outlineLevel="1" x14ac:dyDescent="0.25">
      <c r="A230" s="22"/>
      <c r="B230" s="22" t="s">
        <v>370</v>
      </c>
      <c r="C230" s="22">
        <v>94193</v>
      </c>
      <c r="D230" s="23" t="s">
        <v>373</v>
      </c>
      <c r="E230" s="23" t="s">
        <v>373</v>
      </c>
      <c r="F230" s="24" t="s">
        <v>374</v>
      </c>
      <c r="G230" s="24" t="str">
        <f t="shared" si="7"/>
        <v>Панель M35FMS66 металлическая (пластина под EcoLine и EuroLine)</v>
      </c>
      <c r="H230" s="25">
        <f>$C$1*        8.5</f>
        <v>187</v>
      </c>
      <c r="I230" s="26"/>
      <c r="J230" s="27">
        <v>0</v>
      </c>
      <c r="K230" s="28" t="s">
        <v>27</v>
      </c>
      <c r="L230" s="14">
        <f t="shared" si="6"/>
        <v>183.26</v>
      </c>
    </row>
    <row r="231" spans="1:12" ht="10.5" customHeight="1" outlineLevel="1" x14ac:dyDescent="0.25">
      <c r="A231" s="22"/>
      <c r="B231" s="22" t="s">
        <v>370</v>
      </c>
      <c r="C231" s="22">
        <v>94141</v>
      </c>
      <c r="D231" s="23" t="s">
        <v>375</v>
      </c>
      <c r="E231" s="23" t="s">
        <v>375</v>
      </c>
      <c r="F231" s="24" t="s">
        <v>376</v>
      </c>
      <c r="G231" s="24" t="str">
        <f t="shared" si="7"/>
        <v>ESTAP M44BGL01 Набор для крепления шкафов DG-Rack друг к другу</v>
      </c>
      <c r="H231" s="25">
        <f>$C$1*        6.6</f>
        <v>145.19999999999999</v>
      </c>
      <c r="I231" s="26"/>
      <c r="J231" s="27">
        <v>0</v>
      </c>
      <c r="K231" s="28" t="s">
        <v>27</v>
      </c>
      <c r="L231" s="14">
        <f t="shared" si="6"/>
        <v>142.30000000000001</v>
      </c>
    </row>
    <row r="232" spans="1:12" ht="10.5" customHeight="1" outlineLevel="1" x14ac:dyDescent="0.25">
      <c r="A232" s="22"/>
      <c r="B232" s="22" t="s">
        <v>370</v>
      </c>
      <c r="C232" s="22">
        <v>94153</v>
      </c>
      <c r="D232" s="23" t="s">
        <v>377</v>
      </c>
      <c r="E232" s="23" t="s">
        <v>377</v>
      </c>
      <c r="F232" s="24" t="s">
        <v>378</v>
      </c>
      <c r="G232" s="24" t="str">
        <f t="shared" si="7"/>
        <v>ESTAP M44CRB66ECO Цоколь для напольных шкафов ECOline 600x600 мм</v>
      </c>
      <c r="H232" s="25">
        <f>$C$1*       22.7</f>
        <v>499.4</v>
      </c>
      <c r="I232" s="26"/>
      <c r="J232" s="27">
        <v>0</v>
      </c>
      <c r="K232" s="28" t="s">
        <v>27</v>
      </c>
      <c r="L232" s="14">
        <f t="shared" si="6"/>
        <v>489.41</v>
      </c>
    </row>
    <row r="233" spans="1:12" ht="10.5" customHeight="1" outlineLevel="1" x14ac:dyDescent="0.25">
      <c r="A233" s="22"/>
      <c r="B233" s="22" t="s">
        <v>370</v>
      </c>
      <c r="C233" s="22">
        <v>94188</v>
      </c>
      <c r="D233" s="23" t="s">
        <v>379</v>
      </c>
      <c r="E233" s="23" t="s">
        <v>379</v>
      </c>
      <c r="F233" s="24" t="s">
        <v>380</v>
      </c>
      <c r="G233" s="24" t="str">
        <f t="shared" si="7"/>
        <v>Estap M44RPM Корпус под блок силовых розеток 19"</v>
      </c>
      <c r="H233" s="25">
        <f>$C$1*        6.5</f>
        <v>143</v>
      </c>
      <c r="I233" s="26"/>
      <c r="J233" s="27">
        <v>0</v>
      </c>
      <c r="K233" s="28" t="s">
        <v>27</v>
      </c>
      <c r="L233" s="14">
        <f t="shared" si="6"/>
        <v>140.13999999999999</v>
      </c>
    </row>
    <row r="234" spans="1:12" ht="10.5" customHeight="1" outlineLevel="1" x14ac:dyDescent="0.25">
      <c r="A234" s="22"/>
      <c r="B234" s="22" t="s">
        <v>370</v>
      </c>
      <c r="C234" s="22">
        <v>94142</v>
      </c>
      <c r="D234" s="23" t="s">
        <v>381</v>
      </c>
      <c r="E234" s="23" t="s">
        <v>381</v>
      </c>
      <c r="F234" s="24" t="s">
        <v>382</v>
      </c>
      <c r="G234" s="24" t="str">
        <f t="shared" si="7"/>
        <v>ESTAP M66FBOX24SCD Настенный оптический кросс 24xSC dublex незагруженный</v>
      </c>
      <c r="H234" s="25">
        <f>$C$1*       22</f>
        <v>484</v>
      </c>
      <c r="I234" s="26"/>
      <c r="J234" s="27">
        <v>0</v>
      </c>
      <c r="K234" s="28" t="s">
        <v>27</v>
      </c>
      <c r="L234" s="14">
        <f t="shared" si="6"/>
        <v>474.32</v>
      </c>
    </row>
    <row r="235" spans="1:12" ht="10.5" customHeight="1" x14ac:dyDescent="0.25">
      <c r="A235" s="15"/>
      <c r="B235" s="16" t="s">
        <v>383</v>
      </c>
      <c r="C235" s="16"/>
      <c r="D235" s="16"/>
      <c r="E235" s="16"/>
      <c r="F235" s="17"/>
      <c r="G235" s="24" t="e">
        <f t="shared" si="7"/>
        <v>#VALUE!</v>
      </c>
      <c r="H235" s="18"/>
      <c r="I235" s="19"/>
      <c r="J235" s="20"/>
      <c r="K235" s="21"/>
      <c r="L235" s="14">
        <f t="shared" si="6"/>
        <v>0</v>
      </c>
    </row>
    <row r="236" spans="1:12" ht="10.5" customHeight="1" outlineLevel="1" x14ac:dyDescent="0.25">
      <c r="A236" s="22"/>
      <c r="B236" s="22" t="s">
        <v>370</v>
      </c>
      <c r="C236" s="22">
        <v>94190</v>
      </c>
      <c r="D236" s="23" t="s">
        <v>384</v>
      </c>
      <c r="E236" s="23" t="s">
        <v>384</v>
      </c>
      <c r="F236" s="24" t="s">
        <v>385</v>
      </c>
      <c r="G236" s="24" t="str">
        <f t="shared" si="7"/>
        <v>Панель M35WM вентиляторов (для настенных шкафов)</v>
      </c>
      <c r="H236" s="25">
        <f>$C$1*        5.7</f>
        <v>125.4</v>
      </c>
      <c r="I236" s="26"/>
      <c r="J236" s="27">
        <v>0</v>
      </c>
      <c r="K236" s="28" t="s">
        <v>27</v>
      </c>
      <c r="L236" s="14">
        <f t="shared" si="6"/>
        <v>122.89</v>
      </c>
    </row>
    <row r="237" spans="1:12" ht="10.5" customHeight="1" outlineLevel="1" x14ac:dyDescent="0.25">
      <c r="A237" s="22"/>
      <c r="B237" s="22" t="s">
        <v>370</v>
      </c>
      <c r="C237" s="22">
        <v>94138</v>
      </c>
      <c r="D237" s="23" t="s">
        <v>386</v>
      </c>
      <c r="E237" s="23" t="s">
        <v>386</v>
      </c>
      <c r="F237" s="24" t="s">
        <v>387</v>
      </c>
      <c r="G237" s="24" t="str">
        <f t="shared" si="7"/>
        <v>ESTAP M44HV2FT Модуль вентиляторный 2 эл. с выключателем и термостатом для напол. шкафов Universal</v>
      </c>
      <c r="H237" s="25">
        <f>$C$1*       55.2</f>
        <v>1214.4000000000001</v>
      </c>
      <c r="I237" s="26"/>
      <c r="J237" s="27">
        <v>0</v>
      </c>
      <c r="K237" s="28" t="s">
        <v>27</v>
      </c>
      <c r="L237" s="14">
        <f t="shared" si="6"/>
        <v>1190.1099999999999</v>
      </c>
    </row>
    <row r="238" spans="1:12" ht="10.5" customHeight="1" x14ac:dyDescent="0.25">
      <c r="A238" s="15"/>
      <c r="B238" s="16" t="s">
        <v>388</v>
      </c>
      <c r="C238" s="16"/>
      <c r="D238" s="16"/>
      <c r="E238" s="16"/>
      <c r="F238" s="17"/>
      <c r="G238" s="24" t="e">
        <f t="shared" si="7"/>
        <v>#VALUE!</v>
      </c>
      <c r="H238" s="18"/>
      <c r="I238" s="19"/>
      <c r="J238" s="20"/>
      <c r="K238" s="21"/>
      <c r="L238" s="14">
        <f t="shared" si="6"/>
        <v>0</v>
      </c>
    </row>
    <row r="239" spans="1:12" ht="10.5" customHeight="1" outlineLevel="1" x14ac:dyDescent="0.25">
      <c r="A239" s="22"/>
      <c r="B239" s="22" t="s">
        <v>370</v>
      </c>
      <c r="C239" s="22">
        <v>94162</v>
      </c>
      <c r="D239" s="23" t="s">
        <v>389</v>
      </c>
      <c r="E239" s="23" t="s">
        <v>389</v>
      </c>
      <c r="F239" s="24" t="s">
        <v>390</v>
      </c>
      <c r="G239" s="24" t="str">
        <f t="shared" si="7"/>
        <v>ESTAP ECOSRV42U Шкаф напольный 42U 600x1000 мм перф. двери EcoServer</v>
      </c>
      <c r="H239" s="25">
        <f>$C$1*      504</f>
        <v>11088</v>
      </c>
      <c r="I239" s="26"/>
      <c r="J239" s="27">
        <v>0</v>
      </c>
      <c r="K239" s="28" t="s">
        <v>27</v>
      </c>
      <c r="L239" s="14">
        <f t="shared" si="6"/>
        <v>10866.24</v>
      </c>
    </row>
    <row r="240" spans="1:12" ht="10.5" customHeight="1" outlineLevel="1" x14ac:dyDescent="0.25">
      <c r="A240" s="22"/>
      <c r="B240" s="22" t="s">
        <v>370</v>
      </c>
      <c r="C240" s="22">
        <v>94158</v>
      </c>
      <c r="D240" s="23" t="s">
        <v>391</v>
      </c>
      <c r="E240" s="23" t="s">
        <v>391</v>
      </c>
      <c r="F240" s="24" t="s">
        <v>392</v>
      </c>
      <c r="G240" s="24" t="str">
        <f t="shared" si="7"/>
        <v>ESTAP EU42U6100 Шкаф напольный 42U 600x1000 мм EuroLine</v>
      </c>
      <c r="H240" s="25">
        <f>$C$1*      542</f>
        <v>11924</v>
      </c>
      <c r="I240" s="26"/>
      <c r="J240" s="27">
        <v>0</v>
      </c>
      <c r="K240" s="28" t="s">
        <v>27</v>
      </c>
      <c r="L240" s="14">
        <f t="shared" si="6"/>
        <v>11685.52</v>
      </c>
    </row>
    <row r="241" spans="1:12" ht="10.5" customHeight="1" x14ac:dyDescent="0.25">
      <c r="A241" s="15"/>
      <c r="B241" s="16" t="s">
        <v>393</v>
      </c>
      <c r="C241" s="16"/>
      <c r="D241" s="16"/>
      <c r="E241" s="16"/>
      <c r="F241" s="17"/>
      <c r="G241" s="24" t="e">
        <f t="shared" si="7"/>
        <v>#VALUE!</v>
      </c>
      <c r="H241" s="18"/>
      <c r="I241" s="19"/>
      <c r="J241" s="20"/>
      <c r="K241" s="21"/>
      <c r="L241" s="14">
        <f t="shared" si="6"/>
        <v>0</v>
      </c>
    </row>
    <row r="242" spans="1:12" ht="10.5" customHeight="1" outlineLevel="1" x14ac:dyDescent="0.25">
      <c r="A242" s="22"/>
      <c r="B242" s="22" t="s">
        <v>370</v>
      </c>
      <c r="C242" s="22">
        <v>94168</v>
      </c>
      <c r="D242" s="23" t="s">
        <v>394</v>
      </c>
      <c r="E242" s="23" t="s">
        <v>394</v>
      </c>
      <c r="F242" s="24" t="s">
        <v>395</v>
      </c>
      <c r="G242" s="24" t="str">
        <f t="shared" si="7"/>
        <v>ESTAP EU7U450 Шкаф настенный 7U 600x450 мм EuroLine</v>
      </c>
      <c r="H242" s="25">
        <f>$C$1*       91</f>
        <v>2002</v>
      </c>
      <c r="I242" s="26"/>
      <c r="J242" s="27">
        <v>0</v>
      </c>
      <c r="K242" s="28" t="s">
        <v>27</v>
      </c>
      <c r="L242" s="14">
        <f t="shared" si="6"/>
        <v>1961.96</v>
      </c>
    </row>
    <row r="243" spans="1:12" ht="10.5" customHeight="1" x14ac:dyDescent="0.25">
      <c r="A243" s="15"/>
      <c r="B243" s="16" t="s">
        <v>396</v>
      </c>
      <c r="C243" s="16"/>
      <c r="D243" s="16"/>
      <c r="E243" s="16"/>
      <c r="F243" s="17"/>
      <c r="G243" s="24" t="e">
        <f t="shared" si="7"/>
        <v>#VALUE!</v>
      </c>
      <c r="H243" s="18"/>
      <c r="I243" s="19"/>
      <c r="J243" s="20"/>
      <c r="K243" s="21"/>
      <c r="L243" s="14">
        <f t="shared" si="6"/>
        <v>0</v>
      </c>
    </row>
    <row r="244" spans="1:12" ht="10.5" customHeight="1" outlineLevel="1" x14ac:dyDescent="0.25">
      <c r="A244" s="22"/>
      <c r="B244" s="22"/>
      <c r="C244" s="22">
        <v>95842</v>
      </c>
      <c r="D244" s="23" t="s">
        <v>397</v>
      </c>
      <c r="E244" s="23" t="s">
        <v>397</v>
      </c>
      <c r="F244" s="24" t="s">
        <v>398</v>
      </c>
      <c r="G244" s="24" t="str">
        <f t="shared" si="7"/>
        <v>Hypernet WMNC-40-6U-2 Шкаф коммутационный настенный 6U 540x400</v>
      </c>
      <c r="H244" s="25">
        <f>$C$1*       45</f>
        <v>990</v>
      </c>
      <c r="I244" s="26"/>
      <c r="J244" s="27">
        <v>0</v>
      </c>
      <c r="K244" s="28" t="s">
        <v>27</v>
      </c>
      <c r="L244" s="14">
        <f t="shared" si="6"/>
        <v>970.2</v>
      </c>
    </row>
    <row r="245" spans="1:12" ht="10.5" customHeight="1" outlineLevel="1" x14ac:dyDescent="0.25">
      <c r="A245" s="22"/>
      <c r="B245" s="22"/>
      <c r="C245" s="22">
        <v>95837</v>
      </c>
      <c r="D245" s="23" t="s">
        <v>399</v>
      </c>
      <c r="E245" s="23" t="s">
        <v>399</v>
      </c>
      <c r="F245" s="24" t="s">
        <v>400</v>
      </c>
      <c r="G245" s="24" t="str">
        <f t="shared" si="7"/>
        <v>Hypernet WMNC-6U-FLAT Шкаф 6U 600x450 коммутационный настенный, разборной</v>
      </c>
      <c r="H245" s="25">
        <f>$C$1*       50</f>
        <v>1100</v>
      </c>
      <c r="I245" s="26"/>
      <c r="J245" s="27">
        <v>0</v>
      </c>
      <c r="K245" s="28"/>
      <c r="L245" s="14">
        <f t="shared" si="6"/>
        <v>1078</v>
      </c>
    </row>
    <row r="246" spans="1:12" ht="10.5" customHeight="1" x14ac:dyDescent="0.25">
      <c r="A246" s="15" t="s">
        <v>401</v>
      </c>
      <c r="B246" s="16"/>
      <c r="C246" s="16"/>
      <c r="D246" s="16"/>
      <c r="E246" s="16"/>
      <c r="F246" s="17"/>
      <c r="G246" s="24" t="e">
        <f t="shared" si="7"/>
        <v>#VALUE!</v>
      </c>
      <c r="H246" s="18"/>
      <c r="I246" s="19"/>
      <c r="J246" s="20"/>
      <c r="K246" s="21"/>
      <c r="L246" s="14">
        <f t="shared" si="6"/>
        <v>0</v>
      </c>
    </row>
    <row r="247" spans="1:12" ht="10.5" customHeight="1" x14ac:dyDescent="0.25">
      <c r="A247" s="15"/>
      <c r="B247" s="16" t="s">
        <v>402</v>
      </c>
      <c r="C247" s="16"/>
      <c r="D247" s="16"/>
      <c r="E247" s="16"/>
      <c r="F247" s="17"/>
      <c r="G247" s="24" t="e">
        <f t="shared" si="7"/>
        <v>#VALUE!</v>
      </c>
      <c r="H247" s="18"/>
      <c r="I247" s="19"/>
      <c r="J247" s="20"/>
      <c r="K247" s="21"/>
      <c r="L247" s="14">
        <f t="shared" si="6"/>
        <v>0</v>
      </c>
    </row>
    <row r="248" spans="1:12" ht="10.5" customHeight="1" x14ac:dyDescent="0.25">
      <c r="A248" s="15"/>
      <c r="B248" s="16" t="s">
        <v>403</v>
      </c>
      <c r="C248" s="16"/>
      <c r="D248" s="16"/>
      <c r="E248" s="16"/>
      <c r="F248" s="17"/>
      <c r="G248" s="24" t="e">
        <f t="shared" si="7"/>
        <v>#VALUE!</v>
      </c>
      <c r="H248" s="18"/>
      <c r="I248" s="19"/>
      <c r="J248" s="20"/>
      <c r="K248" s="21"/>
      <c r="L248" s="14">
        <f t="shared" si="6"/>
        <v>0</v>
      </c>
    </row>
    <row r="249" spans="1:12" ht="10.5" customHeight="1" outlineLevel="1" x14ac:dyDescent="0.25">
      <c r="A249" s="22"/>
      <c r="B249" s="22"/>
      <c r="C249" s="22">
        <v>93939</v>
      </c>
      <c r="D249" s="23" t="s">
        <v>404</v>
      </c>
      <c r="E249" s="23" t="s">
        <v>404</v>
      </c>
      <c r="F249" s="24" t="s">
        <v>405</v>
      </c>
      <c r="G249" s="24" t="str">
        <f t="shared" si="7"/>
        <v>SuperPower APO1013-UPS Сетевой фильтр 1.8m 5 розеток для UPS ВИЛКА IEC-320 черный</v>
      </c>
      <c r="H249" s="25">
        <f>$C$1*        4</f>
        <v>88</v>
      </c>
      <c r="I249" s="26"/>
      <c r="J249" s="27">
        <v>0</v>
      </c>
      <c r="K249" s="28" t="s">
        <v>27</v>
      </c>
      <c r="L249" s="14">
        <f t="shared" si="6"/>
        <v>86.24</v>
      </c>
    </row>
    <row r="250" spans="1:12" ht="10.5" customHeight="1" outlineLevel="1" x14ac:dyDescent="0.25">
      <c r="A250" s="22"/>
      <c r="B250" s="22"/>
      <c r="C250" s="22">
        <v>95926</v>
      </c>
      <c r="D250" s="23" t="s">
        <v>406</v>
      </c>
      <c r="E250" s="23" t="s">
        <v>407</v>
      </c>
      <c r="F250" s="24" t="s">
        <v>408</v>
      </c>
      <c r="G250" s="24" t="str">
        <f t="shared" si="7"/>
        <v>Hypernet SP-5S-30-GY Сетевой фильтр 3.0m 5 розеток серый</v>
      </c>
      <c r="H250" s="25">
        <f>$C$1*        3.57</f>
        <v>78.539999999999992</v>
      </c>
      <c r="I250" s="26"/>
      <c r="J250" s="27">
        <v>0</v>
      </c>
      <c r="K250" s="28" t="s">
        <v>27</v>
      </c>
      <c r="L250" s="14">
        <f t="shared" si="6"/>
        <v>76.97</v>
      </c>
    </row>
    <row r="251" spans="1:12" ht="10.5" customHeight="1" outlineLevel="1" x14ac:dyDescent="0.25">
      <c r="A251" s="22"/>
      <c r="B251" s="22"/>
      <c r="C251" s="22">
        <v>95927</v>
      </c>
      <c r="D251" s="23" t="s">
        <v>409</v>
      </c>
      <c r="E251" s="23" t="s">
        <v>409</v>
      </c>
      <c r="F251" s="24" t="s">
        <v>410</v>
      </c>
      <c r="G251" s="24" t="str">
        <f t="shared" si="7"/>
        <v>Hypernet SPG3-B-15PP Сетевой фильтр 4.5m 5 розеток серый</v>
      </c>
      <c r="H251" s="25">
        <f>$C$1*        4.18</f>
        <v>91.96</v>
      </c>
      <c r="I251" s="26"/>
      <c r="J251" s="27">
        <v>0</v>
      </c>
      <c r="K251" s="28" t="s">
        <v>27</v>
      </c>
      <c r="L251" s="14">
        <f t="shared" si="6"/>
        <v>90.12</v>
      </c>
    </row>
    <row r="252" spans="1:12" ht="10.5" customHeight="1" outlineLevel="1" x14ac:dyDescent="0.25">
      <c r="A252" s="22"/>
      <c r="B252" s="22"/>
      <c r="C252" s="22">
        <v>95925</v>
      </c>
      <c r="D252" s="23" t="s">
        <v>411</v>
      </c>
      <c r="E252" s="23" t="s">
        <v>411</v>
      </c>
      <c r="F252" s="24" t="s">
        <v>412</v>
      </c>
      <c r="G252" s="24" t="str">
        <f t="shared" si="7"/>
        <v>Hypernet SPG3-B-6PP Сетевой фильтр 1.8m 5 розеток серый</v>
      </c>
      <c r="H252" s="25">
        <f>$C$1*        3.08</f>
        <v>67.760000000000005</v>
      </c>
      <c r="I252" s="26"/>
      <c r="J252" s="27">
        <v>0</v>
      </c>
      <c r="K252" s="28"/>
      <c r="L252" s="14">
        <f t="shared" si="6"/>
        <v>66.400000000000006</v>
      </c>
    </row>
    <row r="253" spans="1:12" ht="10.5" customHeight="1" x14ac:dyDescent="0.25">
      <c r="A253" s="15" t="s">
        <v>413</v>
      </c>
      <c r="B253" s="16"/>
      <c r="C253" s="16"/>
      <c r="D253" s="16"/>
      <c r="E253" s="16"/>
      <c r="F253" s="17"/>
      <c r="G253" s="24" t="e">
        <f t="shared" si="7"/>
        <v>#VALUE!</v>
      </c>
      <c r="H253" s="18"/>
      <c r="I253" s="19"/>
      <c r="J253" s="20"/>
      <c r="K253" s="21"/>
      <c r="L253" s="14">
        <f t="shared" si="6"/>
        <v>0</v>
      </c>
    </row>
    <row r="254" spans="1:12" ht="10.5" customHeight="1" x14ac:dyDescent="0.25">
      <c r="A254" s="15"/>
      <c r="B254" s="16" t="s">
        <v>402</v>
      </c>
      <c r="C254" s="16"/>
      <c r="D254" s="16"/>
      <c r="E254" s="16"/>
      <c r="F254" s="17"/>
      <c r="G254" s="24" t="e">
        <f t="shared" si="7"/>
        <v>#VALUE!</v>
      </c>
      <c r="H254" s="18"/>
      <c r="I254" s="19"/>
      <c r="J254" s="20"/>
      <c r="K254" s="21"/>
      <c r="L254" s="14">
        <f t="shared" si="6"/>
        <v>0</v>
      </c>
    </row>
    <row r="255" spans="1:12" ht="10.5" customHeight="1" x14ac:dyDescent="0.25">
      <c r="A255" s="15"/>
      <c r="B255" s="16" t="s">
        <v>414</v>
      </c>
      <c r="C255" s="16"/>
      <c r="D255" s="16"/>
      <c r="E255" s="16"/>
      <c r="F255" s="17"/>
      <c r="G255" s="24" t="e">
        <f t="shared" si="7"/>
        <v>#VALUE!</v>
      </c>
      <c r="H255" s="18"/>
      <c r="I255" s="19"/>
      <c r="J255" s="20"/>
      <c r="K255" s="21"/>
      <c r="L255" s="14">
        <f t="shared" si="6"/>
        <v>0</v>
      </c>
    </row>
    <row r="256" spans="1:12" ht="10.5" customHeight="1" x14ac:dyDescent="0.25">
      <c r="A256" s="15"/>
      <c r="B256" s="16" t="s">
        <v>415</v>
      </c>
      <c r="C256" s="16"/>
      <c r="D256" s="16"/>
      <c r="E256" s="16"/>
      <c r="F256" s="17"/>
      <c r="G256" s="24" t="e">
        <f t="shared" si="7"/>
        <v>#VALUE!</v>
      </c>
      <c r="H256" s="18"/>
      <c r="I256" s="19"/>
      <c r="J256" s="20"/>
      <c r="K256" s="21"/>
      <c r="L256" s="14">
        <f t="shared" si="6"/>
        <v>0</v>
      </c>
    </row>
    <row r="257" spans="1:12" ht="10.5" customHeight="1" outlineLevel="1" x14ac:dyDescent="0.25">
      <c r="A257" s="22"/>
      <c r="B257" s="22" t="s">
        <v>275</v>
      </c>
      <c r="C257" s="22">
        <v>95684</v>
      </c>
      <c r="D257" s="23" t="s">
        <v>416</v>
      </c>
      <c r="E257" s="23" t="s">
        <v>416</v>
      </c>
      <c r="F257" s="24" t="s">
        <v>417</v>
      </c>
      <c r="G257" s="24" t="str">
        <f t="shared" si="7"/>
        <v>Hypernet HT-3130 Инструмент для заделки кабеля, с пружиной, c регулировки силы, c лезвием 110 типа</v>
      </c>
      <c r="H257" s="25">
        <f>$C$1*        6</f>
        <v>132</v>
      </c>
      <c r="I257" s="26"/>
      <c r="J257" s="27">
        <v>0</v>
      </c>
      <c r="K257" s="28" t="s">
        <v>27</v>
      </c>
      <c r="L257" s="14">
        <f t="shared" si="6"/>
        <v>129.36000000000001</v>
      </c>
    </row>
    <row r="258" spans="1:12" ht="10.5" customHeight="1" outlineLevel="1" x14ac:dyDescent="0.25">
      <c r="A258" s="22"/>
      <c r="B258" s="22" t="s">
        <v>275</v>
      </c>
      <c r="C258" s="22">
        <v>94950</v>
      </c>
      <c r="D258" s="23" t="s">
        <v>418</v>
      </c>
      <c r="E258" s="23" t="s">
        <v>418</v>
      </c>
      <c r="F258" s="24" t="s">
        <v>417</v>
      </c>
      <c r="G258" s="24" t="str">
        <f t="shared" si="7"/>
        <v>Hypernet HT-3140 Инструмент для заделки кабеля, с пружиной, c регулировки силы, c лезвием 110 типа</v>
      </c>
      <c r="H258" s="25">
        <f>$C$1*        7.92</f>
        <v>174.24</v>
      </c>
      <c r="I258" s="26"/>
      <c r="J258" s="27">
        <v>0</v>
      </c>
      <c r="K258" s="28" t="s">
        <v>27</v>
      </c>
      <c r="L258" s="14">
        <f t="shared" si="6"/>
        <v>170.76</v>
      </c>
    </row>
    <row r="259" spans="1:12" ht="10.5" customHeight="1" outlineLevel="1" x14ac:dyDescent="0.25">
      <c r="A259" s="22"/>
      <c r="B259" s="22" t="s">
        <v>275</v>
      </c>
      <c r="C259" s="22">
        <v>95020</v>
      </c>
      <c r="D259" s="23" t="s">
        <v>419</v>
      </c>
      <c r="E259" s="23" t="s">
        <v>419</v>
      </c>
      <c r="F259" s="24" t="s">
        <v>420</v>
      </c>
      <c r="G259" s="24" t="str">
        <f t="shared" si="7"/>
        <v>Hypernet HT-344KR Инструмент профи для заделки телефонных плинтов KRONE с рег/ силы, крючками</v>
      </c>
      <c r="H259" s="25">
        <f>$C$1*        4.73</f>
        <v>104.06</v>
      </c>
      <c r="I259" s="26"/>
      <c r="J259" s="27">
        <v>0</v>
      </c>
      <c r="K259" s="28" t="s">
        <v>27</v>
      </c>
      <c r="L259" s="14">
        <f t="shared" si="6"/>
        <v>101.98</v>
      </c>
    </row>
    <row r="260" spans="1:12" ht="10.5" customHeight="1" outlineLevel="1" x14ac:dyDescent="0.25">
      <c r="A260" s="22"/>
      <c r="B260" s="22" t="s">
        <v>275</v>
      </c>
      <c r="C260" s="22">
        <v>95441</v>
      </c>
      <c r="D260" s="23" t="s">
        <v>421</v>
      </c>
      <c r="E260" s="23" t="s">
        <v>422</v>
      </c>
      <c r="F260" s="24" t="s">
        <v>423</v>
      </c>
      <c r="G260" s="24" t="str">
        <f t="shared" si="7"/>
        <v>HT- HT-344KR/2  Hypernet Инструмент для заделки телефонных плинтов KRONE с регулировкой силы, крючками</v>
      </c>
      <c r="H260" s="25">
        <f>$C$1*       10.01</f>
        <v>220.22</v>
      </c>
      <c r="I260" s="26"/>
      <c r="J260" s="27">
        <v>0</v>
      </c>
      <c r="K260" s="28"/>
      <c r="L260" s="14">
        <f t="shared" si="6"/>
        <v>215.82</v>
      </c>
    </row>
    <row r="261" spans="1:12" ht="10.5" customHeight="1" outlineLevel="1" x14ac:dyDescent="0.25">
      <c r="A261" s="22"/>
      <c r="B261" s="22" t="s">
        <v>24</v>
      </c>
      <c r="C261" s="22">
        <v>86633</v>
      </c>
      <c r="D261" s="23" t="s">
        <v>25</v>
      </c>
      <c r="E261" s="23" t="s">
        <v>25</v>
      </c>
      <c r="F261" s="24" t="s">
        <v>424</v>
      </c>
      <c r="G261" s="24" t="str">
        <f t="shared" si="7"/>
        <v>NETS-14B   Nets Лезвие для заделочного инструмента HT-3140/HT-3240/HT-3340 тип 110</v>
      </c>
      <c r="H261" s="25">
        <f>$C$1*        3.3</f>
        <v>72.599999999999994</v>
      </c>
      <c r="I261" s="26"/>
      <c r="J261" s="27">
        <v>0</v>
      </c>
      <c r="K261" s="28" t="s">
        <v>27</v>
      </c>
      <c r="L261" s="14">
        <f t="shared" si="6"/>
        <v>71.150000000000006</v>
      </c>
    </row>
    <row r="262" spans="1:12" ht="10.5" customHeight="1" x14ac:dyDescent="0.25">
      <c r="A262" s="15"/>
      <c r="B262" s="16" t="s">
        <v>425</v>
      </c>
      <c r="C262" s="16"/>
      <c r="D262" s="16"/>
      <c r="E262" s="16"/>
      <c r="F262" s="17"/>
      <c r="G262" s="24" t="e">
        <f t="shared" si="7"/>
        <v>#VALUE!</v>
      </c>
      <c r="H262" s="18"/>
      <c r="I262" s="19"/>
      <c r="J262" s="20"/>
      <c r="K262" s="21"/>
      <c r="L262" s="14">
        <f t="shared" ref="L262:L325" si="8">ROUND(H262*0.98,2)</f>
        <v>0</v>
      </c>
    </row>
    <row r="263" spans="1:12" ht="10.5" customHeight="1" outlineLevel="1" x14ac:dyDescent="0.25">
      <c r="A263" s="22"/>
      <c r="B263" s="22" t="s">
        <v>275</v>
      </c>
      <c r="C263" s="22">
        <v>95890</v>
      </c>
      <c r="D263" s="23" t="s">
        <v>426</v>
      </c>
      <c r="E263" s="23" t="s">
        <v>426</v>
      </c>
      <c r="F263" s="24" t="s">
        <v>427</v>
      </c>
      <c r="G263" s="24" t="str">
        <f t="shared" si="7"/>
        <v>HT- 318  Hypernet Инструмент для зачистки и заделки кабеля</v>
      </c>
      <c r="H263" s="25">
        <f>$C$1*        0.55</f>
        <v>12.100000000000001</v>
      </c>
      <c r="I263" s="26"/>
      <c r="J263" s="27">
        <v>0</v>
      </c>
      <c r="K263" s="28"/>
      <c r="L263" s="14">
        <f t="shared" si="8"/>
        <v>11.86</v>
      </c>
    </row>
    <row r="264" spans="1:12" ht="10.5" customHeight="1" outlineLevel="1" x14ac:dyDescent="0.25">
      <c r="A264" s="22"/>
      <c r="B264" s="22" t="s">
        <v>275</v>
      </c>
      <c r="C264" s="22">
        <v>94951</v>
      </c>
      <c r="D264" s="23" t="s">
        <v>428</v>
      </c>
      <c r="E264" s="23" t="s">
        <v>428</v>
      </c>
      <c r="F264" s="24" t="s">
        <v>429</v>
      </c>
      <c r="G264" s="24" t="str">
        <f t="shared" ref="G264:G327" si="9">REPLACE(F264,SEARCH(" ",F264)+1,0,D264&amp;" ")</f>
        <v>Hypernet HT-501A Инструмент c 3-мя лезвиями для обрезки и зачистки кабеля</v>
      </c>
      <c r="H264" s="25">
        <f>$C$1*        3.02</f>
        <v>66.44</v>
      </c>
      <c r="I264" s="26"/>
      <c r="J264" s="27">
        <v>0</v>
      </c>
      <c r="K264" s="28"/>
      <c r="L264" s="14">
        <f t="shared" si="8"/>
        <v>65.11</v>
      </c>
    </row>
    <row r="265" spans="1:12" ht="10.5" customHeight="1" outlineLevel="1" x14ac:dyDescent="0.25">
      <c r="A265" s="22"/>
      <c r="B265" s="22" t="s">
        <v>275</v>
      </c>
      <c r="C265" s="22">
        <v>95335</v>
      </c>
      <c r="D265" s="23" t="s">
        <v>428</v>
      </c>
      <c r="E265" s="23" t="s">
        <v>430</v>
      </c>
      <c r="F265" s="24" t="s">
        <v>431</v>
      </c>
      <c r="G265" s="24" t="str">
        <f t="shared" si="9"/>
        <v>HT- HT-501A  Hypernet Инструмент c 3-мя лезвиями для обрезки и зачистки кабеля</v>
      </c>
      <c r="H265" s="25">
        <f>$C$1*        3.02</f>
        <v>66.44</v>
      </c>
      <c r="I265" s="26"/>
      <c r="J265" s="27">
        <v>0</v>
      </c>
      <c r="K265" s="28" t="s">
        <v>27</v>
      </c>
      <c r="L265" s="14">
        <f t="shared" si="8"/>
        <v>65.11</v>
      </c>
    </row>
    <row r="266" spans="1:12" ht="10.5" customHeight="1" x14ac:dyDescent="0.25">
      <c r="A266" s="15"/>
      <c r="B266" s="16" t="s">
        <v>432</v>
      </c>
      <c r="C266" s="16"/>
      <c r="D266" s="16"/>
      <c r="E266" s="16"/>
      <c r="F266" s="17"/>
      <c r="G266" s="24" t="e">
        <f t="shared" si="9"/>
        <v>#VALUE!</v>
      </c>
      <c r="H266" s="18"/>
      <c r="I266" s="19"/>
      <c r="J266" s="20"/>
      <c r="K266" s="21"/>
      <c r="L266" s="14">
        <f t="shared" si="8"/>
        <v>0</v>
      </c>
    </row>
    <row r="267" spans="1:12" ht="10.5" customHeight="1" outlineLevel="1" x14ac:dyDescent="0.25">
      <c r="A267" s="22"/>
      <c r="B267" s="22"/>
      <c r="C267" s="22">
        <v>94587</v>
      </c>
      <c r="D267" s="23" t="s">
        <v>433</v>
      </c>
      <c r="E267" s="23" t="s">
        <v>433</v>
      </c>
      <c r="F267" s="24" t="s">
        <v>434</v>
      </c>
      <c r="G267" s="24" t="str">
        <f t="shared" si="9"/>
        <v>Hypernet 224D Инструмент для установки и снятия F коннекторов на коаксиал</v>
      </c>
      <c r="H267" s="25">
        <f>$C$1*        6</f>
        <v>132</v>
      </c>
      <c r="I267" s="26"/>
      <c r="J267" s="27">
        <v>0</v>
      </c>
      <c r="K267" s="28" t="s">
        <v>27</v>
      </c>
      <c r="L267" s="14">
        <f t="shared" si="8"/>
        <v>129.36000000000001</v>
      </c>
    </row>
    <row r="268" spans="1:12" ht="10.5" customHeight="1" outlineLevel="1" x14ac:dyDescent="0.25">
      <c r="A268" s="22"/>
      <c r="B268" s="22"/>
      <c r="C268" s="22">
        <v>94353</v>
      </c>
      <c r="D268" s="23" t="s">
        <v>435</v>
      </c>
      <c r="E268" s="23" t="s">
        <v>435</v>
      </c>
      <c r="F268" s="24" t="s">
        <v>436</v>
      </c>
      <c r="G268" s="24" t="str">
        <f t="shared" si="9"/>
        <v>Hypernet 322 Инструмент для обрезки и зачистки коаксиального кабеля</v>
      </c>
      <c r="H268" s="25">
        <f>$C$1*        6.6</f>
        <v>145.19999999999999</v>
      </c>
      <c r="I268" s="26"/>
      <c r="J268" s="27">
        <v>0</v>
      </c>
      <c r="K268" s="28"/>
      <c r="L268" s="14">
        <f t="shared" si="8"/>
        <v>142.30000000000001</v>
      </c>
    </row>
    <row r="269" spans="1:12" ht="10.5" customHeight="1" outlineLevel="1" x14ac:dyDescent="0.25">
      <c r="A269" s="22"/>
      <c r="B269" s="22"/>
      <c r="C269" s="22">
        <v>94584</v>
      </c>
      <c r="D269" s="23" t="s">
        <v>437</v>
      </c>
      <c r="E269" s="23" t="s">
        <v>437</v>
      </c>
      <c r="F269" s="24" t="s">
        <v>438</v>
      </c>
      <c r="G269" s="24" t="str">
        <f t="shared" si="9"/>
        <v>Hypernet 332   Инструмент для обрезки и зачистки коаксиального кабеля</v>
      </c>
      <c r="H269" s="25">
        <f>$C$1*        4.4</f>
        <v>96.800000000000011</v>
      </c>
      <c r="I269" s="26"/>
      <c r="J269" s="27">
        <v>0</v>
      </c>
      <c r="K269" s="28"/>
      <c r="L269" s="14">
        <f t="shared" si="8"/>
        <v>94.86</v>
      </c>
    </row>
    <row r="270" spans="1:12" ht="10.5" customHeight="1" outlineLevel="1" x14ac:dyDescent="0.25">
      <c r="A270" s="22"/>
      <c r="B270" s="22" t="s">
        <v>275</v>
      </c>
      <c r="C270" s="22">
        <v>95442</v>
      </c>
      <c r="D270" s="23" t="s">
        <v>439</v>
      </c>
      <c r="E270" s="23" t="s">
        <v>25</v>
      </c>
      <c r="F270" s="29" t="s">
        <v>440</v>
      </c>
      <c r="G270" s="24" t="str">
        <f t="shared" si="9"/>
        <v>HT-332_x000D_
 HT-332  Hypernet инструмент для обрезки и зачистки коаксиального кабеля</v>
      </c>
      <c r="H270" s="25">
        <f>$C$1*        3</f>
        <v>66</v>
      </c>
      <c r="I270" s="26"/>
      <c r="J270" s="27">
        <v>0</v>
      </c>
      <c r="K270" s="28" t="s">
        <v>27</v>
      </c>
      <c r="L270" s="14">
        <f t="shared" si="8"/>
        <v>64.680000000000007</v>
      </c>
    </row>
    <row r="271" spans="1:12" ht="10.5" customHeight="1" x14ac:dyDescent="0.25">
      <c r="A271" s="15"/>
      <c r="B271" s="16" t="s">
        <v>441</v>
      </c>
      <c r="C271" s="16"/>
      <c r="D271" s="16"/>
      <c r="E271" s="16"/>
      <c r="F271" s="17"/>
      <c r="G271" s="24" t="e">
        <f t="shared" si="9"/>
        <v>#VALUE!</v>
      </c>
      <c r="H271" s="18"/>
      <c r="I271" s="19"/>
      <c r="J271" s="20"/>
      <c r="K271" s="21"/>
      <c r="L271" s="14">
        <f t="shared" si="8"/>
        <v>0</v>
      </c>
    </row>
    <row r="272" spans="1:12" ht="10.5" customHeight="1" outlineLevel="1" x14ac:dyDescent="0.25">
      <c r="A272" s="22"/>
      <c r="B272" s="22" t="s">
        <v>275</v>
      </c>
      <c r="C272" s="22">
        <v>95443</v>
      </c>
      <c r="D272" s="23" t="s">
        <v>442</v>
      </c>
      <c r="E272" s="23" t="s">
        <v>442</v>
      </c>
      <c r="F272" s="24" t="s">
        <v>443</v>
      </c>
      <c r="G272" s="24" t="str">
        <f t="shared" si="9"/>
        <v>Hypernet HT-105 Инструмент для обжимки ScotchLock</v>
      </c>
      <c r="H272" s="25">
        <f>$C$1*        7.92</f>
        <v>174.24</v>
      </c>
      <c r="I272" s="26"/>
      <c r="J272" s="27">
        <v>0</v>
      </c>
      <c r="K272" s="28" t="s">
        <v>27</v>
      </c>
      <c r="L272" s="14">
        <f t="shared" si="8"/>
        <v>170.76</v>
      </c>
    </row>
    <row r="273" spans="1:12" ht="10.5" customHeight="1" outlineLevel="1" x14ac:dyDescent="0.25">
      <c r="A273" s="22"/>
      <c r="B273" s="22" t="s">
        <v>275</v>
      </c>
      <c r="C273" s="22">
        <v>94952</v>
      </c>
      <c r="D273" s="23" t="s">
        <v>444</v>
      </c>
      <c r="E273" s="23" t="s">
        <v>444</v>
      </c>
      <c r="F273" s="24" t="s">
        <v>445</v>
      </c>
      <c r="G273" s="24" t="str">
        <f t="shared" si="9"/>
        <v>Hypernet HT-2008 Инструмент профи для обжимки RJ-45 (8P8C) &amp; RJ-12(6P6C) &amp; RJ-11(4P4C)</v>
      </c>
      <c r="H273" s="25">
        <f>$C$1*       11.2</f>
        <v>246.39999999999998</v>
      </c>
      <c r="I273" s="26"/>
      <c r="J273" s="27">
        <v>0</v>
      </c>
      <c r="K273" s="28"/>
      <c r="L273" s="14">
        <f t="shared" si="8"/>
        <v>241.47</v>
      </c>
    </row>
    <row r="274" spans="1:12" ht="10.5" customHeight="1" outlineLevel="1" x14ac:dyDescent="0.25">
      <c r="A274" s="22"/>
      <c r="B274" s="22" t="s">
        <v>275</v>
      </c>
      <c r="C274" s="22">
        <v>94953</v>
      </c>
      <c r="D274" s="23" t="s">
        <v>446</v>
      </c>
      <c r="E274" s="23" t="s">
        <v>446</v>
      </c>
      <c r="F274" s="24" t="s">
        <v>447</v>
      </c>
      <c r="G274" s="24" t="str">
        <f t="shared" si="9"/>
        <v>Hypernet HT-2008/E Инструмент для обжимки RJ-45 (8P8C) &amp; RJ-12(6P6C) &amp; RJ-11(4P4C)</v>
      </c>
      <c r="H274" s="25">
        <f>$C$1*        8.58</f>
        <v>188.76</v>
      </c>
      <c r="I274" s="26"/>
      <c r="J274" s="27">
        <v>0</v>
      </c>
      <c r="K274" s="28"/>
      <c r="L274" s="14">
        <f t="shared" si="8"/>
        <v>184.98</v>
      </c>
    </row>
    <row r="275" spans="1:12" ht="10.5" customHeight="1" outlineLevel="1" x14ac:dyDescent="0.25">
      <c r="A275" s="22"/>
      <c r="B275" s="22" t="s">
        <v>275</v>
      </c>
      <c r="C275" s="22">
        <v>95653</v>
      </c>
      <c r="D275" s="23" t="s">
        <v>448</v>
      </c>
      <c r="E275" s="23" t="s">
        <v>448</v>
      </c>
      <c r="F275" s="24" t="s">
        <v>445</v>
      </c>
      <c r="G275" s="24" t="str">
        <f t="shared" si="9"/>
        <v>Hypernet HT-2008R Инструмент профи для обжимки RJ-45 (8P8C) &amp; RJ-12(6P6C) &amp; RJ-11(4P4C)</v>
      </c>
      <c r="H275" s="25">
        <f>$C$1*       11.2</f>
        <v>246.39999999999998</v>
      </c>
      <c r="I275" s="26"/>
      <c r="J275" s="27">
        <v>0</v>
      </c>
      <c r="K275" s="28" t="s">
        <v>27</v>
      </c>
      <c r="L275" s="14">
        <f t="shared" si="8"/>
        <v>241.47</v>
      </c>
    </row>
    <row r="276" spans="1:12" ht="10.5" customHeight="1" outlineLevel="1" x14ac:dyDescent="0.25">
      <c r="A276" s="22"/>
      <c r="B276" s="22" t="s">
        <v>275</v>
      </c>
      <c r="C276" s="22">
        <v>94954</v>
      </c>
      <c r="D276" s="23" t="s">
        <v>449</v>
      </c>
      <c r="E276" s="23" t="s">
        <v>449</v>
      </c>
      <c r="F276" s="24" t="s">
        <v>450</v>
      </c>
      <c r="G276" s="24" t="str">
        <f t="shared" si="9"/>
        <v>Hypernet HT-210 Инструмент для обжимки RJ-45</v>
      </c>
      <c r="H276" s="25">
        <f>$C$1*        4.29</f>
        <v>94.38</v>
      </c>
      <c r="I276" s="26"/>
      <c r="J276" s="27">
        <v>0</v>
      </c>
      <c r="K276" s="28" t="s">
        <v>27</v>
      </c>
      <c r="L276" s="14">
        <f t="shared" si="8"/>
        <v>92.49</v>
      </c>
    </row>
    <row r="277" spans="1:12" ht="10.5" customHeight="1" outlineLevel="1" x14ac:dyDescent="0.25">
      <c r="A277" s="22"/>
      <c r="B277" s="22" t="s">
        <v>275</v>
      </c>
      <c r="C277" s="22">
        <v>94955</v>
      </c>
      <c r="D277" s="23" t="s">
        <v>451</v>
      </c>
      <c r="E277" s="23" t="s">
        <v>451</v>
      </c>
      <c r="F277" s="24" t="s">
        <v>452</v>
      </c>
      <c r="G277" s="24" t="str">
        <f t="shared" si="9"/>
        <v>Hypernet HT-500 Инструмент профи для обжимки RJ-45 (8P8C) &amp; RJ-12(6P6C) (R)</v>
      </c>
      <c r="H277" s="25">
        <f>$C$1*       11.88</f>
        <v>261.36</v>
      </c>
      <c r="I277" s="26"/>
      <c r="J277" s="27">
        <v>0</v>
      </c>
      <c r="K277" s="28" t="s">
        <v>27</v>
      </c>
      <c r="L277" s="14">
        <f t="shared" si="8"/>
        <v>256.13</v>
      </c>
    </row>
    <row r="278" spans="1:12" ht="10.5" customHeight="1" outlineLevel="1" x14ac:dyDescent="0.25">
      <c r="A278" s="22"/>
      <c r="B278" s="22" t="s">
        <v>275</v>
      </c>
      <c r="C278" s="22">
        <v>94956</v>
      </c>
      <c r="D278" s="23" t="s">
        <v>453</v>
      </c>
      <c r="E278" s="23" t="s">
        <v>453</v>
      </c>
      <c r="F278" s="24" t="s">
        <v>454</v>
      </c>
      <c r="G278" s="24" t="str">
        <f t="shared" si="9"/>
        <v>Hypernet HT-568 Инструмент для обжимки RJ-45 (8P8C) &amp; RJ-12(6P6C)</v>
      </c>
      <c r="H278" s="25">
        <f>$C$1*        7.15</f>
        <v>157.30000000000001</v>
      </c>
      <c r="I278" s="26"/>
      <c r="J278" s="27">
        <v>0</v>
      </c>
      <c r="K278" s="28" t="s">
        <v>27</v>
      </c>
      <c r="L278" s="14">
        <f t="shared" si="8"/>
        <v>154.15</v>
      </c>
    </row>
    <row r="279" spans="1:12" ht="10.5" customHeight="1" outlineLevel="1" x14ac:dyDescent="0.25">
      <c r="A279" s="22"/>
      <c r="B279" s="22" t="s">
        <v>275</v>
      </c>
      <c r="C279" s="22">
        <v>94957</v>
      </c>
      <c r="D279" s="23" t="s">
        <v>455</v>
      </c>
      <c r="E279" s="23" t="s">
        <v>455</v>
      </c>
      <c r="F279" s="24" t="s">
        <v>454</v>
      </c>
      <c r="G279" s="24" t="str">
        <f t="shared" si="9"/>
        <v>Hypernet HT-568/2 Инструмент для обжимки RJ-45 (8P8C) &amp; RJ-12(6P6C)</v>
      </c>
      <c r="H279" s="25">
        <f>$C$1*        7.26</f>
        <v>159.72</v>
      </c>
      <c r="I279" s="26"/>
      <c r="J279" s="27">
        <v>0</v>
      </c>
      <c r="K279" s="28"/>
      <c r="L279" s="14">
        <f t="shared" si="8"/>
        <v>156.53</v>
      </c>
    </row>
    <row r="280" spans="1:12" ht="10.5" customHeight="1" outlineLevel="1" x14ac:dyDescent="0.25">
      <c r="A280" s="22"/>
      <c r="B280" s="22" t="s">
        <v>24</v>
      </c>
      <c r="C280" s="22">
        <v>86284</v>
      </c>
      <c r="D280" s="23" t="s">
        <v>25</v>
      </c>
      <c r="E280" s="23" t="s">
        <v>456</v>
      </c>
      <c r="F280" s="24" t="s">
        <v>457</v>
      </c>
      <c r="G280" s="24" t="str">
        <f t="shared" si="9"/>
        <v>Net's  Инструмент для обжимки RJ-45 (8P8C) &amp; RJ-12(6P6C) &amp; RJ-11(4P4C)</v>
      </c>
      <c r="H280" s="25">
        <f>$C$1*        8.58</f>
        <v>188.76</v>
      </c>
      <c r="I280" s="26"/>
      <c r="J280" s="27">
        <v>0</v>
      </c>
      <c r="K280" s="28"/>
      <c r="L280" s="14">
        <f t="shared" si="8"/>
        <v>184.98</v>
      </c>
    </row>
    <row r="281" spans="1:12" ht="10.5" customHeight="1" outlineLevel="1" x14ac:dyDescent="0.25">
      <c r="A281" s="22"/>
      <c r="B281" s="22" t="s">
        <v>24</v>
      </c>
      <c r="C281" s="22">
        <v>85645</v>
      </c>
      <c r="D281" s="23" t="s">
        <v>25</v>
      </c>
      <c r="E281" s="23" t="s">
        <v>458</v>
      </c>
      <c r="F281" s="24" t="s">
        <v>459</v>
      </c>
      <c r="G281" s="24" t="str">
        <f t="shared" si="9"/>
        <v>Net's  Инструмент для обжимки RJ-45 (8P8C) &amp; RJ-12(6P6C)</v>
      </c>
      <c r="H281" s="25">
        <f>$C$1*        7.26</f>
        <v>159.72</v>
      </c>
      <c r="I281" s="26"/>
      <c r="J281" s="27">
        <v>0</v>
      </c>
      <c r="K281" s="28"/>
      <c r="L281" s="14">
        <f t="shared" si="8"/>
        <v>156.53</v>
      </c>
    </row>
    <row r="282" spans="1:12" ht="10.5" customHeight="1" x14ac:dyDescent="0.25">
      <c r="A282" s="15"/>
      <c r="B282" s="16" t="s">
        <v>460</v>
      </c>
      <c r="C282" s="16"/>
      <c r="D282" s="16"/>
      <c r="E282" s="16"/>
      <c r="F282" s="17"/>
      <c r="G282" s="24" t="e">
        <f t="shared" si="9"/>
        <v>#VALUE!</v>
      </c>
      <c r="H282" s="18"/>
      <c r="I282" s="19"/>
      <c r="J282" s="20"/>
      <c r="K282" s="21"/>
      <c r="L282" s="14">
        <f t="shared" si="8"/>
        <v>0</v>
      </c>
    </row>
    <row r="283" spans="1:12" ht="10.5" customHeight="1" x14ac:dyDescent="0.25">
      <c r="A283" s="15"/>
      <c r="B283" s="16" t="s">
        <v>461</v>
      </c>
      <c r="C283" s="16"/>
      <c r="D283" s="16"/>
      <c r="E283" s="16"/>
      <c r="F283" s="17"/>
      <c r="G283" s="24" t="e">
        <f t="shared" si="9"/>
        <v>#VALUE!</v>
      </c>
      <c r="H283" s="18"/>
      <c r="I283" s="19"/>
      <c r="J283" s="20"/>
      <c r="K283" s="21"/>
      <c r="L283" s="14">
        <f t="shared" si="8"/>
        <v>0</v>
      </c>
    </row>
    <row r="284" spans="1:12" ht="10.5" customHeight="1" outlineLevel="1" x14ac:dyDescent="0.25">
      <c r="A284" s="22"/>
      <c r="B284" s="22" t="s">
        <v>275</v>
      </c>
      <c r="C284" s="22">
        <v>95444</v>
      </c>
      <c r="D284" s="23" t="s">
        <v>462</v>
      </c>
      <c r="E284" s="23" t="s">
        <v>25</v>
      </c>
      <c r="F284" s="24" t="s">
        <v>463</v>
      </c>
      <c r="G284" s="24" t="str">
        <f t="shared" si="9"/>
        <v>NCT-LCD2 NCT-LCD2  Hypernet Тестер для сетей RJ-45, LCD дисплей</v>
      </c>
      <c r="H284" s="25">
        <f>$C$1*      105.6</f>
        <v>2323.1999999999998</v>
      </c>
      <c r="I284" s="26"/>
      <c r="J284" s="27">
        <v>6</v>
      </c>
      <c r="K284" s="28" t="s">
        <v>27</v>
      </c>
      <c r="L284" s="14">
        <f t="shared" si="8"/>
        <v>2276.7399999999998</v>
      </c>
    </row>
    <row r="285" spans="1:12" ht="10.5" customHeight="1" outlineLevel="1" x14ac:dyDescent="0.25">
      <c r="A285" s="22"/>
      <c r="B285" s="22" t="s">
        <v>275</v>
      </c>
      <c r="C285" s="22">
        <v>94970</v>
      </c>
      <c r="D285" s="23" t="s">
        <v>464</v>
      </c>
      <c r="E285" s="23" t="s">
        <v>464</v>
      </c>
      <c r="F285" s="24" t="s">
        <v>465</v>
      </c>
      <c r="G285" s="24" t="str">
        <f t="shared" si="9"/>
        <v>Hypernet NCT-LCD8108 Тестер для сетей RJ-45, LCD дисплей  (NCT-4042)</v>
      </c>
      <c r="H285" s="25">
        <f>$C$1*      105.6</f>
        <v>2323.1999999999998</v>
      </c>
      <c r="I285" s="26"/>
      <c r="J285" s="27">
        <v>6</v>
      </c>
      <c r="K285" s="28" t="s">
        <v>27</v>
      </c>
      <c r="L285" s="14">
        <f t="shared" si="8"/>
        <v>2276.7399999999998</v>
      </c>
    </row>
    <row r="286" spans="1:12" ht="10.5" customHeight="1" outlineLevel="1" x14ac:dyDescent="0.25">
      <c r="A286" s="22"/>
      <c r="B286" s="22" t="s">
        <v>275</v>
      </c>
      <c r="C286" s="22">
        <v>94961</v>
      </c>
      <c r="D286" s="23" t="s">
        <v>466</v>
      </c>
      <c r="E286" s="23" t="s">
        <v>466</v>
      </c>
      <c r="F286" s="24" t="s">
        <v>467</v>
      </c>
      <c r="G286" s="24" t="str">
        <f t="shared" si="9"/>
        <v>Hypernet NCT-LCD8868 Тестер для сетей RJ-45, BNC с генератором тона, LCD дисплей</v>
      </c>
      <c r="H286" s="25">
        <f>$C$1*      143</f>
        <v>3146</v>
      </c>
      <c r="I286" s="26"/>
      <c r="J286" s="27">
        <v>6</v>
      </c>
      <c r="K286" s="28" t="s">
        <v>27</v>
      </c>
      <c r="L286" s="14">
        <f t="shared" si="8"/>
        <v>3083.08</v>
      </c>
    </row>
    <row r="287" spans="1:12" ht="10.5" customHeight="1" outlineLevel="1" x14ac:dyDescent="0.25">
      <c r="A287" s="22"/>
      <c r="B287" s="22" t="s">
        <v>275</v>
      </c>
      <c r="C287" s="22">
        <v>95445</v>
      </c>
      <c r="D287" s="23" t="s">
        <v>468</v>
      </c>
      <c r="E287" s="23" t="s">
        <v>25</v>
      </c>
      <c r="F287" s="24" t="s">
        <v>469</v>
      </c>
      <c r="G287" s="24" t="str">
        <f t="shared" si="9"/>
        <v>NCT-SD NCT-SD  Hypernet тестер кабельный с генератором тона, поиск в пучке, скрытой проводки</v>
      </c>
      <c r="H287" s="25">
        <f>$C$1*       28.6</f>
        <v>629.20000000000005</v>
      </c>
      <c r="I287" s="26"/>
      <c r="J287" s="27">
        <v>5</v>
      </c>
      <c r="K287" s="28" t="s">
        <v>27</v>
      </c>
      <c r="L287" s="14">
        <f t="shared" si="8"/>
        <v>616.62</v>
      </c>
    </row>
    <row r="288" spans="1:12" ht="10.5" customHeight="1" outlineLevel="1" x14ac:dyDescent="0.25">
      <c r="A288" s="22"/>
      <c r="B288" s="22" t="s">
        <v>275</v>
      </c>
      <c r="C288" s="22">
        <v>95448</v>
      </c>
      <c r="D288" s="23" t="s">
        <v>470</v>
      </c>
      <c r="E288" s="23" t="s">
        <v>25</v>
      </c>
      <c r="F288" s="24" t="s">
        <v>471</v>
      </c>
      <c r="G288" s="24" t="str">
        <f t="shared" si="9"/>
        <v>RX-1000 RX-1000  Hypernet Тестер кабельный RJ-45, RJ-12, USB, BNC</v>
      </c>
      <c r="H288" s="25">
        <f>$C$1*       28.6</f>
        <v>629.20000000000005</v>
      </c>
      <c r="I288" s="26"/>
      <c r="J288" s="27">
        <v>6</v>
      </c>
      <c r="K288" s="28" t="s">
        <v>27</v>
      </c>
      <c r="L288" s="14">
        <f t="shared" si="8"/>
        <v>616.62</v>
      </c>
    </row>
    <row r="289" spans="1:12" ht="10.5" customHeight="1" outlineLevel="1" x14ac:dyDescent="0.25">
      <c r="A289" s="22"/>
      <c r="B289" s="22" t="s">
        <v>275</v>
      </c>
      <c r="C289" s="22">
        <v>95446</v>
      </c>
      <c r="D289" s="23" t="s">
        <v>472</v>
      </c>
      <c r="E289" s="23" t="s">
        <v>472</v>
      </c>
      <c r="F289" s="24" t="s">
        <v>473</v>
      </c>
      <c r="G289" s="24" t="str">
        <f t="shared" si="9"/>
        <v>Hypernet TST1 Тестер кабельний RJ-45, BNC</v>
      </c>
      <c r="H289" s="25">
        <f>$C$1*        7.7</f>
        <v>169.4</v>
      </c>
      <c r="I289" s="26"/>
      <c r="J289" s="27">
        <v>6</v>
      </c>
      <c r="K289" s="28" t="s">
        <v>27</v>
      </c>
      <c r="L289" s="14">
        <f t="shared" si="8"/>
        <v>166.01</v>
      </c>
    </row>
    <row r="290" spans="1:12" ht="10.5" customHeight="1" outlineLevel="1" x14ac:dyDescent="0.25">
      <c r="A290" s="22"/>
      <c r="B290" s="22" t="s">
        <v>275</v>
      </c>
      <c r="C290" s="22">
        <v>95336</v>
      </c>
      <c r="D290" s="23" t="s">
        <v>474</v>
      </c>
      <c r="E290" s="23" t="s">
        <v>474</v>
      </c>
      <c r="F290" s="24" t="s">
        <v>475</v>
      </c>
      <c r="G290" s="24" t="str">
        <f t="shared" si="9"/>
        <v>Hypernet TST2 Тестер кабельний RJ-45, RJ-12</v>
      </c>
      <c r="H290" s="25">
        <f>$C$1*        7.7</f>
        <v>169.4</v>
      </c>
      <c r="I290" s="26"/>
      <c r="J290" s="27">
        <v>6</v>
      </c>
      <c r="K290" s="28" t="s">
        <v>27</v>
      </c>
      <c r="L290" s="14">
        <f t="shared" si="8"/>
        <v>166.01</v>
      </c>
    </row>
    <row r="291" spans="1:12" ht="10.5" customHeight="1" outlineLevel="1" x14ac:dyDescent="0.25">
      <c r="A291" s="22"/>
      <c r="B291" s="22" t="s">
        <v>275</v>
      </c>
      <c r="C291" s="22">
        <v>94971</v>
      </c>
      <c r="D291" s="23" t="s">
        <v>476</v>
      </c>
      <c r="E291" s="23" t="s">
        <v>476</v>
      </c>
      <c r="F291" s="24" t="s">
        <v>477</v>
      </c>
      <c r="G291" s="24" t="str">
        <f t="shared" si="9"/>
        <v>Hypernet TST2-S Тестер кабельный RJ-45, RJ-12 с генератором тона</v>
      </c>
      <c r="H291" s="25">
        <f>$C$1*       38.5</f>
        <v>847</v>
      </c>
      <c r="I291" s="26"/>
      <c r="J291" s="27">
        <v>6</v>
      </c>
      <c r="K291" s="28" t="s">
        <v>27</v>
      </c>
      <c r="L291" s="14">
        <f t="shared" si="8"/>
        <v>830.06</v>
      </c>
    </row>
    <row r="292" spans="1:12" ht="10.5" customHeight="1" outlineLevel="1" x14ac:dyDescent="0.25">
      <c r="A292" s="22"/>
      <c r="B292" s="22" t="s">
        <v>275</v>
      </c>
      <c r="C292" s="22">
        <v>95596</v>
      </c>
      <c r="D292" s="23" t="s">
        <v>478</v>
      </c>
      <c r="E292" s="23" t="s">
        <v>478</v>
      </c>
      <c r="F292" s="24" t="s">
        <v>479</v>
      </c>
      <c r="G292" s="24" t="str">
        <f t="shared" si="9"/>
        <v>Hypernet TST2-SD тестер кабельный RJ-45, RJ-12 с генератором тона</v>
      </c>
      <c r="H292" s="25">
        <f>$C$1*       41.8</f>
        <v>919.59999999999991</v>
      </c>
      <c r="I292" s="26"/>
      <c r="J292" s="27">
        <v>6</v>
      </c>
      <c r="K292" s="28" t="s">
        <v>27</v>
      </c>
      <c r="L292" s="14">
        <f t="shared" si="8"/>
        <v>901.21</v>
      </c>
    </row>
    <row r="293" spans="1:12" ht="10.5" customHeight="1" outlineLevel="1" x14ac:dyDescent="0.25">
      <c r="A293" s="22"/>
      <c r="B293" s="22" t="s">
        <v>275</v>
      </c>
      <c r="C293" s="22">
        <v>95447</v>
      </c>
      <c r="D293" s="23" t="s">
        <v>480</v>
      </c>
      <c r="E293" s="23" t="s">
        <v>480</v>
      </c>
      <c r="F293" s="24" t="s">
        <v>479</v>
      </c>
      <c r="G293" s="24" t="str">
        <f t="shared" si="9"/>
        <v>Hypernet TST3-SD тестер кабельный RJ-45, RJ-12 с генератором тона</v>
      </c>
      <c r="H293" s="25">
        <f>$C$1*       39.6</f>
        <v>871.2</v>
      </c>
      <c r="I293" s="26"/>
      <c r="J293" s="27">
        <v>6</v>
      </c>
      <c r="K293" s="28" t="s">
        <v>27</v>
      </c>
      <c r="L293" s="14">
        <f t="shared" si="8"/>
        <v>853.78</v>
      </c>
    </row>
    <row r="294" spans="1:12" ht="10.5" customHeight="1" x14ac:dyDescent="0.25">
      <c r="A294" s="15" t="s">
        <v>481</v>
      </c>
      <c r="B294" s="16"/>
      <c r="C294" s="16"/>
      <c r="D294" s="16"/>
      <c r="E294" s="16"/>
      <c r="F294" s="17"/>
      <c r="G294" s="24" t="e">
        <f t="shared" si="9"/>
        <v>#VALUE!</v>
      </c>
      <c r="H294" s="18"/>
      <c r="I294" s="19"/>
      <c r="J294" s="20"/>
      <c r="K294" s="21"/>
      <c r="L294" s="14">
        <f t="shared" si="8"/>
        <v>0</v>
      </c>
    </row>
    <row r="295" spans="1:12" ht="10.5" customHeight="1" x14ac:dyDescent="0.25">
      <c r="A295" s="15"/>
      <c r="B295" s="16" t="s">
        <v>402</v>
      </c>
      <c r="C295" s="16"/>
      <c r="D295" s="16"/>
      <c r="E295" s="16"/>
      <c r="F295" s="17"/>
      <c r="G295" s="24" t="e">
        <f t="shared" si="9"/>
        <v>#VALUE!</v>
      </c>
      <c r="H295" s="18"/>
      <c r="I295" s="19"/>
      <c r="J295" s="20"/>
      <c r="K295" s="21"/>
      <c r="L295" s="14">
        <f t="shared" si="8"/>
        <v>0</v>
      </c>
    </row>
    <row r="296" spans="1:12" ht="10.5" customHeight="1" x14ac:dyDescent="0.25">
      <c r="A296" s="15"/>
      <c r="B296" s="16" t="s">
        <v>482</v>
      </c>
      <c r="C296" s="16"/>
      <c r="D296" s="16"/>
      <c r="E296" s="16"/>
      <c r="F296" s="17"/>
      <c r="G296" s="24" t="e">
        <f t="shared" si="9"/>
        <v>#VALUE!</v>
      </c>
      <c r="H296" s="18"/>
      <c r="I296" s="19"/>
      <c r="J296" s="20"/>
      <c r="K296" s="21"/>
      <c r="L296" s="14">
        <f t="shared" si="8"/>
        <v>0</v>
      </c>
    </row>
    <row r="297" spans="1:12" ht="10.5" customHeight="1" x14ac:dyDescent="0.25">
      <c r="A297" s="15"/>
      <c r="B297" s="16" t="s">
        <v>483</v>
      </c>
      <c r="C297" s="16"/>
      <c r="D297" s="16"/>
      <c r="E297" s="16"/>
      <c r="F297" s="17"/>
      <c r="G297" s="24" t="e">
        <f t="shared" si="9"/>
        <v>#VALUE!</v>
      </c>
      <c r="H297" s="18"/>
      <c r="I297" s="19"/>
      <c r="J297" s="20"/>
      <c r="K297" s="21"/>
      <c r="L297" s="14">
        <f t="shared" si="8"/>
        <v>0</v>
      </c>
    </row>
    <row r="298" spans="1:12" ht="10.5" customHeight="1" outlineLevel="1" x14ac:dyDescent="0.25">
      <c r="A298" s="22"/>
      <c r="B298" s="22" t="s">
        <v>35</v>
      </c>
      <c r="C298" s="22">
        <v>95090</v>
      </c>
      <c r="D298" s="23" t="s">
        <v>25</v>
      </c>
      <c r="E298" s="23" t="s">
        <v>25</v>
      </c>
      <c r="F298" s="24" t="s">
        <v>484</v>
      </c>
      <c r="G298" s="24" t="str">
        <f t="shared" si="9"/>
        <v>FTP4-C5e-SOLID-2451-CCA   Taiwan Кабель FTP экранированный CCA Cat5E 24AWG x 4P Solid 0.51</v>
      </c>
      <c r="H298" s="25">
        <f>$C$1*       46.2</f>
        <v>1016.4000000000001</v>
      </c>
      <c r="I298" s="26"/>
      <c r="J298" s="27">
        <v>0</v>
      </c>
      <c r="K298" s="28"/>
      <c r="L298" s="14">
        <f t="shared" si="8"/>
        <v>996.07</v>
      </c>
    </row>
    <row r="299" spans="1:12" ht="10.5" customHeight="1" x14ac:dyDescent="0.25">
      <c r="A299" s="15"/>
      <c r="B299" s="16" t="s">
        <v>485</v>
      </c>
      <c r="C299" s="16"/>
      <c r="D299" s="16"/>
      <c r="E299" s="16"/>
      <c r="F299" s="17"/>
      <c r="G299" s="24" t="e">
        <f t="shared" si="9"/>
        <v>#VALUE!</v>
      </c>
      <c r="H299" s="18"/>
      <c r="I299" s="19"/>
      <c r="J299" s="20"/>
      <c r="K299" s="21"/>
      <c r="L299" s="14">
        <f t="shared" si="8"/>
        <v>0</v>
      </c>
    </row>
    <row r="300" spans="1:12" ht="10.5" customHeight="1" outlineLevel="1" x14ac:dyDescent="0.25">
      <c r="A300" s="22"/>
      <c r="B300" s="22" t="s">
        <v>486</v>
      </c>
      <c r="C300" s="22">
        <v>92819</v>
      </c>
      <c r="D300" s="23" t="s">
        <v>487</v>
      </c>
      <c r="E300" s="23" t="s">
        <v>487</v>
      </c>
      <c r="F300" s="24" t="s">
        <v>488</v>
      </c>
      <c r="G300" s="24" t="str">
        <f t="shared" si="9"/>
        <v>Hyperline UTP4-C5e-PATCH-CCA Патч кабель UTP CCA Cat5E 24AWG x 4P многожильный 0.5</v>
      </c>
      <c r="H300" s="25">
        <f>$C$1*       45</f>
        <v>990</v>
      </c>
      <c r="I300" s="26"/>
      <c r="J300" s="27">
        <v>0</v>
      </c>
      <c r="K300" s="28" t="s">
        <v>27</v>
      </c>
      <c r="L300" s="14">
        <f t="shared" si="8"/>
        <v>970.2</v>
      </c>
    </row>
    <row r="301" spans="1:12" ht="10.5" customHeight="1" outlineLevel="1" x14ac:dyDescent="0.25">
      <c r="A301" s="22"/>
      <c r="B301" s="22" t="s">
        <v>486</v>
      </c>
      <c r="C301" s="22">
        <v>86676</v>
      </c>
      <c r="D301" s="23" t="s">
        <v>25</v>
      </c>
      <c r="E301" s="23" t="s">
        <v>25</v>
      </c>
      <c r="F301" s="24" t="s">
        <v>489</v>
      </c>
      <c r="G301" s="24" t="str">
        <f t="shared" si="9"/>
        <v>UTP4-C5e-SOLID-2451-CCA   Hyperline Кабель UTP CCA Cat5E 24AWG x 4P Solid 0.51</v>
      </c>
      <c r="H301" s="25">
        <f>$C$1*       33</f>
        <v>726</v>
      </c>
      <c r="I301" s="26"/>
      <c r="J301" s="27">
        <v>0</v>
      </c>
      <c r="K301" s="28"/>
      <c r="L301" s="14">
        <f t="shared" si="8"/>
        <v>711.48</v>
      </c>
    </row>
    <row r="302" spans="1:12" ht="10.5" customHeight="1" x14ac:dyDescent="0.25">
      <c r="A302" s="15"/>
      <c r="B302" s="16" t="s">
        <v>490</v>
      </c>
      <c r="C302" s="16"/>
      <c r="D302" s="16"/>
      <c r="E302" s="16"/>
      <c r="F302" s="17"/>
      <c r="G302" s="24" t="e">
        <f t="shared" si="9"/>
        <v>#VALUE!</v>
      </c>
      <c r="H302" s="18"/>
      <c r="I302" s="19"/>
      <c r="J302" s="20"/>
      <c r="K302" s="21"/>
      <c r="L302" s="14">
        <f t="shared" si="8"/>
        <v>0</v>
      </c>
    </row>
    <row r="303" spans="1:12" ht="10.5" customHeight="1" outlineLevel="1" x14ac:dyDescent="0.25">
      <c r="A303" s="22"/>
      <c r="B303" s="22" t="s">
        <v>491</v>
      </c>
      <c r="C303" s="22">
        <v>95793</v>
      </c>
      <c r="D303" s="23" t="s">
        <v>492</v>
      </c>
      <c r="E303" s="23" t="s">
        <v>493</v>
      </c>
      <c r="F303" s="24" t="s">
        <v>494</v>
      </c>
      <c r="G303" s="24" t="str">
        <f t="shared" si="9"/>
        <v>2*0,51 КПВонг-HFЭ-ВП(200)4*2*0,51  OK-Net  Кабель FTP кат.5E, LS0H, коробка 305м</v>
      </c>
      <c r="H303" s="25">
        <f>$C$1*     2472.37</f>
        <v>54392.14</v>
      </c>
      <c r="I303" s="26"/>
      <c r="J303" s="27">
        <v>0</v>
      </c>
      <c r="K303" s="28"/>
      <c r="L303" s="14">
        <f t="shared" si="8"/>
        <v>53304.3</v>
      </c>
    </row>
    <row r="304" spans="1:12" ht="10.5" customHeight="1" x14ac:dyDescent="0.25">
      <c r="A304" s="15"/>
      <c r="B304" s="16" t="s">
        <v>495</v>
      </c>
      <c r="C304" s="16"/>
      <c r="D304" s="16"/>
      <c r="E304" s="16"/>
      <c r="F304" s="17"/>
      <c r="G304" s="24" t="e">
        <f t="shared" si="9"/>
        <v>#VALUE!</v>
      </c>
      <c r="H304" s="18"/>
      <c r="I304" s="19"/>
      <c r="J304" s="20"/>
      <c r="K304" s="21"/>
      <c r="L304" s="14">
        <f t="shared" si="8"/>
        <v>0</v>
      </c>
    </row>
    <row r="305" spans="1:12" ht="10.5" customHeight="1" outlineLevel="1" x14ac:dyDescent="0.25">
      <c r="A305" s="22"/>
      <c r="B305" s="22" t="s">
        <v>486</v>
      </c>
      <c r="C305" s="22">
        <v>86617</v>
      </c>
      <c r="D305" s="23" t="s">
        <v>25</v>
      </c>
      <c r="E305" s="23" t="s">
        <v>25</v>
      </c>
      <c r="F305" s="24" t="s">
        <v>496</v>
      </c>
      <c r="G305" s="24" t="str">
        <f t="shared" si="9"/>
        <v>UTP4-C5e-SOLID-2445   Hyperline Кабель UTP Cat5E 25AWG x 4P Solid 0.45</v>
      </c>
      <c r="H305" s="25">
        <f>$C$1*       70</f>
        <v>1540</v>
      </c>
      <c r="I305" s="26"/>
      <c r="J305" s="27">
        <v>0</v>
      </c>
      <c r="K305" s="28" t="s">
        <v>27</v>
      </c>
      <c r="L305" s="14">
        <f t="shared" si="8"/>
        <v>1509.2</v>
      </c>
    </row>
    <row r="306" spans="1:12" ht="10.5" customHeight="1" x14ac:dyDescent="0.25">
      <c r="A306" s="15"/>
      <c r="B306" s="16" t="s">
        <v>497</v>
      </c>
      <c r="C306" s="16"/>
      <c r="D306" s="16"/>
      <c r="E306" s="16"/>
      <c r="F306" s="17"/>
      <c r="G306" s="24" t="e">
        <f t="shared" si="9"/>
        <v>#VALUE!</v>
      </c>
      <c r="H306" s="18"/>
      <c r="I306" s="19"/>
      <c r="J306" s="20"/>
      <c r="K306" s="21"/>
      <c r="L306" s="14">
        <f t="shared" si="8"/>
        <v>0</v>
      </c>
    </row>
    <row r="307" spans="1:12" ht="10.5" customHeight="1" outlineLevel="1" x14ac:dyDescent="0.25">
      <c r="A307" s="22"/>
      <c r="B307" s="22" t="s">
        <v>486</v>
      </c>
      <c r="C307" s="22">
        <v>93494</v>
      </c>
      <c r="D307" s="23" t="s">
        <v>498</v>
      </c>
      <c r="E307" s="23" t="s">
        <v>499</v>
      </c>
      <c r="F307" s="24" t="s">
        <v>500</v>
      </c>
      <c r="G307" s="24" t="str">
        <f t="shared" si="9"/>
        <v>SZH UTP4-C6-SOLID-2454-LSZH  Hyperline Кабель LSZH UTP Cat6 24AWG x 4P Solid 0.54 коробка 305м</v>
      </c>
      <c r="H307" s="25">
        <f>$C$1*      143</f>
        <v>3146</v>
      </c>
      <c r="I307" s="26"/>
      <c r="J307" s="27">
        <v>0</v>
      </c>
      <c r="K307" s="28" t="s">
        <v>27</v>
      </c>
      <c r="L307" s="14">
        <f t="shared" si="8"/>
        <v>3083.08</v>
      </c>
    </row>
    <row r="308" spans="1:12" ht="10.5" customHeight="1" x14ac:dyDescent="0.25">
      <c r="A308" s="15"/>
      <c r="B308" s="16" t="s">
        <v>501</v>
      </c>
      <c r="C308" s="16"/>
      <c r="D308" s="16"/>
      <c r="E308" s="16"/>
      <c r="F308" s="17"/>
      <c r="G308" s="24" t="e">
        <f t="shared" si="9"/>
        <v>#VALUE!</v>
      </c>
      <c r="H308" s="18"/>
      <c r="I308" s="19"/>
      <c r="J308" s="20"/>
      <c r="K308" s="21"/>
      <c r="L308" s="14">
        <f t="shared" si="8"/>
        <v>0</v>
      </c>
    </row>
    <row r="309" spans="1:12" ht="10.5" customHeight="1" x14ac:dyDescent="0.25">
      <c r="A309" s="15"/>
      <c r="B309" s="16" t="s">
        <v>502</v>
      </c>
      <c r="C309" s="16"/>
      <c r="D309" s="16"/>
      <c r="E309" s="16"/>
      <c r="F309" s="17"/>
      <c r="G309" s="24" t="e">
        <f t="shared" si="9"/>
        <v>#VALUE!</v>
      </c>
      <c r="H309" s="18"/>
      <c r="I309" s="19"/>
      <c r="J309" s="20"/>
      <c r="K309" s="21"/>
      <c r="L309" s="14">
        <f t="shared" si="8"/>
        <v>0</v>
      </c>
    </row>
    <row r="310" spans="1:12" ht="10.5" customHeight="1" outlineLevel="1" x14ac:dyDescent="0.25">
      <c r="A310" s="22"/>
      <c r="B310" s="22" t="s">
        <v>24</v>
      </c>
      <c r="C310" s="22">
        <v>92194</v>
      </c>
      <c r="D310" s="23" t="s">
        <v>25</v>
      </c>
      <c r="E310" s="23" t="s">
        <v>25</v>
      </c>
      <c r="F310" s="24" t="s">
        <v>503</v>
      </c>
      <c r="G310" s="24" t="str">
        <f t="shared" si="9"/>
        <v>UTP2-C5E-SOLID-OUTDOOR-2451-CCA   Taiwan Кабель для внешней прокладки UTP 2 пары CCA 5E категория,</v>
      </c>
      <c r="H310" s="25">
        <f>$C$1*       38.5</f>
        <v>847</v>
      </c>
      <c r="I310" s="26"/>
      <c r="J310" s="27">
        <v>0</v>
      </c>
      <c r="K310" s="28" t="s">
        <v>27</v>
      </c>
      <c r="L310" s="14">
        <f t="shared" si="8"/>
        <v>830.06</v>
      </c>
    </row>
    <row r="311" spans="1:12" ht="10.5" customHeight="1" outlineLevel="1" x14ac:dyDescent="0.25">
      <c r="A311" s="22"/>
      <c r="B311" s="22" t="s">
        <v>24</v>
      </c>
      <c r="C311" s="22">
        <v>89289</v>
      </c>
      <c r="D311" s="23" t="s">
        <v>504</v>
      </c>
      <c r="E311" s="23" t="s">
        <v>505</v>
      </c>
      <c r="F311" s="24" t="s">
        <v>506</v>
      </c>
      <c r="G311" s="24" t="str">
        <f t="shared" si="9"/>
        <v>OR-2451-CCA UTP4-C5E-SOLID-OUTDOOR-2451-CC  Taiwan Hyperline Кабель для внешней прокладки UTP CCA 5E категория,</v>
      </c>
      <c r="H311" s="25">
        <f>$C$1*       53.9</f>
        <v>1185.8</v>
      </c>
      <c r="I311" s="26"/>
      <c r="J311" s="27">
        <v>0</v>
      </c>
      <c r="K311" s="28"/>
      <c r="L311" s="14">
        <f t="shared" si="8"/>
        <v>1162.08</v>
      </c>
    </row>
    <row r="312" spans="1:12" ht="10.5" customHeight="1" x14ac:dyDescent="0.25">
      <c r="A312" s="15"/>
      <c r="B312" s="16" t="s">
        <v>507</v>
      </c>
      <c r="C312" s="16"/>
      <c r="D312" s="16"/>
      <c r="E312" s="16"/>
      <c r="F312" s="17"/>
      <c r="G312" s="24" t="e">
        <f t="shared" si="9"/>
        <v>#VALUE!</v>
      </c>
      <c r="H312" s="18"/>
      <c r="I312" s="19"/>
      <c r="J312" s="20"/>
      <c r="K312" s="21"/>
      <c r="L312" s="14">
        <f t="shared" si="8"/>
        <v>0</v>
      </c>
    </row>
    <row r="313" spans="1:12" ht="10.5" customHeight="1" outlineLevel="1" x14ac:dyDescent="0.25">
      <c r="A313" s="22"/>
      <c r="B313" s="22" t="s">
        <v>486</v>
      </c>
      <c r="C313" s="22">
        <v>86881</v>
      </c>
      <c r="D313" s="23" t="s">
        <v>25</v>
      </c>
      <c r="E313" s="23" t="s">
        <v>25</v>
      </c>
      <c r="F313" s="24" t="s">
        <v>508</v>
      </c>
      <c r="G313" s="24" t="str">
        <f t="shared" si="9"/>
        <v>FTP4-C5E-SOLID-SW-OUTDOOR-2451   Hyperline Кабель внешний с тросом экранированный FTP 5E категория</v>
      </c>
      <c r="H313" s="25">
        <f>$C$1*      120</f>
        <v>2640</v>
      </c>
      <c r="I313" s="26"/>
      <c r="J313" s="27">
        <v>0</v>
      </c>
      <c r="K313" s="28"/>
      <c r="L313" s="14">
        <f t="shared" si="8"/>
        <v>2587.1999999999998</v>
      </c>
    </row>
    <row r="314" spans="1:12" ht="10.5" customHeight="1" outlineLevel="1" x14ac:dyDescent="0.25">
      <c r="A314" s="22"/>
      <c r="B314" s="22" t="s">
        <v>486</v>
      </c>
      <c r="C314" s="22">
        <v>87475</v>
      </c>
      <c r="D314" s="23" t="s">
        <v>25</v>
      </c>
      <c r="E314" s="23" t="s">
        <v>25</v>
      </c>
      <c r="F314" s="24" t="s">
        <v>509</v>
      </c>
      <c r="G314" s="24" t="str">
        <f t="shared" si="9"/>
        <v>SFTP4-C5E-SOLID-SW-OUTDOOR-2451   Hyperline Кабель внешняя прокладка с тросом экранированный SFTP 5E</v>
      </c>
      <c r="H314" s="25">
        <f>$C$1*      130</f>
        <v>2860</v>
      </c>
      <c r="I314" s="26"/>
      <c r="J314" s="27">
        <v>0</v>
      </c>
      <c r="K314" s="28" t="s">
        <v>27</v>
      </c>
      <c r="L314" s="14">
        <f t="shared" si="8"/>
        <v>2802.8</v>
      </c>
    </row>
    <row r="315" spans="1:12" ht="10.5" customHeight="1" x14ac:dyDescent="0.25">
      <c r="A315" s="15"/>
      <c r="B315" s="16" t="s">
        <v>510</v>
      </c>
      <c r="C315" s="16"/>
      <c r="D315" s="16"/>
      <c r="E315" s="16"/>
      <c r="F315" s="17"/>
      <c r="G315" s="24" t="e">
        <f t="shared" si="9"/>
        <v>#VALUE!</v>
      </c>
      <c r="H315" s="18"/>
      <c r="I315" s="19"/>
      <c r="J315" s="20"/>
      <c r="K315" s="21"/>
      <c r="L315" s="14">
        <f t="shared" si="8"/>
        <v>0</v>
      </c>
    </row>
    <row r="316" spans="1:12" ht="10.5" customHeight="1" x14ac:dyDescent="0.25">
      <c r="A316" s="15"/>
      <c r="B316" s="16" t="s">
        <v>511</v>
      </c>
      <c r="C316" s="16"/>
      <c r="D316" s="16"/>
      <c r="E316" s="16"/>
      <c r="F316" s="17"/>
      <c r="G316" s="24" t="e">
        <f t="shared" si="9"/>
        <v>#VALUE!</v>
      </c>
      <c r="H316" s="18"/>
      <c r="I316" s="19"/>
      <c r="J316" s="20"/>
      <c r="K316" s="21"/>
      <c r="L316" s="14">
        <f t="shared" si="8"/>
        <v>0</v>
      </c>
    </row>
    <row r="317" spans="1:12" ht="10.5" customHeight="1" outlineLevel="1" x14ac:dyDescent="0.25">
      <c r="A317" s="22"/>
      <c r="B317" s="22" t="s">
        <v>512</v>
      </c>
      <c r="C317" s="22">
        <v>95573</v>
      </c>
      <c r="D317" s="23" t="s">
        <v>513</v>
      </c>
      <c r="E317" s="23" t="s">
        <v>513</v>
      </c>
      <c r="F317" s="24" t="s">
        <v>514</v>
      </c>
      <c r="G317" s="24" t="str">
        <f t="shared" si="9"/>
        <v>ЮЖКАБЕЛЬ ОЦПт-2А1(1х2)-4.0 Кабель опт. подвес трос 2в 4кН монотуб</v>
      </c>
      <c r="H317" s="25">
        <f>$C$1*        0.44</f>
        <v>9.68</v>
      </c>
      <c r="I317" s="26"/>
      <c r="J317" s="27">
        <v>0</v>
      </c>
      <c r="K317" s="28" t="s">
        <v>27</v>
      </c>
      <c r="L317" s="14">
        <f t="shared" si="8"/>
        <v>9.49</v>
      </c>
    </row>
    <row r="318" spans="1:12" ht="10.5" customHeight="1" outlineLevel="1" x14ac:dyDescent="0.25">
      <c r="A318" s="22"/>
      <c r="B318" s="22" t="s">
        <v>512</v>
      </c>
      <c r="C318" s="22">
        <v>93710</v>
      </c>
      <c r="D318" s="23" t="s">
        <v>25</v>
      </c>
      <c r="E318" s="23" t="s">
        <v>515</v>
      </c>
      <c r="F318" s="24" t="s">
        <v>516</v>
      </c>
      <c r="G318" s="24" t="str">
        <f t="shared" si="9"/>
        <v>ЮЖКАБЕЛЬ  Кабель опт. подвес трос 4в 4кН монотуб</v>
      </c>
      <c r="H318" s="25">
        <f>$C$1*        0.47</f>
        <v>10.34</v>
      </c>
      <c r="I318" s="26"/>
      <c r="J318" s="27">
        <v>0</v>
      </c>
      <c r="K318" s="28" t="s">
        <v>27</v>
      </c>
      <c r="L318" s="14">
        <f t="shared" si="8"/>
        <v>10.130000000000001</v>
      </c>
    </row>
    <row r="319" spans="1:12" ht="10.5" customHeight="1" outlineLevel="1" x14ac:dyDescent="0.25">
      <c r="A319" s="22"/>
      <c r="B319" s="22" t="s">
        <v>24</v>
      </c>
      <c r="C319" s="22">
        <v>93635</v>
      </c>
      <c r="D319" s="23" t="s">
        <v>25</v>
      </c>
      <c r="E319" s="23" t="s">
        <v>517</v>
      </c>
      <c r="F319" s="24" t="s">
        <v>518</v>
      </c>
      <c r="G319" s="24" t="str">
        <f t="shared" si="9"/>
        <v>-0.48   Taiwan Кабель UTP Cat5E 24AWG x 2P Solid 0.48 box 305m</v>
      </c>
      <c r="H319" s="25">
        <f>$C$1*       27.5</f>
        <v>605</v>
      </c>
      <c r="I319" s="26"/>
      <c r="J319" s="27">
        <v>0</v>
      </c>
      <c r="K319" s="28"/>
      <c r="L319" s="14">
        <f t="shared" si="8"/>
        <v>592.9</v>
      </c>
    </row>
    <row r="320" spans="1:12" ht="10.5" customHeight="1" x14ac:dyDescent="0.25">
      <c r="A320" s="15" t="s">
        <v>519</v>
      </c>
      <c r="B320" s="16"/>
      <c r="C320" s="16"/>
      <c r="D320" s="16"/>
      <c r="E320" s="16"/>
      <c r="F320" s="17"/>
      <c r="G320" s="24" t="e">
        <f t="shared" si="9"/>
        <v>#VALUE!</v>
      </c>
      <c r="H320" s="18"/>
      <c r="I320" s="19"/>
      <c r="J320" s="20"/>
      <c r="K320" s="21"/>
      <c r="L320" s="14">
        <f t="shared" si="8"/>
        <v>0</v>
      </c>
    </row>
    <row r="321" spans="1:12" ht="10.5" customHeight="1" x14ac:dyDescent="0.25">
      <c r="A321" s="15"/>
      <c r="B321" s="16" t="s">
        <v>275</v>
      </c>
      <c r="C321" s="16"/>
      <c r="D321" s="16"/>
      <c r="E321" s="16"/>
      <c r="F321" s="17"/>
      <c r="G321" s="24" t="e">
        <f t="shared" si="9"/>
        <v>#VALUE!</v>
      </c>
      <c r="H321" s="18"/>
      <c r="I321" s="19"/>
      <c r="J321" s="20"/>
      <c r="K321" s="21"/>
      <c r="L321" s="14">
        <f t="shared" si="8"/>
        <v>0</v>
      </c>
    </row>
    <row r="322" spans="1:12" ht="10.5" customHeight="1" x14ac:dyDescent="0.25">
      <c r="A322" s="15"/>
      <c r="B322" s="16" t="s">
        <v>520</v>
      </c>
      <c r="C322" s="16"/>
      <c r="D322" s="16"/>
      <c r="E322" s="16"/>
      <c r="F322" s="17"/>
      <c r="G322" s="24" t="e">
        <f t="shared" si="9"/>
        <v>#VALUE!</v>
      </c>
      <c r="H322" s="18"/>
      <c r="I322" s="19"/>
      <c r="J322" s="20"/>
      <c r="K322" s="21"/>
      <c r="L322" s="14">
        <f t="shared" si="8"/>
        <v>0</v>
      </c>
    </row>
    <row r="323" spans="1:12" ht="10.5" customHeight="1" x14ac:dyDescent="0.25">
      <c r="A323" s="15"/>
      <c r="B323" s="16" t="s">
        <v>521</v>
      </c>
      <c r="C323" s="16"/>
      <c r="D323" s="16"/>
      <c r="E323" s="16"/>
      <c r="F323" s="17"/>
      <c r="G323" s="24" t="e">
        <f t="shared" si="9"/>
        <v>#VALUE!</v>
      </c>
      <c r="H323" s="18"/>
      <c r="I323" s="19"/>
      <c r="J323" s="20"/>
      <c r="K323" s="21"/>
      <c r="L323" s="14">
        <f t="shared" si="8"/>
        <v>0</v>
      </c>
    </row>
    <row r="324" spans="1:12" ht="10.5" customHeight="1" outlineLevel="1" x14ac:dyDescent="0.25">
      <c r="A324" s="22"/>
      <c r="B324" s="22" t="s">
        <v>275</v>
      </c>
      <c r="C324" s="22">
        <v>95294</v>
      </c>
      <c r="D324" s="23" t="s">
        <v>522</v>
      </c>
      <c r="E324" s="23" t="s">
        <v>522</v>
      </c>
      <c r="F324" s="24" t="s">
        <v>523</v>
      </c>
      <c r="G324" s="24" t="str">
        <f t="shared" si="9"/>
        <v>Hypernet DB-BEP Кабельный ввод щеточный</v>
      </c>
      <c r="H324" s="25">
        <f>$C$1*        7.15</f>
        <v>157.30000000000001</v>
      </c>
      <c r="I324" s="26"/>
      <c r="J324" s="27">
        <v>0</v>
      </c>
      <c r="K324" s="28" t="s">
        <v>27</v>
      </c>
      <c r="L324" s="14">
        <f t="shared" si="8"/>
        <v>154.15</v>
      </c>
    </row>
    <row r="325" spans="1:12" ht="10.5" customHeight="1" outlineLevel="1" x14ac:dyDescent="0.25">
      <c r="A325" s="22"/>
      <c r="B325" s="22" t="s">
        <v>275</v>
      </c>
      <c r="C325" s="22">
        <v>95293</v>
      </c>
      <c r="D325" s="23" t="s">
        <v>524</v>
      </c>
      <c r="E325" s="23" t="s">
        <v>524</v>
      </c>
      <c r="F325" s="24" t="s">
        <v>525</v>
      </c>
      <c r="G325" s="24" t="str">
        <f t="shared" si="9"/>
        <v>Hypernet DB-CEP Панель раздвижная кабельного ввода для пола с уплотнителем, серия DB</v>
      </c>
      <c r="H325" s="25">
        <f>$C$1*       23.1</f>
        <v>508.20000000000005</v>
      </c>
      <c r="I325" s="26"/>
      <c r="J325" s="27">
        <v>0</v>
      </c>
      <c r="K325" s="28" t="s">
        <v>27</v>
      </c>
      <c r="L325" s="14">
        <f t="shared" si="8"/>
        <v>498.04</v>
      </c>
    </row>
    <row r="326" spans="1:12" ht="10.5" customHeight="1" outlineLevel="1" x14ac:dyDescent="0.25">
      <c r="A326" s="22"/>
      <c r="B326" s="22" t="s">
        <v>275</v>
      </c>
      <c r="C326" s="22">
        <v>95303</v>
      </c>
      <c r="D326" s="23" t="s">
        <v>526</v>
      </c>
      <c r="E326" s="23" t="s">
        <v>526</v>
      </c>
      <c r="F326" s="24" t="s">
        <v>527</v>
      </c>
      <c r="G326" s="24" t="str">
        <f t="shared" si="9"/>
        <v>Hypernet DYN-C-DF Набор роликов для стоек 4 шт(2 с тормозом, 2 без тормоза) M10</v>
      </c>
      <c r="H326" s="25">
        <f>$C$1*       33</f>
        <v>726</v>
      </c>
      <c r="I326" s="26"/>
      <c r="J326" s="27">
        <v>0</v>
      </c>
      <c r="K326" s="28" t="s">
        <v>27</v>
      </c>
      <c r="L326" s="14">
        <f t="shared" ref="L326:L389" si="10">ROUND(H326*0.98,2)</f>
        <v>711.48</v>
      </c>
    </row>
    <row r="327" spans="1:12" ht="10.5" customHeight="1" outlineLevel="1" x14ac:dyDescent="0.25">
      <c r="A327" s="22"/>
      <c r="B327" s="22" t="s">
        <v>275</v>
      </c>
      <c r="C327" s="22">
        <v>95302</v>
      </c>
      <c r="D327" s="23" t="s">
        <v>528</v>
      </c>
      <c r="E327" s="23" t="s">
        <v>528</v>
      </c>
      <c r="F327" s="24" t="s">
        <v>529</v>
      </c>
      <c r="G327" s="24" t="str">
        <f t="shared" si="9"/>
        <v>Hypernet DYN-C-FS Набор роликов для напольных шкафов DB и DYN 4 шт(2 с тормозом, 2 без тормоза)</v>
      </c>
      <c r="H327" s="25">
        <f>$C$1*       33</f>
        <v>726</v>
      </c>
      <c r="I327" s="26"/>
      <c r="J327" s="27">
        <v>0</v>
      </c>
      <c r="K327" s="28" t="s">
        <v>27</v>
      </c>
      <c r="L327" s="14">
        <f t="shared" si="10"/>
        <v>711.48</v>
      </c>
    </row>
    <row r="328" spans="1:12" ht="10.5" customHeight="1" outlineLevel="1" x14ac:dyDescent="0.25">
      <c r="A328" s="22"/>
      <c r="B328" s="22" t="s">
        <v>275</v>
      </c>
      <c r="C328" s="22">
        <v>95739</v>
      </c>
      <c r="D328" s="23" t="s">
        <v>530</v>
      </c>
      <c r="E328" s="23" t="s">
        <v>530</v>
      </c>
      <c r="F328" s="24" t="s">
        <v>531</v>
      </c>
      <c r="G328" s="24" t="str">
        <f t="shared" ref="G328:G391" si="11">REPLACE(F328,SEARCH(" ",F328)+1,0,D328&amp;" ")</f>
        <v>Hypernet DYN-C-FS-CK-60 Набор роликов и опорных пластиндля серии СК шир 600 мм 4 шт(2 с тормозом, 2 без)</v>
      </c>
      <c r="H328" s="25">
        <f>$C$1*       50.82</f>
        <v>1118.04</v>
      </c>
      <c r="I328" s="26"/>
      <c r="J328" s="27">
        <v>0</v>
      </c>
      <c r="K328" s="28" t="s">
        <v>27</v>
      </c>
      <c r="L328" s="14">
        <f t="shared" si="10"/>
        <v>1095.68</v>
      </c>
    </row>
    <row r="329" spans="1:12" ht="10.5" customHeight="1" outlineLevel="1" x14ac:dyDescent="0.25">
      <c r="A329" s="22"/>
      <c r="B329" s="22" t="s">
        <v>275</v>
      </c>
      <c r="C329" s="22">
        <v>95740</v>
      </c>
      <c r="D329" s="23" t="s">
        <v>532</v>
      </c>
      <c r="E329" s="23" t="s">
        <v>532</v>
      </c>
      <c r="F329" s="24" t="s">
        <v>533</v>
      </c>
      <c r="G329" s="24" t="str">
        <f t="shared" si="11"/>
        <v>Hypernet DYN-C-FS-CK-80 Набор роликов и опорных пластин для серии СК шир 800 мм 4 шт(2 с тормозом, 2 без)</v>
      </c>
      <c r="H329" s="25">
        <f>$C$1*       55.44</f>
        <v>1219.6799999999998</v>
      </c>
      <c r="I329" s="26"/>
      <c r="J329" s="27">
        <v>0</v>
      </c>
      <c r="K329" s="28" t="s">
        <v>27</v>
      </c>
      <c r="L329" s="14">
        <f t="shared" si="10"/>
        <v>1195.29</v>
      </c>
    </row>
    <row r="330" spans="1:12" ht="10.5" customHeight="1" outlineLevel="1" x14ac:dyDescent="0.25">
      <c r="A330" s="22"/>
      <c r="B330" s="22" t="s">
        <v>275</v>
      </c>
      <c r="C330" s="22">
        <v>95304</v>
      </c>
      <c r="D330" s="23" t="s">
        <v>534</v>
      </c>
      <c r="E330" s="23" t="s">
        <v>534</v>
      </c>
      <c r="F330" s="24" t="s">
        <v>535</v>
      </c>
      <c r="G330" s="24" t="str">
        <f t="shared" si="11"/>
        <v>Hypernet DYN-C-WM Набор роликов для настенных шкафов DYN 4 шт M10</v>
      </c>
      <c r="H330" s="25">
        <f>$C$1*       24.97</f>
        <v>549.33999999999992</v>
      </c>
      <c r="I330" s="26"/>
      <c r="J330" s="27">
        <v>0</v>
      </c>
      <c r="K330" s="28" t="s">
        <v>27</v>
      </c>
      <c r="L330" s="14">
        <f t="shared" si="10"/>
        <v>538.35</v>
      </c>
    </row>
    <row r="331" spans="1:12" ht="10.5" customHeight="1" outlineLevel="1" x14ac:dyDescent="0.25">
      <c r="A331" s="22"/>
      <c r="B331" s="22" t="s">
        <v>275</v>
      </c>
      <c r="C331" s="22">
        <v>95733</v>
      </c>
      <c r="D331" s="23" t="s">
        <v>536</v>
      </c>
      <c r="E331" s="23" t="s">
        <v>536</v>
      </c>
      <c r="F331" s="24" t="s">
        <v>537</v>
      </c>
      <c r="G331" s="24" t="str">
        <f t="shared" si="11"/>
        <v>Hypernet DYN-EFP-FS Блок вент потолочный для всех DB, CК, Eurobox, не серверных DYN для сборки</v>
      </c>
      <c r="H331" s="25">
        <f>$C$1*        0</f>
        <v>0</v>
      </c>
      <c r="I331" s="26"/>
      <c r="J331" s="27">
        <v>0</v>
      </c>
      <c r="K331" s="28" t="s">
        <v>27</v>
      </c>
      <c r="L331" s="14">
        <f t="shared" si="10"/>
        <v>0</v>
      </c>
    </row>
    <row r="332" spans="1:12" ht="10.5" customHeight="1" outlineLevel="1" x14ac:dyDescent="0.25">
      <c r="A332" s="22"/>
      <c r="B332" s="22" t="s">
        <v>275</v>
      </c>
      <c r="C332" s="22">
        <v>95734</v>
      </c>
      <c r="D332" s="23" t="s">
        <v>538</v>
      </c>
      <c r="E332" s="23" t="s">
        <v>538</v>
      </c>
      <c r="F332" s="24" t="s">
        <v>539</v>
      </c>
      <c r="G332" s="24" t="str">
        <f t="shared" si="11"/>
        <v>Hypernet DYN-EFS-U2F Полка вент универсальная 19" под 2 вентилятора для сборки</v>
      </c>
      <c r="H332" s="25">
        <f>$C$1*        0</f>
        <v>0</v>
      </c>
      <c r="I332" s="26"/>
      <c r="J332" s="27">
        <v>0</v>
      </c>
      <c r="K332" s="28" t="s">
        <v>27</v>
      </c>
      <c r="L332" s="14">
        <f t="shared" si="10"/>
        <v>0</v>
      </c>
    </row>
    <row r="333" spans="1:12" ht="10.5" customHeight="1" outlineLevel="1" x14ac:dyDescent="0.25">
      <c r="A333" s="22"/>
      <c r="B333" s="22" t="s">
        <v>275</v>
      </c>
      <c r="C333" s="22">
        <v>95735</v>
      </c>
      <c r="D333" s="23" t="s">
        <v>540</v>
      </c>
      <c r="E333" s="23" t="s">
        <v>540</v>
      </c>
      <c r="F333" s="24" t="s">
        <v>541</v>
      </c>
      <c r="G333" s="24" t="str">
        <f t="shared" si="11"/>
        <v>Hypernet DYN-EFS-U4F Полка вент универсальная 19" под 4 вентилятора для сборки</v>
      </c>
      <c r="H333" s="25">
        <f>$C$1*        0</f>
        <v>0</v>
      </c>
      <c r="I333" s="26"/>
      <c r="J333" s="27">
        <v>0</v>
      </c>
      <c r="K333" s="28" t="s">
        <v>27</v>
      </c>
      <c r="L333" s="14">
        <f t="shared" si="10"/>
        <v>0</v>
      </c>
    </row>
    <row r="334" spans="1:12" ht="10.5" customHeight="1" outlineLevel="1" x14ac:dyDescent="0.25">
      <c r="A334" s="22"/>
      <c r="B334" s="22" t="s">
        <v>275</v>
      </c>
      <c r="C334" s="22">
        <v>95732</v>
      </c>
      <c r="D334" s="23" t="s">
        <v>542</v>
      </c>
      <c r="E334" s="23" t="s">
        <v>542</v>
      </c>
      <c r="F334" s="24" t="s">
        <v>543</v>
      </c>
      <c r="G334" s="24" t="str">
        <f t="shared" si="11"/>
        <v>Hypernet DYN-GS-10P Комплект заземления на 10 точек, провода, шины</v>
      </c>
      <c r="H334" s="25">
        <f>$C$1*       28.93</f>
        <v>636.46</v>
      </c>
      <c r="I334" s="26"/>
      <c r="J334" s="27">
        <v>0</v>
      </c>
      <c r="K334" s="28"/>
      <c r="L334" s="14">
        <f t="shared" si="10"/>
        <v>623.73</v>
      </c>
    </row>
    <row r="335" spans="1:12" ht="10.5" customHeight="1" outlineLevel="1" x14ac:dyDescent="0.25">
      <c r="A335" s="22"/>
      <c r="B335" s="22" t="s">
        <v>275</v>
      </c>
      <c r="C335" s="22">
        <v>95305</v>
      </c>
      <c r="D335" s="23" t="s">
        <v>544</v>
      </c>
      <c r="E335" s="23" t="s">
        <v>544</v>
      </c>
      <c r="F335" s="24" t="s">
        <v>545</v>
      </c>
      <c r="G335" s="24" t="str">
        <f t="shared" si="11"/>
        <v>Hypernet DYN-GS-6P Комплект заземления: 6 точек, провод желто-зеленый, сечение 4мм 40 см</v>
      </c>
      <c r="H335" s="25">
        <f>$C$1*       16.17</f>
        <v>355.74</v>
      </c>
      <c r="I335" s="26"/>
      <c r="J335" s="27">
        <v>0</v>
      </c>
      <c r="K335" s="28" t="s">
        <v>27</v>
      </c>
      <c r="L335" s="14">
        <f t="shared" si="10"/>
        <v>348.63</v>
      </c>
    </row>
    <row r="336" spans="1:12" ht="10.5" customHeight="1" outlineLevel="1" x14ac:dyDescent="0.25">
      <c r="A336" s="22"/>
      <c r="B336" s="22" t="s">
        <v>275</v>
      </c>
      <c r="C336" s="22">
        <v>95518</v>
      </c>
      <c r="D336" s="23" t="s">
        <v>546</v>
      </c>
      <c r="E336" s="23" t="s">
        <v>546</v>
      </c>
      <c r="F336" s="24" t="s">
        <v>547</v>
      </c>
      <c r="G336" s="24" t="str">
        <f t="shared" si="11"/>
        <v>Hypernet DYN-GS-V44P Комплект заземления на 44 точки, провода, шины</v>
      </c>
      <c r="H336" s="25">
        <f>$C$1*       90.09</f>
        <v>1981.98</v>
      </c>
      <c r="I336" s="26"/>
      <c r="J336" s="27">
        <v>0</v>
      </c>
      <c r="K336" s="28" t="s">
        <v>27</v>
      </c>
      <c r="L336" s="14">
        <f t="shared" si="10"/>
        <v>1942.34</v>
      </c>
    </row>
    <row r="337" spans="1:12" ht="10.5" customHeight="1" outlineLevel="1" x14ac:dyDescent="0.25">
      <c r="A337" s="22"/>
      <c r="B337" s="22" t="s">
        <v>548</v>
      </c>
      <c r="C337" s="22">
        <v>95776</v>
      </c>
      <c r="D337" s="23" t="s">
        <v>549</v>
      </c>
      <c r="E337" s="23" t="s">
        <v>549</v>
      </c>
      <c r="F337" s="24" t="s">
        <v>550</v>
      </c>
      <c r="G337" s="24" t="str">
        <f t="shared" si="11"/>
        <v>Hypernet DYN-SMHA-100 Комплект для CK, DB (2 полки, вентблок(2вент), фильтр 9р, винт/гайка 20шт)</v>
      </c>
      <c r="H337" s="25">
        <f>$C$1*       77</f>
        <v>1694</v>
      </c>
      <c r="I337" s="26"/>
      <c r="J337" s="27">
        <v>0</v>
      </c>
      <c r="K337" s="28" t="s">
        <v>27</v>
      </c>
      <c r="L337" s="14">
        <f t="shared" si="10"/>
        <v>1660.12</v>
      </c>
    </row>
    <row r="338" spans="1:12" ht="10.5" customHeight="1" outlineLevel="1" x14ac:dyDescent="0.25">
      <c r="A338" s="22"/>
      <c r="B338" s="22" t="s">
        <v>548</v>
      </c>
      <c r="C338" s="22">
        <v>95774</v>
      </c>
      <c r="D338" s="23" t="s">
        <v>551</v>
      </c>
      <c r="E338" s="23" t="s">
        <v>551</v>
      </c>
      <c r="F338" s="24" t="s">
        <v>550</v>
      </c>
      <c r="G338" s="24" t="str">
        <f t="shared" si="11"/>
        <v>Hypernet DYN-SMHA-60 Комплект для CK, DB (2 полки, вентблок(2вент), фильтр 9р, винт/гайка 20шт)</v>
      </c>
      <c r="H338" s="25">
        <f>$C$1*       66</f>
        <v>1452</v>
      </c>
      <c r="I338" s="26"/>
      <c r="J338" s="27">
        <v>0</v>
      </c>
      <c r="K338" s="28" t="s">
        <v>27</v>
      </c>
      <c r="L338" s="14">
        <f t="shared" si="10"/>
        <v>1422.96</v>
      </c>
    </row>
    <row r="339" spans="1:12" ht="10.5" customHeight="1" outlineLevel="1" x14ac:dyDescent="0.25">
      <c r="A339" s="22"/>
      <c r="B339" s="22" t="s">
        <v>548</v>
      </c>
      <c r="C339" s="22">
        <v>95775</v>
      </c>
      <c r="D339" s="23" t="s">
        <v>552</v>
      </c>
      <c r="E339" s="23" t="s">
        <v>552</v>
      </c>
      <c r="F339" s="24" t="s">
        <v>550</v>
      </c>
      <c r="G339" s="24" t="str">
        <f t="shared" si="11"/>
        <v>Hypernet DYN-SMHA-80 Комплект для CK, DB (2 полки, вентблок(2вент), фильтр 9р, винт/гайка 20шт)</v>
      </c>
      <c r="H339" s="25">
        <f>$C$1*       71.5</f>
        <v>1573</v>
      </c>
      <c r="I339" s="26"/>
      <c r="J339" s="27">
        <v>0</v>
      </c>
      <c r="K339" s="28" t="s">
        <v>27</v>
      </c>
      <c r="L339" s="14">
        <f t="shared" si="10"/>
        <v>1541.54</v>
      </c>
    </row>
    <row r="340" spans="1:12" ht="10.5" customHeight="1" outlineLevel="1" x14ac:dyDescent="0.25">
      <c r="A340" s="22"/>
      <c r="B340" s="22" t="s">
        <v>275</v>
      </c>
      <c r="C340" s="22">
        <v>95309</v>
      </c>
      <c r="D340" s="23" t="s">
        <v>553</v>
      </c>
      <c r="E340" s="23" t="s">
        <v>553</v>
      </c>
      <c r="F340" s="24" t="s">
        <v>554</v>
      </c>
      <c r="G340" s="24" t="str">
        <f t="shared" si="11"/>
        <v>Hypernet DYN-TERM Термометр (наклейка на стеклянную дверь) 20-40 C</v>
      </c>
      <c r="H340" s="25">
        <f>$C$1*        4.73</f>
        <v>104.06</v>
      </c>
      <c r="I340" s="26"/>
      <c r="J340" s="27">
        <v>0</v>
      </c>
      <c r="K340" s="28" t="s">
        <v>27</v>
      </c>
      <c r="L340" s="14">
        <f t="shared" si="10"/>
        <v>101.98</v>
      </c>
    </row>
    <row r="341" spans="1:12" ht="10.5" customHeight="1" outlineLevel="1" x14ac:dyDescent="0.25">
      <c r="A341" s="22"/>
      <c r="B341" s="22" t="s">
        <v>275</v>
      </c>
      <c r="C341" s="22">
        <v>95988</v>
      </c>
      <c r="D341" s="23" t="s">
        <v>555</v>
      </c>
      <c r="E341" s="23" t="s">
        <v>555</v>
      </c>
      <c r="F341" s="24" t="s">
        <v>556</v>
      </c>
      <c r="G341" s="24" t="str">
        <f t="shared" si="11"/>
        <v>Hypernet LN-DGR-TPR-5L40-PR Комплект заземления: 4 провода, сечение 4мм 40 см</v>
      </c>
      <c r="H341" s="25">
        <f>$C$1*        5.83</f>
        <v>128.26</v>
      </c>
      <c r="I341" s="26"/>
      <c r="J341" s="27">
        <v>0</v>
      </c>
      <c r="K341" s="28" t="s">
        <v>27</v>
      </c>
      <c r="L341" s="14">
        <f t="shared" si="10"/>
        <v>125.69</v>
      </c>
    </row>
    <row r="342" spans="1:12" ht="10.5" customHeight="1" outlineLevel="1" x14ac:dyDescent="0.25">
      <c r="A342" s="22"/>
      <c r="B342" s="22" t="s">
        <v>370</v>
      </c>
      <c r="C342" s="22">
        <v>94150</v>
      </c>
      <c r="D342" s="23" t="s">
        <v>557</v>
      </c>
      <c r="E342" s="23" t="s">
        <v>557</v>
      </c>
      <c r="F342" s="24" t="s">
        <v>558</v>
      </c>
      <c r="G342" s="24" t="str">
        <f t="shared" si="11"/>
        <v>ESTAP M11PNY02 Набор регулируемых опор для шкафов и стоек 9до 100 кг) комплект 4 шт</v>
      </c>
      <c r="H342" s="25">
        <f>$C$1*        6.05</f>
        <v>133.1</v>
      </c>
      <c r="I342" s="26"/>
      <c r="J342" s="27">
        <v>0</v>
      </c>
      <c r="K342" s="28" t="s">
        <v>27</v>
      </c>
      <c r="L342" s="14">
        <f t="shared" si="10"/>
        <v>130.44</v>
      </c>
    </row>
    <row r="343" spans="1:12" ht="10.5" customHeight="1" outlineLevel="1" x14ac:dyDescent="0.25">
      <c r="A343" s="22"/>
      <c r="B343" s="22" t="s">
        <v>370</v>
      </c>
      <c r="C343" s="22">
        <v>94152</v>
      </c>
      <c r="D343" s="23" t="s">
        <v>559</v>
      </c>
      <c r="E343" s="23" t="s">
        <v>559</v>
      </c>
      <c r="F343" s="24" t="s">
        <v>560</v>
      </c>
      <c r="G343" s="24" t="str">
        <f t="shared" si="11"/>
        <v>ESTAP M22TKGR1 Набор роликов для шкафов (до 250 кг каждый) 2+2 с тормозом комплект 4 шт</v>
      </c>
      <c r="H343" s="25">
        <f>$C$1*       24</f>
        <v>528</v>
      </c>
      <c r="I343" s="26"/>
      <c r="J343" s="27">
        <v>0</v>
      </c>
      <c r="K343" s="28" t="s">
        <v>27</v>
      </c>
      <c r="L343" s="14">
        <f t="shared" si="10"/>
        <v>517.44000000000005</v>
      </c>
    </row>
    <row r="344" spans="1:12" ht="10.5" customHeight="1" outlineLevel="1" x14ac:dyDescent="0.25">
      <c r="A344" s="22"/>
      <c r="B344" s="22" t="s">
        <v>370</v>
      </c>
      <c r="C344" s="22">
        <v>94151</v>
      </c>
      <c r="D344" s="23" t="s">
        <v>561</v>
      </c>
      <c r="E344" s="23" t="s">
        <v>561</v>
      </c>
      <c r="F344" s="24" t="s">
        <v>562</v>
      </c>
      <c r="G344" s="24" t="str">
        <f t="shared" si="11"/>
        <v>ESTAP M22TKGREU Набор роликов для шкафов (до 100 кг) двойное колесо 2+2 с тормозом крепление М9</v>
      </c>
      <c r="H344" s="25">
        <f>$C$1*       30</f>
        <v>660</v>
      </c>
      <c r="I344" s="26"/>
      <c r="J344" s="27">
        <v>0</v>
      </c>
      <c r="K344" s="28" t="s">
        <v>27</v>
      </c>
      <c r="L344" s="14">
        <f t="shared" si="10"/>
        <v>646.79999999999995</v>
      </c>
    </row>
    <row r="345" spans="1:12" ht="10.5" customHeight="1" x14ac:dyDescent="0.25">
      <c r="A345" s="15"/>
      <c r="B345" s="16" t="s">
        <v>563</v>
      </c>
      <c r="C345" s="16"/>
      <c r="D345" s="16"/>
      <c r="E345" s="16"/>
      <c r="F345" s="17"/>
      <c r="G345" s="24" t="e">
        <f t="shared" si="11"/>
        <v>#VALUE!</v>
      </c>
      <c r="H345" s="18"/>
      <c r="I345" s="19"/>
      <c r="J345" s="20"/>
      <c r="K345" s="21"/>
      <c r="L345" s="14">
        <f t="shared" si="10"/>
        <v>0</v>
      </c>
    </row>
    <row r="346" spans="1:12" ht="10.5" customHeight="1" outlineLevel="1" x14ac:dyDescent="0.25">
      <c r="A346" s="22"/>
      <c r="B346" s="22" t="s">
        <v>370</v>
      </c>
      <c r="C346" s="22">
        <v>94146</v>
      </c>
      <c r="D346" s="23" t="s">
        <v>564</v>
      </c>
      <c r="E346" s="23" t="s">
        <v>564</v>
      </c>
      <c r="F346" s="24" t="s">
        <v>565</v>
      </c>
      <c r="G346" s="24" t="str">
        <f t="shared" si="11"/>
        <v>Полка A44-RM-540-1U для напольного шкафа глубиной 800 (550) 19" 1U</v>
      </c>
      <c r="H346" s="25">
        <f>$C$1*       15.4</f>
        <v>338.8</v>
      </c>
      <c r="I346" s="26"/>
      <c r="J346" s="27">
        <v>0</v>
      </c>
      <c r="K346" s="28" t="s">
        <v>27</v>
      </c>
      <c r="L346" s="14">
        <f t="shared" si="10"/>
        <v>332.02</v>
      </c>
    </row>
    <row r="347" spans="1:12" ht="10.5" customHeight="1" outlineLevel="1" x14ac:dyDescent="0.25">
      <c r="A347" s="22"/>
      <c r="B347" s="22" t="s">
        <v>370</v>
      </c>
      <c r="C347" s="22">
        <v>94147</v>
      </c>
      <c r="D347" s="23" t="s">
        <v>566</v>
      </c>
      <c r="E347" s="23" t="s">
        <v>566</v>
      </c>
      <c r="F347" s="24" t="s">
        <v>567</v>
      </c>
      <c r="G347" s="24" t="str">
        <f t="shared" si="11"/>
        <v>Полка A44-RM-640-1U для напольного шкафа глубиной 1000 (640) 19" 1U</v>
      </c>
      <c r="H347" s="25">
        <f>$C$1*       15.4</f>
        <v>338.8</v>
      </c>
      <c r="I347" s="26"/>
      <c r="J347" s="27">
        <v>0</v>
      </c>
      <c r="K347" s="28" t="s">
        <v>27</v>
      </c>
      <c r="L347" s="14">
        <f t="shared" si="10"/>
        <v>332.02</v>
      </c>
    </row>
    <row r="348" spans="1:12" ht="10.5" customHeight="1" outlineLevel="1" x14ac:dyDescent="0.25">
      <c r="A348" s="22"/>
      <c r="B348" s="22" t="s">
        <v>275</v>
      </c>
      <c r="C348" s="22">
        <v>94934</v>
      </c>
      <c r="D348" s="23" t="s">
        <v>568</v>
      </c>
      <c r="E348" s="23" t="s">
        <v>568</v>
      </c>
      <c r="F348" s="24" t="s">
        <v>569</v>
      </c>
      <c r="G348" s="24" t="str">
        <f t="shared" si="11"/>
        <v>Hypernet BP-1U Заглушка 1U для шкафа металл</v>
      </c>
      <c r="H348" s="25">
        <f>$C$1*        1.76</f>
        <v>38.72</v>
      </c>
      <c r="I348" s="26"/>
      <c r="J348" s="27">
        <v>0</v>
      </c>
      <c r="K348" s="28" t="s">
        <v>27</v>
      </c>
      <c r="L348" s="14">
        <f t="shared" si="10"/>
        <v>37.950000000000003</v>
      </c>
    </row>
    <row r="349" spans="1:12" ht="10.5" customHeight="1" outlineLevel="1" x14ac:dyDescent="0.25">
      <c r="A349" s="22"/>
      <c r="B349" s="22" t="s">
        <v>275</v>
      </c>
      <c r="C349" s="22">
        <v>94580</v>
      </c>
      <c r="D349" s="23" t="s">
        <v>570</v>
      </c>
      <c r="E349" s="23" t="s">
        <v>570</v>
      </c>
      <c r="F349" s="24" t="s">
        <v>571</v>
      </c>
      <c r="G349" s="24" t="str">
        <f t="shared" si="11"/>
        <v>Hypernet CMR-40-40-S Менеджмент кабеля металлическое кольцо 40*40 мм левая фиксация</v>
      </c>
      <c r="H349" s="25">
        <f>$C$1*        0.44</f>
        <v>9.68</v>
      </c>
      <c r="I349" s="26"/>
      <c r="J349" s="27">
        <v>0</v>
      </c>
      <c r="K349" s="28" t="s">
        <v>27</v>
      </c>
      <c r="L349" s="14">
        <f t="shared" si="10"/>
        <v>9.49</v>
      </c>
    </row>
    <row r="350" spans="1:12" ht="10.5" customHeight="1" outlineLevel="1" x14ac:dyDescent="0.25">
      <c r="A350" s="22"/>
      <c r="B350" s="22" t="s">
        <v>275</v>
      </c>
      <c r="C350" s="22">
        <v>94581</v>
      </c>
      <c r="D350" s="23" t="s">
        <v>572</v>
      </c>
      <c r="E350" s="23" t="s">
        <v>572</v>
      </c>
      <c r="F350" s="24" t="s">
        <v>573</v>
      </c>
      <c r="G350" s="24" t="str">
        <f t="shared" si="11"/>
        <v>Hypernet CMR-80-40-S Менеджмент кабеля металлическое кольцо 80*40 мм левая фиксация</v>
      </c>
      <c r="H350" s="25">
        <f>$C$1*        0.55</f>
        <v>12.100000000000001</v>
      </c>
      <c r="I350" s="26"/>
      <c r="J350" s="27">
        <v>0</v>
      </c>
      <c r="K350" s="28" t="s">
        <v>27</v>
      </c>
      <c r="L350" s="14">
        <f t="shared" si="10"/>
        <v>11.86</v>
      </c>
    </row>
    <row r="351" spans="1:12" ht="10.5" customHeight="1" outlineLevel="1" x14ac:dyDescent="0.25">
      <c r="A351" s="22"/>
      <c r="B351" s="22" t="s">
        <v>275</v>
      </c>
      <c r="C351" s="22">
        <v>96441</v>
      </c>
      <c r="D351" s="23" t="s">
        <v>574</v>
      </c>
      <c r="E351" s="23" t="s">
        <v>574</v>
      </c>
      <c r="F351" s="24" t="s">
        <v>575</v>
      </c>
      <c r="G351" s="24" t="str">
        <f t="shared" si="11"/>
        <v>Hypernet CMR-80-80 Менеджмент кабеля, металлическое кольцо 80*80 мм, центральная фиксация</v>
      </c>
      <c r="H351" s="25">
        <f>$C$1*        0.77</f>
        <v>16.940000000000001</v>
      </c>
      <c r="I351" s="26"/>
      <c r="J351" s="27">
        <v>0</v>
      </c>
      <c r="K351" s="28" t="s">
        <v>27</v>
      </c>
      <c r="L351" s="14">
        <f t="shared" si="10"/>
        <v>16.600000000000001</v>
      </c>
    </row>
    <row r="352" spans="1:12" ht="10.5" customHeight="1" outlineLevel="1" x14ac:dyDescent="0.25">
      <c r="A352" s="22"/>
      <c r="B352" s="22" t="s">
        <v>275</v>
      </c>
      <c r="C352" s="22">
        <v>95602</v>
      </c>
      <c r="D352" s="23" t="s">
        <v>576</v>
      </c>
      <c r="E352" s="23" t="s">
        <v>576</v>
      </c>
      <c r="F352" s="24" t="s">
        <v>577</v>
      </c>
      <c r="G352" s="24" t="str">
        <f t="shared" si="11"/>
        <v>Hypernet CS-10-160 Полка консольная для настенного шкафа 10", глубина 160мм, 1U</v>
      </c>
      <c r="H352" s="25">
        <f>$C$1*        6</f>
        <v>132</v>
      </c>
      <c r="I352" s="26"/>
      <c r="J352" s="27">
        <v>0</v>
      </c>
      <c r="K352" s="28" t="s">
        <v>27</v>
      </c>
      <c r="L352" s="14">
        <f t="shared" si="10"/>
        <v>129.36000000000001</v>
      </c>
    </row>
    <row r="353" spans="1:12" ht="10.5" customHeight="1" outlineLevel="1" x14ac:dyDescent="0.25">
      <c r="A353" s="22"/>
      <c r="B353" s="22" t="s">
        <v>370</v>
      </c>
      <c r="C353" s="22">
        <v>94148</v>
      </c>
      <c r="D353" s="23" t="s">
        <v>578</v>
      </c>
      <c r="E353" s="23" t="s">
        <v>578</v>
      </c>
      <c r="F353" s="24" t="s">
        <v>579</v>
      </c>
      <c r="G353" s="24" t="str">
        <f t="shared" si="11"/>
        <v>ESTAP M44HRK80 Полка выдвижная для шкафа глубиной 1000 (d=800 мм)</v>
      </c>
      <c r="H353" s="25">
        <f>$C$1*       26</f>
        <v>572</v>
      </c>
      <c r="I353" s="26"/>
      <c r="J353" s="27">
        <v>0</v>
      </c>
      <c r="K353" s="28" t="s">
        <v>27</v>
      </c>
      <c r="L353" s="14">
        <f t="shared" si="10"/>
        <v>560.55999999999995</v>
      </c>
    </row>
    <row r="354" spans="1:12" ht="10.5" customHeight="1" outlineLevel="1" x14ac:dyDescent="0.25">
      <c r="A354" s="22"/>
      <c r="B354" s="22" t="s">
        <v>370</v>
      </c>
      <c r="C354" s="22">
        <v>94145</v>
      </c>
      <c r="D354" s="23" t="s">
        <v>580</v>
      </c>
      <c r="E354" s="23" t="s">
        <v>580</v>
      </c>
      <c r="F354" s="24" t="s">
        <v>581</v>
      </c>
      <c r="G354" s="24" t="str">
        <f t="shared" si="11"/>
        <v>ESTAP M44RLD60 Комплект уголков 2шт. d=600 мм</v>
      </c>
      <c r="H354" s="25">
        <f>$C$1*        5.5</f>
        <v>121</v>
      </c>
      <c r="I354" s="26"/>
      <c r="J354" s="27">
        <v>0</v>
      </c>
      <c r="K354" s="28" t="s">
        <v>27</v>
      </c>
      <c r="L354" s="14">
        <f t="shared" si="10"/>
        <v>118.58</v>
      </c>
    </row>
    <row r="355" spans="1:12" ht="10.5" customHeight="1" outlineLevel="1" x14ac:dyDescent="0.25">
      <c r="A355" s="22"/>
      <c r="B355" s="22" t="s">
        <v>24</v>
      </c>
      <c r="C355" s="22">
        <v>87929</v>
      </c>
      <c r="D355" s="23" t="s">
        <v>25</v>
      </c>
      <c r="E355" s="23" t="s">
        <v>25</v>
      </c>
      <c r="F355" s="24" t="s">
        <v>582</v>
      </c>
      <c r="G355" s="24" t="str">
        <f t="shared" si="11"/>
        <v>NETS-CMR-80-80   Net's Менеджмент кабеля, металлическое кольцо 80*80 мм, центральная фиксация</v>
      </c>
      <c r="H355" s="25">
        <f>$C$1*        0.77</f>
        <v>16.940000000000001</v>
      </c>
      <c r="I355" s="26"/>
      <c r="J355" s="27">
        <v>0</v>
      </c>
      <c r="K355" s="28" t="s">
        <v>27</v>
      </c>
      <c r="L355" s="14">
        <f t="shared" si="10"/>
        <v>16.600000000000001</v>
      </c>
    </row>
    <row r="356" spans="1:12" ht="10.5" customHeight="1" outlineLevel="1" x14ac:dyDescent="0.25">
      <c r="A356" s="22"/>
      <c r="B356" s="22" t="s">
        <v>275</v>
      </c>
      <c r="C356" s="22">
        <v>95601</v>
      </c>
      <c r="D356" s="23" t="s">
        <v>583</v>
      </c>
      <c r="E356" s="23" t="s">
        <v>583</v>
      </c>
      <c r="F356" s="24" t="s">
        <v>584</v>
      </c>
      <c r="G356" s="24" t="str">
        <f t="shared" si="11"/>
        <v>Hypernet PNS Комплект винт + гайка для коммутационного шкафа</v>
      </c>
      <c r="H356" s="25">
        <f>$C$1*        0.15</f>
        <v>3.3</v>
      </c>
      <c r="I356" s="26"/>
      <c r="J356" s="27">
        <v>0</v>
      </c>
      <c r="K356" s="28" t="s">
        <v>27</v>
      </c>
      <c r="L356" s="14">
        <f t="shared" si="10"/>
        <v>3.23</v>
      </c>
    </row>
    <row r="357" spans="1:12" ht="10.5" customHeight="1" outlineLevel="1" x14ac:dyDescent="0.25">
      <c r="A357" s="22"/>
      <c r="B357" s="22" t="s">
        <v>370</v>
      </c>
      <c r="C357" s="22">
        <v>94174</v>
      </c>
      <c r="D357" s="23" t="s">
        <v>585</v>
      </c>
      <c r="E357" s="23" t="s">
        <v>585</v>
      </c>
      <c r="F357" s="24" t="s">
        <v>586</v>
      </c>
      <c r="G357" s="24" t="str">
        <f t="shared" si="11"/>
        <v>ESTAP SOHORG10 Органайзер кабеля  для 10" шкафа 1/2U SOHOLine</v>
      </c>
      <c r="H357" s="25">
        <f>$C$1*        6</f>
        <v>132</v>
      </c>
      <c r="I357" s="26"/>
      <c r="J357" s="27">
        <v>0</v>
      </c>
      <c r="K357" s="28" t="s">
        <v>27</v>
      </c>
      <c r="L357" s="14">
        <f t="shared" si="10"/>
        <v>129.36000000000001</v>
      </c>
    </row>
    <row r="358" spans="1:12" ht="10.5" customHeight="1" outlineLevel="1" x14ac:dyDescent="0.25">
      <c r="A358" s="22"/>
      <c r="B358" s="22" t="s">
        <v>370</v>
      </c>
      <c r="C358" s="22">
        <v>94175</v>
      </c>
      <c r="D358" s="23" t="s">
        <v>587</v>
      </c>
      <c r="E358" s="23" t="s">
        <v>587</v>
      </c>
      <c r="F358" s="24" t="s">
        <v>588</v>
      </c>
      <c r="G358" s="24" t="str">
        <f t="shared" si="11"/>
        <v>ESTAP SOHORG10KNC Органайзер кабеля 3 кольца 10" 1U</v>
      </c>
      <c r="H358" s="25">
        <f>$C$1*        6</f>
        <v>132</v>
      </c>
      <c r="I358" s="26"/>
      <c r="J358" s="27">
        <v>0</v>
      </c>
      <c r="K358" s="28" t="s">
        <v>27</v>
      </c>
      <c r="L358" s="14">
        <f t="shared" si="10"/>
        <v>129.36000000000001</v>
      </c>
    </row>
    <row r="359" spans="1:12" ht="10.5" customHeight="1" outlineLevel="1" x14ac:dyDescent="0.25">
      <c r="A359" s="22"/>
      <c r="B359" s="22" t="s">
        <v>275</v>
      </c>
      <c r="C359" s="22">
        <v>93188</v>
      </c>
      <c r="D359" s="23" t="s">
        <v>589</v>
      </c>
      <c r="E359" s="23" t="s">
        <v>589</v>
      </c>
      <c r="F359" s="24" t="s">
        <v>590</v>
      </c>
      <c r="G359" s="24" t="str">
        <f t="shared" si="11"/>
        <v>Hypernet TS Термостат для вентиляторов и вентиляторных модулей</v>
      </c>
      <c r="H359" s="25">
        <f>$C$1*       14</f>
        <v>308</v>
      </c>
      <c r="I359" s="26"/>
      <c r="J359" s="27">
        <v>0</v>
      </c>
      <c r="K359" s="28" t="s">
        <v>27</v>
      </c>
      <c r="L359" s="14">
        <f t="shared" si="10"/>
        <v>301.83999999999997</v>
      </c>
    </row>
    <row r="360" spans="1:12" ht="10.5" customHeight="1" outlineLevel="1" x14ac:dyDescent="0.25">
      <c r="A360" s="22"/>
      <c r="B360" s="22" t="s">
        <v>275</v>
      </c>
      <c r="C360" s="22">
        <v>95846</v>
      </c>
      <c r="D360" s="23" t="s">
        <v>591</v>
      </c>
      <c r="E360" s="23" t="s">
        <v>591</v>
      </c>
      <c r="F360" s="24" t="s">
        <v>592</v>
      </c>
      <c r="G360" s="24" t="str">
        <f t="shared" si="11"/>
        <v>Hypernet TS-2 Термостат для вентиляторных модулей c кронштейном</v>
      </c>
      <c r="H360" s="25">
        <f>$C$1*       13</f>
        <v>286</v>
      </c>
      <c r="I360" s="26"/>
      <c r="J360" s="27">
        <v>0</v>
      </c>
      <c r="K360" s="28" t="s">
        <v>27</v>
      </c>
      <c r="L360" s="14">
        <f t="shared" si="10"/>
        <v>280.27999999999997</v>
      </c>
    </row>
    <row r="361" spans="1:12" ht="10.5" customHeight="1" x14ac:dyDescent="0.25">
      <c r="A361" s="15"/>
      <c r="B361" s="16" t="s">
        <v>593</v>
      </c>
      <c r="C361" s="16"/>
      <c r="D361" s="16"/>
      <c r="E361" s="16"/>
      <c r="F361" s="17"/>
      <c r="G361" s="24" t="e">
        <f t="shared" si="11"/>
        <v>#VALUE!</v>
      </c>
      <c r="H361" s="18"/>
      <c r="I361" s="19"/>
      <c r="J361" s="20"/>
      <c r="K361" s="21"/>
      <c r="L361" s="14">
        <f t="shared" si="10"/>
        <v>0</v>
      </c>
    </row>
    <row r="362" spans="1:12" ht="10.5" customHeight="1" outlineLevel="1" x14ac:dyDescent="0.25">
      <c r="A362" s="22"/>
      <c r="B362" s="22" t="s">
        <v>275</v>
      </c>
      <c r="C362" s="22">
        <v>95512</v>
      </c>
      <c r="D362" s="23" t="s">
        <v>594</v>
      </c>
      <c r="E362" s="23" t="s">
        <v>594</v>
      </c>
      <c r="F362" s="24" t="s">
        <v>595</v>
      </c>
      <c r="G362" s="24" t="str">
        <f t="shared" si="11"/>
        <v>Hypernet DYN-FM-1F Модуль вентиляторный 1 вентилятор, для напольных шкафов</v>
      </c>
      <c r="H362" s="25">
        <f>$C$1*       30.8</f>
        <v>677.6</v>
      </c>
      <c r="I362" s="26"/>
      <c r="J362" s="27">
        <v>0</v>
      </c>
      <c r="K362" s="28" t="s">
        <v>27</v>
      </c>
      <c r="L362" s="14">
        <f t="shared" si="10"/>
        <v>664.05</v>
      </c>
    </row>
    <row r="363" spans="1:12" ht="10.5" customHeight="1" outlineLevel="1" x14ac:dyDescent="0.25">
      <c r="A363" s="22"/>
      <c r="B363" s="22" t="s">
        <v>275</v>
      </c>
      <c r="C363" s="22">
        <v>95513</v>
      </c>
      <c r="D363" s="23" t="s">
        <v>596</v>
      </c>
      <c r="E363" s="23" t="s">
        <v>596</v>
      </c>
      <c r="F363" s="24" t="s">
        <v>597</v>
      </c>
      <c r="G363" s="24" t="str">
        <f t="shared" si="11"/>
        <v>Hypernet DYN-FM-1F-T Модуль вентиляторный 1 вентилятор с термостатом, для напольных шкафов</v>
      </c>
      <c r="H363" s="25">
        <f>$C$1*       51.7</f>
        <v>1137.4000000000001</v>
      </c>
      <c r="I363" s="26"/>
      <c r="J363" s="27">
        <v>0</v>
      </c>
      <c r="K363" s="28"/>
      <c r="L363" s="14">
        <f t="shared" si="10"/>
        <v>1114.6500000000001</v>
      </c>
    </row>
    <row r="364" spans="1:12" ht="10.5" customHeight="1" outlineLevel="1" x14ac:dyDescent="0.25">
      <c r="A364" s="22"/>
      <c r="B364" s="22" t="s">
        <v>275</v>
      </c>
      <c r="C364" s="22">
        <v>95306</v>
      </c>
      <c r="D364" s="23" t="s">
        <v>598</v>
      </c>
      <c r="E364" s="23" t="s">
        <v>598</v>
      </c>
      <c r="F364" s="24" t="s">
        <v>599</v>
      </c>
      <c r="G364" s="24" t="str">
        <f t="shared" si="11"/>
        <v>Hypernet DYN-FM-1F-WM-T Модуль вентиляторный 1 вент с термостатом, для настенных</v>
      </c>
      <c r="H364" s="25">
        <f>$C$1*       48.4</f>
        <v>1064.8</v>
      </c>
      <c r="I364" s="26"/>
      <c r="J364" s="27">
        <v>0</v>
      </c>
      <c r="K364" s="28"/>
      <c r="L364" s="14">
        <f t="shared" si="10"/>
        <v>1043.5</v>
      </c>
    </row>
    <row r="365" spans="1:12" ht="10.5" customHeight="1" outlineLevel="1" x14ac:dyDescent="0.25">
      <c r="A365" s="22"/>
      <c r="B365" s="22" t="s">
        <v>275</v>
      </c>
      <c r="C365" s="22">
        <v>95799</v>
      </c>
      <c r="D365" s="23" t="s">
        <v>600</v>
      </c>
      <c r="E365" s="23" t="s">
        <v>600</v>
      </c>
      <c r="F365" s="24" t="s">
        <v>601</v>
      </c>
      <c r="G365" s="24" t="str">
        <f t="shared" si="11"/>
        <v>Hypernet DYN-FM-2F Модуль вентиляторный 2 вентилятора, для напольных шкафов</v>
      </c>
      <c r="H365" s="25">
        <f>$C$1*       39.6</f>
        <v>871.2</v>
      </c>
      <c r="I365" s="26"/>
      <c r="J365" s="27">
        <v>0</v>
      </c>
      <c r="K365" s="28" t="s">
        <v>27</v>
      </c>
      <c r="L365" s="14">
        <f t="shared" si="10"/>
        <v>853.78</v>
      </c>
    </row>
    <row r="366" spans="1:12" ht="10.5" customHeight="1" outlineLevel="1" x14ac:dyDescent="0.25">
      <c r="A366" s="22"/>
      <c r="B366" s="22" t="s">
        <v>275</v>
      </c>
      <c r="C366" s="22">
        <v>95514</v>
      </c>
      <c r="D366" s="23" t="s">
        <v>602</v>
      </c>
      <c r="E366" s="23" t="s">
        <v>602</v>
      </c>
      <c r="F366" s="24" t="s">
        <v>603</v>
      </c>
      <c r="G366" s="24" t="str">
        <f t="shared" si="11"/>
        <v>Hypernet DYN-FM-2F-DT Модуль вентиляторный 2 вент с цифровым термостатом, для напольных шкафов</v>
      </c>
      <c r="H366" s="25">
        <f>$C$1*      128.7</f>
        <v>2831.3999999999996</v>
      </c>
      <c r="I366" s="26"/>
      <c r="J366" s="27">
        <v>0</v>
      </c>
      <c r="K366" s="28" t="s">
        <v>27</v>
      </c>
      <c r="L366" s="14">
        <f t="shared" si="10"/>
        <v>2774.77</v>
      </c>
    </row>
    <row r="367" spans="1:12" ht="10.5" customHeight="1" outlineLevel="1" x14ac:dyDescent="0.25">
      <c r="A367" s="22"/>
      <c r="B367" s="22" t="s">
        <v>275</v>
      </c>
      <c r="C367" s="22">
        <v>95916</v>
      </c>
      <c r="D367" s="23" t="s">
        <v>604</v>
      </c>
      <c r="E367" s="23" t="s">
        <v>604</v>
      </c>
      <c r="F367" s="24" t="s">
        <v>605</v>
      </c>
      <c r="G367" s="24" t="str">
        <f t="shared" si="11"/>
        <v>Hypernet DYN-FM-2F-WM Модуль вентиляторный 2 вент, для настенных</v>
      </c>
      <c r="H367" s="25">
        <f>$C$1*       44</f>
        <v>968</v>
      </c>
      <c r="I367" s="26"/>
      <c r="J367" s="27">
        <v>0</v>
      </c>
      <c r="K367" s="28" t="s">
        <v>27</v>
      </c>
      <c r="L367" s="14">
        <f t="shared" si="10"/>
        <v>948.64</v>
      </c>
    </row>
    <row r="368" spans="1:12" ht="10.5" customHeight="1" outlineLevel="1" x14ac:dyDescent="0.25">
      <c r="A368" s="22"/>
      <c r="B368" s="22" t="s">
        <v>275</v>
      </c>
      <c r="C368" s="22">
        <v>95814</v>
      </c>
      <c r="D368" s="23" t="s">
        <v>606</v>
      </c>
      <c r="E368" s="23" t="s">
        <v>606</v>
      </c>
      <c r="F368" s="24" t="s">
        <v>607</v>
      </c>
      <c r="G368" s="24" t="str">
        <f t="shared" si="11"/>
        <v>Hypernet DYN-FM-4F Модуль вентиляторный 4 вентилятора, для напольных шкафов</v>
      </c>
      <c r="H368" s="25">
        <f>$C$1*       57.2</f>
        <v>1258.4000000000001</v>
      </c>
      <c r="I368" s="26"/>
      <c r="J368" s="27">
        <v>0</v>
      </c>
      <c r="K368" s="28" t="s">
        <v>27</v>
      </c>
      <c r="L368" s="14">
        <f t="shared" si="10"/>
        <v>1233.23</v>
      </c>
    </row>
    <row r="369" spans="1:12" ht="10.5" customHeight="1" outlineLevel="1" x14ac:dyDescent="0.25">
      <c r="A369" s="22"/>
      <c r="B369" s="22" t="s">
        <v>275</v>
      </c>
      <c r="C369" s="22">
        <v>95308</v>
      </c>
      <c r="D369" s="23" t="s">
        <v>608</v>
      </c>
      <c r="E369" s="23" t="s">
        <v>608</v>
      </c>
      <c r="F369" s="24" t="s">
        <v>609</v>
      </c>
      <c r="G369" s="24" t="str">
        <f t="shared" si="11"/>
        <v>Hypernet DYN-FM-4F-DT Модуль вентиляторный 4 вент с цифровым термостатом для напольных шкафов</v>
      </c>
      <c r="H369" s="25">
        <f>$C$1*      171.6</f>
        <v>3775.2</v>
      </c>
      <c r="I369" s="26"/>
      <c r="J369" s="27">
        <v>0</v>
      </c>
      <c r="K369" s="28"/>
      <c r="L369" s="14">
        <f t="shared" si="10"/>
        <v>3699.7</v>
      </c>
    </row>
    <row r="370" spans="1:12" ht="10.5" customHeight="1" outlineLevel="1" x14ac:dyDescent="0.25">
      <c r="A370" s="22"/>
      <c r="B370" s="22" t="s">
        <v>275</v>
      </c>
      <c r="C370" s="22">
        <v>95516</v>
      </c>
      <c r="D370" s="23" t="s">
        <v>610</v>
      </c>
      <c r="E370" s="23" t="s">
        <v>610</v>
      </c>
      <c r="F370" s="24" t="s">
        <v>611</v>
      </c>
      <c r="G370" s="24" t="str">
        <f t="shared" si="11"/>
        <v>Hypernet DYN-FM-4F-ST Модуль вентиляторный 4 вентилятора, для серверных шкафов DYN</v>
      </c>
      <c r="H370" s="25">
        <f>$C$1*      129.8</f>
        <v>2855.6000000000004</v>
      </c>
      <c r="I370" s="26"/>
      <c r="J370" s="27">
        <v>0</v>
      </c>
      <c r="K370" s="28" t="s">
        <v>27</v>
      </c>
      <c r="L370" s="14">
        <f t="shared" si="10"/>
        <v>2798.49</v>
      </c>
    </row>
    <row r="371" spans="1:12" ht="10.5" customHeight="1" outlineLevel="1" x14ac:dyDescent="0.25">
      <c r="A371" s="22"/>
      <c r="B371" s="22" t="s">
        <v>275</v>
      </c>
      <c r="C371" s="22">
        <v>95515</v>
      </c>
      <c r="D371" s="23" t="s">
        <v>612</v>
      </c>
      <c r="E371" s="23" t="s">
        <v>612</v>
      </c>
      <c r="F371" s="24" t="s">
        <v>613</v>
      </c>
      <c r="G371" s="24" t="str">
        <f t="shared" si="11"/>
        <v>Hypernet DYN-FM-4F-ST-DT Модуль вентиляторный 4 вент с цифровым термостатом, для серверных шкафов</v>
      </c>
      <c r="H371" s="25">
        <f>$C$1*      189.2</f>
        <v>4162.3999999999996</v>
      </c>
      <c r="I371" s="26"/>
      <c r="J371" s="27">
        <v>0</v>
      </c>
      <c r="K371" s="28" t="s">
        <v>27</v>
      </c>
      <c r="L371" s="14">
        <f t="shared" si="10"/>
        <v>4079.15</v>
      </c>
    </row>
    <row r="372" spans="1:12" ht="10.5" customHeight="1" outlineLevel="1" x14ac:dyDescent="0.25">
      <c r="A372" s="22"/>
      <c r="B372" s="22" t="s">
        <v>275</v>
      </c>
      <c r="C372" s="22">
        <v>95517</v>
      </c>
      <c r="D372" s="23" t="s">
        <v>614</v>
      </c>
      <c r="E372" s="23" t="s">
        <v>614</v>
      </c>
      <c r="F372" s="24" t="s">
        <v>615</v>
      </c>
      <c r="G372" s="24" t="str">
        <f t="shared" si="11"/>
        <v>Hypernet DYN-FM-4F-ST-T Модуль вентиляторный 4 вент с термостатом, для серверных шкафов</v>
      </c>
      <c r="H372" s="25">
        <f>$C$1*      163.9</f>
        <v>3605.8</v>
      </c>
      <c r="I372" s="26"/>
      <c r="J372" s="27">
        <v>0</v>
      </c>
      <c r="K372" s="28" t="s">
        <v>27</v>
      </c>
      <c r="L372" s="14">
        <f t="shared" si="10"/>
        <v>3533.68</v>
      </c>
    </row>
    <row r="373" spans="1:12" ht="10.5" customHeight="1" outlineLevel="1" x14ac:dyDescent="0.25">
      <c r="A373" s="22"/>
      <c r="B373" s="22" t="s">
        <v>275</v>
      </c>
      <c r="C373" s="22">
        <v>95307</v>
      </c>
      <c r="D373" s="23" t="s">
        <v>616</v>
      </c>
      <c r="E373" s="23" t="s">
        <v>616</v>
      </c>
      <c r="F373" s="24" t="s">
        <v>617</v>
      </c>
      <c r="G373" s="24" t="str">
        <f t="shared" si="11"/>
        <v>Hypernet DYN-FM-4F-T Полка вентиляторная универсальная 4 вентилятора с термостатом 1U 19"</v>
      </c>
      <c r="H373" s="25">
        <f>$C$1*      171.6</f>
        <v>3775.2</v>
      </c>
      <c r="I373" s="26"/>
      <c r="J373" s="27">
        <v>0</v>
      </c>
      <c r="K373" s="28"/>
      <c r="L373" s="14">
        <f t="shared" si="10"/>
        <v>3699.7</v>
      </c>
    </row>
    <row r="374" spans="1:12" ht="10.5" customHeight="1" outlineLevel="1" x14ac:dyDescent="0.25">
      <c r="A374" s="22"/>
      <c r="B374" s="22" t="s">
        <v>275</v>
      </c>
      <c r="C374" s="22">
        <v>95815</v>
      </c>
      <c r="D374" s="23" t="s">
        <v>618</v>
      </c>
      <c r="E374" s="23" t="s">
        <v>618</v>
      </c>
      <c r="F374" s="24" t="s">
        <v>619</v>
      </c>
      <c r="G374" s="24" t="str">
        <f t="shared" si="11"/>
        <v>Hypernet DYN-FS-2F Полка вентиляторная универсальная, 2 вентилятора, 19" 1U, 220В</v>
      </c>
      <c r="H374" s="25">
        <f>$C$1*       42.9</f>
        <v>943.8</v>
      </c>
      <c r="I374" s="26"/>
      <c r="J374" s="27">
        <v>0</v>
      </c>
      <c r="K374" s="28"/>
      <c r="L374" s="14">
        <f t="shared" si="10"/>
        <v>924.92</v>
      </c>
    </row>
    <row r="375" spans="1:12" ht="10.5" customHeight="1" outlineLevel="1" x14ac:dyDescent="0.25">
      <c r="A375" s="22"/>
      <c r="B375" s="22" t="s">
        <v>275</v>
      </c>
      <c r="C375" s="22">
        <v>95816</v>
      </c>
      <c r="D375" s="23" t="s">
        <v>620</v>
      </c>
      <c r="E375" s="23" t="s">
        <v>620</v>
      </c>
      <c r="F375" s="24" t="s">
        <v>621</v>
      </c>
      <c r="G375" s="24" t="str">
        <f t="shared" si="11"/>
        <v>Hypernet DYN-FS-4F Полка вентиляторная универсальная, 4 вентилятора, 19" 1U, 220В</v>
      </c>
      <c r="H375" s="25">
        <f>$C$1*       66</f>
        <v>1452</v>
      </c>
      <c r="I375" s="26"/>
      <c r="J375" s="27">
        <v>0</v>
      </c>
      <c r="K375" s="28" t="s">
        <v>27</v>
      </c>
      <c r="L375" s="14">
        <f t="shared" si="10"/>
        <v>1422.96</v>
      </c>
    </row>
    <row r="376" spans="1:12" ht="10.5" customHeight="1" outlineLevel="1" x14ac:dyDescent="0.25">
      <c r="A376" s="22"/>
      <c r="B376" s="22" t="s">
        <v>275</v>
      </c>
      <c r="C376" s="22">
        <v>95777</v>
      </c>
      <c r="D376" s="23" t="s">
        <v>25</v>
      </c>
      <c r="E376" s="23" t="s">
        <v>622</v>
      </c>
      <c r="F376" s="24" t="s">
        <v>623</v>
      </c>
      <c r="G376" s="24" t="str">
        <f t="shared" si="11"/>
        <v>Hypernet  Решетка металлическая 120х120мм</v>
      </c>
      <c r="H376" s="25">
        <f>$C$1*        1.2</f>
        <v>26.4</v>
      </c>
      <c r="I376" s="26"/>
      <c r="J376" s="27">
        <v>0</v>
      </c>
      <c r="K376" s="28"/>
      <c r="L376" s="14">
        <f t="shared" si="10"/>
        <v>25.87</v>
      </c>
    </row>
    <row r="377" spans="1:12" ht="10.5" customHeight="1" outlineLevel="1" x14ac:dyDescent="0.25">
      <c r="A377" s="22"/>
      <c r="B377" s="22" t="s">
        <v>275</v>
      </c>
      <c r="C377" s="22">
        <v>95986</v>
      </c>
      <c r="D377" s="23" t="s">
        <v>624</v>
      </c>
      <c r="E377" s="23" t="s">
        <v>624</v>
      </c>
      <c r="F377" s="24" t="s">
        <v>625</v>
      </c>
      <c r="G377" s="24" t="str">
        <f t="shared" si="11"/>
        <v>Hypernet LN-FAN-EC-1FWM-LG Модуль вентиляторный 1 вент, для настенных шкафов</v>
      </c>
      <c r="H377" s="25">
        <f>$C$1*       20.46</f>
        <v>450.12</v>
      </c>
      <c r="I377" s="26"/>
      <c r="J377" s="27">
        <v>0</v>
      </c>
      <c r="K377" s="28" t="s">
        <v>27</v>
      </c>
      <c r="L377" s="14">
        <f t="shared" si="10"/>
        <v>441.12</v>
      </c>
    </row>
    <row r="378" spans="1:12" ht="10.5" customHeight="1" outlineLevel="1" x14ac:dyDescent="0.25">
      <c r="A378" s="22"/>
      <c r="B378" s="22" t="s">
        <v>275</v>
      </c>
      <c r="C378" s="22">
        <v>95991</v>
      </c>
      <c r="D378" s="23" t="s">
        <v>626</v>
      </c>
      <c r="E378" s="23" t="s">
        <v>626</v>
      </c>
      <c r="F378" s="24" t="s">
        <v>627</v>
      </c>
      <c r="G378" s="24" t="str">
        <f t="shared" si="11"/>
        <v>Hypernet LN-FAN-EC-2FWM-LG Модуль вентиляторный 2 вент, для настенных шкафов</v>
      </c>
      <c r="H378" s="25">
        <f>$C$1*       29.15</f>
        <v>641.29999999999995</v>
      </c>
      <c r="I378" s="26"/>
      <c r="J378" s="27">
        <v>0</v>
      </c>
      <c r="K378" s="28" t="s">
        <v>27</v>
      </c>
      <c r="L378" s="14">
        <f t="shared" si="10"/>
        <v>628.47</v>
      </c>
    </row>
    <row r="379" spans="1:12" ht="10.5" customHeight="1" outlineLevel="1" x14ac:dyDescent="0.25">
      <c r="A379" s="22"/>
      <c r="B379" s="22" t="s">
        <v>275</v>
      </c>
      <c r="C379" s="22">
        <v>95831</v>
      </c>
      <c r="D379" s="23" t="s">
        <v>628</v>
      </c>
      <c r="E379" s="23" t="s">
        <v>628</v>
      </c>
      <c r="F379" s="24" t="s">
        <v>629</v>
      </c>
      <c r="G379" s="24" t="str">
        <f t="shared" si="11"/>
        <v>Hypernet PC-186-06 Кабель питания 1.8м 3*0,5мм 6A</v>
      </c>
      <c r="H379" s="25">
        <f>$C$1*        1.98</f>
        <v>43.56</v>
      </c>
      <c r="I379" s="26"/>
      <c r="J379" s="27">
        <v>0</v>
      </c>
      <c r="K379" s="28"/>
      <c r="L379" s="14">
        <f t="shared" si="10"/>
        <v>42.69</v>
      </c>
    </row>
    <row r="380" spans="1:12" ht="10.5" customHeight="1" outlineLevel="1" x14ac:dyDescent="0.25">
      <c r="A380" s="22"/>
      <c r="B380" s="22" t="s">
        <v>275</v>
      </c>
      <c r="C380" s="22">
        <v>95830</v>
      </c>
      <c r="D380" s="23" t="s">
        <v>630</v>
      </c>
      <c r="E380" s="23" t="s">
        <v>630</v>
      </c>
      <c r="F380" s="24" t="s">
        <v>631</v>
      </c>
      <c r="G380" s="24" t="str">
        <f t="shared" si="11"/>
        <v>Hypernet PC-186-10 Кабель питания 3м 3*0,5мм 6A</v>
      </c>
      <c r="H380" s="25">
        <f>$C$1*        2.86</f>
        <v>62.919999999999995</v>
      </c>
      <c r="I380" s="26"/>
      <c r="J380" s="27">
        <v>0</v>
      </c>
      <c r="K380" s="28"/>
      <c r="L380" s="14">
        <f t="shared" si="10"/>
        <v>61.66</v>
      </c>
    </row>
    <row r="381" spans="1:12" ht="10.5" customHeight="1" outlineLevel="1" x14ac:dyDescent="0.25">
      <c r="A381" s="22"/>
      <c r="B381" s="22" t="s">
        <v>275</v>
      </c>
      <c r="C381" s="22">
        <v>95857</v>
      </c>
      <c r="D381" s="23" t="s">
        <v>632</v>
      </c>
      <c r="E381" s="23" t="s">
        <v>632</v>
      </c>
      <c r="F381" s="24" t="s">
        <v>633</v>
      </c>
      <c r="G381" s="24" t="str">
        <f t="shared" si="11"/>
        <v>Hypernet PC-189-06 Кабель питания для UPS 1.8м 3*0,5мм 6A</v>
      </c>
      <c r="H381" s="25">
        <f>$C$1*        1.98</f>
        <v>43.56</v>
      </c>
      <c r="I381" s="26"/>
      <c r="J381" s="27">
        <v>0</v>
      </c>
      <c r="K381" s="28"/>
      <c r="L381" s="14">
        <f t="shared" si="10"/>
        <v>42.69</v>
      </c>
    </row>
    <row r="382" spans="1:12" ht="10.5" customHeight="1" outlineLevel="1" x14ac:dyDescent="0.25">
      <c r="A382" s="22"/>
      <c r="B382" s="22" t="s">
        <v>275</v>
      </c>
      <c r="C382" s="22">
        <v>95858</v>
      </c>
      <c r="D382" s="23" t="s">
        <v>634</v>
      </c>
      <c r="E382" s="23" t="s">
        <v>634</v>
      </c>
      <c r="F382" s="24" t="s">
        <v>635</v>
      </c>
      <c r="G382" s="24" t="str">
        <f t="shared" si="11"/>
        <v>Hypernet PC-189-10 Кабель питания для UPS 3.0м 3*0,5мм 6A</v>
      </c>
      <c r="H382" s="25">
        <f>$C$1*        3.08</f>
        <v>67.760000000000005</v>
      </c>
      <c r="I382" s="26"/>
      <c r="J382" s="27">
        <v>0</v>
      </c>
      <c r="K382" s="28"/>
      <c r="L382" s="14">
        <f t="shared" si="10"/>
        <v>66.400000000000006</v>
      </c>
    </row>
    <row r="383" spans="1:12" ht="10.5" customHeight="1" outlineLevel="1" x14ac:dyDescent="0.25">
      <c r="A383" s="22"/>
      <c r="B383" s="22" t="s">
        <v>275</v>
      </c>
      <c r="C383" s="22">
        <v>95912</v>
      </c>
      <c r="D383" s="23" t="s">
        <v>636</v>
      </c>
      <c r="E383" s="23" t="s">
        <v>636</v>
      </c>
      <c r="F383" s="24" t="s">
        <v>637</v>
      </c>
      <c r="G383" s="24" t="str">
        <f t="shared" si="11"/>
        <v>Hypernet TF-1U Крепление универсальное для термостата на рек 1U</v>
      </c>
      <c r="H383" s="25">
        <f>$C$1*        1</f>
        <v>22</v>
      </c>
      <c r="I383" s="26"/>
      <c r="J383" s="27">
        <v>0</v>
      </c>
      <c r="K383" s="28" t="s">
        <v>27</v>
      </c>
      <c r="L383" s="14">
        <f t="shared" si="10"/>
        <v>21.56</v>
      </c>
    </row>
    <row r="384" spans="1:12" ht="10.5" customHeight="1" x14ac:dyDescent="0.25">
      <c r="A384" s="15"/>
      <c r="B384" s="16" t="s">
        <v>638</v>
      </c>
      <c r="C384" s="16"/>
      <c r="D384" s="16"/>
      <c r="E384" s="16"/>
      <c r="F384" s="17"/>
      <c r="G384" s="24" t="e">
        <f t="shared" si="11"/>
        <v>#VALUE!</v>
      </c>
      <c r="H384" s="18"/>
      <c r="I384" s="19"/>
      <c r="J384" s="20"/>
      <c r="K384" s="21"/>
      <c r="L384" s="14">
        <f t="shared" si="10"/>
        <v>0</v>
      </c>
    </row>
    <row r="385" spans="1:12" ht="10.5" customHeight="1" outlineLevel="1" x14ac:dyDescent="0.25">
      <c r="A385" s="22"/>
      <c r="B385" s="22" t="s">
        <v>275</v>
      </c>
      <c r="C385" s="22">
        <v>95011</v>
      </c>
      <c r="D385" s="23" t="s">
        <v>639</v>
      </c>
      <c r="E385" s="23" t="s">
        <v>639</v>
      </c>
      <c r="F385" s="24" t="s">
        <v>640</v>
      </c>
      <c r="G385" s="24" t="str">
        <f t="shared" si="11"/>
        <v>Hypernet CF Вентилятор для настенного шкафа 220V ш(12)*г(12)*в(2.5)</v>
      </c>
      <c r="H385" s="25">
        <f>$C$1*        8.8</f>
        <v>193.60000000000002</v>
      </c>
      <c r="I385" s="26"/>
      <c r="J385" s="27">
        <v>6</v>
      </c>
      <c r="K385" s="28" t="s">
        <v>27</v>
      </c>
      <c r="L385" s="14">
        <f t="shared" si="10"/>
        <v>189.73</v>
      </c>
    </row>
    <row r="386" spans="1:12" ht="10.5" customHeight="1" outlineLevel="1" x14ac:dyDescent="0.25">
      <c r="A386" s="22"/>
      <c r="B386" s="22" t="s">
        <v>275</v>
      </c>
      <c r="C386" s="22">
        <v>95012</v>
      </c>
      <c r="D386" s="23" t="s">
        <v>641</v>
      </c>
      <c r="E386" s="23" t="s">
        <v>641</v>
      </c>
      <c r="F386" s="24" t="s">
        <v>642</v>
      </c>
      <c r="G386" s="24" t="str">
        <f t="shared" si="11"/>
        <v>Hypernet CF38 вентилятор для настенного шкафа 220V ш(12)*г(12)*в(3,8)</v>
      </c>
      <c r="H386" s="25">
        <f>$C$1*        9.35</f>
        <v>205.7</v>
      </c>
      <c r="I386" s="26"/>
      <c r="J386" s="27">
        <v>6</v>
      </c>
      <c r="K386" s="28" t="s">
        <v>27</v>
      </c>
      <c r="L386" s="14">
        <f t="shared" si="10"/>
        <v>201.59</v>
      </c>
    </row>
    <row r="387" spans="1:12" ht="10.5" customHeight="1" outlineLevel="1" x14ac:dyDescent="0.25">
      <c r="A387" s="22"/>
      <c r="B387" s="22" t="s">
        <v>275</v>
      </c>
      <c r="C387" s="22">
        <v>94894</v>
      </c>
      <c r="D387" s="23" t="s">
        <v>643</v>
      </c>
      <c r="E387" s="23" t="s">
        <v>643</v>
      </c>
      <c r="F387" s="24" t="s">
        <v>644</v>
      </c>
      <c r="G387" s="24" t="str">
        <f t="shared" si="11"/>
        <v>Hypernet FS-2F Полка вентиляторная, 2 вентилятора, 19" 1U, 220В</v>
      </c>
      <c r="H387" s="25">
        <f>$C$1*       36.3</f>
        <v>798.59999999999991</v>
      </c>
      <c r="I387" s="26"/>
      <c r="J387" s="27">
        <v>0</v>
      </c>
      <c r="K387" s="28"/>
      <c r="L387" s="14">
        <f t="shared" si="10"/>
        <v>782.63</v>
      </c>
    </row>
    <row r="388" spans="1:12" ht="10.5" customHeight="1" outlineLevel="1" x14ac:dyDescent="0.25">
      <c r="A388" s="22"/>
      <c r="B388" s="22" t="s">
        <v>275</v>
      </c>
      <c r="C388" s="22">
        <v>94865</v>
      </c>
      <c r="D388" s="23" t="s">
        <v>645</v>
      </c>
      <c r="E388" s="23" t="s">
        <v>645</v>
      </c>
      <c r="F388" s="24" t="s">
        <v>646</v>
      </c>
      <c r="G388" s="24" t="str">
        <f t="shared" si="11"/>
        <v>Hypernet FS-2F-T Полка вентиляторная, 2 вентилятора и термостат, 19" 1U, 220В</v>
      </c>
      <c r="H388" s="25">
        <f>$C$1*       82.5</f>
        <v>1815</v>
      </c>
      <c r="I388" s="26"/>
      <c r="J388" s="27">
        <v>0</v>
      </c>
      <c r="K388" s="28" t="s">
        <v>27</v>
      </c>
      <c r="L388" s="14">
        <f t="shared" si="10"/>
        <v>1778.7</v>
      </c>
    </row>
    <row r="389" spans="1:12" ht="10.5" customHeight="1" outlineLevel="1" x14ac:dyDescent="0.25">
      <c r="A389" s="22"/>
      <c r="B389" s="22" t="s">
        <v>275</v>
      </c>
      <c r="C389" s="22">
        <v>94866</v>
      </c>
      <c r="D389" s="23" t="s">
        <v>647</v>
      </c>
      <c r="E389" s="23" t="s">
        <v>647</v>
      </c>
      <c r="F389" s="24" t="s">
        <v>648</v>
      </c>
      <c r="G389" s="24" t="str">
        <f t="shared" si="11"/>
        <v>Hypernet FS-4F Полка вентиляторная, 4 вентилятора, 19" 1U, 220В</v>
      </c>
      <c r="H389" s="25">
        <f>$C$1*       55</f>
        <v>1210</v>
      </c>
      <c r="I389" s="26"/>
      <c r="J389" s="27">
        <v>0</v>
      </c>
      <c r="K389" s="28" t="s">
        <v>27</v>
      </c>
      <c r="L389" s="14">
        <f t="shared" si="10"/>
        <v>1185.8</v>
      </c>
    </row>
    <row r="390" spans="1:12" ht="10.5" customHeight="1" outlineLevel="1" x14ac:dyDescent="0.25">
      <c r="A390" s="22"/>
      <c r="B390" s="22" t="s">
        <v>275</v>
      </c>
      <c r="C390" s="22">
        <v>94867</v>
      </c>
      <c r="D390" s="23" t="s">
        <v>649</v>
      </c>
      <c r="E390" s="23" t="s">
        <v>649</v>
      </c>
      <c r="F390" s="24" t="s">
        <v>650</v>
      </c>
      <c r="G390" s="24" t="str">
        <f t="shared" si="11"/>
        <v>Hypernet FS-4F-T Полка вентиляторная, 4 вентилятора и термостат, 19" 1U, 220В</v>
      </c>
      <c r="H390" s="25">
        <f>$C$1*       80</f>
        <v>1760</v>
      </c>
      <c r="I390" s="26"/>
      <c r="J390" s="27">
        <v>0</v>
      </c>
      <c r="K390" s="28" t="s">
        <v>27</v>
      </c>
      <c r="L390" s="14">
        <f t="shared" ref="L390:L453" si="12">ROUND(H390*0.98,2)</f>
        <v>1724.8</v>
      </c>
    </row>
    <row r="391" spans="1:12" ht="10.5" customHeight="1" x14ac:dyDescent="0.25">
      <c r="A391" s="15"/>
      <c r="B391" s="16" t="s">
        <v>651</v>
      </c>
      <c r="C391" s="16"/>
      <c r="D391" s="16"/>
      <c r="E391" s="16"/>
      <c r="F391" s="17"/>
      <c r="G391" s="24" t="e">
        <f t="shared" si="11"/>
        <v>#VALUE!</v>
      </c>
      <c r="H391" s="18"/>
      <c r="I391" s="19"/>
      <c r="J391" s="20"/>
      <c r="K391" s="21"/>
      <c r="L391" s="14">
        <f t="shared" si="12"/>
        <v>0</v>
      </c>
    </row>
    <row r="392" spans="1:12" ht="10.5" customHeight="1" outlineLevel="1" x14ac:dyDescent="0.25">
      <c r="A392" s="22"/>
      <c r="B392" s="22" t="s">
        <v>275</v>
      </c>
      <c r="C392" s="22">
        <v>95772</v>
      </c>
      <c r="D392" s="23" t="s">
        <v>652</v>
      </c>
      <c r="E392" s="23" t="s">
        <v>652</v>
      </c>
      <c r="F392" s="24" t="s">
        <v>653</v>
      </c>
      <c r="G392" s="24" t="str">
        <f t="shared" ref="G392:G455" si="13">REPLACE(F392,SEARCH(" ",F392)+1,0,D392&amp;" ")</f>
        <v>Hypernet SY08TCM07U5400E-BL Дверь 7U для настенного шкафа EUBOX стеклянная</v>
      </c>
      <c r="H392" s="25">
        <f>$C$1*       22</f>
        <v>484</v>
      </c>
      <c r="I392" s="26"/>
      <c r="J392" s="27">
        <v>0</v>
      </c>
      <c r="K392" s="28" t="s">
        <v>27</v>
      </c>
      <c r="L392" s="14">
        <f t="shared" si="12"/>
        <v>474.32</v>
      </c>
    </row>
    <row r="393" spans="1:12" ht="10.5" customHeight="1" outlineLevel="1" x14ac:dyDescent="0.25">
      <c r="A393" s="22"/>
      <c r="B393" s="22" t="s">
        <v>275</v>
      </c>
      <c r="C393" s="22">
        <v>95770</v>
      </c>
      <c r="D393" s="23" t="s">
        <v>654</v>
      </c>
      <c r="E393" s="23" t="s">
        <v>654</v>
      </c>
      <c r="F393" s="24" t="s">
        <v>655</v>
      </c>
      <c r="G393" s="24" t="str">
        <f t="shared" si="13"/>
        <v>Hypernet SY08TCM09U5400E-BL Дверь 9U для настенного шкафа EUBOX стеклянная</v>
      </c>
      <c r="H393" s="25">
        <f>$C$1*       23.1</f>
        <v>508.20000000000005</v>
      </c>
      <c r="I393" s="26"/>
      <c r="J393" s="27">
        <v>0</v>
      </c>
      <c r="K393" s="28" t="s">
        <v>27</v>
      </c>
      <c r="L393" s="14">
        <f t="shared" si="12"/>
        <v>498.04</v>
      </c>
    </row>
    <row r="394" spans="1:12" ht="10.5" customHeight="1" outlineLevel="1" x14ac:dyDescent="0.25">
      <c r="A394" s="22"/>
      <c r="B394" s="22" t="s">
        <v>275</v>
      </c>
      <c r="C394" s="22">
        <v>95771</v>
      </c>
      <c r="D394" s="23" t="s">
        <v>656</v>
      </c>
      <c r="E394" s="23" t="s">
        <v>656</v>
      </c>
      <c r="F394" s="24" t="s">
        <v>657</v>
      </c>
      <c r="G394" s="24" t="str">
        <f t="shared" si="13"/>
        <v>Hypernet SY08TCM12U5400E-BL Дверь 12U для настенного шкафа EUBOX стеклянная</v>
      </c>
      <c r="H394" s="25">
        <f>$C$1*       25.3</f>
        <v>556.6</v>
      </c>
      <c r="I394" s="26"/>
      <c r="J394" s="27">
        <v>0</v>
      </c>
      <c r="K394" s="28" t="s">
        <v>27</v>
      </c>
      <c r="L394" s="14">
        <f t="shared" si="12"/>
        <v>545.47</v>
      </c>
    </row>
    <row r="395" spans="1:12" ht="10.5" customHeight="1" x14ac:dyDescent="0.25">
      <c r="A395" s="15"/>
      <c r="B395" s="16" t="s">
        <v>658</v>
      </c>
      <c r="C395" s="16"/>
      <c r="D395" s="16"/>
      <c r="E395" s="16"/>
      <c r="F395" s="17"/>
      <c r="G395" s="24" t="e">
        <f t="shared" si="13"/>
        <v>#VALUE!</v>
      </c>
      <c r="H395" s="18"/>
      <c r="I395" s="19"/>
      <c r="J395" s="20"/>
      <c r="K395" s="21"/>
      <c r="L395" s="14">
        <f t="shared" si="12"/>
        <v>0</v>
      </c>
    </row>
    <row r="396" spans="1:12" ht="10.5" customHeight="1" outlineLevel="1" x14ac:dyDescent="0.25">
      <c r="A396" s="22"/>
      <c r="B396" s="22" t="s">
        <v>24</v>
      </c>
      <c r="C396" s="22">
        <v>89750</v>
      </c>
      <c r="D396" s="23" t="s">
        <v>25</v>
      </c>
      <c r="E396" s="23" t="s">
        <v>25</v>
      </c>
      <c r="F396" s="24" t="s">
        <v>659</v>
      </c>
      <c r="G396" s="24" t="str">
        <f t="shared" si="13"/>
        <v>MD-WM-F6U   NETS Дверь 6U передняя для настенного шкафа металлическая перфорированная</v>
      </c>
      <c r="H396" s="25">
        <f>$C$1*       11</f>
        <v>242</v>
      </c>
      <c r="I396" s="26"/>
      <c r="J396" s="27">
        <v>0</v>
      </c>
      <c r="K396" s="28" t="s">
        <v>27</v>
      </c>
      <c r="L396" s="14">
        <f t="shared" si="12"/>
        <v>237.16</v>
      </c>
    </row>
    <row r="397" spans="1:12" ht="10.5" customHeight="1" outlineLevel="1" x14ac:dyDescent="0.25">
      <c r="A397" s="22"/>
      <c r="B397" s="22" t="s">
        <v>24</v>
      </c>
      <c r="C397" s="22">
        <v>89751</v>
      </c>
      <c r="D397" s="23" t="s">
        <v>25</v>
      </c>
      <c r="E397" s="23" t="s">
        <v>25</v>
      </c>
      <c r="F397" s="24" t="s">
        <v>660</v>
      </c>
      <c r="G397" s="24" t="str">
        <f t="shared" si="13"/>
        <v>MD-WM-F9U   NETS Дверь 9U передняя для настенного шкафа металлическая перфорированная</v>
      </c>
      <c r="H397" s="25">
        <f>$C$1*       13</f>
        <v>286</v>
      </c>
      <c r="I397" s="26"/>
      <c r="J397" s="27">
        <v>0</v>
      </c>
      <c r="K397" s="28" t="s">
        <v>27</v>
      </c>
      <c r="L397" s="14">
        <f t="shared" si="12"/>
        <v>280.27999999999997</v>
      </c>
    </row>
    <row r="398" spans="1:12" ht="10.5" customHeight="1" x14ac:dyDescent="0.25">
      <c r="A398" s="15"/>
      <c r="B398" s="16" t="s">
        <v>661</v>
      </c>
      <c r="C398" s="16"/>
      <c r="D398" s="16"/>
      <c r="E398" s="16"/>
      <c r="F398" s="17"/>
      <c r="G398" s="24" t="e">
        <f t="shared" si="13"/>
        <v>#VALUE!</v>
      </c>
      <c r="H398" s="18"/>
      <c r="I398" s="19"/>
      <c r="J398" s="20"/>
      <c r="K398" s="21"/>
      <c r="L398" s="14">
        <f t="shared" si="12"/>
        <v>0</v>
      </c>
    </row>
    <row r="399" spans="1:12" ht="10.5" customHeight="1" outlineLevel="1" x14ac:dyDescent="0.25">
      <c r="A399" s="22"/>
      <c r="B399" s="22" t="s">
        <v>24</v>
      </c>
      <c r="C399" s="22">
        <v>89756</v>
      </c>
      <c r="D399" s="23" t="s">
        <v>25</v>
      </c>
      <c r="E399" s="23" t="s">
        <v>25</v>
      </c>
      <c r="F399" s="24" t="s">
        <v>662</v>
      </c>
      <c r="G399" s="24" t="str">
        <f t="shared" si="13"/>
        <v>MD-FS-F18U   NETS Дверь 18U передняя/задняя для напольного шкафа металлическая перфорированная</v>
      </c>
      <c r="H399" s="25">
        <f>$C$1*       24.2</f>
        <v>532.4</v>
      </c>
      <c r="I399" s="26"/>
      <c r="J399" s="27">
        <v>0</v>
      </c>
      <c r="K399" s="28" t="s">
        <v>27</v>
      </c>
      <c r="L399" s="14">
        <f t="shared" si="12"/>
        <v>521.75</v>
      </c>
    </row>
    <row r="400" spans="1:12" ht="10.5" customHeight="1" outlineLevel="1" x14ac:dyDescent="0.25">
      <c r="A400" s="22"/>
      <c r="B400" s="22" t="s">
        <v>24</v>
      </c>
      <c r="C400" s="22">
        <v>89758</v>
      </c>
      <c r="D400" s="23" t="s">
        <v>25</v>
      </c>
      <c r="E400" s="23" t="s">
        <v>25</v>
      </c>
      <c r="F400" s="24" t="s">
        <v>663</v>
      </c>
      <c r="G400" s="24" t="str">
        <f t="shared" si="13"/>
        <v>MD-FS-F20U   NETS Дверь 20U передняя/задняя для напольного шкафа металлическая перфорированная</v>
      </c>
      <c r="H400" s="25">
        <f>$C$1*       24.2</f>
        <v>532.4</v>
      </c>
      <c r="I400" s="26"/>
      <c r="J400" s="27">
        <v>0</v>
      </c>
      <c r="K400" s="28" t="s">
        <v>27</v>
      </c>
      <c r="L400" s="14">
        <f t="shared" si="12"/>
        <v>521.75</v>
      </c>
    </row>
    <row r="401" spans="1:12" ht="10.5" customHeight="1" outlineLevel="1" x14ac:dyDescent="0.25">
      <c r="A401" s="22"/>
      <c r="B401" s="22" t="s">
        <v>24</v>
      </c>
      <c r="C401" s="22">
        <v>89759</v>
      </c>
      <c r="D401" s="23" t="s">
        <v>25</v>
      </c>
      <c r="E401" s="23" t="s">
        <v>25</v>
      </c>
      <c r="F401" s="24" t="s">
        <v>664</v>
      </c>
      <c r="G401" s="24" t="str">
        <f t="shared" si="13"/>
        <v>MD-FS-F25U   NETS Дверь 25U передняя/задняя для напольного шкафа металлическая перфорированная</v>
      </c>
      <c r="H401" s="25">
        <f>$C$1*       26.4</f>
        <v>580.79999999999995</v>
      </c>
      <c r="I401" s="26"/>
      <c r="J401" s="27">
        <v>0</v>
      </c>
      <c r="K401" s="28" t="s">
        <v>27</v>
      </c>
      <c r="L401" s="14">
        <f t="shared" si="12"/>
        <v>569.17999999999995</v>
      </c>
    </row>
    <row r="402" spans="1:12" ht="10.5" customHeight="1" outlineLevel="1" x14ac:dyDescent="0.25">
      <c r="A402" s="22"/>
      <c r="B402" s="22" t="s">
        <v>24</v>
      </c>
      <c r="C402" s="22">
        <v>89760</v>
      </c>
      <c r="D402" s="23" t="s">
        <v>25</v>
      </c>
      <c r="E402" s="23" t="s">
        <v>25</v>
      </c>
      <c r="F402" s="24" t="s">
        <v>665</v>
      </c>
      <c r="G402" s="24" t="str">
        <f t="shared" si="13"/>
        <v>MD-FS-F30U   NETS Дверь 30U передняя/задняя для напольного шкафа металлическая перфорированная</v>
      </c>
      <c r="H402" s="25">
        <f>$C$1*       29.7</f>
        <v>653.4</v>
      </c>
      <c r="I402" s="26"/>
      <c r="J402" s="27">
        <v>0</v>
      </c>
      <c r="K402" s="28" t="s">
        <v>27</v>
      </c>
      <c r="L402" s="14">
        <f t="shared" si="12"/>
        <v>640.33000000000004</v>
      </c>
    </row>
    <row r="403" spans="1:12" ht="10.5" customHeight="1" outlineLevel="1" x14ac:dyDescent="0.25">
      <c r="A403" s="22"/>
      <c r="B403" s="22" t="s">
        <v>24</v>
      </c>
      <c r="C403" s="22">
        <v>89761</v>
      </c>
      <c r="D403" s="23" t="s">
        <v>25</v>
      </c>
      <c r="E403" s="23" t="s">
        <v>25</v>
      </c>
      <c r="F403" s="24" t="s">
        <v>666</v>
      </c>
      <c r="G403" s="24" t="str">
        <f t="shared" si="13"/>
        <v>MD-FS-F35U   NETS Дверь 35U передняя/задняя для напольного шкафа металлическая перфорированная</v>
      </c>
      <c r="H403" s="25">
        <f>$C$1*       34.1</f>
        <v>750.2</v>
      </c>
      <c r="I403" s="26"/>
      <c r="J403" s="27">
        <v>0</v>
      </c>
      <c r="K403" s="28" t="s">
        <v>27</v>
      </c>
      <c r="L403" s="14">
        <f t="shared" si="12"/>
        <v>735.2</v>
      </c>
    </row>
    <row r="404" spans="1:12" ht="10.5" customHeight="1" outlineLevel="1" x14ac:dyDescent="0.25">
      <c r="A404" s="22"/>
      <c r="B404" s="22" t="s">
        <v>24</v>
      </c>
      <c r="C404" s="22">
        <v>89762</v>
      </c>
      <c r="D404" s="23" t="s">
        <v>25</v>
      </c>
      <c r="E404" s="23" t="s">
        <v>25</v>
      </c>
      <c r="F404" s="24" t="s">
        <v>667</v>
      </c>
      <c r="G404" s="24" t="str">
        <f t="shared" si="13"/>
        <v>MD-FS-F38U   NETS Дверь 38U передняя/задняя для напольного шкафа металлическая перфорированная</v>
      </c>
      <c r="H404" s="25">
        <f>$C$1*       35</f>
        <v>770</v>
      </c>
      <c r="I404" s="26"/>
      <c r="J404" s="27">
        <v>0</v>
      </c>
      <c r="K404" s="28" t="s">
        <v>27</v>
      </c>
      <c r="L404" s="14">
        <f t="shared" si="12"/>
        <v>754.6</v>
      </c>
    </row>
    <row r="405" spans="1:12" ht="10.5" customHeight="1" outlineLevel="1" x14ac:dyDescent="0.25">
      <c r="A405" s="22"/>
      <c r="B405" s="22" t="s">
        <v>24</v>
      </c>
      <c r="C405" s="22">
        <v>89763</v>
      </c>
      <c r="D405" s="23" t="s">
        <v>25</v>
      </c>
      <c r="E405" s="23" t="s">
        <v>25</v>
      </c>
      <c r="F405" s="24" t="s">
        <v>668</v>
      </c>
      <c r="G405" s="24" t="str">
        <f t="shared" si="13"/>
        <v>MD-FS-F42U   NETS Дверь 42U передняя/задняя для напольного шкафа металлическая перфорированная</v>
      </c>
      <c r="H405" s="25">
        <f>$C$1*       42</f>
        <v>924</v>
      </c>
      <c r="I405" s="26"/>
      <c r="J405" s="27">
        <v>0</v>
      </c>
      <c r="K405" s="28" t="s">
        <v>27</v>
      </c>
      <c r="L405" s="14">
        <f t="shared" si="12"/>
        <v>905.52</v>
      </c>
    </row>
    <row r="406" spans="1:12" ht="10.5" customHeight="1" x14ac:dyDescent="0.25">
      <c r="A406" s="15"/>
      <c r="B406" s="16" t="s">
        <v>669</v>
      </c>
      <c r="C406" s="16"/>
      <c r="D406" s="16"/>
      <c r="E406" s="16"/>
      <c r="F406" s="17"/>
      <c r="G406" s="24" t="e">
        <f t="shared" si="13"/>
        <v>#VALUE!</v>
      </c>
      <c r="H406" s="18"/>
      <c r="I406" s="19"/>
      <c r="J406" s="20"/>
      <c r="K406" s="21"/>
      <c r="L406" s="14">
        <f t="shared" si="12"/>
        <v>0</v>
      </c>
    </row>
    <row r="407" spans="1:12" ht="10.5" customHeight="1" outlineLevel="1" x14ac:dyDescent="0.25">
      <c r="A407" s="22"/>
      <c r="B407" s="22" t="s">
        <v>275</v>
      </c>
      <c r="C407" s="22">
        <v>94937</v>
      </c>
      <c r="D407" s="23" t="s">
        <v>670</v>
      </c>
      <c r="E407" s="23" t="s">
        <v>670</v>
      </c>
      <c r="F407" s="24" t="s">
        <v>671</v>
      </c>
      <c r="G407" s="24" t="str">
        <f t="shared" si="13"/>
        <v>Hypernet CM-1U Менеджмент кабеля 1U с крышкой для шкафа или стойки, металл</v>
      </c>
      <c r="H407" s="25">
        <f>$C$1*        5.5</f>
        <v>121</v>
      </c>
      <c r="I407" s="26"/>
      <c r="J407" s="27">
        <v>0</v>
      </c>
      <c r="K407" s="28" t="s">
        <v>27</v>
      </c>
      <c r="L407" s="14">
        <f t="shared" si="12"/>
        <v>118.58</v>
      </c>
    </row>
    <row r="408" spans="1:12" ht="10.5" customHeight="1" outlineLevel="1" x14ac:dyDescent="0.25">
      <c r="A408" s="22"/>
      <c r="B408" s="22" t="s">
        <v>275</v>
      </c>
      <c r="C408" s="22">
        <v>95389</v>
      </c>
      <c r="D408" s="23" t="s">
        <v>672</v>
      </c>
      <c r="E408" s="23" t="s">
        <v>672</v>
      </c>
      <c r="F408" s="24" t="s">
        <v>673</v>
      </c>
      <c r="G408" s="24" t="str">
        <f t="shared" si="13"/>
        <v>Hypernet CM-1U-PC Менеджмент кабеля 1U с крышкой, пластик</v>
      </c>
      <c r="H408" s="25">
        <f>$C$1*        5.5</f>
        <v>121</v>
      </c>
      <c r="I408" s="26"/>
      <c r="J408" s="27">
        <v>0</v>
      </c>
      <c r="K408" s="28"/>
      <c r="L408" s="14">
        <f t="shared" si="12"/>
        <v>118.58</v>
      </c>
    </row>
    <row r="409" spans="1:12" ht="10.5" customHeight="1" outlineLevel="1" x14ac:dyDescent="0.25">
      <c r="A409" s="22"/>
      <c r="B409" s="22" t="s">
        <v>275</v>
      </c>
      <c r="C409" s="22">
        <v>95390</v>
      </c>
      <c r="D409" s="23" t="s">
        <v>674</v>
      </c>
      <c r="E409" s="23" t="s">
        <v>674</v>
      </c>
      <c r="F409" s="24" t="s">
        <v>673</v>
      </c>
      <c r="G409" s="24" t="str">
        <f t="shared" si="13"/>
        <v>Hypernet CM-1U-PF Менеджмент кабеля 1U с крышкой, пластик</v>
      </c>
      <c r="H409" s="25">
        <f>$C$1*        5.5</f>
        <v>121</v>
      </c>
      <c r="I409" s="26"/>
      <c r="J409" s="27">
        <v>0</v>
      </c>
      <c r="K409" s="28" t="s">
        <v>27</v>
      </c>
      <c r="L409" s="14">
        <f t="shared" si="12"/>
        <v>118.58</v>
      </c>
    </row>
    <row r="410" spans="1:12" ht="10.5" customHeight="1" outlineLevel="1" x14ac:dyDescent="0.25">
      <c r="A410" s="22"/>
      <c r="B410" s="22" t="s">
        <v>275</v>
      </c>
      <c r="C410" s="22">
        <v>95388</v>
      </c>
      <c r="D410" s="23" t="s">
        <v>675</v>
      </c>
      <c r="E410" s="23" t="s">
        <v>675</v>
      </c>
      <c r="F410" s="24" t="s">
        <v>676</v>
      </c>
      <c r="G410" s="24" t="str">
        <f t="shared" si="13"/>
        <v>Hypernet CM-2U Менеджмент кабеля 2U с крышкой, металл</v>
      </c>
      <c r="H410" s="25">
        <f>$C$1*        8.25</f>
        <v>181.5</v>
      </c>
      <c r="I410" s="26"/>
      <c r="J410" s="27">
        <v>0</v>
      </c>
      <c r="K410" s="28"/>
      <c r="L410" s="14">
        <f t="shared" si="12"/>
        <v>177.87</v>
      </c>
    </row>
    <row r="411" spans="1:12" ht="10.5" customHeight="1" outlineLevel="1" x14ac:dyDescent="0.25">
      <c r="A411" s="22"/>
      <c r="B411" s="22" t="s">
        <v>275</v>
      </c>
      <c r="C411" s="22">
        <v>94938</v>
      </c>
      <c r="D411" s="23" t="s">
        <v>677</v>
      </c>
      <c r="E411" s="23" t="s">
        <v>677</v>
      </c>
      <c r="F411" s="24" t="s">
        <v>678</v>
      </c>
      <c r="G411" s="24" t="str">
        <f t="shared" si="13"/>
        <v>Hypernet CM-4M Менеджмент кабеля 1U 19" с металлическими кольцами, металл</v>
      </c>
      <c r="H411" s="25">
        <f>$C$1*        2.3</f>
        <v>50.599999999999994</v>
      </c>
      <c r="I411" s="26"/>
      <c r="J411" s="27">
        <v>0</v>
      </c>
      <c r="K411" s="28"/>
      <c r="L411" s="14">
        <f t="shared" si="12"/>
        <v>49.59</v>
      </c>
    </row>
    <row r="412" spans="1:12" ht="10.5" customHeight="1" outlineLevel="1" x14ac:dyDescent="0.25">
      <c r="A412" s="22"/>
      <c r="B412" s="22" t="s">
        <v>275</v>
      </c>
      <c r="C412" s="22">
        <v>94939</v>
      </c>
      <c r="D412" s="23" t="s">
        <v>679</v>
      </c>
      <c r="E412" s="23" t="s">
        <v>679</v>
      </c>
      <c r="F412" s="24" t="s">
        <v>680</v>
      </c>
      <c r="G412" s="24" t="str">
        <f t="shared" si="13"/>
        <v>Hypernet CM-5HP Менеджмент кабеля 19" с 5 пластиковыми кольцами, сквозное отверстие, металл</v>
      </c>
      <c r="H412" s="25">
        <f>$C$1*        2.3</f>
        <v>50.599999999999994</v>
      </c>
      <c r="I412" s="26"/>
      <c r="J412" s="27">
        <v>0</v>
      </c>
      <c r="K412" s="28"/>
      <c r="L412" s="14">
        <f t="shared" si="12"/>
        <v>49.59</v>
      </c>
    </row>
    <row r="413" spans="1:12" ht="10.5" customHeight="1" outlineLevel="1" x14ac:dyDescent="0.25">
      <c r="A413" s="22"/>
      <c r="B413" s="22" t="s">
        <v>275</v>
      </c>
      <c r="C413" s="22">
        <v>94940</v>
      </c>
      <c r="D413" s="23" t="s">
        <v>681</v>
      </c>
      <c r="E413" s="23" t="s">
        <v>681</v>
      </c>
      <c r="F413" s="24" t="s">
        <v>682</v>
      </c>
      <c r="G413" s="24" t="str">
        <f t="shared" si="13"/>
        <v>Hypernet CM-5P Менеджмент кабеля 19" 5 пластиковых колец 1U, металл</v>
      </c>
      <c r="H413" s="25">
        <f>$C$1*        6.05</f>
        <v>133.1</v>
      </c>
      <c r="I413" s="26"/>
      <c r="J413" s="27">
        <v>0</v>
      </c>
      <c r="K413" s="28"/>
      <c r="L413" s="14">
        <f t="shared" si="12"/>
        <v>130.44</v>
      </c>
    </row>
    <row r="414" spans="1:12" ht="10.5" customHeight="1" outlineLevel="1" x14ac:dyDescent="0.25">
      <c r="A414" s="22"/>
      <c r="B414" s="22" t="s">
        <v>275</v>
      </c>
      <c r="C414" s="22">
        <v>95750</v>
      </c>
      <c r="D414" s="23" t="s">
        <v>683</v>
      </c>
      <c r="E414" s="23" t="s">
        <v>683</v>
      </c>
      <c r="F414" s="24" t="s">
        <v>684</v>
      </c>
      <c r="G414" s="24" t="str">
        <f t="shared" si="13"/>
        <v>Hypernet CM-PP Менеджмент кабеля 19" для неэкранированных патч-панелей, металл</v>
      </c>
      <c r="H414" s="25">
        <f>$C$1*        3.5</f>
        <v>77</v>
      </c>
      <c r="I414" s="26"/>
      <c r="J414" s="27">
        <v>0</v>
      </c>
      <c r="K414" s="28" t="s">
        <v>27</v>
      </c>
      <c r="L414" s="14">
        <f t="shared" si="12"/>
        <v>75.459999999999994</v>
      </c>
    </row>
    <row r="415" spans="1:12" ht="10.5" customHeight="1" outlineLevel="1" x14ac:dyDescent="0.25">
      <c r="A415" s="22"/>
      <c r="B415" s="22" t="s">
        <v>275</v>
      </c>
      <c r="C415" s="22">
        <v>95452</v>
      </c>
      <c r="D415" s="23" t="s">
        <v>685</v>
      </c>
      <c r="E415" s="23" t="s">
        <v>685</v>
      </c>
      <c r="F415" s="24" t="s">
        <v>686</v>
      </c>
      <c r="G415" s="24" t="str">
        <f t="shared" si="13"/>
        <v>Hypernet CMR-PR Менеджмент кабеля, пластиковое кольцо, центральная фиксация</v>
      </c>
      <c r="H415" s="25">
        <f>$C$1*        0.11</f>
        <v>2.42</v>
      </c>
      <c r="I415" s="26"/>
      <c r="J415" s="27">
        <v>0</v>
      </c>
      <c r="K415" s="28" t="s">
        <v>27</v>
      </c>
      <c r="L415" s="14">
        <f t="shared" si="12"/>
        <v>2.37</v>
      </c>
    </row>
    <row r="416" spans="1:12" ht="10.5" customHeight="1" outlineLevel="1" x14ac:dyDescent="0.25">
      <c r="A416" s="22"/>
      <c r="B416" s="22" t="s">
        <v>275</v>
      </c>
      <c r="C416" s="22">
        <v>96440</v>
      </c>
      <c r="D416" s="23" t="s">
        <v>687</v>
      </c>
      <c r="E416" s="23" t="s">
        <v>687</v>
      </c>
      <c r="F416" s="24" t="s">
        <v>688</v>
      </c>
      <c r="G416" s="24" t="str">
        <f t="shared" si="13"/>
        <v>Hypernet CMV-48U Менджмент кабеля 48U вертикальный</v>
      </c>
      <c r="H416" s="25">
        <f>$C$1*       27</f>
        <v>594</v>
      </c>
      <c r="I416" s="26"/>
      <c r="J416" s="27">
        <v>0</v>
      </c>
      <c r="K416" s="28" t="s">
        <v>27</v>
      </c>
      <c r="L416" s="14">
        <f t="shared" si="12"/>
        <v>582.12</v>
      </c>
    </row>
    <row r="417" spans="1:12" ht="10.5" customHeight="1" outlineLevel="1" x14ac:dyDescent="0.25">
      <c r="A417" s="22"/>
      <c r="B417" s="22" t="s">
        <v>24</v>
      </c>
      <c r="C417" s="22">
        <v>87004</v>
      </c>
      <c r="D417" s="23" t="s">
        <v>25</v>
      </c>
      <c r="E417" s="23" t="s">
        <v>25</v>
      </c>
      <c r="F417" s="24" t="s">
        <v>689</v>
      </c>
      <c r="G417" s="24" t="str">
        <f t="shared" si="13"/>
        <v>NETS-CM-10   Net's Менеджмент кабеля 10" 1U, металл</v>
      </c>
      <c r="H417" s="25">
        <f>$C$1*        4</f>
        <v>88</v>
      </c>
      <c r="I417" s="26"/>
      <c r="J417" s="27">
        <v>0</v>
      </c>
      <c r="K417" s="28" t="s">
        <v>27</v>
      </c>
      <c r="L417" s="14">
        <f t="shared" si="12"/>
        <v>86.24</v>
      </c>
    </row>
    <row r="418" spans="1:12" ht="10.5" customHeight="1" x14ac:dyDescent="0.25">
      <c r="A418" s="15"/>
      <c r="B418" s="16" t="s">
        <v>690</v>
      </c>
      <c r="C418" s="16"/>
      <c r="D418" s="16"/>
      <c r="E418" s="16"/>
      <c r="F418" s="17"/>
      <c r="G418" s="24" t="e">
        <f t="shared" si="13"/>
        <v>#VALUE!</v>
      </c>
      <c r="H418" s="18"/>
      <c r="I418" s="19"/>
      <c r="J418" s="20"/>
      <c r="K418" s="21"/>
      <c r="L418" s="14">
        <f t="shared" si="12"/>
        <v>0</v>
      </c>
    </row>
    <row r="419" spans="1:12" ht="10.5" customHeight="1" outlineLevel="1" x14ac:dyDescent="0.25">
      <c r="A419" s="22"/>
      <c r="B419" s="22" t="s">
        <v>275</v>
      </c>
      <c r="C419" s="22">
        <v>95698</v>
      </c>
      <c r="D419" s="23" t="s">
        <v>691</v>
      </c>
      <c r="E419" s="23" t="s">
        <v>691</v>
      </c>
      <c r="F419" s="24" t="s">
        <v>692</v>
      </c>
      <c r="G419" s="24" t="str">
        <f t="shared" si="13"/>
        <v>Hypernet DYN-CMV-32U Менджмент кабеля 32U вертикальный сетчатый, комплект 2 шт (прав/лев)</v>
      </c>
      <c r="H419" s="25">
        <f>$C$1*       80.85</f>
        <v>1778.6999999999998</v>
      </c>
      <c r="I419" s="26"/>
      <c r="J419" s="27">
        <v>0</v>
      </c>
      <c r="K419" s="28" t="s">
        <v>27</v>
      </c>
      <c r="L419" s="14">
        <f t="shared" si="12"/>
        <v>1743.13</v>
      </c>
    </row>
    <row r="420" spans="1:12" ht="10.5" customHeight="1" outlineLevel="1" x14ac:dyDescent="0.25">
      <c r="A420" s="22"/>
      <c r="B420" s="22" t="s">
        <v>275</v>
      </c>
      <c r="C420" s="22">
        <v>95699</v>
      </c>
      <c r="D420" s="23" t="s">
        <v>693</v>
      </c>
      <c r="E420" s="23" t="s">
        <v>693</v>
      </c>
      <c r="F420" s="24" t="s">
        <v>694</v>
      </c>
      <c r="G420" s="24" t="str">
        <f t="shared" si="13"/>
        <v>Hypernet DYN-CMV-36U Менджмент кабеля 36U вертикальный сетчатый, комплект 2 шт (прав/лев)</v>
      </c>
      <c r="H420" s="25">
        <f>$C$1*       85.47</f>
        <v>1880.34</v>
      </c>
      <c r="I420" s="26"/>
      <c r="J420" s="27">
        <v>0</v>
      </c>
      <c r="K420" s="28"/>
      <c r="L420" s="14">
        <f t="shared" si="12"/>
        <v>1842.73</v>
      </c>
    </row>
    <row r="421" spans="1:12" ht="10.5" customHeight="1" outlineLevel="1" x14ac:dyDescent="0.25">
      <c r="A421" s="22"/>
      <c r="B421" s="22" t="s">
        <v>275</v>
      </c>
      <c r="C421" s="22">
        <v>95700</v>
      </c>
      <c r="D421" s="23" t="s">
        <v>695</v>
      </c>
      <c r="E421" s="23" t="s">
        <v>695</v>
      </c>
      <c r="F421" s="24" t="s">
        <v>696</v>
      </c>
      <c r="G421" s="24" t="str">
        <f t="shared" si="13"/>
        <v>Hypernet DYN-CMV-42U Менджмент кабеля 42U вертикальный сетчатый, комплект 2 шт (прав/лев)</v>
      </c>
      <c r="H421" s="25">
        <f>$C$1*       90.09</f>
        <v>1981.98</v>
      </c>
      <c r="I421" s="26"/>
      <c r="J421" s="27">
        <v>0</v>
      </c>
      <c r="K421" s="28" t="s">
        <v>27</v>
      </c>
      <c r="L421" s="14">
        <f t="shared" si="12"/>
        <v>1942.34</v>
      </c>
    </row>
    <row r="422" spans="1:12" ht="10.5" customHeight="1" outlineLevel="1" x14ac:dyDescent="0.25">
      <c r="A422" s="22"/>
      <c r="B422" s="22" t="s">
        <v>275</v>
      </c>
      <c r="C422" s="22">
        <v>95701</v>
      </c>
      <c r="D422" s="23" t="s">
        <v>697</v>
      </c>
      <c r="E422" s="23" t="s">
        <v>697</v>
      </c>
      <c r="F422" s="24" t="s">
        <v>698</v>
      </c>
      <c r="G422" s="24" t="str">
        <f t="shared" si="13"/>
        <v>Hypernet DYN-CMV-47U Менджмент кабеля 47U вертикальный сетчатый, комплект 2 шт (прав/лев)</v>
      </c>
      <c r="H422" s="25">
        <f>$C$1*       94.71</f>
        <v>2083.62</v>
      </c>
      <c r="I422" s="26"/>
      <c r="J422" s="27">
        <v>0</v>
      </c>
      <c r="K422" s="28"/>
      <c r="L422" s="14">
        <f t="shared" si="12"/>
        <v>2041.95</v>
      </c>
    </row>
    <row r="423" spans="1:12" ht="10.5" customHeight="1" x14ac:dyDescent="0.25">
      <c r="A423" s="15"/>
      <c r="B423" s="16" t="s">
        <v>699</v>
      </c>
      <c r="C423" s="16"/>
      <c r="D423" s="16"/>
      <c r="E423" s="16"/>
      <c r="F423" s="17"/>
      <c r="G423" s="24" t="e">
        <f t="shared" si="13"/>
        <v>#VALUE!</v>
      </c>
      <c r="H423" s="18"/>
      <c r="I423" s="19"/>
      <c r="J423" s="20"/>
      <c r="K423" s="21"/>
      <c r="L423" s="14">
        <f t="shared" si="12"/>
        <v>0</v>
      </c>
    </row>
    <row r="424" spans="1:12" ht="10.5" customHeight="1" outlineLevel="1" x14ac:dyDescent="0.25">
      <c r="A424" s="22"/>
      <c r="B424" s="22" t="s">
        <v>275</v>
      </c>
      <c r="C424" s="22">
        <v>95298</v>
      </c>
      <c r="D424" s="23" t="s">
        <v>700</v>
      </c>
      <c r="E424" s="23" t="s">
        <v>700</v>
      </c>
      <c r="F424" s="24" t="s">
        <v>701</v>
      </c>
      <c r="G424" s="24" t="str">
        <f t="shared" si="13"/>
        <v>Hypernet DYN-CS-RA Адаптер для крепления задней части консольной полки, комплект 2 шт</v>
      </c>
      <c r="H424" s="25">
        <f>$C$1*        3.46</f>
        <v>76.12</v>
      </c>
      <c r="I424" s="26"/>
      <c r="J424" s="27">
        <v>0</v>
      </c>
      <c r="K424" s="28" t="s">
        <v>27</v>
      </c>
      <c r="L424" s="14">
        <f t="shared" si="12"/>
        <v>74.599999999999994</v>
      </c>
    </row>
    <row r="425" spans="1:12" ht="10.5" customHeight="1" outlineLevel="1" x14ac:dyDescent="0.25">
      <c r="A425" s="22"/>
      <c r="B425" s="22" t="s">
        <v>275</v>
      </c>
      <c r="C425" s="22">
        <v>95264</v>
      </c>
      <c r="D425" s="23" t="s">
        <v>702</v>
      </c>
      <c r="E425" s="23" t="s">
        <v>702</v>
      </c>
      <c r="F425" s="24" t="s">
        <v>703</v>
      </c>
      <c r="G425" s="24" t="str">
        <f t="shared" si="13"/>
        <v>Hypernet DYN-FS-100 Полка для шкафа на 4 точки, глубина 1000 (770 мм)</v>
      </c>
      <c r="H425" s="25">
        <f>$C$1*       20.79</f>
        <v>457.38</v>
      </c>
      <c r="I425" s="26"/>
      <c r="J425" s="27">
        <v>0</v>
      </c>
      <c r="K425" s="28" t="s">
        <v>27</v>
      </c>
      <c r="L425" s="14">
        <f t="shared" si="12"/>
        <v>448.23</v>
      </c>
    </row>
    <row r="426" spans="1:12" ht="10.5" customHeight="1" outlineLevel="1" x14ac:dyDescent="0.25">
      <c r="A426" s="22"/>
      <c r="B426" s="22" t="s">
        <v>275</v>
      </c>
      <c r="C426" s="22">
        <v>95262</v>
      </c>
      <c r="D426" s="23" t="s">
        <v>704</v>
      </c>
      <c r="E426" s="23" t="s">
        <v>704</v>
      </c>
      <c r="F426" s="24" t="s">
        <v>705</v>
      </c>
      <c r="G426" s="24" t="str">
        <f t="shared" si="13"/>
        <v>Hypernet DYN-FS-60 Полка для шкафа на 4 точки, глубина 600 (370 мм)</v>
      </c>
      <c r="H426" s="25">
        <f>$C$1*       11.55</f>
        <v>254.10000000000002</v>
      </c>
      <c r="I426" s="26"/>
      <c r="J426" s="27">
        <v>0</v>
      </c>
      <c r="K426" s="28" t="s">
        <v>27</v>
      </c>
      <c r="L426" s="14">
        <f t="shared" si="12"/>
        <v>249.02</v>
      </c>
    </row>
    <row r="427" spans="1:12" ht="10.5" customHeight="1" outlineLevel="1" x14ac:dyDescent="0.25">
      <c r="A427" s="22"/>
      <c r="B427" s="22" t="s">
        <v>275</v>
      </c>
      <c r="C427" s="22">
        <v>95263</v>
      </c>
      <c r="D427" s="23" t="s">
        <v>706</v>
      </c>
      <c r="E427" s="23" t="s">
        <v>706</v>
      </c>
      <c r="F427" s="24" t="s">
        <v>707</v>
      </c>
      <c r="G427" s="24" t="str">
        <f t="shared" si="13"/>
        <v>Hypernet DYN-FS-80 Полка для шкафа на 4 точки, глубина 800 (570 мм)</v>
      </c>
      <c r="H427" s="25">
        <f>$C$1*       13.86</f>
        <v>304.91999999999996</v>
      </c>
      <c r="I427" s="26"/>
      <c r="J427" s="27">
        <v>0</v>
      </c>
      <c r="K427" s="28" t="s">
        <v>27</v>
      </c>
      <c r="L427" s="14">
        <f t="shared" si="12"/>
        <v>298.82</v>
      </c>
    </row>
    <row r="428" spans="1:12" ht="10.5" customHeight="1" outlineLevel="1" x14ac:dyDescent="0.25">
      <c r="A428" s="22"/>
      <c r="B428" s="22" t="s">
        <v>275</v>
      </c>
      <c r="C428" s="22">
        <v>95737</v>
      </c>
      <c r="D428" s="23" t="s">
        <v>708</v>
      </c>
      <c r="E428" s="23" t="s">
        <v>708</v>
      </c>
      <c r="F428" s="24" t="s">
        <v>709</v>
      </c>
      <c r="G428" s="24" t="str">
        <f t="shared" si="13"/>
        <v>Hypernet DYN-SD-1U Ящик-полка для клавиатуры и документов 1U глубина 400мм</v>
      </c>
      <c r="H428" s="25">
        <f>$C$1*       71.5</f>
        <v>1573</v>
      </c>
      <c r="I428" s="26"/>
      <c r="J428" s="27">
        <v>0</v>
      </c>
      <c r="K428" s="28" t="s">
        <v>27</v>
      </c>
      <c r="L428" s="14">
        <f t="shared" si="12"/>
        <v>1541.54</v>
      </c>
    </row>
    <row r="429" spans="1:12" ht="10.5" customHeight="1" outlineLevel="1" x14ac:dyDescent="0.25">
      <c r="A429" s="22"/>
      <c r="B429" s="22" t="s">
        <v>275</v>
      </c>
      <c r="C429" s="22">
        <v>95738</v>
      </c>
      <c r="D429" s="23" t="s">
        <v>710</v>
      </c>
      <c r="E429" s="23" t="s">
        <v>710</v>
      </c>
      <c r="F429" s="24" t="s">
        <v>711</v>
      </c>
      <c r="G429" s="24" t="str">
        <f t="shared" si="13"/>
        <v>Hypernet DYN-SD-2U Ящик-полка для клавиатуры и документов 2U глубина 400мм</v>
      </c>
      <c r="H429" s="25">
        <f>$C$1*       77</f>
        <v>1694</v>
      </c>
      <c r="I429" s="26"/>
      <c r="J429" s="27">
        <v>0</v>
      </c>
      <c r="K429" s="28"/>
      <c r="L429" s="14">
        <f t="shared" si="12"/>
        <v>1660.12</v>
      </c>
    </row>
    <row r="430" spans="1:12" ht="10.5" customHeight="1" outlineLevel="1" x14ac:dyDescent="0.25">
      <c r="A430" s="22"/>
      <c r="B430" s="22" t="s">
        <v>275</v>
      </c>
      <c r="C430" s="22">
        <v>95268</v>
      </c>
      <c r="D430" s="23" t="s">
        <v>712</v>
      </c>
      <c r="E430" s="23" t="s">
        <v>712</v>
      </c>
      <c r="F430" s="24" t="s">
        <v>713</v>
      </c>
      <c r="G430" s="24" t="str">
        <f t="shared" si="13"/>
        <v>Hypernet DYN-SS-60 Полка выдвижная глубиной 600 (370) до 30 кг</v>
      </c>
      <c r="H430" s="25">
        <f>$C$1*       28.87</f>
        <v>635.14</v>
      </c>
      <c r="I430" s="26"/>
      <c r="J430" s="27">
        <v>0</v>
      </c>
      <c r="K430" s="28" t="s">
        <v>27</v>
      </c>
      <c r="L430" s="14">
        <f t="shared" si="12"/>
        <v>622.44000000000005</v>
      </c>
    </row>
    <row r="431" spans="1:12" ht="10.5" customHeight="1" outlineLevel="1" x14ac:dyDescent="0.25">
      <c r="A431" s="22"/>
      <c r="B431" s="22" t="s">
        <v>275</v>
      </c>
      <c r="C431" s="22">
        <v>95311</v>
      </c>
      <c r="D431" s="23" t="s">
        <v>714</v>
      </c>
      <c r="E431" s="23" t="s">
        <v>714</v>
      </c>
      <c r="F431" s="24" t="s">
        <v>715</v>
      </c>
      <c r="G431" s="24" t="str">
        <f t="shared" si="13"/>
        <v>Hypernet DYN-SS-80 Полка выдвижная глубиной 800 (570) до 30 кг</v>
      </c>
      <c r="H431" s="25">
        <f>$C$1*       33.49</f>
        <v>736.78000000000009</v>
      </c>
      <c r="I431" s="26"/>
      <c r="J431" s="27">
        <v>0</v>
      </c>
      <c r="K431" s="28" t="s">
        <v>27</v>
      </c>
      <c r="L431" s="14">
        <f t="shared" si="12"/>
        <v>722.04</v>
      </c>
    </row>
    <row r="432" spans="1:12" ht="10.5" customHeight="1" x14ac:dyDescent="0.25">
      <c r="A432" s="15"/>
      <c r="B432" s="16" t="s">
        <v>716</v>
      </c>
      <c r="C432" s="16"/>
      <c r="D432" s="16"/>
      <c r="E432" s="16"/>
      <c r="F432" s="17"/>
      <c r="G432" s="24" t="e">
        <f t="shared" si="13"/>
        <v>#VALUE!</v>
      </c>
      <c r="H432" s="18"/>
      <c r="I432" s="19"/>
      <c r="J432" s="20"/>
      <c r="K432" s="21"/>
      <c r="L432" s="14">
        <f t="shared" si="12"/>
        <v>0</v>
      </c>
    </row>
    <row r="433" spans="1:12" ht="10.5" customHeight="1" outlineLevel="1" x14ac:dyDescent="0.25">
      <c r="A433" s="22"/>
      <c r="B433" s="22" t="s">
        <v>275</v>
      </c>
      <c r="C433" s="22">
        <v>94872</v>
      </c>
      <c r="D433" s="23" t="s">
        <v>717</v>
      </c>
      <c r="E433" s="23" t="s">
        <v>717</v>
      </c>
      <c r="F433" s="24" t="s">
        <v>718</v>
      </c>
      <c r="G433" s="24" t="str">
        <f t="shared" si="13"/>
        <v>Hypernet FS-100 Полка для напольного шкафа глубиной 1000 (750)</v>
      </c>
      <c r="H433" s="25">
        <f>$C$1*       22</f>
        <v>484</v>
      </c>
      <c r="I433" s="26"/>
      <c r="J433" s="27">
        <v>0</v>
      </c>
      <c r="K433" s="28" t="s">
        <v>27</v>
      </c>
      <c r="L433" s="14">
        <f t="shared" si="12"/>
        <v>474.32</v>
      </c>
    </row>
    <row r="434" spans="1:12" ht="10.5" customHeight="1" outlineLevel="1" x14ac:dyDescent="0.25">
      <c r="A434" s="22"/>
      <c r="B434" s="22" t="s">
        <v>275</v>
      </c>
      <c r="C434" s="22">
        <v>94873</v>
      </c>
      <c r="D434" s="23" t="s">
        <v>719</v>
      </c>
      <c r="E434" s="23" t="s">
        <v>719</v>
      </c>
      <c r="F434" s="24" t="s">
        <v>720</v>
      </c>
      <c r="G434" s="24" t="str">
        <f t="shared" si="13"/>
        <v>Hypernet FS-45 Полка для настенного шкафа, глубина 450 (300 мм)</v>
      </c>
      <c r="H434" s="25">
        <f>$C$1*       10.45</f>
        <v>229.89999999999998</v>
      </c>
      <c r="I434" s="26"/>
      <c r="J434" s="27">
        <v>0</v>
      </c>
      <c r="K434" s="28" t="s">
        <v>27</v>
      </c>
      <c r="L434" s="14">
        <f t="shared" si="12"/>
        <v>225.3</v>
      </c>
    </row>
    <row r="435" spans="1:12" ht="10.5" customHeight="1" outlineLevel="1" x14ac:dyDescent="0.25">
      <c r="A435" s="22"/>
      <c r="B435" s="22" t="s">
        <v>275</v>
      </c>
      <c r="C435" s="22">
        <v>94874</v>
      </c>
      <c r="D435" s="23" t="s">
        <v>721</v>
      </c>
      <c r="E435" s="23" t="s">
        <v>721</v>
      </c>
      <c r="F435" s="24" t="s">
        <v>722</v>
      </c>
      <c r="G435" s="24" t="str">
        <f t="shared" si="13"/>
        <v>Hypernet FS-60 Полка для шкафа, глубина 600 (350 мм)</v>
      </c>
      <c r="H435" s="25">
        <f>$C$1*       12.65</f>
        <v>278.3</v>
      </c>
      <c r="I435" s="26"/>
      <c r="J435" s="27">
        <v>0</v>
      </c>
      <c r="K435" s="28" t="s">
        <v>27</v>
      </c>
      <c r="L435" s="14">
        <f t="shared" si="12"/>
        <v>272.73</v>
      </c>
    </row>
    <row r="436" spans="1:12" ht="10.5" customHeight="1" outlineLevel="1" x14ac:dyDescent="0.25">
      <c r="A436" s="22"/>
      <c r="B436" s="22" t="s">
        <v>275</v>
      </c>
      <c r="C436" s="22">
        <v>94875</v>
      </c>
      <c r="D436" s="23" t="s">
        <v>723</v>
      </c>
      <c r="E436" s="23" t="s">
        <v>723</v>
      </c>
      <c r="F436" s="24" t="s">
        <v>724</v>
      </c>
      <c r="G436" s="24" t="str">
        <f t="shared" si="13"/>
        <v>Hypernet FS-80 Полка для напольного шкафа, глубина 800 (600 мм)</v>
      </c>
      <c r="H436" s="25">
        <f>$C$1*       13.2</f>
        <v>290.39999999999998</v>
      </c>
      <c r="I436" s="26"/>
      <c r="J436" s="27">
        <v>0</v>
      </c>
      <c r="K436" s="28" t="s">
        <v>27</v>
      </c>
      <c r="L436" s="14">
        <f t="shared" si="12"/>
        <v>284.58999999999997</v>
      </c>
    </row>
    <row r="437" spans="1:12" ht="10.5" customHeight="1" outlineLevel="1" x14ac:dyDescent="0.25">
      <c r="A437" s="22"/>
      <c r="B437" s="22" t="s">
        <v>275</v>
      </c>
      <c r="C437" s="22">
        <v>94898</v>
      </c>
      <c r="D437" s="23" t="s">
        <v>725</v>
      </c>
      <c r="E437" s="23" t="s">
        <v>725</v>
      </c>
      <c r="F437" s="24" t="s">
        <v>726</v>
      </c>
      <c r="G437" s="24" t="str">
        <f t="shared" si="13"/>
        <v>Hypernet SS-100 Полка выдвижная для напольного шкафа, глубина 1000</v>
      </c>
      <c r="H437" s="25">
        <f>$C$1*       26.4</f>
        <v>580.79999999999995</v>
      </c>
      <c r="I437" s="26"/>
      <c r="J437" s="27">
        <v>0</v>
      </c>
      <c r="K437" s="28" t="s">
        <v>27</v>
      </c>
      <c r="L437" s="14">
        <f t="shared" si="12"/>
        <v>569.17999999999995</v>
      </c>
    </row>
    <row r="438" spans="1:12" ht="10.5" customHeight="1" outlineLevel="1" x14ac:dyDescent="0.25">
      <c r="A438" s="22"/>
      <c r="B438" s="22" t="s">
        <v>275</v>
      </c>
      <c r="C438" s="22">
        <v>94896</v>
      </c>
      <c r="D438" s="23" t="s">
        <v>727</v>
      </c>
      <c r="E438" s="23" t="s">
        <v>727</v>
      </c>
      <c r="F438" s="24" t="s">
        <v>728</v>
      </c>
      <c r="G438" s="24" t="str">
        <f t="shared" si="13"/>
        <v>Hypernet SS-60 Полка выдвижная для напольного шкафа, глубина 600</v>
      </c>
      <c r="H438" s="25">
        <f>$C$1*       20.9</f>
        <v>459.79999999999995</v>
      </c>
      <c r="I438" s="26"/>
      <c r="J438" s="27">
        <v>0</v>
      </c>
      <c r="K438" s="28" t="s">
        <v>27</v>
      </c>
      <c r="L438" s="14">
        <f t="shared" si="12"/>
        <v>450.6</v>
      </c>
    </row>
    <row r="439" spans="1:12" ht="10.5" customHeight="1" outlineLevel="1" x14ac:dyDescent="0.25">
      <c r="A439" s="22"/>
      <c r="B439" s="22" t="s">
        <v>275</v>
      </c>
      <c r="C439" s="22">
        <v>94897</v>
      </c>
      <c r="D439" s="23" t="s">
        <v>729</v>
      </c>
      <c r="E439" s="23" t="s">
        <v>729</v>
      </c>
      <c r="F439" s="24" t="s">
        <v>730</v>
      </c>
      <c r="G439" s="24" t="str">
        <f t="shared" si="13"/>
        <v>Hypernet SS-80 Полка выдвижная для напольного шкафа, глубина 800</v>
      </c>
      <c r="H439" s="25">
        <f>$C$1*       27.5</f>
        <v>605</v>
      </c>
      <c r="I439" s="26"/>
      <c r="J439" s="27">
        <v>0</v>
      </c>
      <c r="K439" s="28" t="s">
        <v>27</v>
      </c>
      <c r="L439" s="14">
        <f t="shared" si="12"/>
        <v>592.9</v>
      </c>
    </row>
    <row r="440" spans="1:12" ht="10.5" customHeight="1" x14ac:dyDescent="0.25">
      <c r="A440" s="15"/>
      <c r="B440" s="16" t="s">
        <v>731</v>
      </c>
      <c r="C440" s="16"/>
      <c r="D440" s="16"/>
      <c r="E440" s="16"/>
      <c r="F440" s="17"/>
      <c r="G440" s="24" t="e">
        <f t="shared" si="13"/>
        <v>#VALUE!</v>
      </c>
      <c r="H440" s="18"/>
      <c r="I440" s="19"/>
      <c r="J440" s="20"/>
      <c r="K440" s="21"/>
      <c r="L440" s="14">
        <f t="shared" si="12"/>
        <v>0</v>
      </c>
    </row>
    <row r="441" spans="1:12" ht="10.5" customHeight="1" outlineLevel="1" x14ac:dyDescent="0.25">
      <c r="A441" s="22"/>
      <c r="B441" s="22" t="s">
        <v>275</v>
      </c>
      <c r="C441" s="22">
        <v>96545</v>
      </c>
      <c r="D441" s="23" t="s">
        <v>732</v>
      </c>
      <c r="E441" s="23" t="s">
        <v>732</v>
      </c>
      <c r="F441" s="24" t="s">
        <v>733</v>
      </c>
      <c r="G441" s="24" t="str">
        <f t="shared" si="13"/>
        <v>Hypernet CS-280-1U Полка консольная для напольного шкафа, глубина 280мм, 1U</v>
      </c>
      <c r="H441" s="25">
        <f>$C$1*        6.2</f>
        <v>136.4</v>
      </c>
      <c r="I441" s="26"/>
      <c r="J441" s="27">
        <v>0</v>
      </c>
      <c r="K441" s="28" t="s">
        <v>27</v>
      </c>
      <c r="L441" s="14">
        <f t="shared" si="12"/>
        <v>133.66999999999999</v>
      </c>
    </row>
    <row r="442" spans="1:12" ht="10.5" customHeight="1" outlineLevel="1" x14ac:dyDescent="0.25">
      <c r="A442" s="22"/>
      <c r="B442" s="22" t="s">
        <v>275</v>
      </c>
      <c r="C442" s="22">
        <v>95629</v>
      </c>
      <c r="D442" s="23" t="s">
        <v>734</v>
      </c>
      <c r="E442" s="23" t="s">
        <v>734</v>
      </c>
      <c r="F442" s="24" t="s">
        <v>735</v>
      </c>
      <c r="G442" s="24" t="str">
        <f t="shared" si="13"/>
        <v>Hypernet CS-400-2U Полка консольная для шкафа, глубина 400мм, 2U</v>
      </c>
      <c r="H442" s="25">
        <f>$C$1*        8.5</f>
        <v>187</v>
      </c>
      <c r="I442" s="26"/>
      <c r="J442" s="27">
        <v>0</v>
      </c>
      <c r="K442" s="28" t="s">
        <v>27</v>
      </c>
      <c r="L442" s="14">
        <f t="shared" si="12"/>
        <v>183.26</v>
      </c>
    </row>
    <row r="443" spans="1:12" ht="10.5" customHeight="1" outlineLevel="1" x14ac:dyDescent="0.25">
      <c r="A443" s="22"/>
      <c r="B443" s="22" t="s">
        <v>275</v>
      </c>
      <c r="C443" s="22">
        <v>95295</v>
      </c>
      <c r="D443" s="23" t="s">
        <v>736</v>
      </c>
      <c r="E443" s="23" t="s">
        <v>736</v>
      </c>
      <c r="F443" s="24" t="s">
        <v>737</v>
      </c>
      <c r="G443" s="24" t="str">
        <f t="shared" si="13"/>
        <v>Hypernet DYN-CS-250-1U Полка консольная 1U 19" глубина 250мм, нагрузка 30 кг</v>
      </c>
      <c r="H443" s="25">
        <f>$C$1*       11.99</f>
        <v>263.78000000000003</v>
      </c>
      <c r="I443" s="26"/>
      <c r="J443" s="27">
        <v>0</v>
      </c>
      <c r="K443" s="28"/>
      <c r="L443" s="14">
        <f t="shared" si="12"/>
        <v>258.5</v>
      </c>
    </row>
    <row r="444" spans="1:12" ht="10.5" customHeight="1" outlineLevel="1" x14ac:dyDescent="0.25">
      <c r="A444" s="22"/>
      <c r="B444" s="22" t="s">
        <v>275</v>
      </c>
      <c r="C444" s="22">
        <v>95297</v>
      </c>
      <c r="D444" s="23" t="s">
        <v>738</v>
      </c>
      <c r="E444" s="23" t="s">
        <v>738</v>
      </c>
      <c r="F444" s="24" t="s">
        <v>739</v>
      </c>
      <c r="G444" s="24" t="str">
        <f t="shared" si="13"/>
        <v>Hypernet DYN-CS-350-2U Полка консольная 2U 19" глубина 350мм, нагрузка 30 кг</v>
      </c>
      <c r="H444" s="25">
        <f>$C$1*       18.48</f>
        <v>406.56</v>
      </c>
      <c r="I444" s="26"/>
      <c r="J444" s="27">
        <v>0</v>
      </c>
      <c r="K444" s="28"/>
      <c r="L444" s="14">
        <f t="shared" si="12"/>
        <v>398.43</v>
      </c>
    </row>
    <row r="445" spans="1:12" ht="10.5" customHeight="1" outlineLevel="1" x14ac:dyDescent="0.25">
      <c r="A445" s="22"/>
      <c r="B445" s="22" t="s">
        <v>275</v>
      </c>
      <c r="C445" s="22">
        <v>95296</v>
      </c>
      <c r="D445" s="23" t="s">
        <v>740</v>
      </c>
      <c r="E445" s="23" t="s">
        <v>740</v>
      </c>
      <c r="F445" s="24" t="s">
        <v>741</v>
      </c>
      <c r="G445" s="24" t="str">
        <f t="shared" si="13"/>
        <v>Hypernet DYN-CS-400-1U Полка консольная 1U 19" глубина 400мм, нагрузка 30 кг</v>
      </c>
      <c r="H445" s="25">
        <f>$C$1*       17.6</f>
        <v>387.20000000000005</v>
      </c>
      <c r="I445" s="26"/>
      <c r="J445" s="27">
        <v>0</v>
      </c>
      <c r="K445" s="28"/>
      <c r="L445" s="14">
        <f t="shared" si="12"/>
        <v>379.46</v>
      </c>
    </row>
    <row r="446" spans="1:12" ht="10.5" customHeight="1" outlineLevel="1" x14ac:dyDescent="0.25">
      <c r="A446" s="22"/>
      <c r="B446" s="22" t="s">
        <v>275</v>
      </c>
      <c r="C446" s="22">
        <v>95736</v>
      </c>
      <c r="D446" s="23" t="s">
        <v>742</v>
      </c>
      <c r="E446" s="23" t="s">
        <v>742</v>
      </c>
      <c r="F446" s="24" t="s">
        <v>743</v>
      </c>
      <c r="G446" s="24" t="str">
        <f t="shared" si="13"/>
        <v>Hypernet DYN-FS-80-HD Полка универсальная глубиной 800 усиленная на 4 точки для шкафа</v>
      </c>
      <c r="H446" s="25">
        <f>$C$1*       50.82</f>
        <v>1118.04</v>
      </c>
      <c r="I446" s="26"/>
      <c r="J446" s="27">
        <v>0</v>
      </c>
      <c r="K446" s="28" t="s">
        <v>27</v>
      </c>
      <c r="L446" s="14">
        <f t="shared" si="12"/>
        <v>1095.68</v>
      </c>
    </row>
    <row r="447" spans="1:12" ht="10.5" customHeight="1" outlineLevel="1" x14ac:dyDescent="0.25">
      <c r="A447" s="22"/>
      <c r="B447" s="22" t="s">
        <v>275</v>
      </c>
      <c r="C447" s="22">
        <v>95301</v>
      </c>
      <c r="D447" s="23" t="s">
        <v>744</v>
      </c>
      <c r="E447" s="23" t="s">
        <v>744</v>
      </c>
      <c r="F447" s="24" t="s">
        <v>745</v>
      </c>
      <c r="G447" s="24" t="str">
        <f t="shared" si="13"/>
        <v>Hypernet DYN-LS-100  Направляющие (комплект 2 штуки) для шкафа глубиной 1000, размер 720мм</v>
      </c>
      <c r="H447" s="25">
        <f>$C$1*       13.86</f>
        <v>304.91999999999996</v>
      </c>
      <c r="I447" s="26"/>
      <c r="J447" s="27">
        <v>0</v>
      </c>
      <c r="K447" s="28"/>
      <c r="L447" s="14">
        <f t="shared" si="12"/>
        <v>298.82</v>
      </c>
    </row>
    <row r="448" spans="1:12" ht="10.5" customHeight="1" outlineLevel="1" x14ac:dyDescent="0.25">
      <c r="A448" s="22"/>
      <c r="B448" s="22" t="s">
        <v>275</v>
      </c>
      <c r="C448" s="22">
        <v>95299</v>
      </c>
      <c r="D448" s="23" t="s">
        <v>746</v>
      </c>
      <c r="E448" s="23" t="s">
        <v>746</v>
      </c>
      <c r="F448" s="24" t="s">
        <v>747</v>
      </c>
      <c r="G448" s="24" t="str">
        <f t="shared" si="13"/>
        <v>Hypernet DYN-LS-60  Направляющие (комплект 2 штуки) для шкафа глубиной 600, размер 350мм</v>
      </c>
      <c r="H448" s="25">
        <f>$C$1*        9.24</f>
        <v>203.28</v>
      </c>
      <c r="I448" s="26"/>
      <c r="J448" s="27">
        <v>0</v>
      </c>
      <c r="K448" s="28"/>
      <c r="L448" s="14">
        <f t="shared" si="12"/>
        <v>199.21</v>
      </c>
    </row>
    <row r="449" spans="1:12" ht="10.5" customHeight="1" outlineLevel="1" x14ac:dyDescent="0.25">
      <c r="A449" s="22"/>
      <c r="B449" s="22" t="s">
        <v>275</v>
      </c>
      <c r="C449" s="22">
        <v>95300</v>
      </c>
      <c r="D449" s="23" t="s">
        <v>748</v>
      </c>
      <c r="E449" s="23" t="s">
        <v>748</v>
      </c>
      <c r="F449" s="24" t="s">
        <v>749</v>
      </c>
      <c r="G449" s="24" t="str">
        <f t="shared" si="13"/>
        <v>Hypernet DYN-LS-80  Направляющие (комплект 2 штуки) для шкафа глубиной 800, размер 570мм</v>
      </c>
      <c r="H449" s="25">
        <f>$C$1*       10.39</f>
        <v>228.58</v>
      </c>
      <c r="I449" s="26"/>
      <c r="J449" s="27">
        <v>0</v>
      </c>
      <c r="K449" s="28"/>
      <c r="L449" s="14">
        <f t="shared" si="12"/>
        <v>224.01</v>
      </c>
    </row>
    <row r="450" spans="1:12" ht="10.5" customHeight="1" outlineLevel="1" x14ac:dyDescent="0.25">
      <c r="A450" s="22"/>
      <c r="B450" s="22" t="s">
        <v>275</v>
      </c>
      <c r="C450" s="22">
        <v>95310</v>
      </c>
      <c r="D450" s="23" t="s">
        <v>750</v>
      </c>
      <c r="E450" s="23" t="s">
        <v>750</v>
      </c>
      <c r="F450" s="24" t="s">
        <v>751</v>
      </c>
      <c r="G450" s="24" t="str">
        <f t="shared" si="13"/>
        <v>Hypernet DYN-FS-100-HD Полка универсальная усиленная на 4 точки для шкафа/стойки глубиной 1000 (770) до 100 кг</v>
      </c>
      <c r="H450" s="25">
        <f>$C$1*       50.82</f>
        <v>1118.04</v>
      </c>
      <c r="I450" s="26"/>
      <c r="J450" s="27">
        <v>0</v>
      </c>
      <c r="K450" s="28" t="s">
        <v>27</v>
      </c>
      <c r="L450" s="14">
        <f t="shared" si="12"/>
        <v>1095.68</v>
      </c>
    </row>
    <row r="451" spans="1:12" ht="10.5" customHeight="1" outlineLevel="1" x14ac:dyDescent="0.25">
      <c r="A451" s="22"/>
      <c r="B451" s="22" t="s">
        <v>275</v>
      </c>
      <c r="C451" s="22">
        <v>95265</v>
      </c>
      <c r="D451" s="23" t="s">
        <v>752</v>
      </c>
      <c r="E451" s="23" t="s">
        <v>752</v>
      </c>
      <c r="F451" s="24" t="s">
        <v>753</v>
      </c>
      <c r="G451" s="24" t="str">
        <f t="shared" si="13"/>
        <v>Hypernet DYN-U-FS-60 Полка универсальная на 4 точки для шкафа/стойки глубиной 600 (370) до 50 кг</v>
      </c>
      <c r="H451" s="25">
        <f>$C$1*       15</f>
        <v>330</v>
      </c>
      <c r="I451" s="26"/>
      <c r="J451" s="27">
        <v>0</v>
      </c>
      <c r="K451" s="28" t="s">
        <v>27</v>
      </c>
      <c r="L451" s="14">
        <f t="shared" si="12"/>
        <v>323.39999999999998</v>
      </c>
    </row>
    <row r="452" spans="1:12" ht="10.5" customHeight="1" outlineLevel="1" x14ac:dyDescent="0.25">
      <c r="A452" s="22"/>
      <c r="B452" s="22" t="s">
        <v>275</v>
      </c>
      <c r="C452" s="22">
        <v>95266</v>
      </c>
      <c r="D452" s="23" t="s">
        <v>754</v>
      </c>
      <c r="E452" s="23" t="s">
        <v>754</v>
      </c>
      <c r="F452" s="24" t="s">
        <v>755</v>
      </c>
      <c r="G452" s="24" t="str">
        <f t="shared" si="13"/>
        <v>DYN DYN-U-FS-80 - U- FS -80 Hypernet Полка універсальна на 4 точки для шафи / стійки глибиною 800 ( 570 ) до 50 кг</v>
      </c>
      <c r="H452" s="25">
        <f>$C$1*       20.9</f>
        <v>459.79999999999995</v>
      </c>
      <c r="I452" s="26"/>
      <c r="J452" s="27">
        <v>0</v>
      </c>
      <c r="K452" s="28"/>
      <c r="L452" s="14">
        <f t="shared" si="12"/>
        <v>450.6</v>
      </c>
    </row>
    <row r="453" spans="1:12" ht="10.5" customHeight="1" outlineLevel="1" x14ac:dyDescent="0.25">
      <c r="A453" s="22"/>
      <c r="B453" s="22" t="s">
        <v>275</v>
      </c>
      <c r="C453" s="22">
        <v>92081</v>
      </c>
      <c r="D453" s="23" t="s">
        <v>756</v>
      </c>
      <c r="E453" s="23" t="s">
        <v>756</v>
      </c>
      <c r="F453" s="24" t="s">
        <v>757</v>
      </c>
      <c r="G453" s="24" t="str">
        <f t="shared" si="13"/>
        <v>Полка U-FS-100 универсальная на 4 точки для шкафа/стойки глубиной 1000, глубина полки 800</v>
      </c>
      <c r="H453" s="25">
        <f>$C$1*       24.2</f>
        <v>532.4</v>
      </c>
      <c r="I453" s="26"/>
      <c r="J453" s="27">
        <v>0</v>
      </c>
      <c r="K453" s="28"/>
      <c r="L453" s="14">
        <f t="shared" si="12"/>
        <v>521.75</v>
      </c>
    </row>
    <row r="454" spans="1:12" ht="10.5" customHeight="1" outlineLevel="1" x14ac:dyDescent="0.25">
      <c r="A454" s="22"/>
      <c r="B454" s="22" t="s">
        <v>275</v>
      </c>
      <c r="C454" s="22">
        <v>93992</v>
      </c>
      <c r="D454" s="23" t="s">
        <v>758</v>
      </c>
      <c r="E454" s="23" t="s">
        <v>758</v>
      </c>
      <c r="F454" s="24" t="s">
        <v>759</v>
      </c>
      <c r="G454" s="24" t="str">
        <f t="shared" si="13"/>
        <v>Полка U-FS-45 универсальная на 4 точки для шкафа/стойки глубиной 450, глубина полки 300</v>
      </c>
      <c r="H454" s="25">
        <f>$C$1*       13.2</f>
        <v>290.39999999999998</v>
      </c>
      <c r="I454" s="26"/>
      <c r="J454" s="27">
        <v>0</v>
      </c>
      <c r="K454" s="28"/>
      <c r="L454" s="14">
        <f t="shared" ref="L454:L517" si="14">ROUND(H454*0.98,2)</f>
        <v>284.58999999999997</v>
      </c>
    </row>
    <row r="455" spans="1:12" ht="10.5" customHeight="1" outlineLevel="1" x14ac:dyDescent="0.25">
      <c r="A455" s="22"/>
      <c r="B455" s="22" t="s">
        <v>275</v>
      </c>
      <c r="C455" s="22">
        <v>92147</v>
      </c>
      <c r="D455" s="23" t="s">
        <v>760</v>
      </c>
      <c r="E455" s="23" t="s">
        <v>760</v>
      </c>
      <c r="F455" s="24" t="s">
        <v>761</v>
      </c>
      <c r="G455" s="24" t="str">
        <f t="shared" si="13"/>
        <v>Полка U-FS-60 универсальная на 4 точки для шкафа/стойки глубиной 600, глубина полки 400</v>
      </c>
      <c r="H455" s="25">
        <f>$C$1*       16.5</f>
        <v>363</v>
      </c>
      <c r="I455" s="26"/>
      <c r="J455" s="27">
        <v>0</v>
      </c>
      <c r="K455" s="28" t="s">
        <v>27</v>
      </c>
      <c r="L455" s="14">
        <f t="shared" si="14"/>
        <v>355.74</v>
      </c>
    </row>
    <row r="456" spans="1:12" ht="10.5" customHeight="1" outlineLevel="1" x14ac:dyDescent="0.25">
      <c r="A456" s="22"/>
      <c r="B456" s="22" t="s">
        <v>275</v>
      </c>
      <c r="C456" s="22">
        <v>92080</v>
      </c>
      <c r="D456" s="23" t="s">
        <v>762</v>
      </c>
      <c r="E456" s="23" t="s">
        <v>762</v>
      </c>
      <c r="F456" s="24" t="s">
        <v>763</v>
      </c>
      <c r="G456" s="24" t="str">
        <f t="shared" ref="G456:G519" si="15">REPLACE(F456,SEARCH(" ",F456)+1,0,D456&amp;" ")</f>
        <v>Полка U-FS-80 универсальная на 4 точки для шкафа/стойки глубиной 800, глубина полки 600</v>
      </c>
      <c r="H456" s="25">
        <f>$C$1*       19.8</f>
        <v>435.6</v>
      </c>
      <c r="I456" s="26"/>
      <c r="J456" s="27">
        <v>0</v>
      </c>
      <c r="K456" s="28" t="s">
        <v>27</v>
      </c>
      <c r="L456" s="14">
        <f t="shared" si="14"/>
        <v>426.89</v>
      </c>
    </row>
    <row r="457" spans="1:12" ht="10.5" customHeight="1" outlineLevel="1" x14ac:dyDescent="0.25">
      <c r="A457" s="22"/>
      <c r="B457" s="22" t="s">
        <v>275</v>
      </c>
      <c r="C457" s="22">
        <v>92093</v>
      </c>
      <c r="D457" s="23" t="s">
        <v>764</v>
      </c>
      <c r="E457" s="23" t="s">
        <v>764</v>
      </c>
      <c r="F457" s="24" t="s">
        <v>765</v>
      </c>
      <c r="G457" s="24" t="str">
        <f t="shared" si="15"/>
        <v>Направляющие U-LS-100 (комплект 2 штуки) для шкафа/стойки глубиной 1000, длина реальная 800</v>
      </c>
      <c r="H457" s="25">
        <f>$C$1*        5.5</f>
        <v>121</v>
      </c>
      <c r="I457" s="26"/>
      <c r="J457" s="27">
        <v>0</v>
      </c>
      <c r="K457" s="28" t="s">
        <v>27</v>
      </c>
      <c r="L457" s="14">
        <f t="shared" si="14"/>
        <v>118.58</v>
      </c>
    </row>
    <row r="458" spans="1:12" ht="10.5" customHeight="1" outlineLevel="1" x14ac:dyDescent="0.25">
      <c r="A458" s="22"/>
      <c r="B458" s="22" t="s">
        <v>275</v>
      </c>
      <c r="C458" s="22">
        <v>92092</v>
      </c>
      <c r="D458" s="23" t="s">
        <v>766</v>
      </c>
      <c r="E458" s="23" t="s">
        <v>766</v>
      </c>
      <c r="F458" s="24" t="s">
        <v>767</v>
      </c>
      <c r="G458" s="24" t="str">
        <f t="shared" si="15"/>
        <v>Направляющие U-LS-60 (комплект 2 штуки) длядля шкафа/стойки глубиной 600, глубина реальная 250</v>
      </c>
      <c r="H458" s="25">
        <f>$C$1*        5.5</f>
        <v>121</v>
      </c>
      <c r="I458" s="26"/>
      <c r="J458" s="27">
        <v>0</v>
      </c>
      <c r="K458" s="28" t="s">
        <v>27</v>
      </c>
      <c r="L458" s="14">
        <f t="shared" si="14"/>
        <v>118.58</v>
      </c>
    </row>
    <row r="459" spans="1:12" ht="10.5" customHeight="1" outlineLevel="1" x14ac:dyDescent="0.25">
      <c r="A459" s="22"/>
      <c r="B459" s="22" t="s">
        <v>24</v>
      </c>
      <c r="C459" s="22">
        <v>93148</v>
      </c>
      <c r="D459" s="23" t="s">
        <v>768</v>
      </c>
      <c r="E459" s="23" t="s">
        <v>768</v>
      </c>
      <c r="F459" s="24" t="s">
        <v>769</v>
      </c>
      <c r="G459" s="24" t="str">
        <f t="shared" si="15"/>
        <v>NETS US-DIN-3U Кронштейн крепления DIN рейки, 3U</v>
      </c>
      <c r="H459" s="25">
        <f>$C$1*       11</f>
        <v>242</v>
      </c>
      <c r="I459" s="26"/>
      <c r="J459" s="27">
        <v>0</v>
      </c>
      <c r="K459" s="28"/>
      <c r="L459" s="14">
        <f t="shared" si="14"/>
        <v>237.16</v>
      </c>
    </row>
    <row r="460" spans="1:12" ht="10.5" customHeight="1" x14ac:dyDescent="0.25">
      <c r="A460" s="15"/>
      <c r="B460" s="16" t="s">
        <v>770</v>
      </c>
      <c r="C460" s="16"/>
      <c r="D460" s="16"/>
      <c r="E460" s="16"/>
      <c r="F460" s="17"/>
      <c r="G460" s="24" t="e">
        <f t="shared" si="15"/>
        <v>#VALUE!</v>
      </c>
      <c r="H460" s="18"/>
      <c r="I460" s="19"/>
      <c r="J460" s="20"/>
      <c r="K460" s="21"/>
      <c r="L460" s="14">
        <f t="shared" si="14"/>
        <v>0</v>
      </c>
    </row>
    <row r="461" spans="1:12" ht="10.5" customHeight="1" outlineLevel="1" x14ac:dyDescent="0.25">
      <c r="A461" s="22"/>
      <c r="B461" s="22" t="s">
        <v>275</v>
      </c>
      <c r="C461" s="22">
        <v>95280</v>
      </c>
      <c r="D461" s="23" t="s">
        <v>771</v>
      </c>
      <c r="E461" s="23" t="s">
        <v>771</v>
      </c>
      <c r="F461" s="24" t="s">
        <v>772</v>
      </c>
      <c r="G461" s="24" t="str">
        <f t="shared" si="15"/>
        <v>Hypernet DYN-MR-WM-12U Комплект реков 12U для настенного шкафа (2 шт)</v>
      </c>
      <c r="H461" s="25">
        <f>$C$1*       11.35</f>
        <v>249.7</v>
      </c>
      <c r="I461" s="26"/>
      <c r="J461" s="27">
        <v>0</v>
      </c>
      <c r="K461" s="28" t="s">
        <v>27</v>
      </c>
      <c r="L461" s="14">
        <f t="shared" si="14"/>
        <v>244.71</v>
      </c>
    </row>
    <row r="462" spans="1:12" ht="10.5" customHeight="1" outlineLevel="1" x14ac:dyDescent="0.25">
      <c r="A462" s="22"/>
      <c r="B462" s="22" t="s">
        <v>275</v>
      </c>
      <c r="C462" s="22">
        <v>95281</v>
      </c>
      <c r="D462" s="23" t="s">
        <v>773</v>
      </c>
      <c r="E462" s="23" t="s">
        <v>773</v>
      </c>
      <c r="F462" s="24" t="s">
        <v>774</v>
      </c>
      <c r="G462" s="24" t="str">
        <f t="shared" si="15"/>
        <v>Hypernet DYN-MR-WM-16U Комплект реков 16U для настенного шкафа (2 шт)</v>
      </c>
      <c r="H462" s="25">
        <f>$C$1*       14.52</f>
        <v>319.44</v>
      </c>
      <c r="I462" s="26"/>
      <c r="J462" s="27">
        <v>0</v>
      </c>
      <c r="K462" s="28" t="s">
        <v>27</v>
      </c>
      <c r="L462" s="14">
        <f t="shared" si="14"/>
        <v>313.05</v>
      </c>
    </row>
    <row r="463" spans="1:12" ht="10.5" customHeight="1" outlineLevel="1" x14ac:dyDescent="0.25">
      <c r="A463" s="22"/>
      <c r="B463" s="22" t="s">
        <v>275</v>
      </c>
      <c r="C463" s="22">
        <v>95278</v>
      </c>
      <c r="D463" s="23" t="s">
        <v>775</v>
      </c>
      <c r="E463" s="23" t="s">
        <v>775</v>
      </c>
      <c r="F463" s="24" t="s">
        <v>776</v>
      </c>
      <c r="G463" s="24" t="str">
        <f t="shared" si="15"/>
        <v>Hypernet DYN-MR-WM-7U Комплект реков 7U для настенного шкафа (2 шт)</v>
      </c>
      <c r="H463" s="25">
        <f>$C$1*        7.26</f>
        <v>159.72</v>
      </c>
      <c r="I463" s="26"/>
      <c r="J463" s="27">
        <v>0</v>
      </c>
      <c r="K463" s="28" t="s">
        <v>27</v>
      </c>
      <c r="L463" s="14">
        <f t="shared" si="14"/>
        <v>156.53</v>
      </c>
    </row>
    <row r="464" spans="1:12" ht="10.5" customHeight="1" outlineLevel="1" x14ac:dyDescent="0.25">
      <c r="A464" s="22"/>
      <c r="B464" s="22" t="s">
        <v>275</v>
      </c>
      <c r="C464" s="22">
        <v>95279</v>
      </c>
      <c r="D464" s="23" t="s">
        <v>777</v>
      </c>
      <c r="E464" s="23" t="s">
        <v>777</v>
      </c>
      <c r="F464" s="24" t="s">
        <v>778</v>
      </c>
      <c r="G464" s="24" t="str">
        <f t="shared" si="15"/>
        <v>Hypernet DYN-MR-WM-9U Комплект реков 9U для настенного шкафа (2 шт)</v>
      </c>
      <c r="H464" s="25">
        <f>$C$1*        8.98</f>
        <v>197.56</v>
      </c>
      <c r="I464" s="26"/>
      <c r="J464" s="27">
        <v>0</v>
      </c>
      <c r="K464" s="28" t="s">
        <v>27</v>
      </c>
      <c r="L464" s="14">
        <f t="shared" si="14"/>
        <v>193.61</v>
      </c>
    </row>
    <row r="465" spans="1:12" ht="10.5" customHeight="1" x14ac:dyDescent="0.25">
      <c r="A465" s="15"/>
      <c r="B465" s="16" t="s">
        <v>779</v>
      </c>
      <c r="C465" s="16"/>
      <c r="D465" s="16"/>
      <c r="E465" s="16"/>
      <c r="F465" s="17"/>
      <c r="G465" s="24" t="e">
        <f t="shared" si="15"/>
        <v>#VALUE!</v>
      </c>
      <c r="H465" s="18"/>
      <c r="I465" s="19"/>
      <c r="J465" s="20"/>
      <c r="K465" s="21"/>
      <c r="L465" s="14">
        <f t="shared" si="14"/>
        <v>0</v>
      </c>
    </row>
    <row r="466" spans="1:12" ht="10.5" customHeight="1" outlineLevel="1" x14ac:dyDescent="0.25">
      <c r="A466" s="22"/>
      <c r="B466" s="22" t="s">
        <v>275</v>
      </c>
      <c r="C466" s="22">
        <v>95972</v>
      </c>
      <c r="D466" s="23" t="s">
        <v>780</v>
      </c>
      <c r="E466" s="23" t="s">
        <v>780</v>
      </c>
      <c r="F466" s="24" t="s">
        <v>781</v>
      </c>
      <c r="G466" s="24" t="str">
        <f t="shared" si="15"/>
        <v>Hypernet DYN-MR-FS-12U Комплект реков 12U для настенного шкафа ProfiLine (2 шт)</v>
      </c>
      <c r="H466" s="25">
        <f>$C$1*       19.36</f>
        <v>425.91999999999996</v>
      </c>
      <c r="I466" s="26"/>
      <c r="J466" s="27">
        <v>0</v>
      </c>
      <c r="K466" s="28" t="s">
        <v>27</v>
      </c>
      <c r="L466" s="14">
        <f t="shared" si="14"/>
        <v>417.4</v>
      </c>
    </row>
    <row r="467" spans="1:12" ht="10.5" customHeight="1" outlineLevel="1" x14ac:dyDescent="0.25">
      <c r="A467" s="22"/>
      <c r="B467" s="22" t="s">
        <v>275</v>
      </c>
      <c r="C467" s="22">
        <v>95966</v>
      </c>
      <c r="D467" s="23" t="s">
        <v>782</v>
      </c>
      <c r="E467" s="23" t="s">
        <v>782</v>
      </c>
      <c r="F467" s="24" t="s">
        <v>783</v>
      </c>
      <c r="G467" s="24" t="str">
        <f t="shared" si="15"/>
        <v>Hypernet DYN-MR-FS-16U Комплект реков 16U для настенного шкафа ProfiLine (2 шт)</v>
      </c>
      <c r="H467" s="25">
        <f>$C$1*       24.97</f>
        <v>549.33999999999992</v>
      </c>
      <c r="I467" s="26"/>
      <c r="J467" s="27">
        <v>0</v>
      </c>
      <c r="K467" s="28" t="s">
        <v>27</v>
      </c>
      <c r="L467" s="14">
        <f t="shared" si="14"/>
        <v>538.35</v>
      </c>
    </row>
    <row r="468" spans="1:12" ht="10.5" customHeight="1" outlineLevel="1" x14ac:dyDescent="0.25">
      <c r="A468" s="22"/>
      <c r="B468" s="22" t="s">
        <v>275</v>
      </c>
      <c r="C468" s="22">
        <v>95967</v>
      </c>
      <c r="D468" s="23" t="s">
        <v>784</v>
      </c>
      <c r="E468" s="23" t="s">
        <v>784</v>
      </c>
      <c r="F468" s="24" t="s">
        <v>785</v>
      </c>
      <c r="G468" s="24" t="str">
        <f t="shared" si="15"/>
        <v>Hypernet DYN-MR-FS-20U Комплект реков 20U для настенного шкафа ProfiLine (2 шт)</v>
      </c>
      <c r="H468" s="25">
        <f>$C$1*       27.72</f>
        <v>609.83999999999992</v>
      </c>
      <c r="I468" s="26"/>
      <c r="J468" s="27">
        <v>0</v>
      </c>
      <c r="K468" s="28" t="s">
        <v>27</v>
      </c>
      <c r="L468" s="14">
        <f t="shared" si="14"/>
        <v>597.64</v>
      </c>
    </row>
    <row r="469" spans="1:12" ht="10.5" customHeight="1" outlineLevel="1" x14ac:dyDescent="0.25">
      <c r="A469" s="22"/>
      <c r="B469" s="22" t="s">
        <v>275</v>
      </c>
      <c r="C469" s="22">
        <v>95974</v>
      </c>
      <c r="D469" s="23" t="s">
        <v>786</v>
      </c>
      <c r="E469" s="23" t="s">
        <v>786</v>
      </c>
      <c r="F469" s="24" t="s">
        <v>787</v>
      </c>
      <c r="G469" s="24" t="str">
        <f t="shared" si="15"/>
        <v>Hypernet DYN-MR-FS-7U Комплект реков 7U для настенного шкафа ProfiLine (2 шт)</v>
      </c>
      <c r="H469" s="25">
        <f>$C$1*       12.43</f>
        <v>273.45999999999998</v>
      </c>
      <c r="I469" s="26"/>
      <c r="J469" s="27">
        <v>0</v>
      </c>
      <c r="K469" s="28" t="s">
        <v>27</v>
      </c>
      <c r="L469" s="14">
        <f t="shared" si="14"/>
        <v>267.99</v>
      </c>
    </row>
    <row r="470" spans="1:12" ht="10.5" customHeight="1" outlineLevel="1" x14ac:dyDescent="0.25">
      <c r="A470" s="22"/>
      <c r="B470" s="22" t="s">
        <v>275</v>
      </c>
      <c r="C470" s="22">
        <v>95973</v>
      </c>
      <c r="D470" s="23" t="s">
        <v>788</v>
      </c>
      <c r="E470" s="23" t="s">
        <v>788</v>
      </c>
      <c r="F470" s="24" t="s">
        <v>789</v>
      </c>
      <c r="G470" s="24" t="str">
        <f t="shared" si="15"/>
        <v>Hypernet DYN-MR-FS-9U Комплект реков 9U для настенного шкафа ProfiLine (2 шт)</v>
      </c>
      <c r="H470" s="25">
        <f>$C$1*       15.29</f>
        <v>336.38</v>
      </c>
      <c r="I470" s="26"/>
      <c r="J470" s="27">
        <v>0</v>
      </c>
      <c r="K470" s="28" t="s">
        <v>27</v>
      </c>
      <c r="L470" s="14">
        <f t="shared" si="14"/>
        <v>329.65</v>
      </c>
    </row>
    <row r="471" spans="1:12" ht="10.5" customHeight="1" x14ac:dyDescent="0.25">
      <c r="A471" s="15"/>
      <c r="B471" s="16" t="s">
        <v>403</v>
      </c>
      <c r="C471" s="16"/>
      <c r="D471" s="16"/>
      <c r="E471" s="16"/>
      <c r="F471" s="17"/>
      <c r="G471" s="24" t="e">
        <f t="shared" si="15"/>
        <v>#VALUE!</v>
      </c>
      <c r="H471" s="18"/>
      <c r="I471" s="19"/>
      <c r="J471" s="20"/>
      <c r="K471" s="21"/>
      <c r="L471" s="14">
        <f t="shared" si="14"/>
        <v>0</v>
      </c>
    </row>
    <row r="472" spans="1:12" ht="10.5" customHeight="1" outlineLevel="1" x14ac:dyDescent="0.25">
      <c r="A472" s="22"/>
      <c r="B472" s="22" t="s">
        <v>275</v>
      </c>
      <c r="C472" s="22">
        <v>94570</v>
      </c>
      <c r="D472" s="23" t="s">
        <v>790</v>
      </c>
      <c r="E472" s="23" t="s">
        <v>790</v>
      </c>
      <c r="F472" s="24" t="s">
        <v>791</v>
      </c>
      <c r="G472" s="24" t="str">
        <f t="shared" si="15"/>
        <v>Hypernet SPP3-10 Фильтр сетевой алюминиевый 3 розетки 1.8m 10'' 220В с выключателем</v>
      </c>
      <c r="H472" s="25">
        <f>$C$1*       10</f>
        <v>220</v>
      </c>
      <c r="I472" s="26"/>
      <c r="J472" s="27">
        <v>0</v>
      </c>
      <c r="K472" s="28" t="s">
        <v>27</v>
      </c>
      <c r="L472" s="14">
        <f t="shared" si="14"/>
        <v>215.6</v>
      </c>
    </row>
    <row r="473" spans="1:12" ht="10.5" customHeight="1" outlineLevel="1" x14ac:dyDescent="0.25">
      <c r="A473" s="22"/>
      <c r="B473" s="22" t="s">
        <v>275</v>
      </c>
      <c r="C473" s="22">
        <v>94571</v>
      </c>
      <c r="D473" s="23" t="s">
        <v>792</v>
      </c>
      <c r="E473" s="23" t="s">
        <v>792</v>
      </c>
      <c r="F473" s="24" t="s">
        <v>793</v>
      </c>
      <c r="G473" s="24" t="str">
        <f t="shared" si="15"/>
        <v>Hypernet SPP3-10-WC Фильтр сетевой алюминиевый 3 розетки 10'' 220В с выключателем без кабеля</v>
      </c>
      <c r="H473" s="25">
        <f>$C$1*       11</f>
        <v>242</v>
      </c>
      <c r="I473" s="26"/>
      <c r="J473" s="27">
        <v>0</v>
      </c>
      <c r="K473" s="28" t="s">
        <v>27</v>
      </c>
      <c r="L473" s="14">
        <f t="shared" si="14"/>
        <v>237.16</v>
      </c>
    </row>
    <row r="474" spans="1:12" ht="10.5" customHeight="1" outlineLevel="1" x14ac:dyDescent="0.25">
      <c r="A474" s="22"/>
      <c r="B474" s="22" t="s">
        <v>275</v>
      </c>
      <c r="C474" s="22">
        <v>94935</v>
      </c>
      <c r="D474" s="23" t="s">
        <v>794</v>
      </c>
      <c r="E474" s="23" t="s">
        <v>794</v>
      </c>
      <c r="F474" s="24" t="s">
        <v>795</v>
      </c>
      <c r="G474" s="24" t="str">
        <f t="shared" si="15"/>
        <v>Hypernet SPP8 Фильтр 8 розеток 1.8m 19'' алюминиевый с выключателем 220В</v>
      </c>
      <c r="H474" s="25">
        <f t="shared" ref="H474:H480" si="16">$C$1*       18.7</f>
        <v>411.4</v>
      </c>
      <c r="I474" s="26"/>
      <c r="J474" s="27">
        <v>0</v>
      </c>
      <c r="K474" s="28"/>
      <c r="L474" s="14">
        <f t="shared" si="14"/>
        <v>403.17</v>
      </c>
    </row>
    <row r="475" spans="1:12" ht="10.5" customHeight="1" outlineLevel="1" x14ac:dyDescent="0.25">
      <c r="A475" s="22"/>
      <c r="B475" s="22" t="s">
        <v>275</v>
      </c>
      <c r="C475" s="22">
        <v>94567</v>
      </c>
      <c r="D475" s="23" t="s">
        <v>796</v>
      </c>
      <c r="E475" s="23" t="s">
        <v>796</v>
      </c>
      <c r="F475" s="24" t="s">
        <v>797</v>
      </c>
      <c r="G475" s="24" t="str">
        <f t="shared" si="15"/>
        <v>Hypernet SPP8-E Фильтр сетевой пластиковый корпус 220В с выключателем 8 розеток 1.8m 19''</v>
      </c>
      <c r="H475" s="25">
        <f t="shared" si="16"/>
        <v>411.4</v>
      </c>
      <c r="I475" s="26"/>
      <c r="J475" s="27">
        <v>0</v>
      </c>
      <c r="K475" s="28" t="s">
        <v>27</v>
      </c>
      <c r="L475" s="14">
        <f t="shared" si="14"/>
        <v>403.17</v>
      </c>
    </row>
    <row r="476" spans="1:12" ht="10.5" customHeight="1" outlineLevel="1" x14ac:dyDescent="0.25">
      <c r="A476" s="22"/>
      <c r="B476" s="22" t="s">
        <v>275</v>
      </c>
      <c r="C476" s="22">
        <v>95355</v>
      </c>
      <c r="D476" s="23" t="s">
        <v>798</v>
      </c>
      <c r="E476" s="23" t="s">
        <v>798</v>
      </c>
      <c r="F476" s="24" t="s">
        <v>799</v>
      </c>
      <c r="G476" s="24" t="str">
        <f t="shared" si="15"/>
        <v>(PDU8AL-DSP) SPP8-WC-OLP  Hypernet Блок розеток 8п без кабеля 19'' выкл. защита от перегрузки алюмин</v>
      </c>
      <c r="H476" s="25">
        <f t="shared" si="16"/>
        <v>411.4</v>
      </c>
      <c r="I476" s="26"/>
      <c r="J476" s="27">
        <v>0</v>
      </c>
      <c r="K476" s="28" t="s">
        <v>27</v>
      </c>
      <c r="L476" s="14">
        <f t="shared" si="14"/>
        <v>403.17</v>
      </c>
    </row>
    <row r="477" spans="1:12" ht="10.5" customHeight="1" outlineLevel="1" x14ac:dyDescent="0.25">
      <c r="A477" s="22"/>
      <c r="B477" s="22" t="s">
        <v>275</v>
      </c>
      <c r="C477" s="22">
        <v>95352</v>
      </c>
      <c r="D477" s="23" t="s">
        <v>800</v>
      </c>
      <c r="E477" s="23" t="s">
        <v>800</v>
      </c>
      <c r="F477" s="24" t="s">
        <v>801</v>
      </c>
      <c r="G477" s="24" t="str">
        <f t="shared" si="15"/>
        <v>(PDU8AL-DS) SPP8-WC  Hypernet Блок розеток 8 порт без кабеля 19'' с вим. алюминій</v>
      </c>
      <c r="H477" s="25">
        <f t="shared" si="16"/>
        <v>411.4</v>
      </c>
      <c r="I477" s="26"/>
      <c r="J477" s="27">
        <v>0</v>
      </c>
      <c r="K477" s="28" t="s">
        <v>27</v>
      </c>
      <c r="L477" s="14">
        <f t="shared" si="14"/>
        <v>403.17</v>
      </c>
    </row>
    <row r="478" spans="1:12" ht="10.5" customHeight="1" outlineLevel="1" x14ac:dyDescent="0.25">
      <c r="A478" s="22"/>
      <c r="B478" s="22" t="s">
        <v>275</v>
      </c>
      <c r="C478" s="22">
        <v>94936</v>
      </c>
      <c r="D478" s="23" t="s">
        <v>802</v>
      </c>
      <c r="E478" s="23" t="s">
        <v>802</v>
      </c>
      <c r="F478" s="24" t="s">
        <v>803</v>
      </c>
      <c r="G478" s="24" t="str">
        <f t="shared" si="15"/>
        <v>Hypernet SPP9 Разветвитель 9 розеток 1.8m 19'' алюминиевый 220В</v>
      </c>
      <c r="H478" s="25">
        <f t="shared" si="16"/>
        <v>411.4</v>
      </c>
      <c r="I478" s="26"/>
      <c r="J478" s="27">
        <v>0</v>
      </c>
      <c r="K478" s="28" t="s">
        <v>27</v>
      </c>
      <c r="L478" s="14">
        <f t="shared" si="14"/>
        <v>403.17</v>
      </c>
    </row>
    <row r="479" spans="1:12" ht="10.5" customHeight="1" outlineLevel="1" x14ac:dyDescent="0.25">
      <c r="A479" s="22"/>
      <c r="B479" s="22" t="s">
        <v>275</v>
      </c>
      <c r="C479" s="22">
        <v>94568</v>
      </c>
      <c r="D479" s="23" t="s">
        <v>804</v>
      </c>
      <c r="E479" s="23" t="s">
        <v>804</v>
      </c>
      <c r="F479" s="24" t="s">
        <v>805</v>
      </c>
      <c r="G479" s="24" t="str">
        <f t="shared" si="15"/>
        <v>Hypernet SPP9-E Фильтр 9 розеток 1.8m 19'' пластиковый корпус 220В</v>
      </c>
      <c r="H479" s="25">
        <f t="shared" si="16"/>
        <v>411.4</v>
      </c>
      <c r="I479" s="26"/>
      <c r="J479" s="27">
        <v>0</v>
      </c>
      <c r="K479" s="28" t="s">
        <v>27</v>
      </c>
      <c r="L479" s="14">
        <f t="shared" si="14"/>
        <v>403.17</v>
      </c>
    </row>
    <row r="480" spans="1:12" ht="10.5" customHeight="1" outlineLevel="1" x14ac:dyDescent="0.25">
      <c r="A480" s="22"/>
      <c r="B480" s="22" t="s">
        <v>275</v>
      </c>
      <c r="C480" s="22">
        <v>95356</v>
      </c>
      <c r="D480" s="23" t="s">
        <v>806</v>
      </c>
      <c r="E480" s="23" t="s">
        <v>806</v>
      </c>
      <c r="F480" s="24" t="s">
        <v>807</v>
      </c>
      <c r="G480" s="24" t="str">
        <f t="shared" si="15"/>
        <v>(PDU9AL-D) SPP9-WC  Hypernet Блок розеток 9 порт без кабеля 19'' алюмин</v>
      </c>
      <c r="H480" s="25">
        <f t="shared" si="16"/>
        <v>411.4</v>
      </c>
      <c r="I480" s="26"/>
      <c r="J480" s="27">
        <v>0</v>
      </c>
      <c r="K480" s="28" t="s">
        <v>27</v>
      </c>
      <c r="L480" s="14">
        <f t="shared" si="14"/>
        <v>403.17</v>
      </c>
    </row>
    <row r="481" spans="1:12" ht="10.5" customHeight="1" x14ac:dyDescent="0.25">
      <c r="A481" s="15"/>
      <c r="B481" s="16" t="s">
        <v>808</v>
      </c>
      <c r="C481" s="16"/>
      <c r="D481" s="16"/>
      <c r="E481" s="16"/>
      <c r="F481" s="17"/>
      <c r="G481" s="24" t="e">
        <f t="shared" si="15"/>
        <v>#VALUE!</v>
      </c>
      <c r="H481" s="18"/>
      <c r="I481" s="19"/>
      <c r="J481" s="20"/>
      <c r="K481" s="21"/>
      <c r="L481" s="14">
        <f t="shared" si="14"/>
        <v>0</v>
      </c>
    </row>
    <row r="482" spans="1:12" ht="10.5" customHeight="1" outlineLevel="1" x14ac:dyDescent="0.25">
      <c r="A482" s="22"/>
      <c r="B482" s="22" t="s">
        <v>275</v>
      </c>
      <c r="C482" s="22">
        <v>95976</v>
      </c>
      <c r="D482" s="23" t="s">
        <v>809</v>
      </c>
      <c r="E482" s="23" t="s">
        <v>809</v>
      </c>
      <c r="F482" s="24" t="s">
        <v>810</v>
      </c>
      <c r="G482" s="24" t="str">
        <f t="shared" si="15"/>
        <v>Hypernet DYN-PLINT-R-610 Цоколь модульный для напольного шкафа 600*1000</v>
      </c>
      <c r="H482" s="25">
        <f>$C$1*      100.1</f>
        <v>2202.1999999999998</v>
      </c>
      <c r="I482" s="26"/>
      <c r="J482" s="27">
        <v>0</v>
      </c>
      <c r="K482" s="28" t="s">
        <v>27</v>
      </c>
      <c r="L482" s="14">
        <f t="shared" si="14"/>
        <v>2158.16</v>
      </c>
    </row>
    <row r="483" spans="1:12" ht="10.5" customHeight="1" outlineLevel="1" x14ac:dyDescent="0.25">
      <c r="A483" s="22"/>
      <c r="B483" s="22" t="s">
        <v>275</v>
      </c>
      <c r="C483" s="22">
        <v>95985</v>
      </c>
      <c r="D483" s="23" t="s">
        <v>811</v>
      </c>
      <c r="E483" s="23" t="s">
        <v>811</v>
      </c>
      <c r="F483" s="24" t="s">
        <v>812</v>
      </c>
      <c r="G483" s="24" t="str">
        <f t="shared" si="15"/>
        <v>Hypernet DYN-PLINT-R-66 Цоколь модульный для напольного шкафа 600*600</v>
      </c>
      <c r="H483" s="25">
        <f>$C$1*       72.6</f>
        <v>1597.1999999999998</v>
      </c>
      <c r="I483" s="26"/>
      <c r="J483" s="27">
        <v>0</v>
      </c>
      <c r="K483" s="28" t="s">
        <v>27</v>
      </c>
      <c r="L483" s="14">
        <f t="shared" si="14"/>
        <v>1565.26</v>
      </c>
    </row>
    <row r="484" spans="1:12" ht="10.5" customHeight="1" outlineLevel="1" x14ac:dyDescent="0.25">
      <c r="A484" s="22"/>
      <c r="B484" s="22" t="s">
        <v>275</v>
      </c>
      <c r="C484" s="22">
        <v>95934</v>
      </c>
      <c r="D484" s="23" t="s">
        <v>813</v>
      </c>
      <c r="E484" s="23" t="s">
        <v>813</v>
      </c>
      <c r="F484" s="24" t="s">
        <v>814</v>
      </c>
      <c r="G484" s="24" t="str">
        <f t="shared" si="15"/>
        <v>Hypernet DYN-PLINT-R-68 Цоколь модульный для напольного шкафа 600*800</v>
      </c>
      <c r="H484" s="25">
        <f>$C$1*       84.7</f>
        <v>1863.4</v>
      </c>
      <c r="I484" s="26"/>
      <c r="J484" s="27">
        <v>0</v>
      </c>
      <c r="K484" s="28" t="s">
        <v>27</v>
      </c>
      <c r="L484" s="14">
        <f t="shared" si="14"/>
        <v>1826.13</v>
      </c>
    </row>
    <row r="485" spans="1:12" ht="10.5" customHeight="1" outlineLevel="1" x14ac:dyDescent="0.25">
      <c r="A485" s="22"/>
      <c r="B485" s="22" t="s">
        <v>275</v>
      </c>
      <c r="C485" s="22">
        <v>95975</v>
      </c>
      <c r="D485" s="23" t="s">
        <v>815</v>
      </c>
      <c r="E485" s="23" t="s">
        <v>815</v>
      </c>
      <c r="F485" s="24" t="s">
        <v>816</v>
      </c>
      <c r="G485" s="24" t="str">
        <f t="shared" si="15"/>
        <v>Hypernet DYN-PLINT-R-810 Цоколь модульный для напольного шкафа 800*1000</v>
      </c>
      <c r="H485" s="25">
        <f>$C$1*      138.6</f>
        <v>3049.2</v>
      </c>
      <c r="I485" s="26"/>
      <c r="J485" s="27">
        <v>0</v>
      </c>
      <c r="K485" s="28" t="s">
        <v>27</v>
      </c>
      <c r="L485" s="14">
        <f t="shared" si="14"/>
        <v>2988.22</v>
      </c>
    </row>
    <row r="486" spans="1:12" ht="10.5" customHeight="1" outlineLevel="1" x14ac:dyDescent="0.25">
      <c r="A486" s="22"/>
      <c r="B486" s="22" t="s">
        <v>275</v>
      </c>
      <c r="C486" s="22">
        <v>95968</v>
      </c>
      <c r="D486" s="23" t="s">
        <v>817</v>
      </c>
      <c r="E486" s="23" t="s">
        <v>817</v>
      </c>
      <c r="F486" s="24" t="s">
        <v>818</v>
      </c>
      <c r="G486" s="24" t="str">
        <f t="shared" si="15"/>
        <v>Hypernet DYN-PLINT-R-88 Цоколь модульный для напольного шкафа 800*800</v>
      </c>
      <c r="H486" s="25">
        <f>$C$1*      100.1</f>
        <v>2202.1999999999998</v>
      </c>
      <c r="I486" s="26"/>
      <c r="J486" s="27">
        <v>0</v>
      </c>
      <c r="K486" s="28" t="s">
        <v>27</v>
      </c>
      <c r="L486" s="14">
        <f t="shared" si="14"/>
        <v>2158.16</v>
      </c>
    </row>
    <row r="487" spans="1:12" ht="10.5" customHeight="1" x14ac:dyDescent="0.25">
      <c r="A487" s="15"/>
      <c r="B487" s="16" t="s">
        <v>819</v>
      </c>
      <c r="C487" s="16"/>
      <c r="D487" s="16"/>
      <c r="E487" s="16"/>
      <c r="F487" s="17"/>
      <c r="G487" s="24" t="e">
        <f t="shared" si="15"/>
        <v>#VALUE!</v>
      </c>
      <c r="H487" s="18"/>
      <c r="I487" s="19"/>
      <c r="J487" s="20"/>
      <c r="K487" s="21"/>
      <c r="L487" s="14">
        <f t="shared" si="14"/>
        <v>0</v>
      </c>
    </row>
    <row r="488" spans="1:12" ht="10.5" customHeight="1" x14ac:dyDescent="0.25">
      <c r="A488" s="15"/>
      <c r="B488" s="16" t="s">
        <v>820</v>
      </c>
      <c r="C488" s="16"/>
      <c r="D488" s="16"/>
      <c r="E488" s="16"/>
      <c r="F488" s="17"/>
      <c r="G488" s="24" t="e">
        <f t="shared" si="15"/>
        <v>#VALUE!</v>
      </c>
      <c r="H488" s="18"/>
      <c r="I488" s="19"/>
      <c r="J488" s="20"/>
      <c r="K488" s="21"/>
      <c r="L488" s="14">
        <f t="shared" si="14"/>
        <v>0</v>
      </c>
    </row>
    <row r="489" spans="1:12" ht="10.5" customHeight="1" outlineLevel="1" x14ac:dyDescent="0.25">
      <c r="A489" s="22"/>
      <c r="B489" s="22" t="s">
        <v>275</v>
      </c>
      <c r="C489" s="22">
        <v>95982</v>
      </c>
      <c r="D489" s="23" t="s">
        <v>821</v>
      </c>
      <c r="E489" s="23" t="s">
        <v>821</v>
      </c>
      <c r="F489" s="24" t="s">
        <v>822</v>
      </c>
      <c r="G489" s="24" t="str">
        <f t="shared" si="15"/>
        <v>Hypernet DYN-EFRAME-BASE-1000 База для двойной стойки Ecoframe глубина 1000</v>
      </c>
      <c r="H489" s="25">
        <f>$C$1*       55.44</f>
        <v>1219.6799999999998</v>
      </c>
      <c r="I489" s="26"/>
      <c r="J489" s="27">
        <v>0</v>
      </c>
      <c r="K489" s="28" t="s">
        <v>27</v>
      </c>
      <c r="L489" s="14">
        <f t="shared" si="14"/>
        <v>1195.29</v>
      </c>
    </row>
    <row r="490" spans="1:12" ht="10.5" customHeight="1" outlineLevel="1" x14ac:dyDescent="0.25">
      <c r="A490" s="22"/>
      <c r="B490" s="22" t="s">
        <v>275</v>
      </c>
      <c r="C490" s="22">
        <v>95970</v>
      </c>
      <c r="D490" s="23" t="s">
        <v>823</v>
      </c>
      <c r="E490" s="23" t="s">
        <v>823</v>
      </c>
      <c r="F490" s="24" t="s">
        <v>824</v>
      </c>
      <c r="G490" s="24" t="str">
        <f t="shared" si="15"/>
        <v>Hypernet DYN-EFRAME-BASE-800 База для двойной стойки Ecoframe глубина 800</v>
      </c>
      <c r="H490" s="25">
        <f>$C$1*       39.27</f>
        <v>863.94</v>
      </c>
      <c r="I490" s="26"/>
      <c r="J490" s="27">
        <v>0</v>
      </c>
      <c r="K490" s="28"/>
      <c r="L490" s="14">
        <f t="shared" si="14"/>
        <v>846.66</v>
      </c>
    </row>
    <row r="491" spans="1:12" ht="10.5" customHeight="1" outlineLevel="1" x14ac:dyDescent="0.25">
      <c r="A491" s="22"/>
      <c r="B491" s="22" t="s">
        <v>275</v>
      </c>
      <c r="C491" s="22">
        <v>95984</v>
      </c>
      <c r="D491" s="23" t="s">
        <v>825</v>
      </c>
      <c r="E491" s="23" t="s">
        <v>825</v>
      </c>
      <c r="F491" s="24" t="s">
        <v>826</v>
      </c>
      <c r="G491" s="24" t="str">
        <f t="shared" si="15"/>
        <v>Hypernet DYN-EFRAME-RACK-42U Фреймы 2 шт 42U для двойной стойки Ecoframe</v>
      </c>
      <c r="H491" s="25">
        <f>$C$1*       79.75</f>
        <v>1754.5</v>
      </c>
      <c r="I491" s="26"/>
      <c r="J491" s="27">
        <v>0</v>
      </c>
      <c r="K491" s="28" t="s">
        <v>27</v>
      </c>
      <c r="L491" s="14">
        <f t="shared" si="14"/>
        <v>1719.41</v>
      </c>
    </row>
    <row r="492" spans="1:12" ht="10.5" customHeight="1" x14ac:dyDescent="0.25">
      <c r="A492" s="15"/>
      <c r="B492" s="16" t="s">
        <v>827</v>
      </c>
      <c r="C492" s="16"/>
      <c r="D492" s="16"/>
      <c r="E492" s="16"/>
      <c r="F492" s="17"/>
      <c r="G492" s="24" t="e">
        <f t="shared" si="15"/>
        <v>#VALUE!</v>
      </c>
      <c r="H492" s="18"/>
      <c r="I492" s="19"/>
      <c r="J492" s="20"/>
      <c r="K492" s="21"/>
      <c r="L492" s="14">
        <f t="shared" si="14"/>
        <v>0</v>
      </c>
    </row>
    <row r="493" spans="1:12" ht="10.5" customHeight="1" outlineLevel="1" x14ac:dyDescent="0.25">
      <c r="A493" s="22"/>
      <c r="B493" s="22" t="s">
        <v>24</v>
      </c>
      <c r="C493" s="22">
        <v>93133</v>
      </c>
      <c r="D493" s="23" t="s">
        <v>828</v>
      </c>
      <c r="E493" s="23" t="s">
        <v>828</v>
      </c>
      <c r="F493" s="24" t="s">
        <v>829</v>
      </c>
      <c r="G493" s="24" t="str">
        <f t="shared" si="15"/>
        <v>NETS US-ORDR-16U-R Стойка коммутационная напольная двойная 16U, регулируемая глубина 400-750</v>
      </c>
      <c r="H493" s="25">
        <f>$C$1*       68</f>
        <v>1496</v>
      </c>
      <c r="I493" s="26"/>
      <c r="J493" s="27">
        <v>0</v>
      </c>
      <c r="K493" s="28" t="s">
        <v>27</v>
      </c>
      <c r="L493" s="14">
        <f t="shared" si="14"/>
        <v>1466.08</v>
      </c>
    </row>
    <row r="494" spans="1:12" ht="10.5" customHeight="1" outlineLevel="1" x14ac:dyDescent="0.25">
      <c r="A494" s="22"/>
      <c r="B494" s="22" t="s">
        <v>24</v>
      </c>
      <c r="C494" s="22">
        <v>93134</v>
      </c>
      <c r="D494" s="23" t="s">
        <v>830</v>
      </c>
      <c r="E494" s="23" t="s">
        <v>830</v>
      </c>
      <c r="F494" s="24" t="s">
        <v>831</v>
      </c>
      <c r="G494" s="24" t="str">
        <f t="shared" si="15"/>
        <v>NETS US-ORDR-24U-R Стойка коммутационная напольная двойная 24U, регулируемая глубина 400-750</v>
      </c>
      <c r="H494" s="25">
        <f>$C$1*       77</f>
        <v>1694</v>
      </c>
      <c r="I494" s="26"/>
      <c r="J494" s="27">
        <v>0</v>
      </c>
      <c r="K494" s="28" t="s">
        <v>27</v>
      </c>
      <c r="L494" s="14">
        <f t="shared" si="14"/>
        <v>1660.12</v>
      </c>
    </row>
    <row r="495" spans="1:12" ht="10.5" customHeight="1" outlineLevel="1" x14ac:dyDescent="0.25">
      <c r="A495" s="22"/>
      <c r="B495" s="22" t="s">
        <v>24</v>
      </c>
      <c r="C495" s="22">
        <v>93136</v>
      </c>
      <c r="D495" s="23" t="s">
        <v>832</v>
      </c>
      <c r="E495" s="23" t="s">
        <v>832</v>
      </c>
      <c r="F495" s="24" t="s">
        <v>833</v>
      </c>
      <c r="G495" s="24" t="str">
        <f t="shared" si="15"/>
        <v>NETS US-ORDR-42U-R Стойка коммутационная напольная двойная 42U, регулируемая глубина 400-750</v>
      </c>
      <c r="H495" s="25">
        <f>$C$1*       91</f>
        <v>2002</v>
      </c>
      <c r="I495" s="26"/>
      <c r="J495" s="27">
        <v>0</v>
      </c>
      <c r="K495" s="28" t="s">
        <v>27</v>
      </c>
      <c r="L495" s="14">
        <f t="shared" si="14"/>
        <v>1961.96</v>
      </c>
    </row>
    <row r="496" spans="1:12" ht="10.5" customHeight="1" outlineLevel="1" x14ac:dyDescent="0.25">
      <c r="A496" s="22"/>
      <c r="B496" s="22" t="s">
        <v>24</v>
      </c>
      <c r="C496" s="22">
        <v>93138</v>
      </c>
      <c r="D496" s="23" t="s">
        <v>834</v>
      </c>
      <c r="E496" s="23" t="s">
        <v>834</v>
      </c>
      <c r="F496" s="24" t="s">
        <v>835</v>
      </c>
      <c r="G496" s="24" t="str">
        <f t="shared" si="15"/>
        <v>NETS USP-ORDR-24U-750 Стойка коммутационная серверная напольная двойная 24U, глубина 750</v>
      </c>
      <c r="H496" s="25">
        <f>$C$1*      185.9</f>
        <v>4089.8</v>
      </c>
      <c r="I496" s="26"/>
      <c r="J496" s="27">
        <v>0</v>
      </c>
      <c r="K496" s="28" t="s">
        <v>27</v>
      </c>
      <c r="L496" s="14">
        <f t="shared" si="14"/>
        <v>4008</v>
      </c>
    </row>
    <row r="497" spans="1:12" ht="10.5" customHeight="1" x14ac:dyDescent="0.25">
      <c r="A497" s="15"/>
      <c r="B497" s="16" t="s">
        <v>836</v>
      </c>
      <c r="C497" s="16"/>
      <c r="D497" s="16"/>
      <c r="E497" s="16"/>
      <c r="F497" s="17"/>
      <c r="G497" s="24" t="e">
        <f t="shared" si="15"/>
        <v>#VALUE!</v>
      </c>
      <c r="H497" s="18"/>
      <c r="I497" s="19"/>
      <c r="J497" s="20"/>
      <c r="K497" s="21"/>
      <c r="L497" s="14">
        <f t="shared" si="14"/>
        <v>0</v>
      </c>
    </row>
    <row r="498" spans="1:12" ht="10.5" customHeight="1" x14ac:dyDescent="0.25">
      <c r="A498" s="15"/>
      <c r="B498" s="16" t="s">
        <v>837</v>
      </c>
      <c r="C498" s="16"/>
      <c r="D498" s="16"/>
      <c r="E498" s="16"/>
      <c r="F498" s="17"/>
      <c r="G498" s="24" t="e">
        <f t="shared" si="15"/>
        <v>#VALUE!</v>
      </c>
      <c r="H498" s="18"/>
      <c r="I498" s="19"/>
      <c r="J498" s="20"/>
      <c r="K498" s="21"/>
      <c r="L498" s="14">
        <f t="shared" si="14"/>
        <v>0</v>
      </c>
    </row>
    <row r="499" spans="1:12" ht="10.5" customHeight="1" outlineLevel="1" x14ac:dyDescent="0.25">
      <c r="A499" s="22"/>
      <c r="B499" s="22" t="s">
        <v>275</v>
      </c>
      <c r="C499" s="22">
        <v>94880</v>
      </c>
      <c r="D499" s="23" t="s">
        <v>838</v>
      </c>
      <c r="E499" s="23" t="s">
        <v>838</v>
      </c>
      <c r="F499" s="24" t="s">
        <v>839</v>
      </c>
      <c r="G499" s="24" t="str">
        <f t="shared" si="15"/>
        <v>Hypernet FNC1000-20U-FLAT Шкаф коммутационный напольный 20U 600x1000 разборный конструктив</v>
      </c>
      <c r="H499" s="25">
        <f>$C$1*      313.5</f>
        <v>6897</v>
      </c>
      <c r="I499" s="26"/>
      <c r="J499" s="27">
        <v>0</v>
      </c>
      <c r="K499" s="28" t="s">
        <v>27</v>
      </c>
      <c r="L499" s="14">
        <f t="shared" si="14"/>
        <v>6759.06</v>
      </c>
    </row>
    <row r="500" spans="1:12" ht="10.5" customHeight="1" outlineLevel="1" x14ac:dyDescent="0.25">
      <c r="A500" s="22"/>
      <c r="B500" s="22" t="s">
        <v>275</v>
      </c>
      <c r="C500" s="22">
        <v>94881</v>
      </c>
      <c r="D500" s="23" t="s">
        <v>840</v>
      </c>
      <c r="E500" s="23" t="s">
        <v>840</v>
      </c>
      <c r="F500" s="24" t="s">
        <v>841</v>
      </c>
      <c r="G500" s="24" t="str">
        <f t="shared" si="15"/>
        <v>Hypernet FNC1000-25U-FLAT Шкаф коммутационный напольный 25U 600x1000 разборный конструктив</v>
      </c>
      <c r="H500" s="25">
        <f>$C$1*      335.5</f>
        <v>7381</v>
      </c>
      <c r="I500" s="26"/>
      <c r="J500" s="27">
        <v>0</v>
      </c>
      <c r="K500" s="28" t="s">
        <v>27</v>
      </c>
      <c r="L500" s="14">
        <f t="shared" si="14"/>
        <v>7233.38</v>
      </c>
    </row>
    <row r="501" spans="1:12" ht="10.5" customHeight="1" outlineLevel="1" x14ac:dyDescent="0.25">
      <c r="A501" s="22"/>
      <c r="B501" s="22" t="s">
        <v>275</v>
      </c>
      <c r="C501" s="22">
        <v>94902</v>
      </c>
      <c r="D501" s="23" t="s">
        <v>842</v>
      </c>
      <c r="E501" s="23" t="s">
        <v>842</v>
      </c>
      <c r="F501" s="24" t="s">
        <v>843</v>
      </c>
      <c r="G501" s="24" t="str">
        <f t="shared" si="15"/>
        <v>Hypernet FNC1000-30U-FLAT Шкаф коммутационный напольный 30U 600x1000 разборный конструктив</v>
      </c>
      <c r="H501" s="25">
        <f>$C$1*      379.5</f>
        <v>8349</v>
      </c>
      <c r="I501" s="26"/>
      <c r="J501" s="27">
        <v>0</v>
      </c>
      <c r="K501" s="28"/>
      <c r="L501" s="14">
        <f t="shared" si="14"/>
        <v>8182.02</v>
      </c>
    </row>
    <row r="502" spans="1:12" ht="10.5" customHeight="1" outlineLevel="1" x14ac:dyDescent="0.25">
      <c r="A502" s="22"/>
      <c r="B502" s="22" t="s">
        <v>275</v>
      </c>
      <c r="C502" s="22">
        <v>94903</v>
      </c>
      <c r="D502" s="23" t="s">
        <v>844</v>
      </c>
      <c r="E502" s="23" t="s">
        <v>844</v>
      </c>
      <c r="F502" s="24" t="s">
        <v>845</v>
      </c>
      <c r="G502" s="24" t="str">
        <f t="shared" si="15"/>
        <v>Hypernet FNC1000-35U-FLAT Шкаф коммутационный напольный 35U 600x1000 разборный конструктив ш(62)</v>
      </c>
      <c r="H502" s="25">
        <f>$C$1*      412.5</f>
        <v>9075</v>
      </c>
      <c r="I502" s="26"/>
      <c r="J502" s="27">
        <v>0</v>
      </c>
      <c r="K502" s="28" t="s">
        <v>27</v>
      </c>
      <c r="L502" s="14">
        <f t="shared" si="14"/>
        <v>8893.5</v>
      </c>
    </row>
    <row r="503" spans="1:12" ht="10.5" customHeight="1" outlineLevel="1" x14ac:dyDescent="0.25">
      <c r="A503" s="22"/>
      <c r="B503" s="22" t="s">
        <v>275</v>
      </c>
      <c r="C503" s="22">
        <v>94882</v>
      </c>
      <c r="D503" s="23" t="s">
        <v>846</v>
      </c>
      <c r="E503" s="23" t="s">
        <v>846</v>
      </c>
      <c r="F503" s="24" t="s">
        <v>847</v>
      </c>
      <c r="G503" s="24" t="str">
        <f t="shared" si="15"/>
        <v>Hypernet FNC1000-38U-FLAT Шкаф коммутационный напольный 38U 600x1000 разборный конструктив</v>
      </c>
      <c r="H503" s="25">
        <f>$C$1*      429</f>
        <v>9438</v>
      </c>
      <c r="I503" s="26"/>
      <c r="J503" s="27">
        <v>0</v>
      </c>
      <c r="K503" s="28"/>
      <c r="L503" s="14">
        <f t="shared" si="14"/>
        <v>9249.24</v>
      </c>
    </row>
    <row r="504" spans="1:12" ht="10.5" customHeight="1" outlineLevel="1" x14ac:dyDescent="0.25">
      <c r="A504" s="22"/>
      <c r="B504" s="22" t="s">
        <v>275</v>
      </c>
      <c r="C504" s="22">
        <v>94904</v>
      </c>
      <c r="D504" s="23" t="s">
        <v>848</v>
      </c>
      <c r="E504" s="23" t="s">
        <v>848</v>
      </c>
      <c r="F504" s="24" t="s">
        <v>849</v>
      </c>
      <c r="G504" s="24" t="str">
        <f t="shared" si="15"/>
        <v>Hypernet FNC1000-42U-FLAT Шкаф коммутационный напольный 42U 600x1000 разборный конструктив</v>
      </c>
      <c r="H504" s="25">
        <f>$C$1*      434.5</f>
        <v>9559</v>
      </c>
      <c r="I504" s="26"/>
      <c r="J504" s="27">
        <v>0</v>
      </c>
      <c r="K504" s="28" t="s">
        <v>27</v>
      </c>
      <c r="L504" s="14">
        <f t="shared" si="14"/>
        <v>9367.82</v>
      </c>
    </row>
    <row r="505" spans="1:12" ht="10.5" customHeight="1" outlineLevel="1" x14ac:dyDescent="0.25">
      <c r="A505" s="22"/>
      <c r="B505" s="22" t="s">
        <v>275</v>
      </c>
      <c r="C505" s="22">
        <v>94905</v>
      </c>
      <c r="D505" s="23" t="s">
        <v>850</v>
      </c>
      <c r="E505" s="23" t="s">
        <v>850</v>
      </c>
      <c r="F505" s="24" t="s">
        <v>851</v>
      </c>
      <c r="G505" s="24" t="str">
        <f t="shared" si="15"/>
        <v>Hypernet FNC1000-47U-FLAT Шкаф коммутационный напольный 47U 600x1000 разборный конструктив</v>
      </c>
      <c r="H505" s="25">
        <f>$C$1*      451</f>
        <v>9922</v>
      </c>
      <c r="I505" s="26"/>
      <c r="J505" s="27">
        <v>0</v>
      </c>
      <c r="K505" s="28" t="s">
        <v>27</v>
      </c>
      <c r="L505" s="14">
        <f t="shared" si="14"/>
        <v>9723.56</v>
      </c>
    </row>
    <row r="506" spans="1:12" ht="10.5" customHeight="1" x14ac:dyDescent="0.25">
      <c r="A506" s="15"/>
      <c r="B506" s="16" t="s">
        <v>852</v>
      </c>
      <c r="C506" s="16"/>
      <c r="D506" s="16"/>
      <c r="E506" s="16"/>
      <c r="F506" s="17"/>
      <c r="G506" s="24" t="e">
        <f t="shared" si="15"/>
        <v>#VALUE!</v>
      </c>
      <c r="H506" s="18"/>
      <c r="I506" s="19"/>
      <c r="J506" s="20"/>
      <c r="K506" s="21"/>
      <c r="L506" s="14">
        <f t="shared" si="14"/>
        <v>0</v>
      </c>
    </row>
    <row r="507" spans="1:12" ht="10.5" customHeight="1" outlineLevel="1" x14ac:dyDescent="0.25">
      <c r="A507" s="22"/>
      <c r="B507" s="22" t="s">
        <v>275</v>
      </c>
      <c r="C507" s="22">
        <v>94876</v>
      </c>
      <c r="D507" s="23" t="s">
        <v>853</v>
      </c>
      <c r="E507" s="23" t="s">
        <v>853</v>
      </c>
      <c r="F507" s="24" t="s">
        <v>854</v>
      </c>
      <c r="G507" s="24" t="str">
        <f t="shared" si="15"/>
        <v>Hypernet FNC-18U-FLAT Шкаф коммутационный напольный 18U 600x600 разборный конструктив</v>
      </c>
      <c r="H507" s="25">
        <f>$C$1*      253</f>
        <v>5566</v>
      </c>
      <c r="I507" s="26"/>
      <c r="J507" s="27">
        <v>0</v>
      </c>
      <c r="K507" s="28"/>
      <c r="L507" s="14">
        <f t="shared" si="14"/>
        <v>5454.68</v>
      </c>
    </row>
    <row r="508" spans="1:12" ht="10.5" customHeight="1" outlineLevel="1" x14ac:dyDescent="0.25">
      <c r="A508" s="22"/>
      <c r="B508" s="22" t="s">
        <v>275</v>
      </c>
      <c r="C508" s="22">
        <v>94877</v>
      </c>
      <c r="D508" s="23" t="s">
        <v>855</v>
      </c>
      <c r="E508" s="23" t="s">
        <v>855</v>
      </c>
      <c r="F508" s="24" t="s">
        <v>856</v>
      </c>
      <c r="G508" s="24" t="str">
        <f t="shared" si="15"/>
        <v>Hypernet FNC-20U-FLAT Шкаф коммутационный напольный 20U 600x600 разборный конструктив ш(62)*г(62)</v>
      </c>
      <c r="H508" s="25">
        <f>$C$1*      258.5</f>
        <v>5687</v>
      </c>
      <c r="I508" s="26"/>
      <c r="J508" s="27">
        <v>0</v>
      </c>
      <c r="K508" s="28" t="s">
        <v>27</v>
      </c>
      <c r="L508" s="14">
        <f t="shared" si="14"/>
        <v>5573.26</v>
      </c>
    </row>
    <row r="509" spans="1:12" ht="10.5" customHeight="1" outlineLevel="1" x14ac:dyDescent="0.25">
      <c r="A509" s="22"/>
      <c r="B509" s="22" t="s">
        <v>275</v>
      </c>
      <c r="C509" s="22">
        <v>94878</v>
      </c>
      <c r="D509" s="23" t="s">
        <v>857</v>
      </c>
      <c r="E509" s="23" t="s">
        <v>857</v>
      </c>
      <c r="F509" s="24" t="s">
        <v>858</v>
      </c>
      <c r="G509" s="24" t="str">
        <f t="shared" si="15"/>
        <v>Hypernet FNC-25U-FLAT Шкаф коммутационный напольный 25U 600x600 разборной ш(62)*г(62)*в(130)</v>
      </c>
      <c r="H509" s="25">
        <f>$C$1*      291.5</f>
        <v>6413</v>
      </c>
      <c r="I509" s="26"/>
      <c r="J509" s="27">
        <v>0</v>
      </c>
      <c r="K509" s="28" t="s">
        <v>27</v>
      </c>
      <c r="L509" s="14">
        <f t="shared" si="14"/>
        <v>6284.74</v>
      </c>
    </row>
    <row r="510" spans="1:12" ht="10.5" customHeight="1" outlineLevel="1" x14ac:dyDescent="0.25">
      <c r="A510" s="22"/>
      <c r="B510" s="22" t="s">
        <v>275</v>
      </c>
      <c r="C510" s="22">
        <v>94899</v>
      </c>
      <c r="D510" s="23" t="s">
        <v>859</v>
      </c>
      <c r="E510" s="23" t="s">
        <v>859</v>
      </c>
      <c r="F510" s="24" t="s">
        <v>860</v>
      </c>
      <c r="G510" s="24" t="str">
        <f t="shared" si="15"/>
        <v>Hypernet FNC-30U-FLAT Шкаф коммутационный напольный разборной 30U 600x600 ш(62)*г(62)*в(150)</v>
      </c>
      <c r="H510" s="25">
        <f>$C$1*      319</f>
        <v>7018</v>
      </c>
      <c r="I510" s="26"/>
      <c r="J510" s="27">
        <v>0</v>
      </c>
      <c r="K510" s="28"/>
      <c r="L510" s="14">
        <f t="shared" si="14"/>
        <v>6877.64</v>
      </c>
    </row>
    <row r="511" spans="1:12" ht="10.5" customHeight="1" outlineLevel="1" x14ac:dyDescent="0.25">
      <c r="A511" s="22"/>
      <c r="B511" s="22" t="s">
        <v>275</v>
      </c>
      <c r="C511" s="22">
        <v>94900</v>
      </c>
      <c r="D511" s="23" t="s">
        <v>861</v>
      </c>
      <c r="E511" s="23" t="s">
        <v>861</v>
      </c>
      <c r="F511" s="24" t="s">
        <v>862</v>
      </c>
      <c r="G511" s="24" t="str">
        <f t="shared" si="15"/>
        <v>Hypernet FNC-35U-FLAT Шкаф коммутационный напольный разборной 35U 600x600 ш(62)*г(62)*в(175)</v>
      </c>
      <c r="H511" s="25">
        <f>$C$1*      346.5</f>
        <v>7623</v>
      </c>
      <c r="I511" s="26"/>
      <c r="J511" s="27">
        <v>0</v>
      </c>
      <c r="K511" s="28"/>
      <c r="L511" s="14">
        <f t="shared" si="14"/>
        <v>7470.54</v>
      </c>
    </row>
    <row r="512" spans="1:12" ht="10.5" customHeight="1" outlineLevel="1" x14ac:dyDescent="0.25">
      <c r="A512" s="22"/>
      <c r="B512" s="22" t="s">
        <v>275</v>
      </c>
      <c r="C512" s="22">
        <v>94879</v>
      </c>
      <c r="D512" s="23" t="s">
        <v>863</v>
      </c>
      <c r="E512" s="23" t="s">
        <v>863</v>
      </c>
      <c r="F512" s="24" t="s">
        <v>864</v>
      </c>
      <c r="G512" s="24" t="str">
        <f t="shared" si="15"/>
        <v>Hypernet FNC-38U-FLAT Шкаф коммутационный напольный разборной 38U 600x600</v>
      </c>
      <c r="H512" s="25">
        <f>$C$1*      363</f>
        <v>7986</v>
      </c>
      <c r="I512" s="26"/>
      <c r="J512" s="27">
        <v>0</v>
      </c>
      <c r="K512" s="28"/>
      <c r="L512" s="14">
        <f t="shared" si="14"/>
        <v>7826.28</v>
      </c>
    </row>
    <row r="513" spans="1:12" ht="10.5" customHeight="1" outlineLevel="1" x14ac:dyDescent="0.25">
      <c r="A513" s="22"/>
      <c r="B513" s="22" t="s">
        <v>275</v>
      </c>
      <c r="C513" s="22">
        <v>94901</v>
      </c>
      <c r="D513" s="23" t="s">
        <v>865</v>
      </c>
      <c r="E513" s="23" t="s">
        <v>865</v>
      </c>
      <c r="F513" s="24" t="s">
        <v>866</v>
      </c>
      <c r="G513" s="24" t="str">
        <f t="shared" si="15"/>
        <v>Hypernet FNC-42U-FLAT Шкаф коммутационный напольный 42U 600x600 разборный конструктив ш(62)*г(62)</v>
      </c>
      <c r="H513" s="25">
        <f>$C$1*      379.5</f>
        <v>8349</v>
      </c>
      <c r="I513" s="26"/>
      <c r="J513" s="27">
        <v>0</v>
      </c>
      <c r="K513" s="28" t="s">
        <v>27</v>
      </c>
      <c r="L513" s="14">
        <f t="shared" si="14"/>
        <v>8182.02</v>
      </c>
    </row>
    <row r="514" spans="1:12" ht="10.5" customHeight="1" x14ac:dyDescent="0.25">
      <c r="A514" s="15"/>
      <c r="B514" s="16" t="s">
        <v>867</v>
      </c>
      <c r="C514" s="16"/>
      <c r="D514" s="16"/>
      <c r="E514" s="16"/>
      <c r="F514" s="17"/>
      <c r="G514" s="24" t="e">
        <f t="shared" si="15"/>
        <v>#VALUE!</v>
      </c>
      <c r="H514" s="18"/>
      <c r="I514" s="19"/>
      <c r="J514" s="20"/>
      <c r="K514" s="21"/>
      <c r="L514" s="14">
        <f t="shared" si="14"/>
        <v>0</v>
      </c>
    </row>
    <row r="515" spans="1:12" ht="10.5" customHeight="1" outlineLevel="1" x14ac:dyDescent="0.25">
      <c r="A515" s="22"/>
      <c r="B515" s="22" t="s">
        <v>275</v>
      </c>
      <c r="C515" s="22">
        <v>94883</v>
      </c>
      <c r="D515" s="23" t="s">
        <v>868</v>
      </c>
      <c r="E515" s="23" t="s">
        <v>868</v>
      </c>
      <c r="F515" s="24" t="s">
        <v>869</v>
      </c>
      <c r="G515" s="24" t="str">
        <f t="shared" si="15"/>
        <v>Hypernet FNC8-18U-FLAT Шкаф коммутационный напольный 18U 600x800 разборный конструктив</v>
      </c>
      <c r="H515" s="25">
        <f>$C$1*      269.5</f>
        <v>5929</v>
      </c>
      <c r="I515" s="26"/>
      <c r="J515" s="27">
        <v>0</v>
      </c>
      <c r="K515" s="28"/>
      <c r="L515" s="14">
        <f t="shared" si="14"/>
        <v>5810.42</v>
      </c>
    </row>
    <row r="516" spans="1:12" ht="10.5" customHeight="1" outlineLevel="1" x14ac:dyDescent="0.25">
      <c r="A516" s="22"/>
      <c r="B516" s="22" t="s">
        <v>275</v>
      </c>
      <c r="C516" s="22">
        <v>94884</v>
      </c>
      <c r="D516" s="23" t="s">
        <v>870</v>
      </c>
      <c r="E516" s="23" t="s">
        <v>870</v>
      </c>
      <c r="F516" s="24" t="s">
        <v>871</v>
      </c>
      <c r="G516" s="24" t="str">
        <f t="shared" si="15"/>
        <v>Hypernet FNC8-20U-FLAT Шкаф коммутационный напольный 20U 600x800 разборный конструктив, ш(62)*г(8</v>
      </c>
      <c r="H516" s="25">
        <f>$C$1*      286</f>
        <v>6292</v>
      </c>
      <c r="I516" s="26"/>
      <c r="J516" s="27">
        <v>0</v>
      </c>
      <c r="K516" s="28" t="s">
        <v>27</v>
      </c>
      <c r="L516" s="14">
        <f t="shared" si="14"/>
        <v>6166.16</v>
      </c>
    </row>
    <row r="517" spans="1:12" ht="10.5" customHeight="1" outlineLevel="1" x14ac:dyDescent="0.25">
      <c r="A517" s="22"/>
      <c r="B517" s="22" t="s">
        <v>275</v>
      </c>
      <c r="C517" s="22">
        <v>94885</v>
      </c>
      <c r="D517" s="23" t="s">
        <v>872</v>
      </c>
      <c r="E517" s="23" t="s">
        <v>872</v>
      </c>
      <c r="F517" s="24" t="s">
        <v>873</v>
      </c>
      <c r="G517" s="24" t="str">
        <f t="shared" si="15"/>
        <v>Hypernet FNC8-25U-FLAT Шкаф коммутационный напольный 25U 600x800 разборный конструктив, ш(62)*г(8</v>
      </c>
      <c r="H517" s="25">
        <f>$C$1*      294</f>
        <v>6468</v>
      </c>
      <c r="I517" s="26"/>
      <c r="J517" s="27">
        <v>0</v>
      </c>
      <c r="K517" s="28" t="s">
        <v>27</v>
      </c>
      <c r="L517" s="14">
        <f t="shared" si="14"/>
        <v>6338.64</v>
      </c>
    </row>
    <row r="518" spans="1:12" ht="10.5" customHeight="1" outlineLevel="1" x14ac:dyDescent="0.25">
      <c r="A518" s="22"/>
      <c r="B518" s="22" t="s">
        <v>275</v>
      </c>
      <c r="C518" s="22">
        <v>94906</v>
      </c>
      <c r="D518" s="23" t="s">
        <v>874</v>
      </c>
      <c r="E518" s="23" t="s">
        <v>874</v>
      </c>
      <c r="F518" s="24" t="s">
        <v>875</v>
      </c>
      <c r="G518" s="24" t="str">
        <f t="shared" si="15"/>
        <v>Hypernet FNC8-35U-FLAT Шкаф коммутационный напольный 35U 600x800 разборный конструктив</v>
      </c>
      <c r="H518" s="25">
        <f>$C$1*      363</f>
        <v>7986</v>
      </c>
      <c r="I518" s="26"/>
      <c r="J518" s="27">
        <v>0</v>
      </c>
      <c r="K518" s="28" t="s">
        <v>27</v>
      </c>
      <c r="L518" s="14">
        <f t="shared" ref="L518:L581" si="17">ROUND(H518*0.98,2)</f>
        <v>7826.28</v>
      </c>
    </row>
    <row r="519" spans="1:12" ht="10.5" customHeight="1" outlineLevel="1" x14ac:dyDescent="0.25">
      <c r="A519" s="22"/>
      <c r="B519" s="22" t="s">
        <v>275</v>
      </c>
      <c r="C519" s="22">
        <v>94886</v>
      </c>
      <c r="D519" s="23" t="s">
        <v>876</v>
      </c>
      <c r="E519" s="23" t="s">
        <v>876</v>
      </c>
      <c r="F519" s="24" t="s">
        <v>877</v>
      </c>
      <c r="G519" s="24" t="str">
        <f t="shared" si="15"/>
        <v>Hypernet FNC8-38U-FLAT Шкаф коммутационный напольный 38U 600x800 разборный конструктив</v>
      </c>
      <c r="H519" s="25">
        <f>$C$1*      366</f>
        <v>8052</v>
      </c>
      <c r="I519" s="26"/>
      <c r="J519" s="27">
        <v>0</v>
      </c>
      <c r="K519" s="28" t="s">
        <v>27</v>
      </c>
      <c r="L519" s="14">
        <f t="shared" si="17"/>
        <v>7890.96</v>
      </c>
    </row>
    <row r="520" spans="1:12" ht="10.5" customHeight="1" outlineLevel="1" x14ac:dyDescent="0.25">
      <c r="A520" s="22"/>
      <c r="B520" s="22" t="s">
        <v>275</v>
      </c>
      <c r="C520" s="22">
        <v>94907</v>
      </c>
      <c r="D520" s="23" t="s">
        <v>878</v>
      </c>
      <c r="E520" s="23" t="s">
        <v>878</v>
      </c>
      <c r="F520" s="24" t="s">
        <v>879</v>
      </c>
      <c r="G520" s="24" t="str">
        <f t="shared" ref="G520:G583" si="18">REPLACE(F520,SEARCH(" ",F520)+1,0,D520&amp;" ")</f>
        <v>Hypernet FNC8-42U-FLAT Шкаф коммутационный напольный 42U 600x800 разборный конструктив</v>
      </c>
      <c r="H520" s="25">
        <f>$C$1*      408</f>
        <v>8976</v>
      </c>
      <c r="I520" s="26"/>
      <c r="J520" s="27">
        <v>0</v>
      </c>
      <c r="K520" s="28"/>
      <c r="L520" s="14">
        <f t="shared" si="17"/>
        <v>8796.48</v>
      </c>
    </row>
    <row r="521" spans="1:12" ht="10.5" customHeight="1" outlineLevel="1" x14ac:dyDescent="0.25">
      <c r="A521" s="22"/>
      <c r="B521" s="22" t="s">
        <v>275</v>
      </c>
      <c r="C521" s="22">
        <v>94908</v>
      </c>
      <c r="D521" s="23" t="s">
        <v>880</v>
      </c>
      <c r="E521" s="23" t="s">
        <v>880</v>
      </c>
      <c r="F521" s="24" t="s">
        <v>881</v>
      </c>
      <c r="G521" s="24" t="str">
        <f t="shared" si="18"/>
        <v>Hypernet FNC8-47U-FLAT Шкаф коммутационный напольный 47U 600x800 разборный конструктив</v>
      </c>
      <c r="H521" s="25">
        <f>$C$1*      408</f>
        <v>8976</v>
      </c>
      <c r="I521" s="26"/>
      <c r="J521" s="27">
        <v>0</v>
      </c>
      <c r="K521" s="28" t="s">
        <v>27</v>
      </c>
      <c r="L521" s="14">
        <f t="shared" si="17"/>
        <v>8796.48</v>
      </c>
    </row>
    <row r="522" spans="1:12" ht="10.5" customHeight="1" outlineLevel="1" x14ac:dyDescent="0.25">
      <c r="A522" s="22"/>
      <c r="B522" s="22" t="s">
        <v>24</v>
      </c>
      <c r="C522" s="22">
        <v>93527</v>
      </c>
      <c r="D522" s="23" t="s">
        <v>882</v>
      </c>
      <c r="E522" s="23" t="s">
        <v>882</v>
      </c>
      <c r="F522" s="24" t="s">
        <v>883</v>
      </c>
      <c r="G522" s="24" t="str">
        <f t="shared" si="18"/>
        <v>Nets US-FNC88-42U-FLAT Шкаф коммутационный напольный 42U 800x800 разборный конструктив</v>
      </c>
      <c r="H522" s="25">
        <f>$C$1*      460</f>
        <v>10120</v>
      </c>
      <c r="I522" s="26"/>
      <c r="J522" s="27">
        <v>0</v>
      </c>
      <c r="K522" s="28" t="s">
        <v>27</v>
      </c>
      <c r="L522" s="14">
        <f t="shared" si="17"/>
        <v>9917.6</v>
      </c>
    </row>
    <row r="523" spans="1:12" ht="10.5" customHeight="1" x14ac:dyDescent="0.25">
      <c r="A523" s="15"/>
      <c r="B523" s="16" t="s">
        <v>884</v>
      </c>
      <c r="C523" s="16"/>
      <c r="D523" s="16"/>
      <c r="E523" s="16"/>
      <c r="F523" s="17"/>
      <c r="G523" s="24" t="e">
        <f t="shared" si="18"/>
        <v>#VALUE!</v>
      </c>
      <c r="H523" s="18"/>
      <c r="I523" s="19"/>
      <c r="J523" s="20"/>
      <c r="K523" s="21"/>
      <c r="L523" s="14">
        <f t="shared" si="17"/>
        <v>0</v>
      </c>
    </row>
    <row r="524" spans="1:12" ht="10.5" customHeight="1" outlineLevel="1" x14ac:dyDescent="0.25">
      <c r="A524" s="22"/>
      <c r="B524" s="22" t="s">
        <v>275</v>
      </c>
      <c r="C524" s="22">
        <v>94909</v>
      </c>
      <c r="D524" s="23" t="s">
        <v>885</v>
      </c>
      <c r="E524" s="23" t="s">
        <v>885</v>
      </c>
      <c r="F524" s="24" t="s">
        <v>886</v>
      </c>
      <c r="G524" s="24" t="str">
        <f t="shared" si="18"/>
        <v>Hypernet FNC8100-42U-FLAT Шкаф коммутационный напольный 42U 800x1000 разборный конструктив</v>
      </c>
      <c r="H524" s="25">
        <f>$C$1*      528</f>
        <v>11616</v>
      </c>
      <c r="I524" s="26"/>
      <c r="J524" s="27">
        <v>0</v>
      </c>
      <c r="K524" s="28" t="s">
        <v>27</v>
      </c>
      <c r="L524" s="14">
        <f t="shared" si="17"/>
        <v>11383.68</v>
      </c>
    </row>
    <row r="525" spans="1:12" ht="10.5" customHeight="1" outlineLevel="1" x14ac:dyDescent="0.25">
      <c r="A525" s="22"/>
      <c r="B525" s="22" t="s">
        <v>275</v>
      </c>
      <c r="C525" s="22">
        <v>96438</v>
      </c>
      <c r="D525" s="23" t="s">
        <v>887</v>
      </c>
      <c r="E525" s="23" t="s">
        <v>887</v>
      </c>
      <c r="F525" s="24" t="s">
        <v>888</v>
      </c>
      <c r="G525" s="24" t="str">
        <f t="shared" si="18"/>
        <v>Hypernet FNC81200-48U-FLAT Шкаф серверный напольный 48U 800x1200 разборный, перфодвери</v>
      </c>
      <c r="H525" s="25">
        <f>$C$1*      535</f>
        <v>11770</v>
      </c>
      <c r="I525" s="26"/>
      <c r="J525" s="27">
        <v>0</v>
      </c>
      <c r="K525" s="28" t="s">
        <v>27</v>
      </c>
      <c r="L525" s="14">
        <f t="shared" si="17"/>
        <v>11534.6</v>
      </c>
    </row>
    <row r="526" spans="1:12" ht="10.5" customHeight="1" outlineLevel="1" x14ac:dyDescent="0.25">
      <c r="A526" s="22"/>
      <c r="B526" s="22" t="s">
        <v>275</v>
      </c>
      <c r="C526" s="22">
        <v>94888</v>
      </c>
      <c r="D526" s="23" t="s">
        <v>889</v>
      </c>
      <c r="E526" s="23" t="s">
        <v>889</v>
      </c>
      <c r="F526" s="24" t="s">
        <v>890</v>
      </c>
      <c r="G526" s="24" t="str">
        <f t="shared" si="18"/>
        <v>Hypernet FNC88-42U-FLAT Шкаф коммутационный напольный 42U 800x800 разборный конструктив</v>
      </c>
      <c r="H526" s="25">
        <f>$C$1*      489.5</f>
        <v>10769</v>
      </c>
      <c r="I526" s="26"/>
      <c r="J526" s="27">
        <v>0</v>
      </c>
      <c r="K526" s="28" t="s">
        <v>27</v>
      </c>
      <c r="L526" s="14">
        <f t="shared" si="17"/>
        <v>10553.62</v>
      </c>
    </row>
    <row r="527" spans="1:12" ht="10.5" customHeight="1" x14ac:dyDescent="0.25">
      <c r="A527" s="15"/>
      <c r="B527" s="16" t="s">
        <v>891</v>
      </c>
      <c r="C527" s="16"/>
      <c r="D527" s="16"/>
      <c r="E527" s="16"/>
      <c r="F527" s="17"/>
      <c r="G527" s="24" t="e">
        <f t="shared" si="18"/>
        <v>#VALUE!</v>
      </c>
      <c r="H527" s="18"/>
      <c r="I527" s="19"/>
      <c r="J527" s="20"/>
      <c r="K527" s="21"/>
      <c r="L527" s="14">
        <f t="shared" si="17"/>
        <v>0</v>
      </c>
    </row>
    <row r="528" spans="1:12" ht="10.5" customHeight="1" outlineLevel="1" x14ac:dyDescent="0.25">
      <c r="A528" s="22"/>
      <c r="B528" s="22" t="s">
        <v>275</v>
      </c>
      <c r="C528" s="22">
        <v>95703</v>
      </c>
      <c r="D528" s="23" t="s">
        <v>892</v>
      </c>
      <c r="E528" s="23" t="s">
        <v>892</v>
      </c>
      <c r="F528" s="24" t="s">
        <v>893</v>
      </c>
      <c r="G528" s="24" t="str">
        <f t="shared" si="18"/>
        <v>Hypernet CK-FNC1000-22U Шкаф коммутационный напольный 22U 19'' 600х1000 неразборной</v>
      </c>
      <c r="H528" s="25">
        <f>$C$1*      394.9</f>
        <v>8687.7999999999993</v>
      </c>
      <c r="I528" s="26"/>
      <c r="J528" s="27">
        <v>0</v>
      </c>
      <c r="K528" s="28" t="s">
        <v>27</v>
      </c>
      <c r="L528" s="14">
        <f t="shared" si="17"/>
        <v>8514.0400000000009</v>
      </c>
    </row>
    <row r="529" spans="1:12" ht="10.5" customHeight="1" outlineLevel="1" x14ac:dyDescent="0.25">
      <c r="A529" s="22"/>
      <c r="B529" s="22" t="s">
        <v>275</v>
      </c>
      <c r="C529" s="22">
        <v>95704</v>
      </c>
      <c r="D529" s="23" t="s">
        <v>894</v>
      </c>
      <c r="E529" s="23" t="s">
        <v>894</v>
      </c>
      <c r="F529" s="24" t="s">
        <v>895</v>
      </c>
      <c r="G529" s="24" t="str">
        <f t="shared" si="18"/>
        <v>Hypernet CK-FNC1000-26U Шкаф коммутационный напольный 26U 19'' 600х1000 неразборной</v>
      </c>
      <c r="H529" s="25">
        <f>$C$1*      413.6</f>
        <v>9099.2000000000007</v>
      </c>
      <c r="I529" s="26"/>
      <c r="J529" s="27">
        <v>0</v>
      </c>
      <c r="K529" s="28" t="s">
        <v>27</v>
      </c>
      <c r="L529" s="14">
        <f t="shared" si="17"/>
        <v>8917.2199999999993</v>
      </c>
    </row>
    <row r="530" spans="1:12" ht="10.5" customHeight="1" outlineLevel="1" x14ac:dyDescent="0.25">
      <c r="A530" s="22"/>
      <c r="B530" s="22" t="s">
        <v>275</v>
      </c>
      <c r="C530" s="22">
        <v>95705</v>
      </c>
      <c r="D530" s="23" t="s">
        <v>896</v>
      </c>
      <c r="E530" s="23" t="s">
        <v>896</v>
      </c>
      <c r="F530" s="24" t="s">
        <v>897</v>
      </c>
      <c r="G530" s="24" t="str">
        <f t="shared" si="18"/>
        <v>Hypernet CK-FNC1000-32U Шкаф коммутационный напольный 32U 19'' 600х1000 неразборной</v>
      </c>
      <c r="H530" s="25">
        <f>$C$1*      470.8</f>
        <v>10357.6</v>
      </c>
      <c r="I530" s="26"/>
      <c r="J530" s="27">
        <v>0</v>
      </c>
      <c r="K530" s="28" t="s">
        <v>27</v>
      </c>
      <c r="L530" s="14">
        <f t="shared" si="17"/>
        <v>10150.450000000001</v>
      </c>
    </row>
    <row r="531" spans="1:12" ht="10.5" customHeight="1" outlineLevel="1" x14ac:dyDescent="0.25">
      <c r="A531" s="22"/>
      <c r="B531" s="22" t="s">
        <v>275</v>
      </c>
      <c r="C531" s="22">
        <v>95706</v>
      </c>
      <c r="D531" s="23" t="s">
        <v>898</v>
      </c>
      <c r="E531" s="23" t="s">
        <v>898</v>
      </c>
      <c r="F531" s="24" t="s">
        <v>899</v>
      </c>
      <c r="G531" s="24" t="str">
        <f t="shared" si="18"/>
        <v>Hypernet CK-FNC1000-36U Шкаф коммутационный напольный 36U 19'' 600х1000 неразборной</v>
      </c>
      <c r="H531" s="25">
        <f>$C$1*      499.4</f>
        <v>10986.8</v>
      </c>
      <c r="I531" s="26"/>
      <c r="J531" s="27">
        <v>0</v>
      </c>
      <c r="K531" s="28"/>
      <c r="L531" s="14">
        <f t="shared" si="17"/>
        <v>10767.06</v>
      </c>
    </row>
    <row r="532" spans="1:12" ht="10.5" customHeight="1" outlineLevel="1" x14ac:dyDescent="0.25">
      <c r="A532" s="22"/>
      <c r="B532" s="22" t="s">
        <v>275</v>
      </c>
      <c r="C532" s="22">
        <v>95707</v>
      </c>
      <c r="D532" s="23" t="s">
        <v>900</v>
      </c>
      <c r="E532" s="23" t="s">
        <v>900</v>
      </c>
      <c r="F532" s="24" t="s">
        <v>901</v>
      </c>
      <c r="G532" s="24" t="str">
        <f t="shared" si="18"/>
        <v>Hypernet CK-FNC1000-42U Шкаф коммутационный напольный 42U 19'' 600х1000 неразборной</v>
      </c>
      <c r="H532" s="25">
        <f>$C$1*      554.4</f>
        <v>12196.8</v>
      </c>
      <c r="I532" s="26"/>
      <c r="J532" s="27">
        <v>0</v>
      </c>
      <c r="K532" s="28" t="s">
        <v>27</v>
      </c>
      <c r="L532" s="14">
        <f t="shared" si="17"/>
        <v>11952.86</v>
      </c>
    </row>
    <row r="533" spans="1:12" ht="10.5" customHeight="1" outlineLevel="1" x14ac:dyDescent="0.25">
      <c r="A533" s="22"/>
      <c r="B533" s="22" t="s">
        <v>275</v>
      </c>
      <c r="C533" s="22">
        <v>95708</v>
      </c>
      <c r="D533" s="23" t="s">
        <v>902</v>
      </c>
      <c r="E533" s="23" t="s">
        <v>902</v>
      </c>
      <c r="F533" s="24" t="s">
        <v>903</v>
      </c>
      <c r="G533" s="24" t="str">
        <f t="shared" si="18"/>
        <v>Hypernet CK-FNC1000-47U Шкаф коммутационный напольный 47U 19'' 600х1000 неразборной</v>
      </c>
      <c r="H533" s="25">
        <f>$C$1*      598.4</f>
        <v>13164.8</v>
      </c>
      <c r="I533" s="26"/>
      <c r="J533" s="27">
        <v>0</v>
      </c>
      <c r="K533" s="28"/>
      <c r="L533" s="14">
        <f t="shared" si="17"/>
        <v>12901.5</v>
      </c>
    </row>
    <row r="534" spans="1:12" ht="10.5" customHeight="1" x14ac:dyDescent="0.25">
      <c r="A534" s="15"/>
      <c r="B534" s="16" t="s">
        <v>904</v>
      </c>
      <c r="C534" s="16"/>
      <c r="D534" s="16"/>
      <c r="E534" s="16"/>
      <c r="F534" s="17"/>
      <c r="G534" s="24" t="e">
        <f t="shared" si="18"/>
        <v>#VALUE!</v>
      </c>
      <c r="H534" s="18"/>
      <c r="I534" s="19"/>
      <c r="J534" s="20"/>
      <c r="K534" s="21"/>
      <c r="L534" s="14">
        <f t="shared" si="17"/>
        <v>0</v>
      </c>
    </row>
    <row r="535" spans="1:12" ht="10.5" customHeight="1" outlineLevel="1" x14ac:dyDescent="0.25">
      <c r="A535" s="22"/>
      <c r="B535" s="22" t="s">
        <v>275</v>
      </c>
      <c r="C535" s="22">
        <v>95719</v>
      </c>
      <c r="D535" s="23" t="s">
        <v>905</v>
      </c>
      <c r="E535" s="23" t="s">
        <v>905</v>
      </c>
      <c r="F535" s="24" t="s">
        <v>906</v>
      </c>
      <c r="G535" s="24" t="str">
        <f t="shared" si="18"/>
        <v>Hypernet DB-FNC1000-22U-FLAT Шкаф коммутационный напольный 22U 19'' 600х1000 разборной</v>
      </c>
      <c r="H535" s="25">
        <f>$C$1*      566.5</f>
        <v>12463</v>
      </c>
      <c r="I535" s="26"/>
      <c r="J535" s="27">
        <v>0</v>
      </c>
      <c r="K535" s="28" t="s">
        <v>27</v>
      </c>
      <c r="L535" s="14">
        <f t="shared" si="17"/>
        <v>12213.74</v>
      </c>
    </row>
    <row r="536" spans="1:12" ht="10.5" customHeight="1" outlineLevel="1" x14ac:dyDescent="0.25">
      <c r="A536" s="22"/>
      <c r="B536" s="22" t="s">
        <v>275</v>
      </c>
      <c r="C536" s="22">
        <v>95720</v>
      </c>
      <c r="D536" s="23" t="s">
        <v>907</v>
      </c>
      <c r="E536" s="23" t="s">
        <v>907</v>
      </c>
      <c r="F536" s="24" t="s">
        <v>908</v>
      </c>
      <c r="G536" s="24" t="str">
        <f t="shared" si="18"/>
        <v>Hypernet DB-FNC1000-26U-FLAT Шкаф коммутационный напольный 26U 19'' 600х1000 разборной</v>
      </c>
      <c r="H536" s="25">
        <f>$C$1*      566.5</f>
        <v>12463</v>
      </c>
      <c r="I536" s="26"/>
      <c r="J536" s="27">
        <v>0</v>
      </c>
      <c r="K536" s="28" t="s">
        <v>27</v>
      </c>
      <c r="L536" s="14">
        <f t="shared" si="17"/>
        <v>12213.74</v>
      </c>
    </row>
    <row r="537" spans="1:12" ht="10.5" customHeight="1" outlineLevel="1" x14ac:dyDescent="0.25">
      <c r="A537" s="22"/>
      <c r="B537" s="22" t="s">
        <v>275</v>
      </c>
      <c r="C537" s="22">
        <v>95721</v>
      </c>
      <c r="D537" s="23" t="s">
        <v>909</v>
      </c>
      <c r="E537" s="23" t="s">
        <v>909</v>
      </c>
      <c r="F537" s="24" t="s">
        <v>910</v>
      </c>
      <c r="G537" s="24" t="str">
        <f t="shared" si="18"/>
        <v>Hypernet DB-FNC1000-32U-FLAT Шкаф коммутационный напольный 32U 19'' 600х1000 разборной</v>
      </c>
      <c r="H537" s="25">
        <f>$C$1*      596.2</f>
        <v>13116.400000000001</v>
      </c>
      <c r="I537" s="26"/>
      <c r="J537" s="27">
        <v>0</v>
      </c>
      <c r="K537" s="28"/>
      <c r="L537" s="14">
        <f t="shared" si="17"/>
        <v>12854.07</v>
      </c>
    </row>
    <row r="538" spans="1:12" ht="10.5" customHeight="1" outlineLevel="1" x14ac:dyDescent="0.25">
      <c r="A538" s="22"/>
      <c r="B538" s="22" t="s">
        <v>275</v>
      </c>
      <c r="C538" s="22">
        <v>95722</v>
      </c>
      <c r="D538" s="23" t="s">
        <v>911</v>
      </c>
      <c r="E538" s="23" t="s">
        <v>911</v>
      </c>
      <c r="F538" s="24" t="s">
        <v>912</v>
      </c>
      <c r="G538" s="24" t="str">
        <f t="shared" si="18"/>
        <v>Hypernet DB-FNC1000-42U-FLAT Шкаф коммутационный напольный 42U 19'' 600х1000 разборной</v>
      </c>
      <c r="H538" s="25">
        <f>$C$1*      669.9</f>
        <v>14737.8</v>
      </c>
      <c r="I538" s="26"/>
      <c r="J538" s="27">
        <v>0</v>
      </c>
      <c r="K538" s="28" t="s">
        <v>27</v>
      </c>
      <c r="L538" s="14">
        <f t="shared" si="17"/>
        <v>14443.04</v>
      </c>
    </row>
    <row r="539" spans="1:12" ht="10.5" customHeight="1" outlineLevel="1" x14ac:dyDescent="0.25">
      <c r="A539" s="22"/>
      <c r="B539" s="22" t="s">
        <v>275</v>
      </c>
      <c r="C539" s="22">
        <v>95723</v>
      </c>
      <c r="D539" s="23" t="s">
        <v>913</v>
      </c>
      <c r="E539" s="23" t="s">
        <v>913</v>
      </c>
      <c r="F539" s="24" t="s">
        <v>914</v>
      </c>
      <c r="G539" s="24" t="str">
        <f t="shared" si="18"/>
        <v>Hypernet DB-FNC1000-47U-FLAT Шкаф коммутационный напольный 47U 19'' 600х1000 разборной</v>
      </c>
      <c r="H539" s="25">
        <f>$C$1*      910.8</f>
        <v>20037.599999999999</v>
      </c>
      <c r="I539" s="26"/>
      <c r="J539" s="27">
        <v>0</v>
      </c>
      <c r="K539" s="28" t="s">
        <v>27</v>
      </c>
      <c r="L539" s="14">
        <f t="shared" si="17"/>
        <v>19636.849999999999</v>
      </c>
    </row>
    <row r="540" spans="1:12" ht="10.5" customHeight="1" x14ac:dyDescent="0.25">
      <c r="A540" s="15"/>
      <c r="B540" s="16" t="s">
        <v>915</v>
      </c>
      <c r="C540" s="16"/>
      <c r="D540" s="16"/>
      <c r="E540" s="16"/>
      <c r="F540" s="17"/>
      <c r="G540" s="24" t="e">
        <f t="shared" si="18"/>
        <v>#VALUE!</v>
      </c>
      <c r="H540" s="18"/>
      <c r="I540" s="19"/>
      <c r="J540" s="20"/>
      <c r="K540" s="21"/>
      <c r="L540" s="14">
        <f t="shared" si="17"/>
        <v>0</v>
      </c>
    </row>
    <row r="541" spans="1:12" ht="10.5" customHeight="1" outlineLevel="1" x14ac:dyDescent="0.25">
      <c r="A541" s="22"/>
      <c r="B541" s="22" t="s">
        <v>275</v>
      </c>
      <c r="C541" s="22">
        <v>95709</v>
      </c>
      <c r="D541" s="23" t="s">
        <v>916</v>
      </c>
      <c r="E541" s="23" t="s">
        <v>916</v>
      </c>
      <c r="F541" s="24" t="s">
        <v>917</v>
      </c>
      <c r="G541" s="24" t="str">
        <f t="shared" si="18"/>
        <v>Hypernet CKSR-FNC1000-22U Шкаф серверный напольный 22U 19'' 600х1000 неразборной</v>
      </c>
      <c r="H541" s="25">
        <f>$C$1*      432.3</f>
        <v>9510.6</v>
      </c>
      <c r="I541" s="26"/>
      <c r="J541" s="27">
        <v>0</v>
      </c>
      <c r="K541" s="28"/>
      <c r="L541" s="14">
        <f t="shared" si="17"/>
        <v>9320.39</v>
      </c>
    </row>
    <row r="542" spans="1:12" ht="10.5" customHeight="1" outlineLevel="1" x14ac:dyDescent="0.25">
      <c r="A542" s="22"/>
      <c r="B542" s="22" t="s">
        <v>275</v>
      </c>
      <c r="C542" s="22">
        <v>95710</v>
      </c>
      <c r="D542" s="23" t="s">
        <v>918</v>
      </c>
      <c r="E542" s="23" t="s">
        <v>918</v>
      </c>
      <c r="F542" s="24" t="s">
        <v>919</v>
      </c>
      <c r="G542" s="24" t="str">
        <f t="shared" si="18"/>
        <v>Hypernet CKSR-FNC1000-26U Шкаф серверный напольный 26U 19'' 600х1000 неразборной</v>
      </c>
      <c r="H542" s="25">
        <f>$C$1*      455.4</f>
        <v>10018.799999999999</v>
      </c>
      <c r="I542" s="26"/>
      <c r="J542" s="27">
        <v>0</v>
      </c>
      <c r="K542" s="28" t="s">
        <v>27</v>
      </c>
      <c r="L542" s="14">
        <f t="shared" si="17"/>
        <v>9818.42</v>
      </c>
    </row>
    <row r="543" spans="1:12" ht="10.5" customHeight="1" outlineLevel="1" x14ac:dyDescent="0.25">
      <c r="A543" s="22"/>
      <c r="B543" s="22" t="s">
        <v>275</v>
      </c>
      <c r="C543" s="22">
        <v>95711</v>
      </c>
      <c r="D543" s="23" t="s">
        <v>920</v>
      </c>
      <c r="E543" s="23" t="s">
        <v>920</v>
      </c>
      <c r="F543" s="24" t="s">
        <v>921</v>
      </c>
      <c r="G543" s="24" t="str">
        <f t="shared" si="18"/>
        <v>Hypernet CKSR-FNC1000-32U Шкаф серверный напольный 32U 19'' 600х1000 неразборной</v>
      </c>
      <c r="H543" s="25">
        <f>$C$1*      522.5</f>
        <v>11495</v>
      </c>
      <c r="I543" s="26"/>
      <c r="J543" s="27">
        <v>0</v>
      </c>
      <c r="K543" s="28"/>
      <c r="L543" s="14">
        <f t="shared" si="17"/>
        <v>11265.1</v>
      </c>
    </row>
    <row r="544" spans="1:12" ht="10.5" customHeight="1" outlineLevel="1" x14ac:dyDescent="0.25">
      <c r="A544" s="22"/>
      <c r="B544" s="22" t="s">
        <v>275</v>
      </c>
      <c r="C544" s="22">
        <v>95712</v>
      </c>
      <c r="D544" s="23" t="s">
        <v>922</v>
      </c>
      <c r="E544" s="23" t="s">
        <v>922</v>
      </c>
      <c r="F544" s="24" t="s">
        <v>923</v>
      </c>
      <c r="G544" s="24" t="str">
        <f t="shared" si="18"/>
        <v>Hypernet CKSR-FNC1000-36U Шкаф серверный напольный 36U 19'' 600х1000 неразборной</v>
      </c>
      <c r="H544" s="25">
        <f>$C$1*      563.2</f>
        <v>12390.400000000001</v>
      </c>
      <c r="I544" s="26"/>
      <c r="J544" s="27">
        <v>0</v>
      </c>
      <c r="K544" s="28"/>
      <c r="L544" s="14">
        <f t="shared" si="17"/>
        <v>12142.59</v>
      </c>
    </row>
    <row r="545" spans="1:12" ht="10.5" customHeight="1" outlineLevel="1" x14ac:dyDescent="0.25">
      <c r="A545" s="22"/>
      <c r="B545" s="22" t="s">
        <v>275</v>
      </c>
      <c r="C545" s="22">
        <v>95713</v>
      </c>
      <c r="D545" s="23" t="s">
        <v>924</v>
      </c>
      <c r="E545" s="23" t="s">
        <v>924</v>
      </c>
      <c r="F545" s="24" t="s">
        <v>925</v>
      </c>
      <c r="G545" s="24" t="str">
        <f t="shared" si="18"/>
        <v>Hypernet CKSR-FNC1000-42U Шкаф серверный напольный 42U 19'' 600х1000 неразборной</v>
      </c>
      <c r="H545" s="25">
        <f>$C$1*      633.6</f>
        <v>13939.2</v>
      </c>
      <c r="I545" s="26"/>
      <c r="J545" s="27">
        <v>0</v>
      </c>
      <c r="K545" s="28" t="s">
        <v>27</v>
      </c>
      <c r="L545" s="14">
        <f t="shared" si="17"/>
        <v>13660.42</v>
      </c>
    </row>
    <row r="546" spans="1:12" ht="10.5" customHeight="1" outlineLevel="1" x14ac:dyDescent="0.25">
      <c r="A546" s="22"/>
      <c r="B546" s="22" t="s">
        <v>275</v>
      </c>
      <c r="C546" s="22">
        <v>95714</v>
      </c>
      <c r="D546" s="23" t="s">
        <v>926</v>
      </c>
      <c r="E546" s="23" t="s">
        <v>926</v>
      </c>
      <c r="F546" s="24" t="s">
        <v>927</v>
      </c>
      <c r="G546" s="24" t="str">
        <f t="shared" si="18"/>
        <v>Hypernet CKSR-FNC1000-47U Шкаф серверный напольный 47U 19'' 600х1000 неразборной</v>
      </c>
      <c r="H546" s="25">
        <f>$C$1*      669.9</f>
        <v>14737.8</v>
      </c>
      <c r="I546" s="26"/>
      <c r="J546" s="27">
        <v>0</v>
      </c>
      <c r="K546" s="28"/>
      <c r="L546" s="14">
        <f t="shared" si="17"/>
        <v>14443.04</v>
      </c>
    </row>
    <row r="547" spans="1:12" ht="10.5" customHeight="1" outlineLevel="1" x14ac:dyDescent="0.25">
      <c r="A547" s="22"/>
      <c r="B547" s="22" t="s">
        <v>275</v>
      </c>
      <c r="C547" s="22">
        <v>95728</v>
      </c>
      <c r="D547" s="23" t="s">
        <v>928</v>
      </c>
      <c r="E547" s="23" t="s">
        <v>929</v>
      </c>
      <c r="F547" s="24" t="s">
        <v>930</v>
      </c>
      <c r="G547" s="24" t="str">
        <f t="shared" si="18"/>
        <v>T DBSR-FNC1000-26U-FLAT  Hypernet Шкаф серверный напольный 26U 19'' 600х1000 разборной, перф. перед и задняя дверь</v>
      </c>
      <c r="H547" s="25">
        <f>$C$1*      623.7</f>
        <v>13721.400000000001</v>
      </c>
      <c r="I547" s="26"/>
      <c r="J547" s="27">
        <v>0</v>
      </c>
      <c r="K547" s="28" t="s">
        <v>27</v>
      </c>
      <c r="L547" s="14">
        <f t="shared" si="17"/>
        <v>13446.97</v>
      </c>
    </row>
    <row r="548" spans="1:12" ht="10.5" customHeight="1" outlineLevel="1" x14ac:dyDescent="0.25">
      <c r="A548" s="22"/>
      <c r="B548" s="22" t="s">
        <v>275</v>
      </c>
      <c r="C548" s="22">
        <v>95291</v>
      </c>
      <c r="D548" s="23" t="s">
        <v>931</v>
      </c>
      <c r="E548" s="23" t="s">
        <v>932</v>
      </c>
      <c r="F548" s="24" t="s">
        <v>933</v>
      </c>
      <c r="G548" s="24" t="str">
        <f t="shared" si="18"/>
        <v>T DBSR-FNC1000-42U-FLAT  Hypernet Шкаф серверный напольный 42U 19'' 600х1000 разборной, перф. перед и зад дверь</v>
      </c>
      <c r="H548" s="25">
        <f>$C$1*      762.3</f>
        <v>16770.599999999999</v>
      </c>
      <c r="I548" s="26"/>
      <c r="J548" s="27">
        <v>0</v>
      </c>
      <c r="K548" s="28" t="s">
        <v>27</v>
      </c>
      <c r="L548" s="14">
        <f t="shared" si="17"/>
        <v>16435.189999999999</v>
      </c>
    </row>
    <row r="549" spans="1:12" ht="10.5" customHeight="1" outlineLevel="1" x14ac:dyDescent="0.25">
      <c r="A549" s="22"/>
      <c r="B549" s="22" t="s">
        <v>275</v>
      </c>
      <c r="C549" s="22">
        <v>95258</v>
      </c>
      <c r="D549" s="23" t="s">
        <v>934</v>
      </c>
      <c r="E549" s="23" t="s">
        <v>935</v>
      </c>
      <c r="F549" s="24" t="s">
        <v>936</v>
      </c>
      <c r="G549" s="24" t="str">
        <f t="shared" si="18"/>
        <v>AT DYNSR-FNC1000-42U-FLAT  Hypernet Шкаф серверный напольный 42U 19'' 600х1000 разборный, перф. перед и зад дверь</v>
      </c>
      <c r="H549" s="25">
        <f>$C$1*     1227.6</f>
        <v>27007.199999999997</v>
      </c>
      <c r="I549" s="26"/>
      <c r="J549" s="27">
        <v>0</v>
      </c>
      <c r="K549" s="28" t="s">
        <v>27</v>
      </c>
      <c r="L549" s="14">
        <f t="shared" si="17"/>
        <v>26467.06</v>
      </c>
    </row>
    <row r="550" spans="1:12" ht="10.5" customHeight="1" x14ac:dyDescent="0.25">
      <c r="A550" s="15"/>
      <c r="B550" s="16" t="s">
        <v>937</v>
      </c>
      <c r="C550" s="16"/>
      <c r="D550" s="16"/>
      <c r="E550" s="16"/>
      <c r="F550" s="17"/>
      <c r="G550" s="24" t="e">
        <f t="shared" si="18"/>
        <v>#VALUE!</v>
      </c>
      <c r="H550" s="18"/>
      <c r="I550" s="19"/>
      <c r="J550" s="20"/>
      <c r="K550" s="21"/>
      <c r="L550" s="14">
        <f t="shared" si="17"/>
        <v>0</v>
      </c>
    </row>
    <row r="551" spans="1:12" ht="10.5" customHeight="1" outlineLevel="1" x14ac:dyDescent="0.25">
      <c r="A551" s="22"/>
      <c r="B551" s="22" t="s">
        <v>275</v>
      </c>
      <c r="C551" s="22">
        <v>95675</v>
      </c>
      <c r="D551" s="23" t="s">
        <v>938</v>
      </c>
      <c r="E551" s="23" t="s">
        <v>938</v>
      </c>
      <c r="F551" s="24" t="s">
        <v>939</v>
      </c>
      <c r="G551" s="24" t="str">
        <f t="shared" si="18"/>
        <v>Hypernet CK-FNC-12U Шкаф коммутационный напольный 12U 19'' 600х600 неразборной</v>
      </c>
      <c r="H551" s="25">
        <f>$C$1*      283.8</f>
        <v>6243.6</v>
      </c>
      <c r="I551" s="26"/>
      <c r="J551" s="27">
        <v>0</v>
      </c>
      <c r="K551" s="28"/>
      <c r="L551" s="14">
        <f t="shared" si="17"/>
        <v>6118.73</v>
      </c>
    </row>
    <row r="552" spans="1:12" ht="10.5" customHeight="1" outlineLevel="1" x14ac:dyDescent="0.25">
      <c r="A552" s="22"/>
      <c r="B552" s="22" t="s">
        <v>275</v>
      </c>
      <c r="C552" s="22">
        <v>95676</v>
      </c>
      <c r="D552" s="23" t="s">
        <v>940</v>
      </c>
      <c r="E552" s="23" t="s">
        <v>940</v>
      </c>
      <c r="F552" s="24" t="s">
        <v>941</v>
      </c>
      <c r="G552" s="24" t="str">
        <f t="shared" si="18"/>
        <v>Hypernet CK-FNC-16U Шкаф коммутационный напольный 16U 19'' 600х600 неразборной</v>
      </c>
      <c r="H552" s="25">
        <f>$C$1*      291.5</f>
        <v>6413</v>
      </c>
      <c r="I552" s="26"/>
      <c r="J552" s="27">
        <v>0</v>
      </c>
      <c r="K552" s="28"/>
      <c r="L552" s="14">
        <f t="shared" si="17"/>
        <v>6284.74</v>
      </c>
    </row>
    <row r="553" spans="1:12" ht="10.5" customHeight="1" outlineLevel="1" x14ac:dyDescent="0.25">
      <c r="A553" s="22"/>
      <c r="B553" s="22" t="s">
        <v>275</v>
      </c>
      <c r="C553" s="22">
        <v>95677</v>
      </c>
      <c r="D553" s="23" t="s">
        <v>942</v>
      </c>
      <c r="E553" s="23" t="s">
        <v>942</v>
      </c>
      <c r="F553" s="24" t="s">
        <v>943</v>
      </c>
      <c r="G553" s="24" t="str">
        <f t="shared" si="18"/>
        <v>Hypernet CK-FNC-20U Шкаф коммутационный напольный 20U 19'' 600х600 неразборной</v>
      </c>
      <c r="H553" s="25">
        <f>$C$1*      319</f>
        <v>7018</v>
      </c>
      <c r="I553" s="26"/>
      <c r="J553" s="27">
        <v>0</v>
      </c>
      <c r="K553" s="28"/>
      <c r="L553" s="14">
        <f t="shared" si="17"/>
        <v>6877.64</v>
      </c>
    </row>
    <row r="554" spans="1:12" ht="10.5" customHeight="1" outlineLevel="1" x14ac:dyDescent="0.25">
      <c r="A554" s="22"/>
      <c r="B554" s="22" t="s">
        <v>275</v>
      </c>
      <c r="C554" s="22">
        <v>95678</v>
      </c>
      <c r="D554" s="23" t="s">
        <v>944</v>
      </c>
      <c r="E554" s="23" t="s">
        <v>944</v>
      </c>
      <c r="F554" s="24" t="s">
        <v>945</v>
      </c>
      <c r="G554" s="24" t="str">
        <f t="shared" si="18"/>
        <v>Hypernet CK-FNC-22U Шкаф коммутационный напольный 22U 19'' 600х600 неразборной</v>
      </c>
      <c r="H554" s="25">
        <f>$C$1*      338.8</f>
        <v>7453.6</v>
      </c>
      <c r="I554" s="26"/>
      <c r="J554" s="27">
        <v>0</v>
      </c>
      <c r="K554" s="28" t="s">
        <v>27</v>
      </c>
      <c r="L554" s="14">
        <f t="shared" si="17"/>
        <v>7304.53</v>
      </c>
    </row>
    <row r="555" spans="1:12" ht="10.5" customHeight="1" outlineLevel="1" x14ac:dyDescent="0.25">
      <c r="A555" s="22"/>
      <c r="B555" s="22" t="s">
        <v>275</v>
      </c>
      <c r="C555" s="22">
        <v>95679</v>
      </c>
      <c r="D555" s="23" t="s">
        <v>946</v>
      </c>
      <c r="E555" s="23" t="s">
        <v>946</v>
      </c>
      <c r="F555" s="24" t="s">
        <v>947</v>
      </c>
      <c r="G555" s="24" t="str">
        <f t="shared" si="18"/>
        <v>Hypernet CK-FNC-26U Шкаф коммутационный напольный 26U 19'' 600х600 неразборной</v>
      </c>
      <c r="H555" s="25">
        <f>$C$1*      352</f>
        <v>7744</v>
      </c>
      <c r="I555" s="26"/>
      <c r="J555" s="27">
        <v>0</v>
      </c>
      <c r="K555" s="28" t="s">
        <v>27</v>
      </c>
      <c r="L555" s="14">
        <f t="shared" si="17"/>
        <v>7589.12</v>
      </c>
    </row>
    <row r="556" spans="1:12" ht="10.5" customHeight="1" outlineLevel="1" x14ac:dyDescent="0.25">
      <c r="A556" s="22"/>
      <c r="B556" s="22" t="s">
        <v>275</v>
      </c>
      <c r="C556" s="22">
        <v>95680</v>
      </c>
      <c r="D556" s="23" t="s">
        <v>948</v>
      </c>
      <c r="E556" s="23" t="s">
        <v>948</v>
      </c>
      <c r="F556" s="24" t="s">
        <v>949</v>
      </c>
      <c r="G556" s="24" t="str">
        <f t="shared" si="18"/>
        <v>Hypernet CK-FNC-32U Шкаф коммутационный напольный 32U 19'' 600х600 неразборной</v>
      </c>
      <c r="H556" s="25">
        <f>$C$1*      385</f>
        <v>8470</v>
      </c>
      <c r="I556" s="26"/>
      <c r="J556" s="27">
        <v>0</v>
      </c>
      <c r="K556" s="28" t="s">
        <v>27</v>
      </c>
      <c r="L556" s="14">
        <f t="shared" si="17"/>
        <v>8300.6</v>
      </c>
    </row>
    <row r="557" spans="1:12" ht="10.5" customHeight="1" outlineLevel="1" x14ac:dyDescent="0.25">
      <c r="A557" s="22"/>
      <c r="B557" s="22" t="s">
        <v>275</v>
      </c>
      <c r="C557" s="22">
        <v>95681</v>
      </c>
      <c r="D557" s="23" t="s">
        <v>950</v>
      </c>
      <c r="E557" s="23" t="s">
        <v>950</v>
      </c>
      <c r="F557" s="24" t="s">
        <v>951</v>
      </c>
      <c r="G557" s="24" t="str">
        <f t="shared" si="18"/>
        <v>Hypernet CK-FNC-36U Шкаф коммутационный напольный 36U 19'' 600х600 неразборной</v>
      </c>
      <c r="H557" s="25">
        <f>$C$1*      418</f>
        <v>9196</v>
      </c>
      <c r="I557" s="26"/>
      <c r="J557" s="27">
        <v>0</v>
      </c>
      <c r="K557" s="28" t="s">
        <v>27</v>
      </c>
      <c r="L557" s="14">
        <f t="shared" si="17"/>
        <v>9012.08</v>
      </c>
    </row>
    <row r="558" spans="1:12" ht="10.5" customHeight="1" outlineLevel="1" x14ac:dyDescent="0.25">
      <c r="A558" s="22"/>
      <c r="B558" s="22" t="s">
        <v>275</v>
      </c>
      <c r="C558" s="22">
        <v>95682</v>
      </c>
      <c r="D558" s="23" t="s">
        <v>952</v>
      </c>
      <c r="E558" s="23" t="s">
        <v>952</v>
      </c>
      <c r="F558" s="24" t="s">
        <v>953</v>
      </c>
      <c r="G558" s="24" t="str">
        <f t="shared" si="18"/>
        <v>Hypernet CK-FNC-42U Шкаф коммутационный напольный 42U 19'' 600х600 неразборной</v>
      </c>
      <c r="H558" s="25">
        <f>$C$1*      495</f>
        <v>10890</v>
      </c>
      <c r="I558" s="26"/>
      <c r="J558" s="27">
        <v>0</v>
      </c>
      <c r="K558" s="28" t="s">
        <v>27</v>
      </c>
      <c r="L558" s="14">
        <f t="shared" si="17"/>
        <v>10672.2</v>
      </c>
    </row>
    <row r="559" spans="1:12" ht="10.5" customHeight="1" outlineLevel="1" x14ac:dyDescent="0.25">
      <c r="A559" s="22"/>
      <c r="B559" s="22" t="s">
        <v>275</v>
      </c>
      <c r="C559" s="22">
        <v>95683</v>
      </c>
      <c r="D559" s="23" t="s">
        <v>954</v>
      </c>
      <c r="E559" s="23" t="s">
        <v>954</v>
      </c>
      <c r="F559" s="24" t="s">
        <v>955</v>
      </c>
      <c r="G559" s="24" t="str">
        <f t="shared" si="18"/>
        <v>Hypernet CK-FNC-47U Шкаф коммутационный напольный 47U 19'' 600х600 неразборной</v>
      </c>
      <c r="H559" s="25">
        <f>$C$1*      485.1</f>
        <v>10672.2</v>
      </c>
      <c r="I559" s="26"/>
      <c r="J559" s="27">
        <v>0</v>
      </c>
      <c r="K559" s="28"/>
      <c r="L559" s="14">
        <f t="shared" si="17"/>
        <v>10458.76</v>
      </c>
    </row>
    <row r="560" spans="1:12" ht="10.5" customHeight="1" x14ac:dyDescent="0.25">
      <c r="A560" s="15"/>
      <c r="B560" s="16" t="s">
        <v>956</v>
      </c>
      <c r="C560" s="16"/>
      <c r="D560" s="16"/>
      <c r="E560" s="16"/>
      <c r="F560" s="17"/>
      <c r="G560" s="24" t="e">
        <f t="shared" si="18"/>
        <v>#VALUE!</v>
      </c>
      <c r="H560" s="18"/>
      <c r="I560" s="19"/>
      <c r="J560" s="20"/>
      <c r="K560" s="21"/>
      <c r="L560" s="14">
        <f t="shared" si="17"/>
        <v>0</v>
      </c>
    </row>
    <row r="561" spans="1:12" ht="10.5" customHeight="1" outlineLevel="1" x14ac:dyDescent="0.25">
      <c r="A561" s="22"/>
      <c r="B561" s="22" t="s">
        <v>275</v>
      </c>
      <c r="C561" s="22">
        <v>95282</v>
      </c>
      <c r="D561" s="23" t="s">
        <v>957</v>
      </c>
      <c r="E561" s="23" t="s">
        <v>957</v>
      </c>
      <c r="F561" s="24" t="s">
        <v>958</v>
      </c>
      <c r="G561" s="24" t="str">
        <f t="shared" si="18"/>
        <v>Hypernet DB-FNC-22U-FLAT Шкаф коммутационный напольный 22U 19'' 600х600 разборной</v>
      </c>
      <c r="H561" s="25">
        <f>$C$1*      391.6</f>
        <v>8615.2000000000007</v>
      </c>
      <c r="I561" s="26"/>
      <c r="J561" s="27">
        <v>0</v>
      </c>
      <c r="K561" s="28" t="s">
        <v>27</v>
      </c>
      <c r="L561" s="14">
        <f t="shared" si="17"/>
        <v>8442.9</v>
      </c>
    </row>
    <row r="562" spans="1:12" ht="10.5" customHeight="1" outlineLevel="1" x14ac:dyDescent="0.25">
      <c r="A562" s="22"/>
      <c r="B562" s="22" t="s">
        <v>275</v>
      </c>
      <c r="C562" s="22">
        <v>95507</v>
      </c>
      <c r="D562" s="23" t="s">
        <v>959</v>
      </c>
      <c r="E562" s="23" t="s">
        <v>960</v>
      </c>
      <c r="F562" s="24" t="s">
        <v>961</v>
      </c>
      <c r="G562" s="24" t="str">
        <f t="shared" si="18"/>
        <v>k DB-FNC-22U-FLAT-black  Hypernet Шкаф коммутационный напольный 22U 19'' 600х600 разборной черный</v>
      </c>
      <c r="H562" s="25">
        <f>$C$1*      391.6</f>
        <v>8615.2000000000007</v>
      </c>
      <c r="I562" s="26"/>
      <c r="J562" s="27">
        <v>0</v>
      </c>
      <c r="K562" s="28" t="s">
        <v>27</v>
      </c>
      <c r="L562" s="14">
        <f t="shared" si="17"/>
        <v>8442.9</v>
      </c>
    </row>
    <row r="563" spans="1:12" ht="10.5" customHeight="1" outlineLevel="1" x14ac:dyDescent="0.25">
      <c r="A563" s="22"/>
      <c r="B563" s="22" t="s">
        <v>275</v>
      </c>
      <c r="C563" s="22">
        <v>95283</v>
      </c>
      <c r="D563" s="23" t="s">
        <v>962</v>
      </c>
      <c r="E563" s="23" t="s">
        <v>962</v>
      </c>
      <c r="F563" s="24" t="s">
        <v>963</v>
      </c>
      <c r="G563" s="24" t="str">
        <f t="shared" si="18"/>
        <v>Hypernet DB-FNC-26U-FLAT Шкаф коммутационный напольный 26U 19'' 600х600 разборной</v>
      </c>
      <c r="H563" s="25">
        <f>$C$1*      421.3</f>
        <v>9268.6</v>
      </c>
      <c r="I563" s="26"/>
      <c r="J563" s="27">
        <v>0</v>
      </c>
      <c r="K563" s="28" t="s">
        <v>27</v>
      </c>
      <c r="L563" s="14">
        <f t="shared" si="17"/>
        <v>9083.23</v>
      </c>
    </row>
    <row r="564" spans="1:12" ht="10.5" customHeight="1" outlineLevel="1" x14ac:dyDescent="0.25">
      <c r="A564" s="22"/>
      <c r="B564" s="22" t="s">
        <v>275</v>
      </c>
      <c r="C564" s="22">
        <v>95499</v>
      </c>
      <c r="D564" s="23" t="s">
        <v>964</v>
      </c>
      <c r="E564" s="23" t="s">
        <v>965</v>
      </c>
      <c r="F564" s="24" t="s">
        <v>966</v>
      </c>
      <c r="G564" s="24" t="str">
        <f t="shared" si="18"/>
        <v>k DB-FNC-26U-FLAT-black   Hypernet Шкаф коммутационный напольный 26U 19'' 600х600 разборной черный</v>
      </c>
      <c r="H564" s="25">
        <f>$C$1*      421.3</f>
        <v>9268.6</v>
      </c>
      <c r="I564" s="26"/>
      <c r="J564" s="27">
        <v>0</v>
      </c>
      <c r="K564" s="28" t="s">
        <v>27</v>
      </c>
      <c r="L564" s="14">
        <f t="shared" si="17"/>
        <v>9083.23</v>
      </c>
    </row>
    <row r="565" spans="1:12" ht="10.5" customHeight="1" outlineLevel="1" x14ac:dyDescent="0.25">
      <c r="A565" s="22"/>
      <c r="B565" s="22" t="s">
        <v>275</v>
      </c>
      <c r="C565" s="22">
        <v>95501</v>
      </c>
      <c r="D565" s="23" t="s">
        <v>967</v>
      </c>
      <c r="E565" s="23" t="s">
        <v>967</v>
      </c>
      <c r="F565" s="24" t="s">
        <v>968</v>
      </c>
      <c r="G565" s="24" t="str">
        <f t="shared" si="18"/>
        <v>Hypernet DB-FNC-32U-FLAT Шкаф коммутационный напольный 32U 19'' 600х600 разборной</v>
      </c>
      <c r="H565" s="25">
        <f>$C$1*      444.4</f>
        <v>9776.7999999999993</v>
      </c>
      <c r="I565" s="26"/>
      <c r="J565" s="27">
        <v>0</v>
      </c>
      <c r="K565" s="28" t="s">
        <v>27</v>
      </c>
      <c r="L565" s="14">
        <f t="shared" si="17"/>
        <v>9581.26</v>
      </c>
    </row>
    <row r="566" spans="1:12" ht="10.5" customHeight="1" outlineLevel="1" x14ac:dyDescent="0.25">
      <c r="A566" s="22"/>
      <c r="B566" s="22" t="s">
        <v>275</v>
      </c>
      <c r="C566" s="22">
        <v>95284</v>
      </c>
      <c r="D566" s="23" t="s">
        <v>969</v>
      </c>
      <c r="E566" s="23" t="s">
        <v>969</v>
      </c>
      <c r="F566" s="24" t="s">
        <v>970</v>
      </c>
      <c r="G566" s="24" t="str">
        <f t="shared" si="18"/>
        <v>Hypernet DB-FNC-36U-FLAT Шкаф коммутационный напольный 36U 19'' 600х600 разборной</v>
      </c>
      <c r="H566" s="25">
        <f>$C$1*      467.5</f>
        <v>10285</v>
      </c>
      <c r="I566" s="26"/>
      <c r="J566" s="27">
        <v>0</v>
      </c>
      <c r="K566" s="28" t="s">
        <v>27</v>
      </c>
      <c r="L566" s="14">
        <f t="shared" si="17"/>
        <v>10079.299999999999</v>
      </c>
    </row>
    <row r="567" spans="1:12" ht="10.5" customHeight="1" outlineLevel="1" x14ac:dyDescent="0.25">
      <c r="A567" s="22"/>
      <c r="B567" s="22" t="s">
        <v>275</v>
      </c>
      <c r="C567" s="22">
        <v>95285</v>
      </c>
      <c r="D567" s="23" t="s">
        <v>971</v>
      </c>
      <c r="E567" s="23" t="s">
        <v>971</v>
      </c>
      <c r="F567" s="24" t="s">
        <v>972</v>
      </c>
      <c r="G567" s="24" t="str">
        <f t="shared" si="18"/>
        <v>Hypernet DB-FNC-42U-FLAT Шкаф коммутационный напольный 42U 19'' 600х600 разборной</v>
      </c>
      <c r="H567" s="25">
        <f>$C$1*      526.9</f>
        <v>11591.8</v>
      </c>
      <c r="I567" s="26"/>
      <c r="J567" s="27">
        <v>0</v>
      </c>
      <c r="K567" s="28" t="s">
        <v>27</v>
      </c>
      <c r="L567" s="14">
        <f t="shared" si="17"/>
        <v>11359.96</v>
      </c>
    </row>
    <row r="568" spans="1:12" ht="10.5" customHeight="1" outlineLevel="1" x14ac:dyDescent="0.25">
      <c r="A568" s="22"/>
      <c r="B568" s="22" t="s">
        <v>275</v>
      </c>
      <c r="C568" s="22">
        <v>95511</v>
      </c>
      <c r="D568" s="23" t="s">
        <v>973</v>
      </c>
      <c r="E568" s="23" t="s">
        <v>974</v>
      </c>
      <c r="F568" s="24" t="s">
        <v>975</v>
      </c>
      <c r="G568" s="24" t="str">
        <f t="shared" si="18"/>
        <v>k DB-FNC-42U-FLAT-black   Hypernet Шкаф коммутационный напольный 42U 19'' 600х600 разборной черный</v>
      </c>
      <c r="H568" s="25">
        <f>$C$1*      526.9</f>
        <v>11591.8</v>
      </c>
      <c r="I568" s="26"/>
      <c r="J568" s="27">
        <v>0</v>
      </c>
      <c r="K568" s="28" t="s">
        <v>27</v>
      </c>
      <c r="L568" s="14">
        <f t="shared" si="17"/>
        <v>11359.96</v>
      </c>
    </row>
    <row r="569" spans="1:12" ht="10.5" customHeight="1" x14ac:dyDescent="0.25">
      <c r="A569" s="15"/>
      <c r="B569" s="16" t="s">
        <v>976</v>
      </c>
      <c r="C569" s="16"/>
      <c r="D569" s="16"/>
      <c r="E569" s="16"/>
      <c r="F569" s="17"/>
      <c r="G569" s="24" t="e">
        <f t="shared" si="18"/>
        <v>#VALUE!</v>
      </c>
      <c r="H569" s="18"/>
      <c r="I569" s="19"/>
      <c r="J569" s="20"/>
      <c r="K569" s="21"/>
      <c r="L569" s="14">
        <f t="shared" si="17"/>
        <v>0</v>
      </c>
    </row>
    <row r="570" spans="1:12" ht="10.5" customHeight="1" outlineLevel="1" x14ac:dyDescent="0.25">
      <c r="A570" s="22"/>
      <c r="B570" s="22" t="s">
        <v>275</v>
      </c>
      <c r="C570" s="22">
        <v>95255</v>
      </c>
      <c r="D570" s="23" t="s">
        <v>977</v>
      </c>
      <c r="E570" s="23" t="s">
        <v>977</v>
      </c>
      <c r="F570" s="24" t="s">
        <v>978</v>
      </c>
      <c r="G570" s="24" t="str">
        <f t="shared" si="18"/>
        <v>Hypernet DYN-FNC-20U-FLAT Шкаф коммутационный напольный 20U 19'' 600х600 разборной</v>
      </c>
      <c r="H570" s="25">
        <f>$C$1*      468.6</f>
        <v>10309.200000000001</v>
      </c>
      <c r="I570" s="26"/>
      <c r="J570" s="27">
        <v>0</v>
      </c>
      <c r="K570" s="28"/>
      <c r="L570" s="14">
        <f t="shared" si="17"/>
        <v>10103.02</v>
      </c>
    </row>
    <row r="571" spans="1:12" ht="10.5" customHeight="1" x14ac:dyDescent="0.25">
      <c r="A571" s="15"/>
      <c r="B571" s="16" t="s">
        <v>979</v>
      </c>
      <c r="C571" s="16"/>
      <c r="D571" s="16"/>
      <c r="E571" s="16"/>
      <c r="F571" s="17"/>
      <c r="G571" s="24" t="e">
        <f t="shared" si="18"/>
        <v>#VALUE!</v>
      </c>
      <c r="H571" s="18"/>
      <c r="I571" s="19"/>
      <c r="J571" s="20"/>
      <c r="K571" s="21"/>
      <c r="L571" s="14">
        <f t="shared" si="17"/>
        <v>0</v>
      </c>
    </row>
    <row r="572" spans="1:12" ht="10.5" customHeight="1" outlineLevel="1" x14ac:dyDescent="0.25">
      <c r="A572" s="22"/>
      <c r="B572" s="22" t="s">
        <v>275</v>
      </c>
      <c r="C572" s="22">
        <v>95685</v>
      </c>
      <c r="D572" s="23" t="s">
        <v>980</v>
      </c>
      <c r="E572" s="23" t="s">
        <v>980</v>
      </c>
      <c r="F572" s="24" t="s">
        <v>981</v>
      </c>
      <c r="G572" s="24" t="str">
        <f t="shared" si="18"/>
        <v>Hypernet CK-FNC8-12U Шкаф коммутационный напольный 12U 19'' 600х800 неразборной</v>
      </c>
      <c r="H572" s="25">
        <f>$C$1*      319</f>
        <v>7018</v>
      </c>
      <c r="I572" s="26"/>
      <c r="J572" s="27">
        <v>0</v>
      </c>
      <c r="K572" s="28"/>
      <c r="L572" s="14">
        <f t="shared" si="17"/>
        <v>6877.64</v>
      </c>
    </row>
    <row r="573" spans="1:12" ht="10.5" customHeight="1" outlineLevel="1" x14ac:dyDescent="0.25">
      <c r="A573" s="22"/>
      <c r="B573" s="22" t="s">
        <v>275</v>
      </c>
      <c r="C573" s="22">
        <v>95686</v>
      </c>
      <c r="D573" s="23" t="s">
        <v>982</v>
      </c>
      <c r="E573" s="23" t="s">
        <v>982</v>
      </c>
      <c r="F573" s="24" t="s">
        <v>983</v>
      </c>
      <c r="G573" s="24" t="str">
        <f t="shared" si="18"/>
        <v>Hypernet CK-FNC8-16U Шкаф коммутационный напольный 16U 19'' 600х800 неразборной</v>
      </c>
      <c r="H573" s="25">
        <f>$C$1*      338.8</f>
        <v>7453.6</v>
      </c>
      <c r="I573" s="26"/>
      <c r="J573" s="27">
        <v>0</v>
      </c>
      <c r="K573" s="28"/>
      <c r="L573" s="14">
        <f t="shared" si="17"/>
        <v>7304.53</v>
      </c>
    </row>
    <row r="574" spans="1:12" ht="10.5" customHeight="1" outlineLevel="1" x14ac:dyDescent="0.25">
      <c r="A574" s="22"/>
      <c r="B574" s="22" t="s">
        <v>275</v>
      </c>
      <c r="C574" s="22">
        <v>95687</v>
      </c>
      <c r="D574" s="23" t="s">
        <v>984</v>
      </c>
      <c r="E574" s="23" t="s">
        <v>984</v>
      </c>
      <c r="F574" s="24" t="s">
        <v>985</v>
      </c>
      <c r="G574" s="24" t="str">
        <f t="shared" si="18"/>
        <v>Hypernet CK-FNC8-20U Шкаф коммутационный напольный 20U 19'' 600х800 неразборной</v>
      </c>
      <c r="H574" s="25">
        <f>$C$1*      352</f>
        <v>7744</v>
      </c>
      <c r="I574" s="26"/>
      <c r="J574" s="27">
        <v>0</v>
      </c>
      <c r="K574" s="28"/>
      <c r="L574" s="14">
        <f t="shared" si="17"/>
        <v>7589.12</v>
      </c>
    </row>
    <row r="575" spans="1:12" ht="10.5" customHeight="1" outlineLevel="1" x14ac:dyDescent="0.25">
      <c r="A575" s="22"/>
      <c r="B575" s="22" t="s">
        <v>275</v>
      </c>
      <c r="C575" s="22">
        <v>95688</v>
      </c>
      <c r="D575" s="23" t="s">
        <v>986</v>
      </c>
      <c r="E575" s="23" t="s">
        <v>986</v>
      </c>
      <c r="F575" s="24" t="s">
        <v>987</v>
      </c>
      <c r="G575" s="24" t="str">
        <f t="shared" si="18"/>
        <v>Hypernet CK-FNC8-22U Шкаф коммутационный напольный 22U 19'' 600х800 неразборной</v>
      </c>
      <c r="H575" s="25">
        <f>$C$1*      366.3</f>
        <v>8058.6</v>
      </c>
      <c r="I575" s="26"/>
      <c r="J575" s="27">
        <v>0</v>
      </c>
      <c r="K575" s="28" t="s">
        <v>27</v>
      </c>
      <c r="L575" s="14">
        <f t="shared" si="17"/>
        <v>7897.43</v>
      </c>
    </row>
    <row r="576" spans="1:12" ht="10.5" customHeight="1" outlineLevel="1" x14ac:dyDescent="0.25">
      <c r="A576" s="22"/>
      <c r="B576" s="22" t="s">
        <v>275</v>
      </c>
      <c r="C576" s="22">
        <v>95689</v>
      </c>
      <c r="D576" s="23" t="s">
        <v>988</v>
      </c>
      <c r="E576" s="23" t="s">
        <v>988</v>
      </c>
      <c r="F576" s="24" t="s">
        <v>989</v>
      </c>
      <c r="G576" s="24" t="str">
        <f t="shared" si="18"/>
        <v>Hypernet CK-FNC8-26U Шкаф коммутационный напольный 26U 19'' 600х800 неразборной</v>
      </c>
      <c r="H576" s="25">
        <f>$C$1*      393.8</f>
        <v>8663.6</v>
      </c>
      <c r="I576" s="26"/>
      <c r="J576" s="27">
        <v>0</v>
      </c>
      <c r="K576" s="28" t="s">
        <v>27</v>
      </c>
      <c r="L576" s="14">
        <f t="shared" si="17"/>
        <v>8490.33</v>
      </c>
    </row>
    <row r="577" spans="1:12" ht="10.5" customHeight="1" outlineLevel="1" x14ac:dyDescent="0.25">
      <c r="A577" s="22"/>
      <c r="B577" s="22" t="s">
        <v>275</v>
      </c>
      <c r="C577" s="22">
        <v>95690</v>
      </c>
      <c r="D577" s="23" t="s">
        <v>990</v>
      </c>
      <c r="E577" s="23" t="s">
        <v>990</v>
      </c>
      <c r="F577" s="24" t="s">
        <v>991</v>
      </c>
      <c r="G577" s="24" t="str">
        <f t="shared" si="18"/>
        <v>Hypernet CK-FNC8-32U Шкаф коммутационный напольный 32U 19'' 600х800 неразборной</v>
      </c>
      <c r="H577" s="25">
        <f>$C$1*      426.8</f>
        <v>9389.6</v>
      </c>
      <c r="I577" s="26"/>
      <c r="J577" s="27">
        <v>0</v>
      </c>
      <c r="K577" s="28" t="s">
        <v>27</v>
      </c>
      <c r="L577" s="14">
        <f t="shared" si="17"/>
        <v>9201.81</v>
      </c>
    </row>
    <row r="578" spans="1:12" ht="10.5" customHeight="1" outlineLevel="1" x14ac:dyDescent="0.25">
      <c r="A578" s="22"/>
      <c r="B578" s="22" t="s">
        <v>275</v>
      </c>
      <c r="C578" s="22">
        <v>95691</v>
      </c>
      <c r="D578" s="23" t="s">
        <v>992</v>
      </c>
      <c r="E578" s="23" t="s">
        <v>992</v>
      </c>
      <c r="F578" s="24" t="s">
        <v>993</v>
      </c>
      <c r="G578" s="24" t="str">
        <f t="shared" si="18"/>
        <v>Hypernet CK-FNC8-36U Шкаф коммутационный напольный 36U 19'' 600х800 неразборной</v>
      </c>
      <c r="H578" s="25">
        <f>$C$1*      475.2</f>
        <v>10454.4</v>
      </c>
      <c r="I578" s="26"/>
      <c r="J578" s="27">
        <v>0</v>
      </c>
      <c r="K578" s="28" t="s">
        <v>27</v>
      </c>
      <c r="L578" s="14">
        <f t="shared" si="17"/>
        <v>10245.31</v>
      </c>
    </row>
    <row r="579" spans="1:12" ht="10.5" customHeight="1" outlineLevel="1" x14ac:dyDescent="0.25">
      <c r="A579" s="22"/>
      <c r="B579" s="22" t="s">
        <v>275</v>
      </c>
      <c r="C579" s="22">
        <v>95692</v>
      </c>
      <c r="D579" s="23" t="s">
        <v>994</v>
      </c>
      <c r="E579" s="23" t="s">
        <v>994</v>
      </c>
      <c r="F579" s="24" t="s">
        <v>995</v>
      </c>
      <c r="G579" s="24" t="str">
        <f t="shared" si="18"/>
        <v>Hypernet CK-FNC8-42U Шкаф коммутационный напольный 42U 19'' 600х800 неразборной</v>
      </c>
      <c r="H579" s="25">
        <f>$C$1*      506</f>
        <v>11132</v>
      </c>
      <c r="I579" s="26"/>
      <c r="J579" s="27">
        <v>0</v>
      </c>
      <c r="K579" s="28" t="s">
        <v>27</v>
      </c>
      <c r="L579" s="14">
        <f t="shared" si="17"/>
        <v>10909.36</v>
      </c>
    </row>
    <row r="580" spans="1:12" ht="10.5" customHeight="1" outlineLevel="1" x14ac:dyDescent="0.25">
      <c r="A580" s="22"/>
      <c r="B580" s="22" t="s">
        <v>275</v>
      </c>
      <c r="C580" s="22">
        <v>95693</v>
      </c>
      <c r="D580" s="23" t="s">
        <v>996</v>
      </c>
      <c r="E580" s="23" t="s">
        <v>996</v>
      </c>
      <c r="F580" s="24" t="s">
        <v>997</v>
      </c>
      <c r="G580" s="24" t="str">
        <f t="shared" si="18"/>
        <v>ypernet CK-FNC8-47U Шкаф коммутационный напольный 42U 19'' 600х800 неразборной</v>
      </c>
      <c r="H580" s="25">
        <f>$C$1*      542.3</f>
        <v>11930.599999999999</v>
      </c>
      <c r="I580" s="26"/>
      <c r="J580" s="27">
        <v>0</v>
      </c>
      <c r="K580" s="28"/>
      <c r="L580" s="14">
        <f t="shared" si="17"/>
        <v>11691.99</v>
      </c>
    </row>
    <row r="581" spans="1:12" ht="10.5" customHeight="1" x14ac:dyDescent="0.25">
      <c r="A581" s="15"/>
      <c r="B581" s="16" t="s">
        <v>998</v>
      </c>
      <c r="C581" s="16"/>
      <c r="D581" s="16"/>
      <c r="E581" s="16"/>
      <c r="F581" s="17"/>
      <c r="G581" s="24" t="e">
        <f t="shared" si="18"/>
        <v>#VALUE!</v>
      </c>
      <c r="H581" s="18"/>
      <c r="I581" s="19"/>
      <c r="J581" s="20"/>
      <c r="K581" s="21"/>
      <c r="L581" s="14">
        <f t="shared" si="17"/>
        <v>0</v>
      </c>
    </row>
    <row r="582" spans="1:12" ht="10.5" customHeight="1" outlineLevel="1" x14ac:dyDescent="0.25">
      <c r="A582" s="22"/>
      <c r="B582" s="22" t="s">
        <v>275</v>
      </c>
      <c r="C582" s="22">
        <v>95286</v>
      </c>
      <c r="D582" s="23" t="s">
        <v>999</v>
      </c>
      <c r="E582" s="23" t="s">
        <v>999</v>
      </c>
      <c r="F582" s="24" t="s">
        <v>1000</v>
      </c>
      <c r="G582" s="24" t="str">
        <f t="shared" si="18"/>
        <v>Hypernet DB-FNC8-22U-FLAT Шкаф коммутационный напольный 22U 19'' 600х800 разборной</v>
      </c>
      <c r="H582" s="25">
        <f>$C$1*      429</f>
        <v>9438</v>
      </c>
      <c r="I582" s="26"/>
      <c r="J582" s="27">
        <v>0</v>
      </c>
      <c r="K582" s="28" t="s">
        <v>27</v>
      </c>
      <c r="L582" s="14">
        <f t="shared" ref="L582:L645" si="19">ROUND(H582*0.98,2)</f>
        <v>9249.24</v>
      </c>
    </row>
    <row r="583" spans="1:12" ht="10.5" customHeight="1" outlineLevel="1" x14ac:dyDescent="0.25">
      <c r="A583" s="22"/>
      <c r="B583" s="22" t="s">
        <v>275</v>
      </c>
      <c r="C583" s="22">
        <v>95287</v>
      </c>
      <c r="D583" s="23" t="s">
        <v>1001</v>
      </c>
      <c r="E583" s="23" t="s">
        <v>1001</v>
      </c>
      <c r="F583" s="24" t="s">
        <v>1002</v>
      </c>
      <c r="G583" s="24" t="str">
        <f t="shared" si="18"/>
        <v>Hypernet DB-FNC8-26U-FLAT Шкаф коммутационный напольный 26U 19'' 600х800 разборной</v>
      </c>
      <c r="H583" s="25">
        <f>$C$1*      462</f>
        <v>10164</v>
      </c>
      <c r="I583" s="26"/>
      <c r="J583" s="27">
        <v>0</v>
      </c>
      <c r="K583" s="28" t="s">
        <v>27</v>
      </c>
      <c r="L583" s="14">
        <f t="shared" si="19"/>
        <v>9960.7199999999993</v>
      </c>
    </row>
    <row r="584" spans="1:12" ht="10.5" customHeight="1" outlineLevel="1" x14ac:dyDescent="0.25">
      <c r="A584" s="22"/>
      <c r="B584" s="22" t="s">
        <v>275</v>
      </c>
      <c r="C584" s="22">
        <v>95508</v>
      </c>
      <c r="D584" s="23" t="s">
        <v>1003</v>
      </c>
      <c r="E584" s="23" t="s">
        <v>1004</v>
      </c>
      <c r="F584" s="24" t="s">
        <v>1005</v>
      </c>
      <c r="G584" s="24" t="str">
        <f t="shared" ref="G584:G645" si="20">REPLACE(F584,SEARCH(" ",F584)+1,0,D584&amp;" ")</f>
        <v>ck DB-FNC8-26U-FLAT-black   Hypernet Шкаф коммутационный напольный 26U 19'' 600х800 разборной черный</v>
      </c>
      <c r="H584" s="25">
        <f>$C$1*      462</f>
        <v>10164</v>
      </c>
      <c r="I584" s="26"/>
      <c r="J584" s="27">
        <v>0</v>
      </c>
      <c r="K584" s="28" t="s">
        <v>27</v>
      </c>
      <c r="L584" s="14">
        <f t="shared" si="19"/>
        <v>9960.7199999999993</v>
      </c>
    </row>
    <row r="585" spans="1:12" ht="10.5" customHeight="1" outlineLevel="1" x14ac:dyDescent="0.25">
      <c r="A585" s="22"/>
      <c r="B585" s="22" t="s">
        <v>275</v>
      </c>
      <c r="C585" s="22">
        <v>95288</v>
      </c>
      <c r="D585" s="23" t="s">
        <v>1006</v>
      </c>
      <c r="E585" s="23" t="s">
        <v>1006</v>
      </c>
      <c r="F585" s="24" t="s">
        <v>1007</v>
      </c>
      <c r="G585" s="24" t="str">
        <f t="shared" si="20"/>
        <v>Hypernet DB-FNC8-32U-FLAT Шкаф коммутационный напольный 32U 19'' 600х800 разборной</v>
      </c>
      <c r="H585" s="25">
        <f>$C$1*      491.7</f>
        <v>10817.4</v>
      </c>
      <c r="I585" s="26"/>
      <c r="J585" s="27">
        <v>0</v>
      </c>
      <c r="K585" s="28"/>
      <c r="L585" s="14">
        <f t="shared" si="19"/>
        <v>10601.05</v>
      </c>
    </row>
    <row r="586" spans="1:12" ht="10.5" customHeight="1" outlineLevel="1" x14ac:dyDescent="0.25">
      <c r="A586" s="22"/>
      <c r="B586" s="22" t="s">
        <v>275</v>
      </c>
      <c r="C586" s="22">
        <v>95497</v>
      </c>
      <c r="D586" s="23" t="s">
        <v>1008</v>
      </c>
      <c r="E586" s="23" t="s">
        <v>1008</v>
      </c>
      <c r="F586" s="24" t="s">
        <v>1009</v>
      </c>
      <c r="G586" s="24" t="str">
        <f t="shared" si="20"/>
        <v>Hypernet DB-FNC8-36U-FLAT Шкаф коммутационный напольный 36U 19'' 600х800 разборной</v>
      </c>
      <c r="H586" s="25">
        <f>$C$1*      518.1</f>
        <v>11398.2</v>
      </c>
      <c r="I586" s="26"/>
      <c r="J586" s="27">
        <v>0</v>
      </c>
      <c r="K586" s="28"/>
      <c r="L586" s="14">
        <f t="shared" si="19"/>
        <v>11170.24</v>
      </c>
    </row>
    <row r="587" spans="1:12" ht="10.5" customHeight="1" outlineLevel="1" x14ac:dyDescent="0.25">
      <c r="A587" s="22"/>
      <c r="B587" s="22" t="s">
        <v>275</v>
      </c>
      <c r="C587" s="22">
        <v>95289</v>
      </c>
      <c r="D587" s="23" t="s">
        <v>1010</v>
      </c>
      <c r="E587" s="23" t="s">
        <v>1010</v>
      </c>
      <c r="F587" s="24" t="s">
        <v>1011</v>
      </c>
      <c r="G587" s="24" t="str">
        <f t="shared" si="20"/>
        <v>Hypernet DB-FNC8-42U-FLAT Шкаф коммутационный напольный 42U 19'' 600х800 разборной</v>
      </c>
      <c r="H587" s="25">
        <f>$C$1*      583</f>
        <v>12826</v>
      </c>
      <c r="I587" s="26"/>
      <c r="J587" s="27">
        <v>0</v>
      </c>
      <c r="K587" s="28" t="s">
        <v>27</v>
      </c>
      <c r="L587" s="14">
        <f t="shared" si="19"/>
        <v>12569.48</v>
      </c>
    </row>
    <row r="588" spans="1:12" ht="10.5" customHeight="1" outlineLevel="1" x14ac:dyDescent="0.25">
      <c r="A588" s="22"/>
      <c r="B588" s="22" t="s">
        <v>275</v>
      </c>
      <c r="C588" s="22">
        <v>95725</v>
      </c>
      <c r="D588" s="23" t="s">
        <v>1012</v>
      </c>
      <c r="E588" s="23" t="s">
        <v>1013</v>
      </c>
      <c r="F588" s="24" t="s">
        <v>1014</v>
      </c>
      <c r="G588" s="24" t="str">
        <f t="shared" si="20"/>
        <v>ck DB-FNC8-42U-FLAT-black  Hypernet Шкаф коммутационный напольный 42U 19'' 600х800 разборной черный</v>
      </c>
      <c r="H588" s="25">
        <f>$C$1*      583</f>
        <v>12826</v>
      </c>
      <c r="I588" s="26"/>
      <c r="J588" s="27">
        <v>0</v>
      </c>
      <c r="K588" s="28" t="s">
        <v>27</v>
      </c>
      <c r="L588" s="14">
        <f t="shared" si="19"/>
        <v>12569.48</v>
      </c>
    </row>
    <row r="589" spans="1:12" ht="10.5" customHeight="1" outlineLevel="1" x14ac:dyDescent="0.25">
      <c r="A589" s="22"/>
      <c r="B589" s="22" t="s">
        <v>275</v>
      </c>
      <c r="C589" s="22">
        <v>95724</v>
      </c>
      <c r="D589" s="23" t="s">
        <v>1015</v>
      </c>
      <c r="E589" s="23" t="s">
        <v>1015</v>
      </c>
      <c r="F589" s="24" t="s">
        <v>1016</v>
      </c>
      <c r="G589" s="24" t="str">
        <f t="shared" si="20"/>
        <v>Hypernet DB-FNC8-47U-FLAT Шкаф коммутационный напольный 47U 19'' 600х800 разборной</v>
      </c>
      <c r="H589" s="25">
        <f>$C$1*      696.3</f>
        <v>15318.599999999999</v>
      </c>
      <c r="I589" s="26"/>
      <c r="J589" s="27">
        <v>0</v>
      </c>
      <c r="K589" s="28" t="s">
        <v>27</v>
      </c>
      <c r="L589" s="14">
        <f t="shared" si="19"/>
        <v>15012.23</v>
      </c>
    </row>
    <row r="590" spans="1:12" ht="10.5" customHeight="1" outlineLevel="1" x14ac:dyDescent="0.25">
      <c r="A590" s="22"/>
      <c r="B590" s="22" t="s">
        <v>275</v>
      </c>
      <c r="C590" s="22">
        <v>95269</v>
      </c>
      <c r="D590" s="23" t="s">
        <v>1017</v>
      </c>
      <c r="E590" s="23" t="s">
        <v>1017</v>
      </c>
      <c r="F590" s="24" t="s">
        <v>1018</v>
      </c>
      <c r="G590" s="24" t="str">
        <f t="shared" si="20"/>
        <v>Hypernet EUBOX-FNC8-42U-FLAT Шкаф коммутационный напольный 42U 19'' 600х800 разборной, неоткрывающиеся бока</v>
      </c>
      <c r="H590" s="25">
        <f>$C$1*      574.2</f>
        <v>12632.400000000001</v>
      </c>
      <c r="I590" s="26"/>
      <c r="J590" s="27">
        <v>0</v>
      </c>
      <c r="K590" s="28"/>
      <c r="L590" s="14">
        <f t="shared" si="19"/>
        <v>12379.75</v>
      </c>
    </row>
    <row r="591" spans="1:12" ht="10.5" customHeight="1" x14ac:dyDescent="0.25">
      <c r="A591" s="15"/>
      <c r="B591" s="16" t="s">
        <v>1019</v>
      </c>
      <c r="C591" s="16"/>
      <c r="D591" s="16"/>
      <c r="E591" s="16"/>
      <c r="F591" s="17"/>
      <c r="G591" s="24" t="e">
        <f t="shared" si="20"/>
        <v>#VALUE!</v>
      </c>
      <c r="H591" s="18"/>
      <c r="I591" s="19"/>
      <c r="J591" s="20"/>
      <c r="K591" s="21"/>
      <c r="L591" s="14">
        <f t="shared" si="19"/>
        <v>0</v>
      </c>
    </row>
    <row r="592" spans="1:12" ht="10.5" customHeight="1" outlineLevel="1" x14ac:dyDescent="0.25">
      <c r="A592" s="22"/>
      <c r="B592" s="22" t="s">
        <v>275</v>
      </c>
      <c r="C592" s="22">
        <v>95256</v>
      </c>
      <c r="D592" s="23" t="s">
        <v>1020</v>
      </c>
      <c r="E592" s="23" t="s">
        <v>1020</v>
      </c>
      <c r="F592" s="24" t="s">
        <v>1011</v>
      </c>
      <c r="G592" s="24" t="str">
        <f t="shared" si="20"/>
        <v>Hypernet DYN-FNC8-42U-FLAT Шкаф коммутационный напольный 42U 19'' 600х800 разборной</v>
      </c>
      <c r="H592" s="25">
        <f>$C$1*      719.4</f>
        <v>15826.8</v>
      </c>
      <c r="I592" s="26"/>
      <c r="J592" s="27">
        <v>0</v>
      </c>
      <c r="K592" s="28" t="s">
        <v>27</v>
      </c>
      <c r="L592" s="14">
        <f t="shared" si="19"/>
        <v>15510.26</v>
      </c>
    </row>
    <row r="593" spans="1:12" ht="10.5" customHeight="1" x14ac:dyDescent="0.25">
      <c r="A593" s="15"/>
      <c r="B593" s="16" t="s">
        <v>1021</v>
      </c>
      <c r="C593" s="16"/>
      <c r="D593" s="16"/>
      <c r="E593" s="16"/>
      <c r="F593" s="17"/>
      <c r="G593" s="24" t="e">
        <f t="shared" si="20"/>
        <v>#VALUE!</v>
      </c>
      <c r="H593" s="18"/>
      <c r="I593" s="19"/>
      <c r="J593" s="20"/>
      <c r="K593" s="21"/>
      <c r="L593" s="14">
        <f t="shared" si="19"/>
        <v>0</v>
      </c>
    </row>
    <row r="594" spans="1:12" ht="10.5" customHeight="1" outlineLevel="1" x14ac:dyDescent="0.25">
      <c r="A594" s="22"/>
      <c r="B594" s="22" t="s">
        <v>275</v>
      </c>
      <c r="C594" s="22">
        <v>95715</v>
      </c>
      <c r="D594" s="23" t="s">
        <v>1022</v>
      </c>
      <c r="E594" s="23" t="s">
        <v>1022</v>
      </c>
      <c r="F594" s="24" t="s">
        <v>1023</v>
      </c>
      <c r="G594" s="24" t="str">
        <f t="shared" si="20"/>
        <v>Hypernet CK-FNC8100-42U Шкаф коммутационный напольный 42U 19'' 800х1000 неразборной</v>
      </c>
      <c r="H594" s="25">
        <f>$C$1*      739.2</f>
        <v>16262.400000000001</v>
      </c>
      <c r="I594" s="26"/>
      <c r="J594" s="27">
        <v>0</v>
      </c>
      <c r="K594" s="28" t="s">
        <v>27</v>
      </c>
      <c r="L594" s="14">
        <f t="shared" si="19"/>
        <v>15937.15</v>
      </c>
    </row>
    <row r="595" spans="1:12" ht="10.5" customHeight="1" outlineLevel="1" x14ac:dyDescent="0.25">
      <c r="A595" s="22"/>
      <c r="B595" s="22" t="s">
        <v>275</v>
      </c>
      <c r="C595" s="22">
        <v>95716</v>
      </c>
      <c r="D595" s="23" t="s">
        <v>1024</v>
      </c>
      <c r="E595" s="23" t="s">
        <v>1024</v>
      </c>
      <c r="F595" s="24" t="s">
        <v>1025</v>
      </c>
      <c r="G595" s="24" t="str">
        <f t="shared" si="20"/>
        <v>Hypernet CK-FNC8100-47U Шкаф коммутационный напольный 47U 19'' 800х1000 неразборной</v>
      </c>
      <c r="H595" s="25">
        <f>$C$1*      801.9</f>
        <v>17641.8</v>
      </c>
      <c r="I595" s="26"/>
      <c r="J595" s="27">
        <v>0</v>
      </c>
      <c r="K595" s="28"/>
      <c r="L595" s="14">
        <f t="shared" si="19"/>
        <v>17288.96</v>
      </c>
    </row>
    <row r="596" spans="1:12" ht="10.5" customHeight="1" outlineLevel="1" x14ac:dyDescent="0.25">
      <c r="A596" s="22"/>
      <c r="B596" s="22" t="s">
        <v>275</v>
      </c>
      <c r="C596" s="22">
        <v>95694</v>
      </c>
      <c r="D596" s="23" t="s">
        <v>1026</v>
      </c>
      <c r="E596" s="23" t="s">
        <v>1026</v>
      </c>
      <c r="F596" s="24" t="s">
        <v>1027</v>
      </c>
      <c r="G596" s="24" t="str">
        <f t="shared" si="20"/>
        <v>Hypernet CK-FNC88-32U Шкаф коммутационный напольный 32U 19'' 800х800 неразборной</v>
      </c>
      <c r="H596" s="25">
        <f>$C$1*      508.2</f>
        <v>11180.4</v>
      </c>
      <c r="I596" s="26"/>
      <c r="J596" s="27">
        <v>0</v>
      </c>
      <c r="K596" s="28"/>
      <c r="L596" s="14">
        <f t="shared" si="19"/>
        <v>10956.79</v>
      </c>
    </row>
    <row r="597" spans="1:12" ht="10.5" customHeight="1" outlineLevel="1" x14ac:dyDescent="0.25">
      <c r="A597" s="22"/>
      <c r="B597" s="22" t="s">
        <v>275</v>
      </c>
      <c r="C597" s="22">
        <v>95695</v>
      </c>
      <c r="D597" s="23" t="s">
        <v>1028</v>
      </c>
      <c r="E597" s="23" t="s">
        <v>1028</v>
      </c>
      <c r="F597" s="24" t="s">
        <v>1029</v>
      </c>
      <c r="G597" s="24" t="str">
        <f t="shared" si="20"/>
        <v>Hypernet CK-FNC88-36U Шкаф коммутационный напольный 36U 19'' 800х800 неразборной</v>
      </c>
      <c r="H597" s="25">
        <f>$C$1*      554.4</f>
        <v>12196.8</v>
      </c>
      <c r="I597" s="26"/>
      <c r="J597" s="27">
        <v>0</v>
      </c>
      <c r="K597" s="28"/>
      <c r="L597" s="14">
        <f t="shared" si="19"/>
        <v>11952.86</v>
      </c>
    </row>
    <row r="598" spans="1:12" ht="10.5" customHeight="1" outlineLevel="1" x14ac:dyDescent="0.25">
      <c r="A598" s="22"/>
      <c r="B598" s="22" t="s">
        <v>275</v>
      </c>
      <c r="C598" s="22">
        <v>95696</v>
      </c>
      <c r="D598" s="23" t="s">
        <v>1030</v>
      </c>
      <c r="E598" s="23" t="s">
        <v>1030</v>
      </c>
      <c r="F598" s="24" t="s">
        <v>1031</v>
      </c>
      <c r="G598" s="24" t="str">
        <f t="shared" si="20"/>
        <v>Hypernet CK-FNC88-42U Шкаф коммутационный напольный 42U 19'' 800х800 неразборной</v>
      </c>
      <c r="H598" s="25">
        <f>$C$1*      638</f>
        <v>14036</v>
      </c>
      <c r="I598" s="26"/>
      <c r="J598" s="27">
        <v>0</v>
      </c>
      <c r="K598" s="28" t="s">
        <v>27</v>
      </c>
      <c r="L598" s="14">
        <f t="shared" si="19"/>
        <v>13755.28</v>
      </c>
    </row>
    <row r="599" spans="1:12" ht="10.5" customHeight="1" outlineLevel="1" x14ac:dyDescent="0.25">
      <c r="A599" s="22"/>
      <c r="B599" s="22" t="s">
        <v>275</v>
      </c>
      <c r="C599" s="22">
        <v>95697</v>
      </c>
      <c r="D599" s="23" t="s">
        <v>1032</v>
      </c>
      <c r="E599" s="23" t="s">
        <v>1032</v>
      </c>
      <c r="F599" s="24" t="s">
        <v>1033</v>
      </c>
      <c r="G599" s="24" t="str">
        <f t="shared" si="20"/>
        <v>Hypernet CK-FNC88-47U Шкаф коммутационный напольный 47U 19'' 800х800 неразборной</v>
      </c>
      <c r="H599" s="25">
        <f>$C$1*      656.04</f>
        <v>14432.88</v>
      </c>
      <c r="I599" s="26"/>
      <c r="J599" s="27">
        <v>0</v>
      </c>
      <c r="K599" s="28"/>
      <c r="L599" s="14">
        <f t="shared" si="19"/>
        <v>14144.22</v>
      </c>
    </row>
    <row r="600" spans="1:12" ht="10.5" customHeight="1" x14ac:dyDescent="0.25">
      <c r="A600" s="15"/>
      <c r="B600" s="16" t="s">
        <v>1034</v>
      </c>
      <c r="C600" s="16"/>
      <c r="D600" s="16"/>
      <c r="E600" s="16"/>
      <c r="F600" s="17"/>
      <c r="G600" s="24" t="e">
        <f t="shared" si="20"/>
        <v>#VALUE!</v>
      </c>
      <c r="H600" s="18"/>
      <c r="I600" s="19"/>
      <c r="J600" s="20"/>
      <c r="K600" s="21"/>
      <c r="L600" s="14">
        <f t="shared" si="19"/>
        <v>0</v>
      </c>
    </row>
    <row r="601" spans="1:12" ht="10.5" customHeight="1" outlineLevel="1" x14ac:dyDescent="0.25">
      <c r="A601" s="22"/>
      <c r="B601" s="22" t="s">
        <v>275</v>
      </c>
      <c r="C601" s="22">
        <v>95727</v>
      </c>
      <c r="D601" s="23" t="s">
        <v>1035</v>
      </c>
      <c r="E601" s="23" t="s">
        <v>1035</v>
      </c>
      <c r="F601" s="24" t="s">
        <v>1036</v>
      </c>
      <c r="G601" s="24" t="str">
        <f t="shared" si="20"/>
        <v>Hypernet DB-FNC8100-42U-FLAT Шкаф коммутационный напольный 42U 19'' 800х1000 разборной</v>
      </c>
      <c r="H601" s="25">
        <f>$C$1*      889.9</f>
        <v>19577.8</v>
      </c>
      <c r="I601" s="26"/>
      <c r="J601" s="27">
        <v>0</v>
      </c>
      <c r="K601" s="28"/>
      <c r="L601" s="14">
        <f t="shared" si="19"/>
        <v>19186.240000000002</v>
      </c>
    </row>
    <row r="602" spans="1:12" ht="10.5" customHeight="1" outlineLevel="1" x14ac:dyDescent="0.25">
      <c r="A602" s="22"/>
      <c r="B602" s="22" t="s">
        <v>275</v>
      </c>
      <c r="C602" s="22">
        <v>95290</v>
      </c>
      <c r="D602" s="23" t="s">
        <v>1037</v>
      </c>
      <c r="E602" s="23" t="s">
        <v>1037</v>
      </c>
      <c r="F602" s="24" t="s">
        <v>1038</v>
      </c>
      <c r="G602" s="24" t="str">
        <f t="shared" si="20"/>
        <v>Hypernet DB-FNC88-42U-FLAT Шкаф коммутационный напольный 42U 19'' 800х800 разборной</v>
      </c>
      <c r="H602" s="25">
        <f>$C$1*      745.8</f>
        <v>16407.599999999999</v>
      </c>
      <c r="I602" s="26"/>
      <c r="J602" s="27">
        <v>0</v>
      </c>
      <c r="K602" s="28"/>
      <c r="L602" s="14">
        <f t="shared" si="19"/>
        <v>16079.45</v>
      </c>
    </row>
    <row r="603" spans="1:12" ht="10.5" customHeight="1" x14ac:dyDescent="0.25">
      <c r="A603" s="15"/>
      <c r="B603" s="16" t="s">
        <v>1039</v>
      </c>
      <c r="C603" s="16"/>
      <c r="D603" s="16"/>
      <c r="E603" s="16"/>
      <c r="F603" s="17"/>
      <c r="G603" s="24" t="e">
        <f t="shared" si="20"/>
        <v>#VALUE!</v>
      </c>
      <c r="H603" s="18"/>
      <c r="I603" s="19"/>
      <c r="J603" s="20"/>
      <c r="K603" s="21"/>
      <c r="L603" s="14">
        <f t="shared" si="19"/>
        <v>0</v>
      </c>
    </row>
    <row r="604" spans="1:12" ht="10.5" customHeight="1" outlineLevel="1" x14ac:dyDescent="0.25">
      <c r="A604" s="22"/>
      <c r="B604" s="22" t="s">
        <v>275</v>
      </c>
      <c r="C604" s="22">
        <v>95257</v>
      </c>
      <c r="D604" s="23" t="s">
        <v>1040</v>
      </c>
      <c r="E604" s="23" t="s">
        <v>1041</v>
      </c>
      <c r="F604" s="24" t="s">
        <v>1042</v>
      </c>
      <c r="G604" s="24" t="str">
        <f t="shared" si="20"/>
        <v>lack DYN-FNC88-42U-FLAT-black  Hypernet Шкаф коммутационный напольный 42U 19'' 800х800 разборный, черный</v>
      </c>
      <c r="H604" s="25">
        <f>$C$1*      996.6</f>
        <v>21925.200000000001</v>
      </c>
      <c r="I604" s="26"/>
      <c r="J604" s="27">
        <v>0</v>
      </c>
      <c r="K604" s="28" t="s">
        <v>27</v>
      </c>
      <c r="L604" s="14">
        <f t="shared" si="19"/>
        <v>21486.7</v>
      </c>
    </row>
    <row r="605" spans="1:12" ht="10.5" customHeight="1" x14ac:dyDescent="0.25">
      <c r="A605" s="15"/>
      <c r="B605" s="16" t="s">
        <v>1043</v>
      </c>
      <c r="C605" s="16"/>
      <c r="D605" s="16"/>
      <c r="E605" s="16"/>
      <c r="F605" s="17"/>
      <c r="G605" s="24" t="e">
        <f t="shared" si="20"/>
        <v>#VALUE!</v>
      </c>
      <c r="H605" s="18"/>
      <c r="I605" s="19"/>
      <c r="J605" s="20"/>
      <c r="K605" s="21"/>
      <c r="L605" s="14">
        <f t="shared" si="19"/>
        <v>0</v>
      </c>
    </row>
    <row r="606" spans="1:12" ht="10.5" customHeight="1" outlineLevel="1" x14ac:dyDescent="0.25">
      <c r="A606" s="22"/>
      <c r="B606" s="22" t="s">
        <v>275</v>
      </c>
      <c r="C606" s="22">
        <v>95717</v>
      </c>
      <c r="D606" s="23" t="s">
        <v>1044</v>
      </c>
      <c r="E606" s="23" t="s">
        <v>1044</v>
      </c>
      <c r="F606" s="24" t="s">
        <v>1045</v>
      </c>
      <c r="G606" s="24" t="str">
        <f t="shared" si="20"/>
        <v>Hypernet CKSR-FNC8100-42U Шкаф серверный напольный 42U 19'' 800х1000 неразборной</v>
      </c>
      <c r="H606" s="25">
        <f>$C$1*      811.8</f>
        <v>17859.599999999999</v>
      </c>
      <c r="I606" s="26"/>
      <c r="J606" s="27">
        <v>0</v>
      </c>
      <c r="K606" s="28" t="s">
        <v>27</v>
      </c>
      <c r="L606" s="14">
        <f t="shared" si="19"/>
        <v>17502.41</v>
      </c>
    </row>
    <row r="607" spans="1:12" ht="10.5" customHeight="1" outlineLevel="1" x14ac:dyDescent="0.25">
      <c r="A607" s="22"/>
      <c r="B607" s="22" t="s">
        <v>275</v>
      </c>
      <c r="C607" s="22">
        <v>95718</v>
      </c>
      <c r="D607" s="23" t="s">
        <v>1046</v>
      </c>
      <c r="E607" s="23" t="s">
        <v>1046</v>
      </c>
      <c r="F607" s="24" t="s">
        <v>1047</v>
      </c>
      <c r="G607" s="24" t="str">
        <f t="shared" si="20"/>
        <v>Hypernet CKSR-FNC8100-47U Шкаф серверный напольный 47U 19'' 800х1000 неразборной</v>
      </c>
      <c r="H607" s="25">
        <f>$C$1*      903.1</f>
        <v>19868.2</v>
      </c>
      <c r="I607" s="26"/>
      <c r="J607" s="27">
        <v>0</v>
      </c>
      <c r="K607" s="28"/>
      <c r="L607" s="14">
        <f t="shared" si="19"/>
        <v>19470.84</v>
      </c>
    </row>
    <row r="608" spans="1:12" ht="10.5" customHeight="1" outlineLevel="1" x14ac:dyDescent="0.25">
      <c r="A608" s="22"/>
      <c r="B608" s="22" t="s">
        <v>275</v>
      </c>
      <c r="C608" s="22">
        <v>95729</v>
      </c>
      <c r="D608" s="23" t="s">
        <v>1048</v>
      </c>
      <c r="E608" s="23" t="s">
        <v>1048</v>
      </c>
      <c r="F608" s="24" t="s">
        <v>1049</v>
      </c>
      <c r="G608" s="24" t="str">
        <f t="shared" si="20"/>
        <v>Hypernet CKSR-FNC88-32U Шкаф серверный напольный 32U 19'' 800х800 разборной, перф. перед и задняя дверь</v>
      </c>
      <c r="H608" s="25">
        <f>$C$1*      562.1</f>
        <v>12366.2</v>
      </c>
      <c r="I608" s="26"/>
      <c r="J608" s="27">
        <v>0</v>
      </c>
      <c r="K608" s="28"/>
      <c r="L608" s="14">
        <f t="shared" si="19"/>
        <v>12118.88</v>
      </c>
    </row>
    <row r="609" spans="1:12" ht="10.5" customHeight="1" outlineLevel="1" x14ac:dyDescent="0.25">
      <c r="A609" s="22"/>
      <c r="B609" s="22" t="s">
        <v>275</v>
      </c>
      <c r="C609" s="22">
        <v>95730</v>
      </c>
      <c r="D609" s="23" t="s">
        <v>1050</v>
      </c>
      <c r="E609" s="23" t="s">
        <v>1050</v>
      </c>
      <c r="F609" s="24" t="s">
        <v>1051</v>
      </c>
      <c r="G609" s="24" t="str">
        <f t="shared" si="20"/>
        <v>Hypernet CKSR-FNC88-36U Шкаф серверный напольный 36U 19'' 800х800 разборной, перф. перед и задняя дверь</v>
      </c>
      <c r="H609" s="25">
        <f>$C$1*      632.5</f>
        <v>13915</v>
      </c>
      <c r="I609" s="26"/>
      <c r="J609" s="27">
        <v>0</v>
      </c>
      <c r="K609" s="28"/>
      <c r="L609" s="14">
        <f t="shared" si="19"/>
        <v>13636.7</v>
      </c>
    </row>
    <row r="610" spans="1:12" ht="10.5" customHeight="1" outlineLevel="1" x14ac:dyDescent="0.25">
      <c r="A610" s="22"/>
      <c r="B610" s="22" t="s">
        <v>275</v>
      </c>
      <c r="C610" s="22">
        <v>95731</v>
      </c>
      <c r="D610" s="23" t="s">
        <v>1052</v>
      </c>
      <c r="E610" s="23" t="s">
        <v>1052</v>
      </c>
      <c r="F610" s="24" t="s">
        <v>1053</v>
      </c>
      <c r="G610" s="24" t="str">
        <f t="shared" si="20"/>
        <v>Hypernet CKSR-FNC88-42U Шкаф серверный напольный 42U 19'' 800х800 разборной, перф. перед и задняя дверь</v>
      </c>
      <c r="H610" s="25">
        <f>$C$1*      717.2</f>
        <v>15778.400000000001</v>
      </c>
      <c r="I610" s="26"/>
      <c r="J610" s="27">
        <v>0</v>
      </c>
      <c r="K610" s="28" t="s">
        <v>27</v>
      </c>
      <c r="L610" s="14">
        <f t="shared" si="19"/>
        <v>15462.83</v>
      </c>
    </row>
    <row r="611" spans="1:12" ht="10.5" customHeight="1" outlineLevel="1" x14ac:dyDescent="0.25">
      <c r="A611" s="22"/>
      <c r="B611" s="22" t="s">
        <v>275</v>
      </c>
      <c r="C611" s="22">
        <v>95292</v>
      </c>
      <c r="D611" s="23" t="s">
        <v>1054</v>
      </c>
      <c r="E611" s="23" t="s">
        <v>1055</v>
      </c>
      <c r="F611" s="24" t="s">
        <v>1056</v>
      </c>
      <c r="G611" s="24" t="str">
        <f t="shared" si="20"/>
        <v>T DBSR-FNC8100-42U-FLAT  Hypernet Шкаф серверный напольный 42U 19'' 800х1000 разборный, перф. перед и зад дверь</v>
      </c>
      <c r="H611" s="25">
        <f>$C$1*      982.3</f>
        <v>21610.6</v>
      </c>
      <c r="I611" s="26"/>
      <c r="J611" s="27">
        <v>0</v>
      </c>
      <c r="K611" s="28" t="s">
        <v>27</v>
      </c>
      <c r="L611" s="14">
        <f t="shared" si="19"/>
        <v>21178.39</v>
      </c>
    </row>
    <row r="612" spans="1:12" ht="10.5" customHeight="1" outlineLevel="1" x14ac:dyDescent="0.25">
      <c r="A612" s="22"/>
      <c r="B612" s="22" t="s">
        <v>275</v>
      </c>
      <c r="C612" s="22">
        <v>95726</v>
      </c>
      <c r="D612" s="23" t="s">
        <v>1057</v>
      </c>
      <c r="E612" s="23" t="s">
        <v>1057</v>
      </c>
      <c r="F612" s="24" t="s">
        <v>1038</v>
      </c>
      <c r="G612" s="24" t="str">
        <f t="shared" si="20"/>
        <v>Hypernet DBSR-FNC88-42U-FLAT Шкаф коммутационный напольный 42U 19'' 800х800 разборной</v>
      </c>
      <c r="H612" s="25">
        <f>$C$1*      847</f>
        <v>18634</v>
      </c>
      <c r="I612" s="26"/>
      <c r="J612" s="27">
        <v>0</v>
      </c>
      <c r="K612" s="28" t="s">
        <v>27</v>
      </c>
      <c r="L612" s="14">
        <f t="shared" si="19"/>
        <v>18261.32</v>
      </c>
    </row>
    <row r="613" spans="1:12" ht="10.5" customHeight="1" outlineLevel="1" x14ac:dyDescent="0.25">
      <c r="A613" s="22"/>
      <c r="B613" s="22" t="s">
        <v>275</v>
      </c>
      <c r="C613" s="22">
        <v>95259</v>
      </c>
      <c r="D613" s="23" t="s">
        <v>1058</v>
      </c>
      <c r="E613" s="23" t="s">
        <v>1059</v>
      </c>
      <c r="F613" s="24" t="s">
        <v>1060</v>
      </c>
      <c r="G613" s="24" t="str">
        <f t="shared" si="20"/>
        <v>AT DYNSR-FNC8100-42U-FLAT  Hypernet Шкаф серверный напольный 42U 19'' 800х1000 разборный, черный, перф. перед и зад дверь</v>
      </c>
      <c r="H613" s="25">
        <f>$C$1*     1372.8</f>
        <v>30201.599999999999</v>
      </c>
      <c r="I613" s="26"/>
      <c r="J613" s="27">
        <v>0</v>
      </c>
      <c r="K613" s="28" t="s">
        <v>27</v>
      </c>
      <c r="L613" s="14">
        <f t="shared" si="19"/>
        <v>29597.57</v>
      </c>
    </row>
    <row r="614" spans="1:12" ht="10.5" customHeight="1" x14ac:dyDescent="0.25">
      <c r="A614" s="15"/>
      <c r="B614" s="16" t="s">
        <v>1061</v>
      </c>
      <c r="C614" s="16"/>
      <c r="D614" s="16"/>
      <c r="E614" s="16"/>
      <c r="F614" s="17"/>
      <c r="G614" s="24" t="e">
        <f t="shared" si="20"/>
        <v>#VALUE!</v>
      </c>
      <c r="H614" s="18"/>
      <c r="I614" s="19"/>
      <c r="J614" s="20"/>
      <c r="K614" s="21"/>
      <c r="L614" s="14">
        <f t="shared" si="19"/>
        <v>0</v>
      </c>
    </row>
    <row r="615" spans="1:12" ht="10.5" customHeight="1" outlineLevel="1" x14ac:dyDescent="0.25">
      <c r="A615" s="22"/>
      <c r="B615" s="22" t="s">
        <v>275</v>
      </c>
      <c r="C615" s="22">
        <v>94942</v>
      </c>
      <c r="D615" s="23" t="s">
        <v>1062</v>
      </c>
      <c r="E615" s="23" t="s">
        <v>1062</v>
      </c>
      <c r="F615" s="24" t="s">
        <v>1063</v>
      </c>
      <c r="G615" s="24" t="str">
        <f t="shared" si="20"/>
        <v>Hypernet WMNC10-12U Шкаф коммутационный настенный 12U 10"x280 ш(36)*г(29)*в(57)</v>
      </c>
      <c r="H615" s="25">
        <f>$C$1*       65</f>
        <v>1430</v>
      </c>
      <c r="I615" s="26"/>
      <c r="J615" s="27">
        <v>0</v>
      </c>
      <c r="K615" s="28" t="s">
        <v>27</v>
      </c>
      <c r="L615" s="14">
        <f t="shared" si="19"/>
        <v>1401.4</v>
      </c>
    </row>
    <row r="616" spans="1:12" ht="10.5" customHeight="1" outlineLevel="1" x14ac:dyDescent="0.25">
      <c r="A616" s="22"/>
      <c r="B616" s="22" t="s">
        <v>275</v>
      </c>
      <c r="C616" s="22">
        <v>96012</v>
      </c>
      <c r="D616" s="23" t="s">
        <v>1064</v>
      </c>
      <c r="E616" s="23" t="s">
        <v>1064</v>
      </c>
      <c r="F616" s="24" t="s">
        <v>1065</v>
      </c>
      <c r="G616" s="24" t="str">
        <f t="shared" si="20"/>
        <v>Hypernet WMNC10-4U Шкаф коммутационный настенный 4U 10"x280</v>
      </c>
      <c r="H616" s="25">
        <f>$C$1*       34</f>
        <v>748</v>
      </c>
      <c r="I616" s="26"/>
      <c r="J616" s="27">
        <v>0</v>
      </c>
      <c r="K616" s="28"/>
      <c r="L616" s="14">
        <f t="shared" si="19"/>
        <v>733.04</v>
      </c>
    </row>
    <row r="617" spans="1:12" ht="10.5" customHeight="1" outlineLevel="1" x14ac:dyDescent="0.25">
      <c r="A617" s="22"/>
      <c r="B617" s="22" t="s">
        <v>275</v>
      </c>
      <c r="C617" s="22">
        <v>94941</v>
      </c>
      <c r="D617" s="23" t="s">
        <v>1066</v>
      </c>
      <c r="E617" s="23" t="s">
        <v>1066</v>
      </c>
      <c r="F617" s="24" t="s">
        <v>1067</v>
      </c>
      <c r="G617" s="24" t="str">
        <f t="shared" si="20"/>
        <v>Hypernet WMNC10-6U Шкаф коммутационный настенный 6U 10"x280 ш(36)*г(29)*в(33)</v>
      </c>
      <c r="H617" s="25">
        <f>$C$1*       46.75</f>
        <v>1028.5</v>
      </c>
      <c r="I617" s="26"/>
      <c r="J617" s="27">
        <v>0</v>
      </c>
      <c r="K617" s="28" t="s">
        <v>27</v>
      </c>
      <c r="L617" s="14">
        <f t="shared" si="19"/>
        <v>1007.93</v>
      </c>
    </row>
    <row r="618" spans="1:12" ht="10.5" customHeight="1" outlineLevel="1" x14ac:dyDescent="0.25">
      <c r="A618" s="22"/>
      <c r="B618" s="22" t="s">
        <v>275</v>
      </c>
      <c r="C618" s="22">
        <v>95887</v>
      </c>
      <c r="D618" s="23" t="s">
        <v>1068</v>
      </c>
      <c r="E618" s="23" t="s">
        <v>1068</v>
      </c>
      <c r="F618" s="24" t="s">
        <v>1069</v>
      </c>
      <c r="G618" s="24" t="str">
        <f t="shared" si="20"/>
        <v>Hypernet WMNC10-9U Шкаф коммутационный настенный 9U 10"x280 ш(36)*г(29)*в(57)</v>
      </c>
      <c r="H618" s="25">
        <f>$C$1*       58.3</f>
        <v>1282.5999999999999</v>
      </c>
      <c r="I618" s="26"/>
      <c r="J618" s="27">
        <v>0</v>
      </c>
      <c r="K618" s="28" t="s">
        <v>27</v>
      </c>
      <c r="L618" s="14">
        <f t="shared" si="19"/>
        <v>1256.95</v>
      </c>
    </row>
    <row r="619" spans="1:12" ht="10.5" customHeight="1" x14ac:dyDescent="0.25">
      <c r="A619" s="15"/>
      <c r="B619" s="16" t="s">
        <v>1070</v>
      </c>
      <c r="C619" s="16"/>
      <c r="D619" s="16"/>
      <c r="E619" s="16"/>
      <c r="F619" s="17"/>
      <c r="G619" s="24" t="e">
        <f t="shared" si="20"/>
        <v>#VALUE!</v>
      </c>
      <c r="H619" s="18"/>
      <c r="I619" s="19"/>
      <c r="J619" s="20"/>
      <c r="K619" s="21"/>
      <c r="L619" s="14">
        <f t="shared" si="19"/>
        <v>0</v>
      </c>
    </row>
    <row r="620" spans="1:12" ht="10.5" customHeight="1" outlineLevel="1" x14ac:dyDescent="0.25">
      <c r="A620" s="22"/>
      <c r="B620" s="22" t="s">
        <v>275</v>
      </c>
      <c r="C620" s="22">
        <v>96015</v>
      </c>
      <c r="D620" s="23" t="s">
        <v>1071</v>
      </c>
      <c r="E620" s="23" t="s">
        <v>1071</v>
      </c>
      <c r="F620" s="24" t="s">
        <v>1072</v>
      </c>
      <c r="G620" s="24" t="str">
        <f t="shared" si="20"/>
        <v>Hypernet WMNC-40-6U-black Шкаф коммутационный настенный 6U 540x400 черный</v>
      </c>
      <c r="H620" s="25">
        <f>$C$1*       55</f>
        <v>1210</v>
      </c>
      <c r="I620" s="26"/>
      <c r="J620" s="27">
        <v>0</v>
      </c>
      <c r="K620" s="28" t="s">
        <v>27</v>
      </c>
      <c r="L620" s="14">
        <f t="shared" si="19"/>
        <v>1185.8</v>
      </c>
    </row>
    <row r="621" spans="1:12" ht="10.5" customHeight="1" outlineLevel="1" x14ac:dyDescent="0.25">
      <c r="A621" s="22"/>
      <c r="B621" s="22" t="s">
        <v>275</v>
      </c>
      <c r="C621" s="22">
        <v>96016</v>
      </c>
      <c r="D621" s="23" t="s">
        <v>1073</v>
      </c>
      <c r="E621" s="23" t="s">
        <v>1073</v>
      </c>
      <c r="F621" s="24" t="s">
        <v>1074</v>
      </c>
      <c r="G621" s="24" t="str">
        <f t="shared" si="20"/>
        <v>Hypernet WMNC-40-9U-black Шкаф коммутационный настенный 9U 540x400 черный</v>
      </c>
      <c r="H621" s="25">
        <f>$C$1*       64</f>
        <v>1408</v>
      </c>
      <c r="I621" s="26"/>
      <c r="J621" s="27">
        <v>0</v>
      </c>
      <c r="K621" s="28" t="s">
        <v>27</v>
      </c>
      <c r="L621" s="14">
        <f t="shared" si="19"/>
        <v>1379.84</v>
      </c>
    </row>
    <row r="622" spans="1:12" ht="10.5" customHeight="1" x14ac:dyDescent="0.25">
      <c r="A622" s="15"/>
      <c r="B622" s="16" t="s">
        <v>1075</v>
      </c>
      <c r="C622" s="16"/>
      <c r="D622" s="16"/>
      <c r="E622" s="16"/>
      <c r="F622" s="17"/>
      <c r="G622" s="24" t="e">
        <f t="shared" si="20"/>
        <v>#VALUE!</v>
      </c>
      <c r="H622" s="18"/>
      <c r="I622" s="19"/>
      <c r="J622" s="20"/>
      <c r="K622" s="21"/>
      <c r="L622" s="14">
        <f t="shared" si="19"/>
        <v>0</v>
      </c>
    </row>
    <row r="623" spans="1:12" ht="10.5" customHeight="1" outlineLevel="1" x14ac:dyDescent="0.25">
      <c r="A623" s="22"/>
      <c r="B623" s="22" t="s">
        <v>275</v>
      </c>
      <c r="C623" s="22">
        <v>95273</v>
      </c>
      <c r="D623" s="23" t="s">
        <v>1076</v>
      </c>
      <c r="E623" s="23" t="s">
        <v>1076</v>
      </c>
      <c r="F623" s="24" t="s">
        <v>1077</v>
      </c>
      <c r="G623" s="24" t="str">
        <f t="shared" si="20"/>
        <v>Hypernet EUBOX-WMNC-12U Шкаф коммутационный настенный 12U 19'' 600х450</v>
      </c>
      <c r="H623" s="25">
        <f>$C$1*      126.5</f>
        <v>2783</v>
      </c>
      <c r="I623" s="26"/>
      <c r="J623" s="27">
        <v>0</v>
      </c>
      <c r="K623" s="28" t="s">
        <v>27</v>
      </c>
      <c r="L623" s="14">
        <f t="shared" si="19"/>
        <v>2727.34</v>
      </c>
    </row>
    <row r="624" spans="1:12" ht="10.5" customHeight="1" outlineLevel="1" x14ac:dyDescent="0.25">
      <c r="A624" s="22"/>
      <c r="B624" s="22" t="s">
        <v>275</v>
      </c>
      <c r="C624" s="22">
        <v>95274</v>
      </c>
      <c r="D624" s="23" t="s">
        <v>1078</v>
      </c>
      <c r="E624" s="23" t="s">
        <v>1078</v>
      </c>
      <c r="F624" s="24" t="s">
        <v>1079</v>
      </c>
      <c r="G624" s="24" t="str">
        <f t="shared" si="20"/>
        <v>Hypernet EUBOX-WMNC-16U Шкаф коммутационный настенный 16U 19'' 600х450</v>
      </c>
      <c r="H624" s="25">
        <f>$C$1*      137.5</f>
        <v>3025</v>
      </c>
      <c r="I624" s="26"/>
      <c r="J624" s="27">
        <v>0</v>
      </c>
      <c r="K624" s="28" t="s">
        <v>27</v>
      </c>
      <c r="L624" s="14">
        <f t="shared" si="19"/>
        <v>2964.5</v>
      </c>
    </row>
    <row r="625" spans="1:12" ht="10.5" customHeight="1" outlineLevel="1" x14ac:dyDescent="0.25">
      <c r="A625" s="22"/>
      <c r="B625" s="22" t="s">
        <v>275</v>
      </c>
      <c r="C625" s="22">
        <v>95271</v>
      </c>
      <c r="D625" s="23" t="s">
        <v>1080</v>
      </c>
      <c r="E625" s="23" t="s">
        <v>1080</v>
      </c>
      <c r="F625" s="24" t="s">
        <v>1081</v>
      </c>
      <c r="G625" s="24" t="str">
        <f t="shared" si="20"/>
        <v>Hypernet EUBOX-WMNC-7U Шкаф коммутационный настенный 7U 19'' 600х450</v>
      </c>
      <c r="H625" s="25">
        <f>$C$1*      100.1</f>
        <v>2202.1999999999998</v>
      </c>
      <c r="I625" s="26"/>
      <c r="J625" s="27">
        <v>0</v>
      </c>
      <c r="K625" s="28"/>
      <c r="L625" s="14">
        <f t="shared" si="19"/>
        <v>2158.16</v>
      </c>
    </row>
    <row r="626" spans="1:12" ht="10.5" customHeight="1" outlineLevel="1" x14ac:dyDescent="0.25">
      <c r="A626" s="22"/>
      <c r="B626" s="22" t="s">
        <v>275</v>
      </c>
      <c r="C626" s="22">
        <v>95502</v>
      </c>
      <c r="D626" s="23" t="s">
        <v>1082</v>
      </c>
      <c r="E626" s="23" t="s">
        <v>1082</v>
      </c>
      <c r="F626" s="24" t="s">
        <v>1083</v>
      </c>
      <c r="G626" s="24" t="str">
        <f t="shared" si="20"/>
        <v>Hypernet EUBOX-WMNC-7U-black Шкаф коммутационный настенный 7U 19'' 600х450 черный</v>
      </c>
      <c r="H626" s="25">
        <f>$C$1*      100.1</f>
        <v>2202.1999999999998</v>
      </c>
      <c r="I626" s="26"/>
      <c r="J626" s="27">
        <v>0</v>
      </c>
      <c r="K626" s="28"/>
      <c r="L626" s="14">
        <f t="shared" si="19"/>
        <v>2158.16</v>
      </c>
    </row>
    <row r="627" spans="1:12" ht="10.5" customHeight="1" outlineLevel="1" x14ac:dyDescent="0.25">
      <c r="A627" s="22"/>
      <c r="B627" s="22" t="s">
        <v>275</v>
      </c>
      <c r="C627" s="22">
        <v>95272</v>
      </c>
      <c r="D627" s="23" t="s">
        <v>1084</v>
      </c>
      <c r="E627" s="23" t="s">
        <v>1084</v>
      </c>
      <c r="F627" s="24" t="s">
        <v>1085</v>
      </c>
      <c r="G627" s="24" t="str">
        <f t="shared" si="20"/>
        <v>Hypernet EUBOX-WMNC-9U Шкаф коммутационный настенный 9U 19'' 600х450</v>
      </c>
      <c r="H627" s="25">
        <f>$C$1*      113.3</f>
        <v>2492.6</v>
      </c>
      <c r="I627" s="26"/>
      <c r="J627" s="27">
        <v>0</v>
      </c>
      <c r="K627" s="28" t="s">
        <v>27</v>
      </c>
      <c r="L627" s="14">
        <f t="shared" si="19"/>
        <v>2442.75</v>
      </c>
    </row>
    <row r="628" spans="1:12" ht="10.5" customHeight="1" outlineLevel="1" x14ac:dyDescent="0.25">
      <c r="A628" s="22"/>
      <c r="B628" s="22" t="s">
        <v>275</v>
      </c>
      <c r="C628" s="22">
        <v>95510</v>
      </c>
      <c r="D628" s="23" t="s">
        <v>1086</v>
      </c>
      <c r="E628" s="23" t="s">
        <v>1086</v>
      </c>
      <c r="F628" s="24" t="s">
        <v>1087</v>
      </c>
      <c r="G628" s="24" t="str">
        <f t="shared" si="20"/>
        <v>Hypernet EUBOX-WMNC-9U-black Шкаф коммутационный настенный 9U 19'' 600х450 черный</v>
      </c>
      <c r="H628" s="25">
        <f>$C$1*      113.3</f>
        <v>2492.6</v>
      </c>
      <c r="I628" s="26"/>
      <c r="J628" s="27">
        <v>0</v>
      </c>
      <c r="K628" s="28" t="s">
        <v>27</v>
      </c>
      <c r="L628" s="14">
        <f t="shared" si="19"/>
        <v>2442.75</v>
      </c>
    </row>
    <row r="629" spans="1:12" ht="10.5" customHeight="1" outlineLevel="1" x14ac:dyDescent="0.25">
      <c r="A629" s="22"/>
      <c r="B629" s="22" t="s">
        <v>275</v>
      </c>
      <c r="C629" s="22">
        <v>95942</v>
      </c>
      <c r="D629" s="23" t="s">
        <v>1088</v>
      </c>
      <c r="E629" s="23" t="s">
        <v>1088</v>
      </c>
      <c r="F629" s="24" t="s">
        <v>1089</v>
      </c>
      <c r="G629" s="24" t="str">
        <f t="shared" si="20"/>
        <v>Hypernet PL-WMNC-12U Шкаф коммутационный настенный 12U 19'' 600х450 серия ProfiLine</v>
      </c>
      <c r="H629" s="25">
        <f>$C$1*      132</f>
        <v>2904</v>
      </c>
      <c r="I629" s="26"/>
      <c r="J629" s="27">
        <v>0</v>
      </c>
      <c r="K629" s="28" t="s">
        <v>27</v>
      </c>
      <c r="L629" s="14">
        <f t="shared" si="19"/>
        <v>2845.92</v>
      </c>
    </row>
    <row r="630" spans="1:12" ht="10.5" customHeight="1" outlineLevel="1" x14ac:dyDescent="0.25">
      <c r="A630" s="22"/>
      <c r="B630" s="22" t="s">
        <v>275</v>
      </c>
      <c r="C630" s="22">
        <v>95943</v>
      </c>
      <c r="D630" s="23" t="s">
        <v>1090</v>
      </c>
      <c r="E630" s="23" t="s">
        <v>1090</v>
      </c>
      <c r="F630" s="24" t="s">
        <v>1091</v>
      </c>
      <c r="G630" s="24" t="str">
        <f t="shared" si="20"/>
        <v>Hypernet PL-WMNC-16U Шкаф коммутационный настенный 16U 19'' 600х450 серия ProfiLine</v>
      </c>
      <c r="H630" s="25">
        <f>$C$1*      157.3</f>
        <v>3460.6000000000004</v>
      </c>
      <c r="I630" s="26"/>
      <c r="J630" s="27">
        <v>0</v>
      </c>
      <c r="K630" s="28" t="s">
        <v>27</v>
      </c>
      <c r="L630" s="14">
        <f t="shared" si="19"/>
        <v>3391.39</v>
      </c>
    </row>
    <row r="631" spans="1:12" ht="10.5" customHeight="1" outlineLevel="1" x14ac:dyDescent="0.25">
      <c r="A631" s="22"/>
      <c r="B631" s="22" t="s">
        <v>275</v>
      </c>
      <c r="C631" s="22">
        <v>95944</v>
      </c>
      <c r="D631" s="23" t="s">
        <v>1092</v>
      </c>
      <c r="E631" s="23" t="s">
        <v>1092</v>
      </c>
      <c r="F631" s="24" t="s">
        <v>1093</v>
      </c>
      <c r="G631" s="24" t="str">
        <f t="shared" si="20"/>
        <v>Hypernet PL-WMNC-20U Шкаф коммутационный настенный 20U 19'' 600х450 серия ProfiLine</v>
      </c>
      <c r="H631" s="25">
        <f>$C$1*      198</f>
        <v>4356</v>
      </c>
      <c r="I631" s="26"/>
      <c r="J631" s="27">
        <v>0</v>
      </c>
      <c r="K631" s="28" t="s">
        <v>27</v>
      </c>
      <c r="L631" s="14">
        <f t="shared" si="19"/>
        <v>4268.88</v>
      </c>
    </row>
    <row r="632" spans="1:12" ht="10.5" customHeight="1" outlineLevel="1" x14ac:dyDescent="0.25">
      <c r="A632" s="22"/>
      <c r="B632" s="22" t="s">
        <v>275</v>
      </c>
      <c r="C632" s="22">
        <v>95940</v>
      </c>
      <c r="D632" s="23" t="s">
        <v>1094</v>
      </c>
      <c r="E632" s="23" t="s">
        <v>1094</v>
      </c>
      <c r="F632" s="24" t="s">
        <v>1095</v>
      </c>
      <c r="G632" s="24" t="str">
        <f t="shared" si="20"/>
        <v>Hypernet PL-WMNC-7U Шкаф коммутационный настенный 7U 19'' 600х450 серия ProfiLine</v>
      </c>
      <c r="H632" s="25">
        <f>$C$1*      110</f>
        <v>2420</v>
      </c>
      <c r="I632" s="26"/>
      <c r="J632" s="27">
        <v>0</v>
      </c>
      <c r="K632" s="28" t="s">
        <v>27</v>
      </c>
      <c r="L632" s="14">
        <f t="shared" si="19"/>
        <v>2371.6</v>
      </c>
    </row>
    <row r="633" spans="1:12" ht="10.5" customHeight="1" outlineLevel="1" x14ac:dyDescent="0.25">
      <c r="A633" s="22"/>
      <c r="B633" s="22" t="s">
        <v>275</v>
      </c>
      <c r="C633" s="22">
        <v>95941</v>
      </c>
      <c r="D633" s="23" t="s">
        <v>1096</v>
      </c>
      <c r="E633" s="23" t="s">
        <v>1096</v>
      </c>
      <c r="F633" s="24" t="s">
        <v>1097</v>
      </c>
      <c r="G633" s="24" t="str">
        <f t="shared" si="20"/>
        <v>Hypernet PL-WMNC-9U Шкаф коммутационный настенный 9U 19'' 600х450 серия ProfiLine</v>
      </c>
      <c r="H633" s="25">
        <f>$C$1*      118.8</f>
        <v>2613.6</v>
      </c>
      <c r="I633" s="26"/>
      <c r="J633" s="27">
        <v>0</v>
      </c>
      <c r="K633" s="28" t="s">
        <v>27</v>
      </c>
      <c r="L633" s="14">
        <f t="shared" si="19"/>
        <v>2561.33</v>
      </c>
    </row>
    <row r="634" spans="1:12" ht="10.5" customHeight="1" x14ac:dyDescent="0.25">
      <c r="A634" s="15"/>
      <c r="B634" s="16" t="s">
        <v>1098</v>
      </c>
      <c r="C634" s="16"/>
      <c r="D634" s="16"/>
      <c r="E634" s="16"/>
      <c r="F634" s="17"/>
      <c r="G634" s="24" t="e">
        <f t="shared" si="20"/>
        <v>#VALUE!</v>
      </c>
      <c r="H634" s="18"/>
      <c r="I634" s="19"/>
      <c r="J634" s="20"/>
      <c r="K634" s="21"/>
      <c r="L634" s="14">
        <f t="shared" si="19"/>
        <v>0</v>
      </c>
    </row>
    <row r="635" spans="1:12" ht="10.5" customHeight="1" outlineLevel="1" x14ac:dyDescent="0.25">
      <c r="A635" s="22"/>
      <c r="B635" s="22" t="s">
        <v>275</v>
      </c>
      <c r="C635" s="22">
        <v>96017</v>
      </c>
      <c r="D635" s="23" t="s">
        <v>1099</v>
      </c>
      <c r="E635" s="23" t="s">
        <v>1099</v>
      </c>
      <c r="F635" s="24" t="s">
        <v>1100</v>
      </c>
      <c r="G635" s="24" t="str">
        <f t="shared" si="20"/>
        <v>Hypernet WMNC-12U-black Шкаф коммутационный настенный 12U 600x450 черный</v>
      </c>
      <c r="H635" s="25">
        <f>$C$1*       80</f>
        <v>1760</v>
      </c>
      <c r="I635" s="26"/>
      <c r="J635" s="27">
        <v>0</v>
      </c>
      <c r="K635" s="28" t="s">
        <v>27</v>
      </c>
      <c r="L635" s="14">
        <f t="shared" si="19"/>
        <v>1724.8</v>
      </c>
    </row>
    <row r="636" spans="1:12" ht="10.5" customHeight="1" outlineLevel="1" x14ac:dyDescent="0.25">
      <c r="A636" s="22"/>
      <c r="B636" s="22" t="s">
        <v>275</v>
      </c>
      <c r="C636" s="22">
        <v>96445</v>
      </c>
      <c r="D636" s="23" t="s">
        <v>1101</v>
      </c>
      <c r="E636" s="23" t="s">
        <v>1101</v>
      </c>
      <c r="F636" s="24" t="s">
        <v>1102</v>
      </c>
      <c r="G636" s="24" t="str">
        <f t="shared" si="20"/>
        <v>Hypernet WMNC-12U-FLAT Шкаф коммутационный настенный 12U 600x450 разборной</v>
      </c>
      <c r="H636" s="25">
        <f>$C$1*       75</f>
        <v>1650</v>
      </c>
      <c r="I636" s="26"/>
      <c r="J636" s="27">
        <v>0</v>
      </c>
      <c r="K636" s="28" t="s">
        <v>27</v>
      </c>
      <c r="L636" s="14">
        <f t="shared" si="19"/>
        <v>1617</v>
      </c>
    </row>
    <row r="637" spans="1:12" ht="10.5" customHeight="1" outlineLevel="1" x14ac:dyDescent="0.25">
      <c r="A637" s="22"/>
      <c r="B637" s="22" t="s">
        <v>275</v>
      </c>
      <c r="C637" s="22">
        <v>96018</v>
      </c>
      <c r="D637" s="23" t="s">
        <v>1103</v>
      </c>
      <c r="E637" s="23" t="s">
        <v>1103</v>
      </c>
      <c r="F637" s="24" t="s">
        <v>1104</v>
      </c>
      <c r="G637" s="24" t="str">
        <f t="shared" si="20"/>
        <v>Hypernet WMNC-15U-black Шкаф коммутационный настенный 15U 600x450 черный</v>
      </c>
      <c r="H637" s="25">
        <f>$C$1*       88</f>
        <v>1936</v>
      </c>
      <c r="I637" s="26"/>
      <c r="J637" s="27">
        <v>0</v>
      </c>
      <c r="K637" s="28" t="s">
        <v>27</v>
      </c>
      <c r="L637" s="14">
        <f t="shared" si="19"/>
        <v>1897.28</v>
      </c>
    </row>
    <row r="638" spans="1:12" ht="10.5" customHeight="1" outlineLevel="1" x14ac:dyDescent="0.25">
      <c r="A638" s="22"/>
      <c r="B638" s="22" t="s">
        <v>275</v>
      </c>
      <c r="C638" s="22">
        <v>96446</v>
      </c>
      <c r="D638" s="23" t="s">
        <v>1105</v>
      </c>
      <c r="E638" s="23" t="s">
        <v>1105</v>
      </c>
      <c r="F638" s="24" t="s">
        <v>1106</v>
      </c>
      <c r="G638" s="24" t="str">
        <f t="shared" si="20"/>
        <v>Hypernet WMNC-15U-FLAT Шкаф коммутационный настенный 15U 600x450 разборной</v>
      </c>
      <c r="H638" s="25">
        <f>$C$1*       85</f>
        <v>1870</v>
      </c>
      <c r="I638" s="26"/>
      <c r="J638" s="27">
        <v>0</v>
      </c>
      <c r="K638" s="28" t="s">
        <v>27</v>
      </c>
      <c r="L638" s="14">
        <f t="shared" si="19"/>
        <v>1832.6</v>
      </c>
    </row>
    <row r="639" spans="1:12" ht="10.5" customHeight="1" outlineLevel="1" x14ac:dyDescent="0.25">
      <c r="A639" s="22"/>
      <c r="B639" s="22" t="s">
        <v>275</v>
      </c>
      <c r="C639" s="22">
        <v>96019</v>
      </c>
      <c r="D639" s="23" t="s">
        <v>1107</v>
      </c>
      <c r="E639" s="23" t="s">
        <v>1107</v>
      </c>
      <c r="F639" s="24" t="s">
        <v>1108</v>
      </c>
      <c r="G639" s="24" t="str">
        <f t="shared" si="20"/>
        <v>Hypernet WMNC-18U-black Шкаф коммутационный настенный 18U 600x450 черный</v>
      </c>
      <c r="H639" s="25">
        <f>$C$1*      103</f>
        <v>2266</v>
      </c>
      <c r="I639" s="26"/>
      <c r="J639" s="27">
        <v>0</v>
      </c>
      <c r="K639" s="28" t="s">
        <v>27</v>
      </c>
      <c r="L639" s="14">
        <f t="shared" si="19"/>
        <v>2220.6799999999998</v>
      </c>
    </row>
    <row r="640" spans="1:12" ht="10.5" customHeight="1" outlineLevel="1" x14ac:dyDescent="0.25">
      <c r="A640" s="22"/>
      <c r="B640" s="22" t="s">
        <v>275</v>
      </c>
      <c r="C640" s="22">
        <v>96447</v>
      </c>
      <c r="D640" s="23" t="s">
        <v>1109</v>
      </c>
      <c r="E640" s="23" t="s">
        <v>1109</v>
      </c>
      <c r="F640" s="24" t="s">
        <v>1110</v>
      </c>
      <c r="G640" s="24" t="str">
        <f t="shared" si="20"/>
        <v>Hypernet WMNC-18U-FLAT Шкаф коммутационный настенный 18U 600x450 разборной</v>
      </c>
      <c r="H640" s="25">
        <f>$C$1*       95</f>
        <v>2090</v>
      </c>
      <c r="I640" s="26"/>
      <c r="J640" s="27">
        <v>0</v>
      </c>
      <c r="K640" s="28" t="s">
        <v>27</v>
      </c>
      <c r="L640" s="14">
        <f t="shared" si="19"/>
        <v>2048.1999999999998</v>
      </c>
    </row>
    <row r="641" spans="1:12" ht="10.5" customHeight="1" outlineLevel="1" x14ac:dyDescent="0.25">
      <c r="A641" s="22"/>
      <c r="B641" s="22" t="s">
        <v>275</v>
      </c>
      <c r="C641" s="22">
        <v>95833</v>
      </c>
      <c r="D641" s="23" t="s">
        <v>1111</v>
      </c>
      <c r="E641" s="23" t="s">
        <v>1111</v>
      </c>
      <c r="F641" s="24" t="s">
        <v>1112</v>
      </c>
      <c r="G641" s="24" t="str">
        <f t="shared" si="20"/>
        <v>Hypernet WMNC-6U-black Шкаф коммутационный настенный 6U 600x450 черный</v>
      </c>
      <c r="H641" s="25">
        <f>$C$1*       62</f>
        <v>1364</v>
      </c>
      <c r="I641" s="26"/>
      <c r="J641" s="27">
        <v>0</v>
      </c>
      <c r="K641" s="28" t="s">
        <v>27</v>
      </c>
      <c r="L641" s="14">
        <f t="shared" si="19"/>
        <v>1336.72</v>
      </c>
    </row>
    <row r="642" spans="1:12" ht="10.5" customHeight="1" outlineLevel="1" x14ac:dyDescent="0.25">
      <c r="A642" s="22"/>
      <c r="B642" s="22" t="s">
        <v>275</v>
      </c>
      <c r="C642" s="22">
        <v>96443</v>
      </c>
      <c r="D642" s="23" t="s">
        <v>399</v>
      </c>
      <c r="E642" s="23" t="s">
        <v>399</v>
      </c>
      <c r="F642" s="24" t="s">
        <v>1113</v>
      </c>
      <c r="G642" s="24" t="str">
        <f t="shared" si="20"/>
        <v>Hypernet WMNC-6U-FLAT Шкаф коммутационный настенный 6U 600x450 разборной</v>
      </c>
      <c r="H642" s="25">
        <f>$C$1*       57</f>
        <v>1254</v>
      </c>
      <c r="I642" s="26"/>
      <c r="J642" s="27">
        <v>0</v>
      </c>
      <c r="K642" s="28"/>
      <c r="L642" s="14">
        <f t="shared" si="19"/>
        <v>1228.92</v>
      </c>
    </row>
    <row r="643" spans="1:12" ht="10.5" customHeight="1" outlineLevel="1" x14ac:dyDescent="0.25">
      <c r="A643" s="22"/>
      <c r="B643" s="22" t="s">
        <v>275</v>
      </c>
      <c r="C643" s="22">
        <v>95834</v>
      </c>
      <c r="D643" s="23" t="s">
        <v>1114</v>
      </c>
      <c r="E643" s="23" t="s">
        <v>1114</v>
      </c>
      <c r="F643" s="24" t="s">
        <v>1115</v>
      </c>
      <c r="G643" s="24" t="str">
        <f t="shared" si="20"/>
        <v>Hypernet WMNC-9U-black Шкаф коммутационный настенный 9U 600x450 черный</v>
      </c>
      <c r="H643" s="25">
        <f>$C$1*       69</f>
        <v>1518</v>
      </c>
      <c r="I643" s="26"/>
      <c r="J643" s="27">
        <v>0</v>
      </c>
      <c r="K643" s="28" t="s">
        <v>27</v>
      </c>
      <c r="L643" s="14">
        <f t="shared" si="19"/>
        <v>1487.64</v>
      </c>
    </row>
    <row r="644" spans="1:12" ht="10.5" customHeight="1" outlineLevel="1" x14ac:dyDescent="0.25">
      <c r="A644" s="22"/>
      <c r="B644" s="22" t="s">
        <v>275</v>
      </c>
      <c r="C644" s="22">
        <v>95606</v>
      </c>
      <c r="D644" s="23" t="s">
        <v>1116</v>
      </c>
      <c r="E644" s="23" t="s">
        <v>1116</v>
      </c>
      <c r="F644" s="24" t="s">
        <v>1117</v>
      </c>
      <c r="G644" s="24" t="str">
        <f t="shared" si="20"/>
        <v>Hypenet WMNC-9U-ECO Шкаф 9U 600x450 коммутационный настенный</v>
      </c>
      <c r="H644" s="25">
        <f>$C$1*       58</f>
        <v>1276</v>
      </c>
      <c r="I644" s="26"/>
      <c r="J644" s="27">
        <v>0</v>
      </c>
      <c r="K644" s="28" t="s">
        <v>27</v>
      </c>
      <c r="L644" s="14">
        <f t="shared" si="19"/>
        <v>1250.48</v>
      </c>
    </row>
    <row r="645" spans="1:12" ht="10.5" customHeight="1" outlineLevel="1" x14ac:dyDescent="0.25">
      <c r="A645" s="22"/>
      <c r="B645" s="22" t="s">
        <v>275</v>
      </c>
      <c r="C645" s="22">
        <v>96444</v>
      </c>
      <c r="D645" s="23" t="s">
        <v>1118</v>
      </c>
      <c r="E645" s="23" t="s">
        <v>1118</v>
      </c>
      <c r="F645" s="24" t="s">
        <v>1119</v>
      </c>
      <c r="G645" s="24" t="str">
        <f t="shared" si="20"/>
        <v>Hypernet WMNC-9U-FLAT Шкаф коммутационный настенный 9U 600x450 разборной</v>
      </c>
      <c r="H645" s="25">
        <f>$C$1*       65</f>
        <v>1430</v>
      </c>
      <c r="I645" s="26"/>
      <c r="J645" s="27">
        <v>0</v>
      </c>
      <c r="K645" s="28" t="s">
        <v>27</v>
      </c>
      <c r="L645" s="14">
        <f t="shared" si="19"/>
        <v>1401.4</v>
      </c>
    </row>
    <row r="646" spans="1:12" ht="10.5" customHeight="1" x14ac:dyDescent="0.25"/>
    <row r="647" spans="1:12" ht="10.5" customHeight="1" x14ac:dyDescent="0.25"/>
    <row r="648" spans="1:12" ht="10.5" customHeight="1" x14ac:dyDescent="0.25"/>
    <row r="649" spans="1:12" ht="10.5" customHeight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Viktor</cp:lastModifiedBy>
  <dcterms:created xsi:type="dcterms:W3CDTF">2015-07-27T09:27:46Z</dcterms:created>
  <dcterms:modified xsi:type="dcterms:W3CDTF">2015-07-27T15:31:15Z</dcterms:modified>
</cp:coreProperties>
</file>