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" yWindow="4752" windowWidth="15456" windowHeight="2388" tabRatio="783"/>
  </bookViews>
  <sheets>
    <sheet name="декабрь" sheetId="29" r:id="rId1"/>
  </sheets>
  <definedNames>
    <definedName name="_xlnm._FilterDatabase" localSheetId="0" hidden="1">декабрь!$A$2:$AV$18</definedName>
  </definedNames>
  <calcPr calcId="125725"/>
</workbook>
</file>

<file path=xl/calcChain.xml><?xml version="1.0" encoding="utf-8"?>
<calcChain xmlns="http://schemas.openxmlformats.org/spreadsheetml/2006/main">
  <c r="G7" i="29"/>
  <c r="G8"/>
  <c r="G9"/>
  <c r="G10"/>
  <c r="G14"/>
  <c r="G5"/>
  <c r="P11" l="1"/>
  <c r="P12"/>
  <c r="P13"/>
  <c r="P10"/>
  <c r="P14"/>
  <c r="S14" l="1"/>
  <c r="S8" l="1"/>
  <c r="AB5" l="1"/>
  <c r="Y5"/>
  <c r="T16" l="1"/>
  <c r="P16" l="1"/>
  <c r="P7" l="1"/>
  <c r="P8"/>
  <c r="P9"/>
  <c r="R10"/>
  <c r="V10" s="1"/>
  <c r="P5"/>
  <c r="R5" l="1"/>
  <c r="V5" s="1"/>
  <c r="AI15"/>
  <c r="AG15"/>
  <c r="F15"/>
  <c r="G15" s="1"/>
  <c r="P15" s="1"/>
  <c r="AN15" s="1"/>
  <c r="R15" l="1"/>
  <c r="V15" s="1"/>
  <c r="X5"/>
  <c r="T5"/>
  <c r="AK5" s="1"/>
  <c r="T15"/>
  <c r="AK15" s="1"/>
  <c r="AM15" s="1"/>
  <c r="AP15" s="1"/>
  <c r="Y15"/>
  <c r="X15"/>
  <c r="AB15"/>
  <c r="AD15" s="1"/>
  <c r="AI6"/>
  <c r="AI7"/>
  <c r="AI8"/>
  <c r="AI9"/>
  <c r="AI10"/>
  <c r="AI11"/>
  <c r="AI12"/>
  <c r="AI13"/>
  <c r="AI14"/>
  <c r="AI5"/>
  <c r="AH15" l="1"/>
  <c r="AJ15" s="1"/>
  <c r="AA15"/>
  <c r="F6"/>
  <c r="G6" s="1"/>
  <c r="P6" l="1"/>
  <c r="F17"/>
  <c r="H17" l="1"/>
  <c r="I17"/>
  <c r="G17" l="1"/>
  <c r="Q17" l="1"/>
  <c r="AO17" l="1"/>
  <c r="AG13" l="1"/>
  <c r="AG14"/>
  <c r="AN14" l="1"/>
  <c r="R14"/>
  <c r="T14" l="1"/>
  <c r="AK14" s="1"/>
  <c r="V14"/>
  <c r="X14" s="1"/>
  <c r="Y14"/>
  <c r="AB14"/>
  <c r="AD14" s="1"/>
  <c r="AH14" l="1"/>
  <c r="AJ14" s="1"/>
  <c r="AA14"/>
  <c r="AM14" l="1"/>
  <c r="AP14" s="1"/>
  <c r="L17" l="1"/>
  <c r="AN13" l="1"/>
  <c r="AN12"/>
  <c r="AN11"/>
  <c r="R6"/>
  <c r="AN7"/>
  <c r="AG7"/>
  <c r="R8"/>
  <c r="R9"/>
  <c r="T10"/>
  <c r="J17"/>
  <c r="K17"/>
  <c r="N17"/>
  <c r="S17"/>
  <c r="AG12"/>
  <c r="AG11"/>
  <c r="AF17"/>
  <c r="AI17"/>
  <c r="AG8"/>
  <c r="AG6"/>
  <c r="AG10"/>
  <c r="AG9"/>
  <c r="AE17"/>
  <c r="AG5"/>
  <c r="T8" l="1"/>
  <c r="AK8" s="1"/>
  <c r="AM8" s="1"/>
  <c r="V8"/>
  <c r="X8" s="1"/>
  <c r="T9"/>
  <c r="V9"/>
  <c r="T6"/>
  <c r="V6"/>
  <c r="AB8"/>
  <c r="AD8" s="1"/>
  <c r="Y8"/>
  <c r="AA8" s="1"/>
  <c r="AK10"/>
  <c r="AM10" s="1"/>
  <c r="AG17"/>
  <c r="R12"/>
  <c r="V12" s="1"/>
  <c r="AN10"/>
  <c r="Y6"/>
  <c r="AB10"/>
  <c r="AD10" s="1"/>
  <c r="Y10"/>
  <c r="AB9"/>
  <c r="Y9"/>
  <c r="AN8"/>
  <c r="AN5"/>
  <c r="R11"/>
  <c r="V11" s="1"/>
  <c r="AN9"/>
  <c r="AN6"/>
  <c r="AB6"/>
  <c r="AD6" s="1"/>
  <c r="R13"/>
  <c r="P17"/>
  <c r="R7"/>
  <c r="X6" l="1"/>
  <c r="T7"/>
  <c r="V7"/>
  <c r="V17" s="1"/>
  <c r="T13"/>
  <c r="AK13" s="1"/>
  <c r="AM13" s="1"/>
  <c r="AP13" s="1"/>
  <c r="V13"/>
  <c r="T11"/>
  <c r="AK11" s="1"/>
  <c r="AM11" s="1"/>
  <c r="X12"/>
  <c r="T12"/>
  <c r="AK12" s="1"/>
  <c r="AM12" s="1"/>
  <c r="AP12" s="1"/>
  <c r="AH9"/>
  <c r="AP8"/>
  <c r="AA10"/>
  <c r="AH10"/>
  <c r="AH8"/>
  <c r="AA6"/>
  <c r="AH6"/>
  <c r="Y12"/>
  <c r="AM5"/>
  <c r="AB12"/>
  <c r="AD12" s="1"/>
  <c r="AD5"/>
  <c r="Y11"/>
  <c r="AB11"/>
  <c r="AD11" s="1"/>
  <c r="AK6"/>
  <c r="X9"/>
  <c r="X10"/>
  <c r="AB7"/>
  <c r="AD7" s="1"/>
  <c r="Y7"/>
  <c r="AN17"/>
  <c r="AB13"/>
  <c r="AD13" s="1"/>
  <c r="Y13"/>
  <c r="AP10"/>
  <c r="R17"/>
  <c r="AA9"/>
  <c r="AD9"/>
  <c r="AK9"/>
  <c r="AD17" l="1"/>
  <c r="AM6"/>
  <c r="AP5"/>
  <c r="AP11"/>
  <c r="AA7"/>
  <c r="AH7"/>
  <c r="AA11"/>
  <c r="AH11"/>
  <c r="AA12"/>
  <c r="AH12"/>
  <c r="AJ12" s="1"/>
  <c r="AA13"/>
  <c r="AH13"/>
  <c r="AA5"/>
  <c r="AH5"/>
  <c r="AJ6"/>
  <c r="X11"/>
  <c r="X13"/>
  <c r="X7"/>
  <c r="AK7"/>
  <c r="AM7" s="1"/>
  <c r="AP7" s="1"/>
  <c r="AJ10"/>
  <c r="Y17"/>
  <c r="AJ8"/>
  <c r="T17"/>
  <c r="AB17"/>
  <c r="AM9"/>
  <c r="X17" l="1"/>
  <c r="AP9"/>
  <c r="AP6"/>
  <c r="AA17"/>
  <c r="AJ5"/>
  <c r="AJ11"/>
  <c r="AK17"/>
  <c r="AJ13"/>
  <c r="AJ7"/>
  <c r="AM17"/>
  <c r="AJ9"/>
  <c r="AQ6" l="1"/>
  <c r="AH17"/>
  <c r="AJ17"/>
  <c r="AP17"/>
</calcChain>
</file>

<file path=xl/comments1.xml><?xml version="1.0" encoding="utf-8"?>
<comments xmlns="http://schemas.openxmlformats.org/spreadsheetml/2006/main">
  <authors>
    <author>Pavlovich</author>
  </authors>
  <commentList>
    <comment ref="B6" authorId="0">
      <text>
        <r>
          <rPr>
            <b/>
            <sz val="8"/>
            <color indexed="81"/>
            <rFont val="Tahoma"/>
            <family val="2"/>
            <charset val="204"/>
          </rPr>
          <t>внеш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B9" authorId="0">
      <text>
        <r>
          <rPr>
            <sz val="8"/>
            <color indexed="81"/>
            <rFont val="Tahoma"/>
            <family val="2"/>
            <charset val="204"/>
          </rPr>
          <t xml:space="preserve">внеш
выход из отпуска 14.04.2014
</t>
        </r>
      </text>
    </comment>
    <comment ref="B10" authorId="0">
      <text>
        <r>
          <rPr>
            <sz val="8"/>
            <color indexed="81"/>
            <rFont val="Tahoma"/>
            <family val="2"/>
            <charset val="204"/>
          </rPr>
          <t xml:space="preserve">внеш
</t>
        </r>
      </text>
    </comment>
    <comment ref="B11" authorId="0">
      <text>
        <r>
          <rPr>
            <b/>
            <sz val="8"/>
            <color indexed="81"/>
            <rFont val="Tahoma"/>
            <family val="2"/>
            <charset val="204"/>
          </rPr>
          <t>Pavlovich:</t>
        </r>
        <r>
          <rPr>
            <sz val="8"/>
            <color indexed="81"/>
            <rFont val="Tahoma"/>
            <family val="2"/>
            <charset val="204"/>
          </rPr>
          <t xml:space="preserve">
внеш</t>
        </r>
      </text>
    </comment>
    <comment ref="B12" authorId="0">
      <text>
        <r>
          <rPr>
            <b/>
            <sz val="8"/>
            <color indexed="81"/>
            <rFont val="Tahoma"/>
            <family val="2"/>
            <charset val="204"/>
          </rPr>
          <t>внеш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B13" authorId="0">
      <text>
        <r>
          <rPr>
            <b/>
            <sz val="8"/>
            <color indexed="81"/>
            <rFont val="Tahoma"/>
            <family val="2"/>
            <charset val="204"/>
          </rPr>
          <t>внеш ув 14.04.2014</t>
        </r>
      </text>
    </comment>
    <comment ref="B15" authorId="0">
      <text>
        <r>
          <rPr>
            <b/>
            <sz val="8"/>
            <color indexed="81"/>
            <rFont val="Tahoma"/>
            <family val="2"/>
            <charset val="204"/>
          </rPr>
          <t>внеш</t>
        </r>
      </text>
    </comment>
  </commentList>
</comments>
</file>

<file path=xl/sharedStrings.xml><?xml version="1.0" encoding="utf-8"?>
<sst xmlns="http://schemas.openxmlformats.org/spreadsheetml/2006/main" count="100" uniqueCount="73">
  <si>
    <t>Таб №</t>
  </si>
  <si>
    <t>ФИО</t>
  </si>
  <si>
    <t>Совокупный доход с нач. года</t>
  </si>
  <si>
    <t>Б/л</t>
  </si>
  <si>
    <t>Пособие по берем.</t>
  </si>
  <si>
    <t>Единоврем. пособие</t>
  </si>
  <si>
    <t>Компенс. за неисп. отпуск</t>
  </si>
  <si>
    <t>Пособие на ребенка</t>
  </si>
  <si>
    <t>Проч.дох.</t>
  </si>
  <si>
    <t>Совок. д-д с начала года</t>
  </si>
  <si>
    <t>Необ.мин.</t>
  </si>
  <si>
    <t>Обл. доход</t>
  </si>
  <si>
    <t>Год рожд.</t>
  </si>
  <si>
    <t>ПФР с начала года</t>
  </si>
  <si>
    <t>ФСС</t>
  </si>
  <si>
    <t>Упл.ФСС</t>
  </si>
  <si>
    <t>Итого ФСС к уплате</t>
  </si>
  <si>
    <t>ФФОМС</t>
  </si>
  <si>
    <t>Упл. ФФОМС</t>
  </si>
  <si>
    <t>Итого ФФОМС к уплате</t>
  </si>
  <si>
    <t xml:space="preserve"> ТФОМС</t>
  </si>
  <si>
    <t>Упл. ТФОМС</t>
  </si>
  <si>
    <t>Итого ТФОМС к уплате</t>
  </si>
  <si>
    <t>НДФЛ с нач. года</t>
  </si>
  <si>
    <t>Упл. НДФЛ с нач. года</t>
  </si>
  <si>
    <t>ФОТ</t>
  </si>
  <si>
    <t>На руки</t>
  </si>
  <si>
    <t>Курс 31.5</t>
  </si>
  <si>
    <t>Оклад в $</t>
  </si>
  <si>
    <t>Подразделение</t>
  </si>
  <si>
    <t>коммерсант</t>
  </si>
  <si>
    <t>бухгалтерия</t>
  </si>
  <si>
    <t>Итого</t>
  </si>
  <si>
    <t>Филиал</t>
  </si>
  <si>
    <t>киров</t>
  </si>
  <si>
    <t>москва</t>
  </si>
  <si>
    <t xml:space="preserve"> </t>
  </si>
  <si>
    <t>экономист</t>
  </si>
  <si>
    <t>Деление</t>
  </si>
  <si>
    <t>Премия</t>
  </si>
  <si>
    <t>сотрудник офиса москва</t>
  </si>
  <si>
    <t>сотрудник офиса киров</t>
  </si>
  <si>
    <t>коммерсант москва</t>
  </si>
  <si>
    <t>коммерсант кирс</t>
  </si>
  <si>
    <t>коммерсант киров</t>
  </si>
  <si>
    <t>Итого взносов</t>
  </si>
  <si>
    <t>Уплачен. взносов</t>
  </si>
  <si>
    <t>3 дня</t>
  </si>
  <si>
    <t>Отпуск, компенсация за неисп.</t>
  </si>
  <si>
    <t>Уплачено с начала года</t>
  </si>
  <si>
    <t>аванс</t>
  </si>
  <si>
    <t>оклад</t>
  </si>
  <si>
    <t>количество отработанных дней</t>
  </si>
  <si>
    <t>Страховая часть</t>
  </si>
  <si>
    <t>К уплате в ПФ текущем месяце</t>
  </si>
  <si>
    <t>уволен в январе 2014</t>
  </si>
  <si>
    <t>уволен в феврале 2014</t>
  </si>
  <si>
    <t>уволена в апреле 2014 г.</t>
  </si>
  <si>
    <t>Всего за декабрь</t>
  </si>
  <si>
    <t>Взносы за декабрь</t>
  </si>
  <si>
    <t>НДФЛ за декабрь</t>
  </si>
  <si>
    <t>З/п за декабрь</t>
  </si>
  <si>
    <t>Маша</t>
  </si>
  <si>
    <t>Паша</t>
  </si>
  <si>
    <t>Вова</t>
  </si>
  <si>
    <t>Миша</t>
  </si>
  <si>
    <t>Рая</t>
  </si>
  <si>
    <t>Наташа</t>
  </si>
  <si>
    <t>Вася</t>
  </si>
  <si>
    <t>Варя</t>
  </si>
  <si>
    <t>Настя</t>
  </si>
  <si>
    <t>Шура</t>
  </si>
  <si>
    <t>Ольга</t>
  </si>
</sst>
</file>

<file path=xl/styles.xml><?xml version="1.0" encoding="utf-8"?>
<styleSheet xmlns="http://schemas.openxmlformats.org/spreadsheetml/2006/main">
  <numFmts count="1">
    <numFmt numFmtId="164" formatCode="_(* #,##0.00_);_(* \(#,##0.00\);_(* &quot;-&quot;??_);_(@_)"/>
  </numFmts>
  <fonts count="27">
    <font>
      <sz val="10"/>
      <name val="Arial"/>
    </font>
    <font>
      <sz val="10"/>
      <name val="Arial"/>
      <family val="2"/>
      <charset val="204"/>
    </font>
    <font>
      <sz val="10"/>
      <name val="Arial Cyr"/>
      <charset val="204"/>
    </font>
    <font>
      <sz val="8"/>
      <name val="Arial Cyr"/>
      <charset val="204"/>
    </font>
    <font>
      <b/>
      <i/>
      <sz val="8"/>
      <name val="Arial Cyr"/>
      <charset val="204"/>
    </font>
    <font>
      <sz val="10"/>
      <color indexed="10"/>
      <name val="Arial Cyr"/>
      <family val="2"/>
      <charset val="204"/>
    </font>
    <font>
      <sz val="10"/>
      <color indexed="21"/>
      <name val="Arial Cyr"/>
      <family val="2"/>
      <charset val="204"/>
    </font>
    <font>
      <sz val="10"/>
      <color indexed="53"/>
      <name val="Arial Cyr"/>
      <family val="2"/>
      <charset val="204"/>
    </font>
    <font>
      <sz val="10"/>
      <color indexed="62"/>
      <name val="Arial Cyr"/>
      <family val="2"/>
      <charset val="204"/>
    </font>
    <font>
      <b/>
      <sz val="8"/>
      <name val="Arial Cyr"/>
      <charset val="204"/>
    </font>
    <font>
      <sz val="8"/>
      <color indexed="81"/>
      <name val="Tahoma"/>
      <family val="2"/>
      <charset val="204"/>
    </font>
    <font>
      <b/>
      <sz val="8"/>
      <color rgb="FFFF0000"/>
      <name val="Arial Cyr"/>
      <charset val="204"/>
    </font>
    <font>
      <b/>
      <sz val="8"/>
      <color indexed="81"/>
      <name val="Tahoma"/>
      <family val="2"/>
      <charset val="204"/>
    </font>
    <font>
      <sz val="8"/>
      <name val="Cambria"/>
      <family val="1"/>
      <charset val="204"/>
      <scheme val="major"/>
    </font>
    <font>
      <sz val="10"/>
      <name val="Cambria"/>
      <family val="1"/>
      <charset val="204"/>
      <scheme val="major"/>
    </font>
    <font>
      <sz val="8"/>
      <color indexed="10"/>
      <name val="Arial Cyr"/>
      <charset val="204"/>
    </font>
    <font>
      <sz val="8"/>
      <color indexed="21"/>
      <name val="Arial Cyr"/>
      <charset val="204"/>
    </font>
    <font>
      <sz val="8"/>
      <color indexed="53"/>
      <name val="Arial Cyr"/>
      <charset val="204"/>
    </font>
    <font>
      <sz val="8"/>
      <color indexed="62"/>
      <name val="Arial Cyr"/>
      <charset val="204"/>
    </font>
    <font>
      <b/>
      <sz val="8"/>
      <color indexed="38"/>
      <name val="Arial Cyr"/>
      <charset val="204"/>
    </font>
    <font>
      <b/>
      <sz val="8"/>
      <color indexed="10"/>
      <name val="Arial Cyr"/>
      <charset val="204"/>
    </font>
    <font>
      <b/>
      <sz val="8"/>
      <color indexed="21"/>
      <name val="Arial Cyr"/>
      <charset val="204"/>
    </font>
    <font>
      <b/>
      <sz val="8"/>
      <color indexed="53"/>
      <name val="Arial Cyr"/>
      <charset val="204"/>
    </font>
    <font>
      <b/>
      <sz val="8"/>
      <color indexed="62"/>
      <name val="Arial Cyr"/>
      <charset val="204"/>
    </font>
    <font>
      <sz val="8"/>
      <color rgb="FFFF0000"/>
      <name val="Arial Cyr"/>
      <charset val="204"/>
    </font>
    <font>
      <sz val="8"/>
      <color indexed="38"/>
      <name val="Arial Cyr"/>
      <charset val="204"/>
    </font>
    <font>
      <sz val="7"/>
      <name val="Arial Cyr"/>
      <charset val="204"/>
    </font>
  </fonts>
  <fills count="7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35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164" fontId="1" fillId="0" borderId="0" applyFont="0" applyFill="0" applyBorder="0" applyAlignment="0" applyProtection="0"/>
  </cellStyleXfs>
  <cellXfs count="124">
    <xf numFmtId="0" fontId="0" fillId="0" borderId="0" xfId="0"/>
    <xf numFmtId="0" fontId="2" fillId="0" borderId="0" xfId="1"/>
    <xf numFmtId="4" fontId="2" fillId="0" borderId="0" xfId="1" applyNumberFormat="1"/>
    <xf numFmtId="0" fontId="5" fillId="0" borderId="0" xfId="1" applyFont="1"/>
    <xf numFmtId="0" fontId="6" fillId="0" borderId="0" xfId="1" applyFont="1"/>
    <xf numFmtId="0" fontId="7" fillId="0" borderId="0" xfId="1" applyFont="1"/>
    <xf numFmtId="0" fontId="8" fillId="0" borderId="0" xfId="1" applyFont="1"/>
    <xf numFmtId="2" fontId="2" fillId="0" borderId="0" xfId="1" applyNumberFormat="1"/>
    <xf numFmtId="0" fontId="13" fillId="0" borderId="0" xfId="1" applyFont="1"/>
    <xf numFmtId="4" fontId="13" fillId="0" borderId="0" xfId="1" applyNumberFormat="1" applyFont="1"/>
    <xf numFmtId="0" fontId="14" fillId="0" borderId="0" xfId="1" applyFont="1"/>
    <xf numFmtId="4" fontId="14" fillId="0" borderId="0" xfId="1" applyNumberFormat="1" applyFont="1"/>
    <xf numFmtId="0" fontId="14" fillId="0" borderId="0" xfId="1" applyFont="1" applyFill="1"/>
    <xf numFmtId="0" fontId="3" fillId="0" borderId="0" xfId="1" applyFont="1"/>
    <xf numFmtId="0" fontId="4" fillId="0" borderId="0" xfId="1" applyFont="1"/>
    <xf numFmtId="4" fontId="4" fillId="0" borderId="0" xfId="1" applyNumberFormat="1" applyFont="1"/>
    <xf numFmtId="4" fontId="3" fillId="0" borderId="0" xfId="1" applyNumberFormat="1" applyFont="1"/>
    <xf numFmtId="0" fontId="15" fillId="0" borderId="0" xfId="1" applyFont="1"/>
    <xf numFmtId="0" fontId="16" fillId="0" borderId="0" xfId="1" applyFont="1"/>
    <xf numFmtId="1" fontId="3" fillId="0" borderId="0" xfId="1" applyNumberFormat="1" applyFont="1"/>
    <xf numFmtId="0" fontId="17" fillId="0" borderId="0" xfId="1" applyFont="1"/>
    <xf numFmtId="1" fontId="18" fillId="0" borderId="0" xfId="1" applyNumberFormat="1" applyFont="1"/>
    <xf numFmtId="49" fontId="11" fillId="0" borderId="29" xfId="1" applyNumberFormat="1" applyFont="1" applyBorder="1" applyAlignment="1">
      <alignment horizontal="center" vertical="center" wrapText="1"/>
    </xf>
    <xf numFmtId="49" fontId="19" fillId="0" borderId="29" xfId="1" applyNumberFormat="1" applyFont="1" applyBorder="1" applyAlignment="1">
      <alignment horizontal="center" vertical="center" wrapText="1"/>
    </xf>
    <xf numFmtId="49" fontId="9" fillId="0" borderId="16" xfId="1" applyNumberFormat="1" applyFont="1" applyBorder="1" applyAlignment="1">
      <alignment horizontal="center" vertical="center" wrapText="1"/>
    </xf>
    <xf numFmtId="49" fontId="11" fillId="0" borderId="16" xfId="1" applyNumberFormat="1" applyFont="1" applyBorder="1" applyAlignment="1">
      <alignment horizontal="center" vertical="center" wrapText="1"/>
    </xf>
    <xf numFmtId="49" fontId="19" fillId="0" borderId="17" xfId="1" applyNumberFormat="1" applyFont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/>
    </xf>
    <xf numFmtId="0" fontId="3" fillId="0" borderId="1" xfId="1" applyFont="1" applyFill="1" applyBorder="1"/>
    <xf numFmtId="0" fontId="3" fillId="0" borderId="1" xfId="1" applyFont="1" applyFill="1" applyBorder="1" applyAlignment="1">
      <alignment horizontal="center"/>
    </xf>
    <xf numFmtId="4" fontId="3" fillId="0" borderId="1" xfId="1" applyNumberFormat="1" applyFont="1" applyFill="1" applyBorder="1"/>
    <xf numFmtId="4" fontId="3" fillId="0" borderId="11" xfId="1" applyNumberFormat="1" applyFont="1" applyFill="1" applyBorder="1"/>
    <xf numFmtId="4" fontId="3" fillId="2" borderId="1" xfId="1" applyNumberFormat="1" applyFont="1" applyFill="1" applyBorder="1"/>
    <xf numFmtId="0" fontId="3" fillId="0" borderId="1" xfId="1" applyNumberFormat="1" applyFont="1" applyFill="1" applyBorder="1"/>
    <xf numFmtId="4" fontId="24" fillId="0" borderId="1" xfId="1" applyNumberFormat="1" applyFont="1" applyFill="1" applyBorder="1" applyAlignment="1"/>
    <xf numFmtId="4" fontId="25" fillId="0" borderId="1" xfId="1" applyNumberFormat="1" applyFont="1" applyFill="1" applyBorder="1"/>
    <xf numFmtId="4" fontId="15" fillId="0" borderId="1" xfId="1" applyNumberFormat="1" applyFont="1" applyFill="1" applyBorder="1"/>
    <xf numFmtId="4" fontId="16" fillId="0" borderId="1" xfId="1" applyNumberFormat="1" applyFont="1" applyFill="1" applyBorder="1"/>
    <xf numFmtId="4" fontId="17" fillId="0" borderId="1" xfId="1" applyNumberFormat="1" applyFont="1" applyFill="1" applyBorder="1"/>
    <xf numFmtId="4" fontId="3" fillId="0" borderId="3" xfId="1" applyNumberFormat="1" applyFont="1" applyFill="1" applyBorder="1"/>
    <xf numFmtId="4" fontId="3" fillId="0" borderId="2" xfId="1" applyNumberFormat="1" applyFont="1" applyFill="1" applyBorder="1"/>
    <xf numFmtId="0" fontId="3" fillId="0" borderId="1" xfId="1" applyFont="1" applyBorder="1"/>
    <xf numFmtId="0" fontId="3" fillId="0" borderId="15" xfId="1" applyFont="1" applyBorder="1"/>
    <xf numFmtId="0" fontId="3" fillId="0" borderId="3" xfId="1" applyFont="1" applyBorder="1"/>
    <xf numFmtId="0" fontId="3" fillId="0" borderId="13" xfId="1" applyNumberFormat="1" applyFont="1" applyFill="1" applyBorder="1" applyAlignment="1">
      <alignment horizontal="center"/>
    </xf>
    <xf numFmtId="0" fontId="3" fillId="0" borderId="10" xfId="1" applyNumberFormat="1" applyFont="1" applyFill="1" applyBorder="1"/>
    <xf numFmtId="0" fontId="3" fillId="0" borderId="10" xfId="1" applyNumberFormat="1" applyFont="1" applyFill="1" applyBorder="1" applyAlignment="1">
      <alignment horizontal="center"/>
    </xf>
    <xf numFmtId="4" fontId="3" fillId="0" borderId="10" xfId="1" applyNumberFormat="1" applyFont="1" applyFill="1" applyBorder="1"/>
    <xf numFmtId="4" fontId="3" fillId="2" borderId="10" xfId="1" applyNumberFormat="1" applyFont="1" applyFill="1" applyBorder="1"/>
    <xf numFmtId="4" fontId="15" fillId="0" borderId="10" xfId="1" applyNumberFormat="1" applyFont="1" applyFill="1" applyBorder="1"/>
    <xf numFmtId="4" fontId="25" fillId="0" borderId="10" xfId="1" applyNumberFormat="1" applyFont="1" applyFill="1" applyBorder="1"/>
    <xf numFmtId="4" fontId="16" fillId="0" borderId="10" xfId="1" applyNumberFormat="1" applyFont="1" applyFill="1" applyBorder="1"/>
    <xf numFmtId="4" fontId="17" fillId="0" borderId="10" xfId="1" applyNumberFormat="1" applyFont="1" applyFill="1" applyBorder="1"/>
    <xf numFmtId="4" fontId="18" fillId="0" borderId="10" xfId="1" applyNumberFormat="1" applyFont="1" applyFill="1" applyBorder="1"/>
    <xf numFmtId="4" fontId="3" fillId="0" borderId="14" xfId="1" applyNumberFormat="1" applyFont="1" applyFill="1" applyBorder="1"/>
    <xf numFmtId="4" fontId="3" fillId="0" borderId="13" xfId="1" applyNumberFormat="1" applyFont="1" applyFill="1" applyBorder="1"/>
    <xf numFmtId="0" fontId="3" fillId="0" borderId="10" xfId="1" applyFont="1" applyFill="1" applyBorder="1"/>
    <xf numFmtId="0" fontId="3" fillId="0" borderId="14" xfId="1" applyFont="1" applyFill="1" applyBorder="1"/>
    <xf numFmtId="0" fontId="3" fillId="0" borderId="0" xfId="1" applyFont="1" applyFill="1"/>
    <xf numFmtId="4" fontId="9" fillId="0" borderId="10" xfId="1" applyNumberFormat="1" applyFont="1" applyFill="1" applyBorder="1"/>
    <xf numFmtId="4" fontId="24" fillId="0" borderId="10" xfId="1" applyNumberFormat="1" applyFont="1" applyFill="1" applyBorder="1" applyAlignment="1"/>
    <xf numFmtId="0" fontId="3" fillId="2" borderId="10" xfId="1" applyNumberFormat="1" applyFont="1" applyFill="1" applyBorder="1"/>
    <xf numFmtId="164" fontId="3" fillId="0" borderId="10" xfId="2" applyFont="1" applyFill="1" applyBorder="1"/>
    <xf numFmtId="0" fontId="3" fillId="0" borderId="5" xfId="1" applyFont="1" applyBorder="1"/>
    <xf numFmtId="0" fontId="9" fillId="0" borderId="6" xfId="1" applyFont="1" applyBorder="1"/>
    <xf numFmtId="4" fontId="9" fillId="0" borderId="6" xfId="1" applyNumberFormat="1" applyFont="1" applyFill="1" applyBorder="1"/>
    <xf numFmtId="4" fontId="19" fillId="0" borderId="6" xfId="1" applyNumberFormat="1" applyFont="1" applyFill="1" applyBorder="1"/>
    <xf numFmtId="4" fontId="20" fillId="0" borderId="6" xfId="1" applyNumberFormat="1" applyFont="1" applyFill="1" applyBorder="1"/>
    <xf numFmtId="0" fontId="3" fillId="0" borderId="0" xfId="1" applyFont="1" applyAlignment="1">
      <alignment horizontal="right"/>
    </xf>
    <xf numFmtId="4" fontId="11" fillId="0" borderId="6" xfId="1" applyNumberFormat="1" applyFont="1" applyFill="1" applyBorder="1"/>
    <xf numFmtId="4" fontId="21" fillId="0" borderId="6" xfId="1" applyNumberFormat="1" applyFont="1" applyFill="1" applyBorder="1"/>
    <xf numFmtId="4" fontId="22" fillId="0" borderId="6" xfId="1" applyNumberFormat="1" applyFont="1" applyFill="1" applyBorder="1"/>
    <xf numFmtId="4" fontId="3" fillId="0" borderId="8" xfId="1" applyNumberFormat="1" applyFont="1" applyFill="1" applyBorder="1"/>
    <xf numFmtId="0" fontId="3" fillId="0" borderId="6" xfId="1" applyFont="1" applyFill="1" applyBorder="1"/>
    <xf numFmtId="0" fontId="3" fillId="0" borderId="7" xfId="1" applyFont="1" applyFill="1" applyBorder="1"/>
    <xf numFmtId="4" fontId="9" fillId="4" borderId="6" xfId="1" applyNumberFormat="1" applyFont="1" applyFill="1" applyBorder="1"/>
    <xf numFmtId="4" fontId="19" fillId="4" borderId="6" xfId="1" applyNumberFormat="1" applyFont="1" applyFill="1" applyBorder="1"/>
    <xf numFmtId="4" fontId="3" fillId="0" borderId="0" xfId="1" applyNumberFormat="1" applyFont="1" applyFill="1" applyBorder="1" applyAlignment="1">
      <alignment horizontal="left"/>
    </xf>
    <xf numFmtId="4" fontId="3" fillId="4" borderId="1" xfId="1" applyNumberFormat="1" applyFont="1" applyFill="1" applyBorder="1"/>
    <xf numFmtId="4" fontId="18" fillId="5" borderId="1" xfId="1" applyNumberFormat="1" applyFont="1" applyFill="1" applyBorder="1"/>
    <xf numFmtId="4" fontId="18" fillId="5" borderId="10" xfId="1" applyNumberFormat="1" applyFont="1" applyFill="1" applyBorder="1"/>
    <xf numFmtId="0" fontId="9" fillId="0" borderId="0" xfId="1" applyFont="1" applyBorder="1"/>
    <xf numFmtId="4" fontId="23" fillId="0" borderId="6" xfId="1" applyNumberFormat="1" applyFont="1" applyFill="1" applyBorder="1"/>
    <xf numFmtId="4" fontId="9" fillId="5" borderId="34" xfId="1" applyNumberFormat="1" applyFont="1" applyFill="1" applyBorder="1"/>
    <xf numFmtId="49" fontId="20" fillId="0" borderId="26" xfId="1" applyNumberFormat="1" applyFont="1" applyBorder="1" applyAlignment="1">
      <alignment horizontal="center" vertical="center" wrapText="1"/>
    </xf>
    <xf numFmtId="49" fontId="20" fillId="0" borderId="16" xfId="1" applyNumberFormat="1" applyFont="1" applyBorder="1" applyAlignment="1">
      <alignment horizontal="center" vertical="center" wrapText="1"/>
    </xf>
    <xf numFmtId="49" fontId="19" fillId="0" borderId="26" xfId="1" applyNumberFormat="1" applyFont="1" applyBorder="1" applyAlignment="1">
      <alignment horizontal="center" vertical="center" wrapText="1"/>
    </xf>
    <xf numFmtId="49" fontId="19" fillId="0" borderId="16" xfId="1" applyNumberFormat="1" applyFont="1" applyBorder="1" applyAlignment="1">
      <alignment horizontal="center" vertical="center" wrapText="1"/>
    </xf>
    <xf numFmtId="49" fontId="9" fillId="0" borderId="26" xfId="1" applyNumberFormat="1" applyFont="1" applyBorder="1" applyAlignment="1">
      <alignment horizontal="center" vertical="center" wrapText="1"/>
    </xf>
    <xf numFmtId="49" fontId="9" fillId="0" borderId="16" xfId="1" applyNumberFormat="1" applyFont="1" applyBorder="1" applyAlignment="1">
      <alignment horizontal="center" vertical="center" wrapText="1"/>
    </xf>
    <xf numFmtId="49" fontId="9" fillId="0" borderId="21" xfId="1" applyNumberFormat="1" applyFont="1" applyBorder="1" applyAlignment="1">
      <alignment horizontal="center" vertical="center" wrapText="1"/>
    </xf>
    <xf numFmtId="49" fontId="9" fillId="0" borderId="22" xfId="1" applyNumberFormat="1" applyFont="1" applyBorder="1" applyAlignment="1">
      <alignment horizontal="center" vertical="center" wrapText="1"/>
    </xf>
    <xf numFmtId="49" fontId="9" fillId="0" borderId="27" xfId="1" applyNumberFormat="1" applyFont="1" applyBorder="1" applyAlignment="1">
      <alignment horizontal="center" vertical="center" wrapText="1"/>
    </xf>
    <xf numFmtId="49" fontId="9" fillId="0" borderId="28" xfId="1" applyNumberFormat="1" applyFont="1" applyBorder="1" applyAlignment="1">
      <alignment horizontal="center" vertical="center" wrapText="1"/>
    </xf>
    <xf numFmtId="49" fontId="3" fillId="0" borderId="26" xfId="1" applyNumberFormat="1" applyFont="1" applyBorder="1" applyAlignment="1">
      <alignment horizontal="center" vertical="center" wrapText="1"/>
    </xf>
    <xf numFmtId="49" fontId="3" fillId="0" borderId="16" xfId="1" applyNumberFormat="1" applyFont="1" applyBorder="1" applyAlignment="1">
      <alignment horizontal="center" vertical="center" wrapText="1"/>
    </xf>
    <xf numFmtId="49" fontId="9" fillId="0" borderId="32" xfId="1" applyNumberFormat="1" applyFont="1" applyBorder="1" applyAlignment="1">
      <alignment horizontal="center" vertical="center" wrapText="1"/>
    </xf>
    <xf numFmtId="49" fontId="9" fillId="0" borderId="33" xfId="1" applyNumberFormat="1" applyFont="1" applyBorder="1" applyAlignment="1">
      <alignment horizontal="center" vertical="center" wrapText="1"/>
    </xf>
    <xf numFmtId="49" fontId="9" fillId="0" borderId="18" xfId="1" applyNumberFormat="1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4" fontId="3" fillId="0" borderId="31" xfId="1" applyNumberFormat="1" applyFont="1" applyBorder="1" applyAlignment="1">
      <alignment horizontal="center" vertical="center" wrapText="1"/>
    </xf>
    <xf numFmtId="4" fontId="3" fillId="0" borderId="12" xfId="1" applyNumberFormat="1" applyFont="1" applyBorder="1" applyAlignment="1">
      <alignment horizontal="center" vertical="center" wrapText="1"/>
    </xf>
    <xf numFmtId="49" fontId="9" fillId="0" borderId="29" xfId="1" applyNumberFormat="1" applyFont="1" applyBorder="1" applyAlignment="1">
      <alignment horizontal="center" vertical="center" wrapText="1"/>
    </xf>
    <xf numFmtId="49" fontId="9" fillId="0" borderId="30" xfId="1" applyNumberFormat="1" applyFont="1" applyBorder="1" applyAlignment="1">
      <alignment horizontal="center" vertical="center" wrapText="1"/>
    </xf>
    <xf numFmtId="49" fontId="9" fillId="0" borderId="19" xfId="1" applyNumberFormat="1" applyFont="1" applyBorder="1" applyAlignment="1">
      <alignment horizontal="center" vertical="center" wrapText="1"/>
    </xf>
    <xf numFmtId="49" fontId="9" fillId="0" borderId="25" xfId="1" applyNumberFormat="1" applyFont="1" applyBorder="1" applyAlignment="1">
      <alignment horizontal="center" vertical="center" wrapText="1"/>
    </xf>
    <xf numFmtId="49" fontId="9" fillId="0" borderId="23" xfId="1" applyNumberFormat="1" applyFont="1" applyBorder="1" applyAlignment="1">
      <alignment horizontal="center" vertical="center" wrapText="1"/>
    </xf>
    <xf numFmtId="49" fontId="9" fillId="0" borderId="24" xfId="1" applyNumberFormat="1" applyFont="1" applyBorder="1" applyAlignment="1">
      <alignment horizontal="center" vertical="center" wrapText="1"/>
    </xf>
    <xf numFmtId="49" fontId="9" fillId="3" borderId="26" xfId="1" applyNumberFormat="1" applyFont="1" applyFill="1" applyBorder="1" applyAlignment="1">
      <alignment horizontal="center" vertical="center" wrapText="1"/>
    </xf>
    <xf numFmtId="49" fontId="9" fillId="3" borderId="16" xfId="1" applyNumberFormat="1" applyFont="1" applyFill="1" applyBorder="1" applyAlignment="1">
      <alignment horizontal="center" vertical="center" wrapText="1"/>
    </xf>
    <xf numFmtId="49" fontId="22" fillId="0" borderId="26" xfId="1" applyNumberFormat="1" applyFont="1" applyBorder="1" applyAlignment="1">
      <alignment horizontal="center" vertical="center" wrapText="1"/>
    </xf>
    <xf numFmtId="49" fontId="22" fillId="0" borderId="16" xfId="1" applyNumberFormat="1" applyFont="1" applyBorder="1" applyAlignment="1">
      <alignment horizontal="center" vertical="center" wrapText="1"/>
    </xf>
    <xf numFmtId="49" fontId="23" fillId="0" borderId="26" xfId="1" applyNumberFormat="1" applyFont="1" applyBorder="1" applyAlignment="1">
      <alignment horizontal="center" vertical="center" wrapText="1"/>
    </xf>
    <xf numFmtId="49" fontId="23" fillId="0" borderId="16" xfId="1" applyNumberFormat="1" applyFont="1" applyBorder="1" applyAlignment="1">
      <alignment horizontal="center" vertical="center" wrapText="1"/>
    </xf>
    <xf numFmtId="49" fontId="21" fillId="0" borderId="26" xfId="1" applyNumberFormat="1" applyFont="1" applyBorder="1" applyAlignment="1">
      <alignment horizontal="center" vertical="center" wrapText="1"/>
    </xf>
    <xf numFmtId="49" fontId="21" fillId="0" borderId="16" xfId="1" applyNumberFormat="1" applyFont="1" applyBorder="1" applyAlignment="1">
      <alignment horizontal="center" vertical="center" wrapText="1"/>
    </xf>
    <xf numFmtId="4" fontId="26" fillId="6" borderId="1" xfId="1" applyNumberFormat="1" applyFont="1" applyFill="1" applyBorder="1"/>
    <xf numFmtId="4" fontId="3" fillId="6" borderId="1" xfId="1" applyNumberFormat="1" applyFont="1" applyFill="1" applyBorder="1"/>
    <xf numFmtId="0" fontId="3" fillId="6" borderId="10" xfId="1" applyNumberFormat="1" applyFont="1" applyFill="1" applyBorder="1"/>
    <xf numFmtId="49" fontId="9" fillId="4" borderId="29" xfId="1" applyNumberFormat="1" applyFont="1" applyFill="1" applyBorder="1" applyAlignment="1">
      <alignment horizontal="center" vertical="center" wrapText="1"/>
    </xf>
    <xf numFmtId="49" fontId="9" fillId="4" borderId="16" xfId="1" applyNumberFormat="1" applyFont="1" applyFill="1" applyBorder="1" applyAlignment="1">
      <alignment horizontal="center" vertical="center" wrapText="1"/>
    </xf>
    <xf numFmtId="4" fontId="3" fillId="2" borderId="4" xfId="1" applyNumberFormat="1" applyFont="1" applyFill="1" applyBorder="1"/>
    <xf numFmtId="4" fontId="3" fillId="2" borderId="20" xfId="1" applyNumberFormat="1" applyFont="1" applyFill="1" applyBorder="1"/>
    <xf numFmtId="4" fontId="9" fillId="2" borderId="9" xfId="1" applyNumberFormat="1" applyFont="1" applyFill="1" applyBorder="1"/>
  </cellXfs>
  <cellStyles count="3">
    <cellStyle name="Обычный" xfId="0" builtinId="0"/>
    <cellStyle name="Обычный_Декабрь_2005" xfId="1"/>
    <cellStyle name="Финансовый" xfId="2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AW20"/>
  <sheetViews>
    <sheetView tabSelected="1" zoomScaleNormal="100" workbookViewId="0">
      <pane xSplit="3" ySplit="4" topLeftCell="Q5" activePane="bottomRight" state="frozen"/>
      <selection pane="topRight" activeCell="D1" sqref="D1"/>
      <selection pane="bottomLeft" activeCell="A5" sqref="A5"/>
      <selection pane="bottomRight" activeCell="V5" sqref="V5"/>
    </sheetView>
  </sheetViews>
  <sheetFormatPr defaultColWidth="9.109375" defaultRowHeight="13.2" outlineLevelCol="1"/>
  <cols>
    <col min="1" max="1" width="3.6640625" style="1" customWidth="1"/>
    <col min="2" max="2" width="15" style="1" customWidth="1"/>
    <col min="3" max="3" width="8" style="1" customWidth="1"/>
    <col min="4" max="4" width="16" style="2" customWidth="1"/>
    <col min="5" max="5" width="16.33203125" style="2" customWidth="1"/>
    <col min="6" max="6" width="9.44140625" style="2" customWidth="1"/>
    <col min="7" max="8" width="10" style="1" customWidth="1"/>
    <col min="9" max="9" width="9.21875" style="1" customWidth="1"/>
    <col min="10" max="10" width="7.33203125" style="1" customWidth="1"/>
    <col min="11" max="11" width="7.5546875" style="1" customWidth="1"/>
    <col min="12" max="12" width="7.6640625" style="1" customWidth="1"/>
    <col min="13" max="14" width="8.44140625" style="1" customWidth="1"/>
    <col min="15" max="15" width="7.6640625" style="1" customWidth="1"/>
    <col min="16" max="16" width="11.77734375" style="1" customWidth="1"/>
    <col min="17" max="17" width="7.88671875" style="1" customWidth="1"/>
    <col min="18" max="18" width="11.77734375" style="1" customWidth="1"/>
    <col min="19" max="19" width="7.88671875" style="1" customWidth="1" outlineLevel="1"/>
    <col min="20" max="20" width="9.6640625" style="1" customWidth="1" outlineLevel="1"/>
    <col min="21" max="21" width="6.33203125" style="1" customWidth="1"/>
    <col min="22" max="22" width="9.6640625" style="1" customWidth="1"/>
    <col min="23" max="23" width="10.5546875" style="1" customWidth="1"/>
    <col min="24" max="24" width="9.88671875" style="3" customWidth="1"/>
    <col min="25" max="25" width="8.33203125" style="1" customWidth="1"/>
    <col min="26" max="26" width="8.44140625" style="3" customWidth="1"/>
    <col min="27" max="27" width="8.5546875" style="3" customWidth="1"/>
    <col min="28" max="28" width="8.109375" style="1" customWidth="1"/>
    <col min="29" max="29" width="8.88671875" style="3" customWidth="1"/>
    <col min="30" max="30" width="9" style="3" customWidth="1"/>
    <col min="31" max="31" width="14" style="1" customWidth="1"/>
    <col min="32" max="32" width="9" style="3" customWidth="1"/>
    <col min="33" max="33" width="8.88671875" style="3" customWidth="1"/>
    <col min="34" max="34" width="11.6640625" style="1" customWidth="1"/>
    <col min="35" max="35" width="9.5546875" style="3" customWidth="1"/>
    <col min="36" max="36" width="10" style="4" customWidth="1"/>
    <col min="37" max="37" width="9.109375" style="1" customWidth="1"/>
    <col min="38" max="38" width="9.109375" style="5" customWidth="1"/>
    <col min="39" max="39" width="12.109375" style="6" customWidth="1"/>
    <col min="40" max="40" width="10.109375" style="1" customWidth="1"/>
    <col min="41" max="41" width="9.109375" style="1" customWidth="1"/>
    <col min="42" max="42" width="10.88671875" style="1" customWidth="1"/>
    <col min="43" max="43" width="9.109375" style="1" hidden="1" customWidth="1"/>
    <col min="44" max="44" width="9.5546875" style="1" hidden="1" customWidth="1"/>
    <col min="45" max="46" width="9.109375" style="1" hidden="1" customWidth="1"/>
    <col min="47" max="47" width="17.5546875" style="1" hidden="1" customWidth="1"/>
    <col min="48" max="48" width="9.109375" style="1" hidden="1" customWidth="1"/>
    <col min="49" max="16384" width="9.109375" style="1"/>
  </cols>
  <sheetData>
    <row r="2" spans="1:49" s="10" customFormat="1" ht="12" customHeight="1" thickBot="1">
      <c r="A2" s="13"/>
      <c r="B2" s="14"/>
      <c r="C2" s="14"/>
      <c r="D2" s="15"/>
      <c r="E2" s="15"/>
      <c r="F2" s="15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6"/>
      <c r="S2" s="13"/>
      <c r="T2" s="13"/>
      <c r="U2" s="13"/>
      <c r="V2" s="13"/>
      <c r="W2" s="13"/>
      <c r="X2" s="17"/>
      <c r="Y2" s="13"/>
      <c r="Z2" s="17"/>
      <c r="AA2" s="17"/>
      <c r="AB2" s="13"/>
      <c r="AC2" s="17"/>
      <c r="AD2" s="17"/>
      <c r="AE2" s="13"/>
      <c r="AF2" s="17"/>
      <c r="AG2" s="17"/>
      <c r="AH2" s="13"/>
      <c r="AI2" s="17"/>
      <c r="AJ2" s="18"/>
      <c r="AK2" s="19"/>
      <c r="AL2" s="20"/>
      <c r="AM2" s="21"/>
      <c r="AN2" s="13"/>
      <c r="AO2" s="13"/>
      <c r="AP2" s="13"/>
      <c r="AQ2" s="13"/>
      <c r="AR2" s="13"/>
      <c r="AS2" s="13"/>
      <c r="AT2" s="13"/>
      <c r="AU2" s="13"/>
      <c r="AV2" s="13"/>
    </row>
    <row r="3" spans="1:49" s="10" customFormat="1" ht="19.5" customHeight="1">
      <c r="A3" s="92" t="s">
        <v>0</v>
      </c>
      <c r="B3" s="88" t="s">
        <v>1</v>
      </c>
      <c r="C3" s="94"/>
      <c r="D3" s="88" t="s">
        <v>2</v>
      </c>
      <c r="E3" s="98" t="s">
        <v>52</v>
      </c>
      <c r="F3" s="100" t="s">
        <v>51</v>
      </c>
      <c r="G3" s="96" t="s">
        <v>61</v>
      </c>
      <c r="H3" s="88" t="s">
        <v>39</v>
      </c>
      <c r="I3" s="88" t="s">
        <v>48</v>
      </c>
      <c r="J3" s="102" t="s">
        <v>3</v>
      </c>
      <c r="K3" s="103"/>
      <c r="L3" s="88" t="s">
        <v>4</v>
      </c>
      <c r="M3" s="88" t="s">
        <v>5</v>
      </c>
      <c r="N3" s="88" t="s">
        <v>6</v>
      </c>
      <c r="O3" s="98" t="s">
        <v>7</v>
      </c>
      <c r="P3" s="88" t="s">
        <v>58</v>
      </c>
      <c r="Q3" s="88" t="s">
        <v>8</v>
      </c>
      <c r="R3" s="88" t="s">
        <v>9</v>
      </c>
      <c r="S3" s="88" t="s">
        <v>10</v>
      </c>
      <c r="T3" s="88" t="s">
        <v>11</v>
      </c>
      <c r="U3" s="88" t="s">
        <v>12</v>
      </c>
      <c r="V3" s="119" t="s">
        <v>13</v>
      </c>
      <c r="W3" s="22" t="s">
        <v>49</v>
      </c>
      <c r="X3" s="23" t="s">
        <v>54</v>
      </c>
      <c r="Y3" s="88" t="s">
        <v>14</v>
      </c>
      <c r="Z3" s="84" t="s">
        <v>15</v>
      </c>
      <c r="AA3" s="86" t="s">
        <v>16</v>
      </c>
      <c r="AB3" s="88" t="s">
        <v>17</v>
      </c>
      <c r="AC3" s="84" t="s">
        <v>18</v>
      </c>
      <c r="AD3" s="86" t="s">
        <v>19</v>
      </c>
      <c r="AE3" s="88" t="s">
        <v>20</v>
      </c>
      <c r="AF3" s="84" t="s">
        <v>21</v>
      </c>
      <c r="AG3" s="86" t="s">
        <v>22</v>
      </c>
      <c r="AH3" s="88" t="s">
        <v>45</v>
      </c>
      <c r="AI3" s="84" t="s">
        <v>46</v>
      </c>
      <c r="AJ3" s="114" t="s">
        <v>59</v>
      </c>
      <c r="AK3" s="88" t="s">
        <v>23</v>
      </c>
      <c r="AL3" s="110" t="s">
        <v>24</v>
      </c>
      <c r="AM3" s="112" t="s">
        <v>60</v>
      </c>
      <c r="AN3" s="88" t="s">
        <v>25</v>
      </c>
      <c r="AO3" s="108" t="s">
        <v>50</v>
      </c>
      <c r="AP3" s="90" t="s">
        <v>26</v>
      </c>
      <c r="AQ3" s="106" t="s">
        <v>27</v>
      </c>
      <c r="AR3" s="90" t="s">
        <v>28</v>
      </c>
      <c r="AS3" s="90" t="s">
        <v>29</v>
      </c>
      <c r="AT3" s="90" t="s">
        <v>33</v>
      </c>
      <c r="AU3" s="90" t="s">
        <v>38</v>
      </c>
      <c r="AV3" s="13"/>
    </row>
    <row r="4" spans="1:49" s="10" customFormat="1" ht="20.399999999999999" customHeight="1" thickBot="1">
      <c r="A4" s="93"/>
      <c r="B4" s="89"/>
      <c r="C4" s="95"/>
      <c r="D4" s="89"/>
      <c r="E4" s="99"/>
      <c r="F4" s="101"/>
      <c r="G4" s="97"/>
      <c r="H4" s="89"/>
      <c r="I4" s="89"/>
      <c r="J4" s="24" t="s">
        <v>47</v>
      </c>
      <c r="K4" s="24" t="s">
        <v>14</v>
      </c>
      <c r="L4" s="89"/>
      <c r="M4" s="89"/>
      <c r="N4" s="89"/>
      <c r="O4" s="104"/>
      <c r="P4" s="89"/>
      <c r="Q4" s="89"/>
      <c r="R4" s="89"/>
      <c r="S4" s="89"/>
      <c r="T4" s="89"/>
      <c r="U4" s="89"/>
      <c r="V4" s="120" t="s">
        <v>53</v>
      </c>
      <c r="W4" s="25" t="s">
        <v>53</v>
      </c>
      <c r="X4" s="26" t="s">
        <v>53</v>
      </c>
      <c r="Y4" s="89"/>
      <c r="Z4" s="85"/>
      <c r="AA4" s="87"/>
      <c r="AB4" s="89"/>
      <c r="AC4" s="85"/>
      <c r="AD4" s="87"/>
      <c r="AE4" s="89"/>
      <c r="AF4" s="85"/>
      <c r="AG4" s="87"/>
      <c r="AH4" s="89"/>
      <c r="AI4" s="85"/>
      <c r="AJ4" s="115"/>
      <c r="AK4" s="89"/>
      <c r="AL4" s="111"/>
      <c r="AM4" s="113"/>
      <c r="AN4" s="89"/>
      <c r="AO4" s="109"/>
      <c r="AP4" s="105"/>
      <c r="AQ4" s="107"/>
      <c r="AR4" s="105"/>
      <c r="AS4" s="91"/>
      <c r="AT4" s="91"/>
      <c r="AU4" s="91"/>
      <c r="AV4" s="13"/>
    </row>
    <row r="5" spans="1:49" s="10" customFormat="1" ht="12.6" customHeight="1">
      <c r="A5" s="27">
        <v>15</v>
      </c>
      <c r="B5" s="28" t="s">
        <v>62</v>
      </c>
      <c r="C5" s="29">
        <v>1</v>
      </c>
      <c r="D5" s="32">
        <v>1373880.22</v>
      </c>
      <c r="E5" s="30">
        <v>23</v>
      </c>
      <c r="F5" s="31">
        <v>47127</v>
      </c>
      <c r="G5" s="30">
        <f>F5/23*E5</f>
        <v>47127</v>
      </c>
      <c r="H5" s="30">
        <v>23818</v>
      </c>
      <c r="I5" s="30"/>
      <c r="J5" s="28"/>
      <c r="K5" s="28"/>
      <c r="L5" s="28"/>
      <c r="M5" s="28"/>
      <c r="N5" s="30"/>
      <c r="O5" s="30"/>
      <c r="P5" s="30">
        <f>ROUND(SUM(G5:O5),2)</f>
        <v>70945</v>
      </c>
      <c r="Q5" s="28"/>
      <c r="R5" s="32">
        <f>P5+D5</f>
        <v>1444825.22</v>
      </c>
      <c r="S5" s="30">
        <v>2800</v>
      </c>
      <c r="T5" s="30">
        <f>R5-S5+600+1000</f>
        <v>1443625.22</v>
      </c>
      <c r="U5" s="33">
        <v>1969</v>
      </c>
      <c r="V5" s="78">
        <f>ROUND(((R5-624000)*10%)+624000*22%,2)</f>
        <v>219362.52</v>
      </c>
      <c r="W5" s="34">
        <v>212268.02</v>
      </c>
      <c r="X5" s="35">
        <f t="shared" ref="X5:X15" si="0">V5-W5</f>
        <v>7094.5</v>
      </c>
      <c r="Y5" s="32">
        <f>ROUND(624000*2.9%,2)</f>
        <v>18096</v>
      </c>
      <c r="Z5" s="36">
        <v>18096</v>
      </c>
      <c r="AA5" s="35">
        <f t="shared" ref="AA5:AA10" si="1">Y5-Z5</f>
        <v>0</v>
      </c>
      <c r="AB5" s="32">
        <f>ROUND(624000*5.1%,2)</f>
        <v>31824</v>
      </c>
      <c r="AC5" s="36">
        <v>31824</v>
      </c>
      <c r="AD5" s="35">
        <f t="shared" ref="AD5:AD10" si="2">AB5-AC5</f>
        <v>0</v>
      </c>
      <c r="AE5" s="30"/>
      <c r="AF5" s="36"/>
      <c r="AG5" s="35">
        <f t="shared" ref="AG5:AG10" si="3">AE5-AF5</f>
        <v>0</v>
      </c>
      <c r="AH5" s="30">
        <f>Y5+AB5+AE5+V5</f>
        <v>269282.52</v>
      </c>
      <c r="AI5" s="36">
        <f>AC5+Z5+W5</f>
        <v>262188.02</v>
      </c>
      <c r="AJ5" s="37">
        <f t="shared" ref="AJ5:AJ10" si="4">AH5-AI5</f>
        <v>7094.5</v>
      </c>
      <c r="AK5" s="32">
        <f>ROUND(T5*13%,0)</f>
        <v>187671</v>
      </c>
      <c r="AL5" s="38">
        <v>178448</v>
      </c>
      <c r="AM5" s="79">
        <f>AK5-AL5</f>
        <v>9223</v>
      </c>
      <c r="AN5" s="30">
        <f t="shared" ref="AN5:AN10" si="5">P5</f>
        <v>70945</v>
      </c>
      <c r="AO5" s="121"/>
      <c r="AP5" s="39">
        <f>P5-AM5-AO5</f>
        <v>61722</v>
      </c>
      <c r="AQ5" s="40"/>
      <c r="AR5" s="41"/>
      <c r="AS5" s="42" t="s">
        <v>30</v>
      </c>
      <c r="AT5" s="43" t="s">
        <v>34</v>
      </c>
      <c r="AU5" s="43" t="s">
        <v>44</v>
      </c>
      <c r="AV5" s="13" t="s">
        <v>35</v>
      </c>
      <c r="AW5" s="11"/>
    </row>
    <row r="6" spans="1:49" s="10" customFormat="1" ht="12.6" customHeight="1">
      <c r="A6" s="27">
        <v>9</v>
      </c>
      <c r="B6" s="28" t="s">
        <v>63</v>
      </c>
      <c r="C6" s="29">
        <v>0.5</v>
      </c>
      <c r="D6" s="32">
        <v>499536.19999999995</v>
      </c>
      <c r="E6" s="30">
        <v>23</v>
      </c>
      <c r="F6" s="30">
        <f>80460*C6</f>
        <v>40230</v>
      </c>
      <c r="G6" s="30">
        <f t="shared" ref="G6:G15" si="6">F6/23*E6</f>
        <v>40230</v>
      </c>
      <c r="H6" s="30">
        <v>40230</v>
      </c>
      <c r="I6" s="30"/>
      <c r="J6" s="28"/>
      <c r="K6" s="28"/>
      <c r="L6" s="28"/>
      <c r="M6" s="28"/>
      <c r="N6" s="30"/>
      <c r="O6" s="30"/>
      <c r="P6" s="30">
        <f t="shared" ref="P6:P16" si="7">ROUND(SUM(G6:O6),2)</f>
        <v>80460</v>
      </c>
      <c r="Q6" s="28"/>
      <c r="R6" s="32">
        <f t="shared" ref="R6:R15" si="8">P6+D6</f>
        <v>579996.19999999995</v>
      </c>
      <c r="S6" s="30"/>
      <c r="T6" s="30">
        <f t="shared" ref="T6:T16" si="9">R6-S6+Q6</f>
        <v>579996.19999999995</v>
      </c>
      <c r="U6" s="33">
        <v>1954</v>
      </c>
      <c r="V6" s="78">
        <f t="shared" ref="V6:V15" si="10">ROUND((R6-J6-K6-L6-M6)*22%,2)</f>
        <v>127599.16</v>
      </c>
      <c r="W6" s="34">
        <v>109897.96</v>
      </c>
      <c r="X6" s="35">
        <f t="shared" si="0"/>
        <v>17701.199999999997</v>
      </c>
      <c r="Y6" s="32">
        <f t="shared" ref="Y6:Y15" si="11">ROUND((R6-J6-K6-L6-M6-O6)*2.9%,2)</f>
        <v>16819.89</v>
      </c>
      <c r="Z6" s="36">
        <v>14486.55</v>
      </c>
      <c r="AA6" s="35">
        <f t="shared" si="1"/>
        <v>2333.34</v>
      </c>
      <c r="AB6" s="32">
        <f t="shared" ref="AB6:AB15" si="12">ROUND((R6-J6-K6-L6-M6-O6)*5.1%,2)</f>
        <v>29579.81</v>
      </c>
      <c r="AC6" s="36">
        <v>25476.35</v>
      </c>
      <c r="AD6" s="35">
        <f t="shared" si="2"/>
        <v>4103.4600000000028</v>
      </c>
      <c r="AE6" s="30"/>
      <c r="AF6" s="36"/>
      <c r="AG6" s="35">
        <f t="shared" si="3"/>
        <v>0</v>
      </c>
      <c r="AH6" s="30">
        <f t="shared" ref="AH6:AH15" si="13">Y6+AB6+AE6+V6</f>
        <v>173998.86</v>
      </c>
      <c r="AI6" s="36">
        <f t="shared" ref="AI6:AI15" si="14">AC6+Z6+W6</f>
        <v>149860.85999999999</v>
      </c>
      <c r="AJ6" s="37">
        <f t="shared" si="4"/>
        <v>24138</v>
      </c>
      <c r="AK6" s="32">
        <f t="shared" ref="AK6:AK13" si="15">ROUND(T6*13%,0)</f>
        <v>75400</v>
      </c>
      <c r="AL6" s="38">
        <v>64940</v>
      </c>
      <c r="AM6" s="79">
        <f>AK6-AL6</f>
        <v>10460</v>
      </c>
      <c r="AN6" s="30">
        <f t="shared" si="5"/>
        <v>80460</v>
      </c>
      <c r="AO6" s="121"/>
      <c r="AP6" s="39">
        <f>P6-AM6-AO6</f>
        <v>70000</v>
      </c>
      <c r="AQ6" s="40">
        <f>AP6/31.5</f>
        <v>2222.2222222222222</v>
      </c>
      <c r="AR6" s="41"/>
      <c r="AS6" s="42" t="s">
        <v>31</v>
      </c>
      <c r="AT6" s="43" t="s">
        <v>35</v>
      </c>
      <c r="AU6" s="43" t="s">
        <v>40</v>
      </c>
      <c r="AV6" s="13" t="s">
        <v>35</v>
      </c>
      <c r="AW6" s="11"/>
    </row>
    <row r="7" spans="1:49" s="12" customFormat="1" ht="12.6" customHeight="1">
      <c r="A7" s="44">
        <v>72</v>
      </c>
      <c r="B7" s="45" t="s">
        <v>64</v>
      </c>
      <c r="C7" s="46">
        <v>1</v>
      </c>
      <c r="D7" s="48">
        <v>430180.55000000005</v>
      </c>
      <c r="E7" s="30">
        <v>23</v>
      </c>
      <c r="F7" s="47">
        <v>34483</v>
      </c>
      <c r="G7" s="30">
        <f t="shared" si="6"/>
        <v>34483</v>
      </c>
      <c r="H7" s="47"/>
      <c r="I7" s="47"/>
      <c r="J7" s="47"/>
      <c r="K7" s="47"/>
      <c r="L7" s="47"/>
      <c r="M7" s="47"/>
      <c r="N7" s="47"/>
      <c r="O7" s="47"/>
      <c r="P7" s="30">
        <f t="shared" si="7"/>
        <v>34483</v>
      </c>
      <c r="Q7" s="47"/>
      <c r="R7" s="48">
        <f t="shared" si="8"/>
        <v>464663.55000000005</v>
      </c>
      <c r="S7" s="30"/>
      <c r="T7" s="30">
        <f t="shared" si="9"/>
        <v>464663.55000000005</v>
      </c>
      <c r="U7" s="45">
        <v>1980</v>
      </c>
      <c r="V7" s="78">
        <f t="shared" si="10"/>
        <v>102225.98</v>
      </c>
      <c r="W7" s="34">
        <v>94639.72</v>
      </c>
      <c r="X7" s="35">
        <f t="shared" si="0"/>
        <v>7586.2599999999948</v>
      </c>
      <c r="Y7" s="32">
        <f t="shared" si="11"/>
        <v>13475.24</v>
      </c>
      <c r="Z7" s="49">
        <v>12475.24</v>
      </c>
      <c r="AA7" s="50">
        <f t="shared" si="1"/>
        <v>1000</v>
      </c>
      <c r="AB7" s="32">
        <f t="shared" si="12"/>
        <v>23697.84</v>
      </c>
      <c r="AC7" s="49">
        <v>21939.21</v>
      </c>
      <c r="AD7" s="50">
        <f t="shared" si="2"/>
        <v>1758.630000000001</v>
      </c>
      <c r="AE7" s="30"/>
      <c r="AF7" s="49"/>
      <c r="AG7" s="50">
        <f t="shared" si="3"/>
        <v>0</v>
      </c>
      <c r="AH7" s="30">
        <f t="shared" si="13"/>
        <v>139399.06</v>
      </c>
      <c r="AI7" s="36">
        <f t="shared" si="14"/>
        <v>129054.17</v>
      </c>
      <c r="AJ7" s="51">
        <f t="shared" si="4"/>
        <v>10344.89</v>
      </c>
      <c r="AK7" s="32">
        <f t="shared" si="15"/>
        <v>60406</v>
      </c>
      <c r="AL7" s="52">
        <v>55923</v>
      </c>
      <c r="AM7" s="80">
        <f>AK7-AL7</f>
        <v>4483</v>
      </c>
      <c r="AN7" s="47">
        <f t="shared" si="5"/>
        <v>34483</v>
      </c>
      <c r="AO7" s="121"/>
      <c r="AP7" s="54">
        <f>P7-AM7-AO7</f>
        <v>30000</v>
      </c>
      <c r="AQ7" s="55"/>
      <c r="AR7" s="45"/>
      <c r="AS7" s="56" t="s">
        <v>37</v>
      </c>
      <c r="AT7" s="57" t="s">
        <v>34</v>
      </c>
      <c r="AU7" s="57" t="s">
        <v>43</v>
      </c>
      <c r="AV7" s="58" t="s">
        <v>34</v>
      </c>
      <c r="AW7" s="11"/>
    </row>
    <row r="8" spans="1:49" s="12" customFormat="1" ht="12.6" customHeight="1">
      <c r="A8" s="44">
        <v>73</v>
      </c>
      <c r="B8" s="45" t="s">
        <v>65</v>
      </c>
      <c r="C8" s="46">
        <v>1</v>
      </c>
      <c r="D8" s="48">
        <v>483709.49000000005</v>
      </c>
      <c r="E8" s="30">
        <v>23</v>
      </c>
      <c r="F8" s="47">
        <v>45978</v>
      </c>
      <c r="G8" s="30">
        <f t="shared" si="6"/>
        <v>45978</v>
      </c>
      <c r="H8" s="47">
        <v>45978</v>
      </c>
      <c r="I8" s="47"/>
      <c r="J8" s="47"/>
      <c r="K8" s="47"/>
      <c r="L8" s="47"/>
      <c r="M8" s="47"/>
      <c r="N8" s="47"/>
      <c r="O8" s="47"/>
      <c r="P8" s="30">
        <f t="shared" si="7"/>
        <v>91956</v>
      </c>
      <c r="Q8" s="47"/>
      <c r="R8" s="48">
        <f t="shared" si="8"/>
        <v>575665.49</v>
      </c>
      <c r="S8" s="47">
        <f>11200+2800+2800</f>
        <v>16800</v>
      </c>
      <c r="T8" s="30">
        <f t="shared" si="9"/>
        <v>558865.49</v>
      </c>
      <c r="U8" s="45">
        <v>1970</v>
      </c>
      <c r="V8" s="78">
        <f>ROUND((R8-J8-K8-L8-M8)*22%,2)-2524.32</f>
        <v>124122.09</v>
      </c>
      <c r="W8" s="60">
        <v>103891.76999999999</v>
      </c>
      <c r="X8" s="35">
        <f>V8-W8</f>
        <v>20230.320000000007</v>
      </c>
      <c r="Y8" s="32">
        <f>ROUND((R8-J8-K8-L8-M8-O8)*2.9%,2)-332.76</f>
        <v>16361.539999999999</v>
      </c>
      <c r="Z8" s="49">
        <v>13694.82</v>
      </c>
      <c r="AA8" s="50">
        <f>Y8-Z8+0.01</f>
        <v>2666.7299999999996</v>
      </c>
      <c r="AB8" s="32">
        <f>ROUND((R8-J8-K8-L8-M8-O8)*5.1%,2)-585.18</f>
        <v>28773.759999999998</v>
      </c>
      <c r="AC8" s="49">
        <v>24084</v>
      </c>
      <c r="AD8" s="50">
        <f>AB8-AC8</f>
        <v>4689.7599999999984</v>
      </c>
      <c r="AE8" s="30"/>
      <c r="AF8" s="49"/>
      <c r="AG8" s="50">
        <f t="shared" si="3"/>
        <v>0</v>
      </c>
      <c r="AH8" s="30">
        <f t="shared" si="13"/>
        <v>169257.38999999998</v>
      </c>
      <c r="AI8" s="36">
        <f t="shared" si="14"/>
        <v>141670.59</v>
      </c>
      <c r="AJ8" s="51">
        <f t="shared" si="4"/>
        <v>27586.799999999988</v>
      </c>
      <c r="AK8" s="32">
        <f t="shared" si="15"/>
        <v>72653</v>
      </c>
      <c r="AL8" s="52">
        <v>60698</v>
      </c>
      <c r="AM8" s="80">
        <f>AK8-AL8</f>
        <v>11955</v>
      </c>
      <c r="AN8" s="47">
        <f t="shared" si="5"/>
        <v>91956</v>
      </c>
      <c r="AO8" s="121"/>
      <c r="AP8" s="54">
        <f>P8-AM8-AO8</f>
        <v>80001</v>
      </c>
      <c r="AQ8" s="55"/>
      <c r="AR8" s="45"/>
      <c r="AS8" s="56"/>
      <c r="AT8" s="57" t="s">
        <v>34</v>
      </c>
      <c r="AU8" s="57" t="s">
        <v>41</v>
      </c>
      <c r="AV8" s="58" t="s">
        <v>34</v>
      </c>
      <c r="AW8" s="11"/>
    </row>
    <row r="9" spans="1:49" s="12" customFormat="1" ht="12.6" customHeight="1">
      <c r="A9" s="44">
        <v>76</v>
      </c>
      <c r="B9" s="45" t="s">
        <v>66</v>
      </c>
      <c r="C9" s="46">
        <v>0.5</v>
      </c>
      <c r="D9" s="48">
        <v>60465.27</v>
      </c>
      <c r="E9" s="30">
        <v>23</v>
      </c>
      <c r="F9" s="47">
        <v>8046</v>
      </c>
      <c r="G9" s="30">
        <f t="shared" si="6"/>
        <v>8046</v>
      </c>
      <c r="H9" s="47">
        <v>4023</v>
      </c>
      <c r="I9" s="47"/>
      <c r="J9" s="47"/>
      <c r="K9" s="47"/>
      <c r="L9" s="47"/>
      <c r="M9" s="47"/>
      <c r="N9" s="47"/>
      <c r="O9" s="47"/>
      <c r="P9" s="30">
        <f t="shared" si="7"/>
        <v>12069</v>
      </c>
      <c r="Q9" s="47"/>
      <c r="R9" s="48">
        <f t="shared" si="8"/>
        <v>72534.26999999999</v>
      </c>
      <c r="S9" s="47"/>
      <c r="T9" s="30">
        <f t="shared" si="9"/>
        <v>72534.26999999999</v>
      </c>
      <c r="U9" s="45">
        <v>1981</v>
      </c>
      <c r="V9" s="78">
        <f t="shared" si="10"/>
        <v>15957.54</v>
      </c>
      <c r="W9" s="60">
        <v>13302.36</v>
      </c>
      <c r="X9" s="35">
        <f t="shared" si="0"/>
        <v>2655.1800000000003</v>
      </c>
      <c r="Y9" s="32">
        <f t="shared" si="11"/>
        <v>2103.4899999999998</v>
      </c>
      <c r="Z9" s="49">
        <v>1753.49</v>
      </c>
      <c r="AA9" s="50">
        <f t="shared" si="1"/>
        <v>349.99999999999977</v>
      </c>
      <c r="AB9" s="32">
        <f t="shared" si="12"/>
        <v>3699.25</v>
      </c>
      <c r="AC9" s="49">
        <v>3083.73</v>
      </c>
      <c r="AD9" s="50">
        <f t="shared" si="2"/>
        <v>615.52</v>
      </c>
      <c r="AE9" s="30"/>
      <c r="AF9" s="49"/>
      <c r="AG9" s="50">
        <f t="shared" si="3"/>
        <v>0</v>
      </c>
      <c r="AH9" s="30">
        <f t="shared" si="13"/>
        <v>21760.28</v>
      </c>
      <c r="AI9" s="36">
        <f t="shared" si="14"/>
        <v>18139.580000000002</v>
      </c>
      <c r="AJ9" s="51">
        <f t="shared" si="4"/>
        <v>3620.6999999999971</v>
      </c>
      <c r="AK9" s="32">
        <f t="shared" si="15"/>
        <v>9429</v>
      </c>
      <c r="AL9" s="52">
        <v>7860</v>
      </c>
      <c r="AM9" s="80">
        <f t="shared" ref="AM9:AM10" si="16">AK9-AL9</f>
        <v>1569</v>
      </c>
      <c r="AN9" s="47">
        <f t="shared" si="5"/>
        <v>12069</v>
      </c>
      <c r="AO9" s="121"/>
      <c r="AP9" s="54">
        <f>P9-AM9-AO9</f>
        <v>10500</v>
      </c>
      <c r="AQ9" s="55"/>
      <c r="AR9" s="45"/>
      <c r="AS9" s="56"/>
      <c r="AT9" s="57" t="s">
        <v>34</v>
      </c>
      <c r="AU9" s="57" t="s">
        <v>41</v>
      </c>
      <c r="AV9" s="58"/>
      <c r="AW9" s="11"/>
    </row>
    <row r="10" spans="1:49" s="12" customFormat="1" ht="12.6" customHeight="1">
      <c r="A10" s="44">
        <v>77</v>
      </c>
      <c r="B10" s="61" t="s">
        <v>67</v>
      </c>
      <c r="C10" s="46">
        <v>0.5</v>
      </c>
      <c r="D10" s="48">
        <v>0</v>
      </c>
      <c r="E10" s="30">
        <v>0</v>
      </c>
      <c r="F10" s="47">
        <v>0</v>
      </c>
      <c r="G10" s="30">
        <f t="shared" si="6"/>
        <v>0</v>
      </c>
      <c r="H10" s="47"/>
      <c r="I10" s="47"/>
      <c r="J10" s="47"/>
      <c r="K10" s="47"/>
      <c r="L10" s="47"/>
      <c r="M10" s="47"/>
      <c r="N10" s="47"/>
      <c r="O10" s="47"/>
      <c r="P10" s="30">
        <f t="shared" si="7"/>
        <v>0</v>
      </c>
      <c r="Q10" s="47"/>
      <c r="R10" s="48">
        <f>P10+D10</f>
        <v>0</v>
      </c>
      <c r="S10" s="47"/>
      <c r="T10" s="30">
        <f t="shared" si="9"/>
        <v>0</v>
      </c>
      <c r="U10" s="45">
        <v>1975</v>
      </c>
      <c r="V10" s="78">
        <f t="shared" si="10"/>
        <v>0</v>
      </c>
      <c r="W10" s="60">
        <v>0</v>
      </c>
      <c r="X10" s="35">
        <f t="shared" si="0"/>
        <v>0</v>
      </c>
      <c r="Y10" s="32">
        <f t="shared" si="11"/>
        <v>0</v>
      </c>
      <c r="Z10" s="49">
        <v>0</v>
      </c>
      <c r="AA10" s="50">
        <f t="shared" si="1"/>
        <v>0</v>
      </c>
      <c r="AB10" s="32">
        <f t="shared" si="12"/>
        <v>0</v>
      </c>
      <c r="AC10" s="49">
        <v>0</v>
      </c>
      <c r="AD10" s="50">
        <f t="shared" si="2"/>
        <v>0</v>
      </c>
      <c r="AE10" s="30"/>
      <c r="AF10" s="49"/>
      <c r="AG10" s="50">
        <f t="shared" si="3"/>
        <v>0</v>
      </c>
      <c r="AH10" s="30">
        <f t="shared" si="13"/>
        <v>0</v>
      </c>
      <c r="AI10" s="36">
        <f t="shared" si="14"/>
        <v>0</v>
      </c>
      <c r="AJ10" s="51">
        <f t="shared" si="4"/>
        <v>0</v>
      </c>
      <c r="AK10" s="32">
        <f t="shared" si="15"/>
        <v>0</v>
      </c>
      <c r="AL10" s="52">
        <v>0</v>
      </c>
      <c r="AM10" s="80">
        <f t="shared" si="16"/>
        <v>0</v>
      </c>
      <c r="AN10" s="47">
        <f t="shared" si="5"/>
        <v>0</v>
      </c>
      <c r="AO10" s="121"/>
      <c r="AP10" s="54">
        <f>P10-AM10</f>
        <v>0</v>
      </c>
      <c r="AQ10" s="55"/>
      <c r="AR10" s="45"/>
      <c r="AS10" s="56"/>
      <c r="AT10" s="57" t="s">
        <v>35</v>
      </c>
      <c r="AU10" s="57" t="s">
        <v>42</v>
      </c>
      <c r="AV10" s="58"/>
      <c r="AW10" s="11"/>
    </row>
    <row r="11" spans="1:49" s="12" customFormat="1" ht="12.6" customHeight="1">
      <c r="A11" s="44">
        <v>76</v>
      </c>
      <c r="B11" s="118" t="s">
        <v>68</v>
      </c>
      <c r="C11" s="46">
        <v>0.5</v>
      </c>
      <c r="D11" s="48">
        <v>85531.26</v>
      </c>
      <c r="E11" s="116" t="s">
        <v>56</v>
      </c>
      <c r="F11" s="47" t="s">
        <v>36</v>
      </c>
      <c r="G11" s="30" t="s">
        <v>36</v>
      </c>
      <c r="H11" s="47"/>
      <c r="I11" s="47"/>
      <c r="J11" s="47"/>
      <c r="K11" s="47"/>
      <c r="L11" s="47"/>
      <c r="M11" s="47"/>
      <c r="N11" s="47"/>
      <c r="O11" s="47"/>
      <c r="P11" s="30">
        <f t="shared" si="7"/>
        <v>0</v>
      </c>
      <c r="Q11" s="47"/>
      <c r="R11" s="48">
        <f t="shared" si="8"/>
        <v>85531.26</v>
      </c>
      <c r="S11" s="47"/>
      <c r="T11" s="30">
        <f t="shared" si="9"/>
        <v>85531.26</v>
      </c>
      <c r="U11" s="45">
        <v>1981</v>
      </c>
      <c r="V11" s="78">
        <f t="shared" si="10"/>
        <v>18816.88</v>
      </c>
      <c r="W11" s="60">
        <v>18816.88</v>
      </c>
      <c r="X11" s="35">
        <f t="shared" si="0"/>
        <v>0</v>
      </c>
      <c r="Y11" s="32">
        <f t="shared" si="11"/>
        <v>2480.41</v>
      </c>
      <c r="Z11" s="49">
        <v>2480.41</v>
      </c>
      <c r="AA11" s="50">
        <f>Y11-Z11</f>
        <v>0</v>
      </c>
      <c r="AB11" s="32">
        <f t="shared" si="12"/>
        <v>4362.09</v>
      </c>
      <c r="AC11" s="49">
        <v>4362.09</v>
      </c>
      <c r="AD11" s="50">
        <f>AB11-AC11</f>
        <v>0</v>
      </c>
      <c r="AE11" s="30"/>
      <c r="AF11" s="49"/>
      <c r="AG11" s="50">
        <f>AE11-AF11</f>
        <v>0</v>
      </c>
      <c r="AH11" s="30">
        <f t="shared" si="13"/>
        <v>25659.38</v>
      </c>
      <c r="AI11" s="36">
        <f t="shared" si="14"/>
        <v>25659.38</v>
      </c>
      <c r="AJ11" s="51">
        <f>AH11-AI11</f>
        <v>0</v>
      </c>
      <c r="AK11" s="32">
        <f t="shared" si="15"/>
        <v>11119</v>
      </c>
      <c r="AL11" s="52">
        <v>11119</v>
      </c>
      <c r="AM11" s="53">
        <f>AK11-AL11</f>
        <v>0</v>
      </c>
      <c r="AN11" s="47">
        <f>P11</f>
        <v>0</v>
      </c>
      <c r="AO11" s="121"/>
      <c r="AP11" s="54">
        <f>P11-AM11-AO11</f>
        <v>0</v>
      </c>
      <c r="AQ11" s="55"/>
      <c r="AR11" s="45"/>
      <c r="AS11" s="56"/>
      <c r="AT11" s="57" t="s">
        <v>35</v>
      </c>
      <c r="AU11" s="57" t="s">
        <v>42</v>
      </c>
      <c r="AV11" s="58"/>
      <c r="AW11" s="11"/>
    </row>
    <row r="12" spans="1:49" s="12" customFormat="1" ht="12.6" customHeight="1">
      <c r="A12" s="44">
        <v>76</v>
      </c>
      <c r="B12" s="118" t="s">
        <v>69</v>
      </c>
      <c r="C12" s="46"/>
      <c r="D12" s="48">
        <v>28510.58</v>
      </c>
      <c r="E12" s="116" t="s">
        <v>55</v>
      </c>
      <c r="F12" s="47" t="s">
        <v>36</v>
      </c>
      <c r="G12" s="30" t="s">
        <v>36</v>
      </c>
      <c r="H12" s="59"/>
      <c r="I12" s="47"/>
      <c r="J12" s="47"/>
      <c r="K12" s="47"/>
      <c r="L12" s="47"/>
      <c r="M12" s="47"/>
      <c r="N12" s="47"/>
      <c r="O12" s="47"/>
      <c r="P12" s="30">
        <f t="shared" si="7"/>
        <v>0</v>
      </c>
      <c r="Q12" s="47"/>
      <c r="R12" s="48">
        <f t="shared" si="8"/>
        <v>28510.58</v>
      </c>
      <c r="S12" s="47"/>
      <c r="T12" s="30">
        <f t="shared" si="9"/>
        <v>28510.58</v>
      </c>
      <c r="U12" s="45">
        <v>1981</v>
      </c>
      <c r="V12" s="78">
        <f t="shared" si="10"/>
        <v>6272.33</v>
      </c>
      <c r="W12" s="60">
        <v>6272.33</v>
      </c>
      <c r="X12" s="35">
        <f t="shared" si="0"/>
        <v>0</v>
      </c>
      <c r="Y12" s="32">
        <f t="shared" si="11"/>
        <v>826.81</v>
      </c>
      <c r="Z12" s="49">
        <v>826.81</v>
      </c>
      <c r="AA12" s="50">
        <f>Y12-Z12</f>
        <v>0</v>
      </c>
      <c r="AB12" s="32">
        <f t="shared" si="12"/>
        <v>1454.04</v>
      </c>
      <c r="AC12" s="49">
        <v>1454.04</v>
      </c>
      <c r="AD12" s="50">
        <f>AB12-AC12</f>
        <v>0</v>
      </c>
      <c r="AE12" s="30"/>
      <c r="AF12" s="49"/>
      <c r="AG12" s="50">
        <f>AE12-AF12</f>
        <v>0</v>
      </c>
      <c r="AH12" s="30">
        <f t="shared" si="13"/>
        <v>8553.18</v>
      </c>
      <c r="AI12" s="36">
        <f t="shared" si="14"/>
        <v>8553.18</v>
      </c>
      <c r="AJ12" s="51">
        <f>AH12-AI12</f>
        <v>0</v>
      </c>
      <c r="AK12" s="32">
        <f t="shared" si="15"/>
        <v>3706</v>
      </c>
      <c r="AL12" s="52">
        <v>3706</v>
      </c>
      <c r="AM12" s="53">
        <f>AK12-AL12</f>
        <v>0</v>
      </c>
      <c r="AN12" s="47">
        <f>P12</f>
        <v>0</v>
      </c>
      <c r="AO12" s="121"/>
      <c r="AP12" s="54">
        <f>P12-AM12-AO12</f>
        <v>0</v>
      </c>
      <c r="AQ12" s="55"/>
      <c r="AR12" s="45"/>
      <c r="AS12" s="56"/>
      <c r="AT12" s="57" t="s">
        <v>35</v>
      </c>
      <c r="AU12" s="57" t="s">
        <v>40</v>
      </c>
      <c r="AV12" s="58"/>
      <c r="AW12" s="11"/>
    </row>
    <row r="13" spans="1:49" s="12" customFormat="1" ht="12.6" customHeight="1">
      <c r="A13" s="44">
        <v>85</v>
      </c>
      <c r="B13" s="118" t="s">
        <v>70</v>
      </c>
      <c r="C13" s="46">
        <v>0.5</v>
      </c>
      <c r="D13" s="48">
        <v>30453.260000000002</v>
      </c>
      <c r="E13" s="117" t="s">
        <v>57</v>
      </c>
      <c r="F13" s="47"/>
      <c r="G13" s="30" t="s">
        <v>36</v>
      </c>
      <c r="H13" s="59"/>
      <c r="I13" s="47"/>
      <c r="J13" s="47"/>
      <c r="K13" s="47"/>
      <c r="L13" s="47"/>
      <c r="M13" s="47"/>
      <c r="N13" s="47"/>
      <c r="O13" s="47"/>
      <c r="P13" s="30">
        <f t="shared" si="7"/>
        <v>0</v>
      </c>
      <c r="Q13" s="47"/>
      <c r="R13" s="48">
        <f t="shared" si="8"/>
        <v>30453.260000000002</v>
      </c>
      <c r="S13" s="47"/>
      <c r="T13" s="30">
        <f t="shared" si="9"/>
        <v>30453.260000000002</v>
      </c>
      <c r="U13" s="45">
        <v>1986</v>
      </c>
      <c r="V13" s="78">
        <f t="shared" si="10"/>
        <v>6699.72</v>
      </c>
      <c r="W13" s="60">
        <v>6699.72</v>
      </c>
      <c r="X13" s="35">
        <f t="shared" si="0"/>
        <v>0</v>
      </c>
      <c r="Y13" s="32">
        <f t="shared" si="11"/>
        <v>883.14</v>
      </c>
      <c r="Z13" s="49">
        <v>883.14</v>
      </c>
      <c r="AA13" s="50">
        <f>Y13-Z13</f>
        <v>0</v>
      </c>
      <c r="AB13" s="32">
        <f t="shared" si="12"/>
        <v>1553.12</v>
      </c>
      <c r="AC13" s="49">
        <v>1553.12</v>
      </c>
      <c r="AD13" s="50">
        <f>AB13-AC13</f>
        <v>0</v>
      </c>
      <c r="AE13" s="47"/>
      <c r="AF13" s="49"/>
      <c r="AG13" s="50">
        <f t="shared" ref="AG13:AG15" si="17">AE13-AF13</f>
        <v>0</v>
      </c>
      <c r="AH13" s="30">
        <f t="shared" si="13"/>
        <v>9135.98</v>
      </c>
      <c r="AI13" s="36">
        <f t="shared" si="14"/>
        <v>9135.98</v>
      </c>
      <c r="AJ13" s="51">
        <f>AH13-AI13</f>
        <v>0</v>
      </c>
      <c r="AK13" s="32">
        <f t="shared" si="15"/>
        <v>3959</v>
      </c>
      <c r="AL13" s="52">
        <v>3959</v>
      </c>
      <c r="AM13" s="53">
        <f>AK13-AL13</f>
        <v>0</v>
      </c>
      <c r="AN13" s="47">
        <f>P13</f>
        <v>0</v>
      </c>
      <c r="AO13" s="121"/>
      <c r="AP13" s="54">
        <f>P13-AM13-AO13</f>
        <v>0</v>
      </c>
      <c r="AQ13" s="55"/>
      <c r="AR13" s="45"/>
      <c r="AS13" s="56"/>
      <c r="AT13" s="57" t="s">
        <v>34</v>
      </c>
      <c r="AU13" s="57" t="s">
        <v>41</v>
      </c>
      <c r="AV13" s="58"/>
      <c r="AW13" s="11"/>
    </row>
    <row r="14" spans="1:49" s="12" customFormat="1" ht="12.6" customHeight="1">
      <c r="A14" s="44">
        <v>88</v>
      </c>
      <c r="B14" s="45" t="s">
        <v>71</v>
      </c>
      <c r="C14" s="46">
        <v>1</v>
      </c>
      <c r="D14" s="48">
        <v>378466.94</v>
      </c>
      <c r="E14" s="30">
        <v>23</v>
      </c>
      <c r="F14" s="47">
        <v>34483</v>
      </c>
      <c r="G14" s="30">
        <f t="shared" si="6"/>
        <v>34483</v>
      </c>
      <c r="H14" s="47"/>
      <c r="I14" s="47"/>
      <c r="J14" s="47"/>
      <c r="K14" s="47"/>
      <c r="L14" s="47"/>
      <c r="M14" s="47"/>
      <c r="N14" s="47"/>
      <c r="O14" s="47"/>
      <c r="P14" s="30">
        <f t="shared" si="7"/>
        <v>34483</v>
      </c>
      <c r="Q14" s="47"/>
      <c r="R14" s="48">
        <f t="shared" si="8"/>
        <v>412949.94</v>
      </c>
      <c r="S14" s="47">
        <f>11200+2800+2800+2800</f>
        <v>19600</v>
      </c>
      <c r="T14" s="30">
        <f t="shared" si="9"/>
        <v>393349.94</v>
      </c>
      <c r="U14" s="45">
        <v>1978</v>
      </c>
      <c r="V14" s="78">
        <f t="shared" si="10"/>
        <v>90848.99</v>
      </c>
      <c r="W14" s="60">
        <v>83262.73</v>
      </c>
      <c r="X14" s="35">
        <f t="shared" si="0"/>
        <v>7586.2600000000093</v>
      </c>
      <c r="Y14" s="32">
        <f t="shared" si="11"/>
        <v>11975.55</v>
      </c>
      <c r="Z14" s="49">
        <v>10975.54</v>
      </c>
      <c r="AA14" s="50">
        <f>Y14-Z14</f>
        <v>1000.0099999999984</v>
      </c>
      <c r="AB14" s="32">
        <f t="shared" si="12"/>
        <v>21060.45</v>
      </c>
      <c r="AC14" s="49">
        <v>19301.810000000001</v>
      </c>
      <c r="AD14" s="50">
        <f>AB14-AC14</f>
        <v>1758.6399999999994</v>
      </c>
      <c r="AE14" s="47"/>
      <c r="AF14" s="49"/>
      <c r="AG14" s="50">
        <f t="shared" si="17"/>
        <v>0</v>
      </c>
      <c r="AH14" s="30">
        <f>Y14+AB14+AE14+V14</f>
        <v>123884.99</v>
      </c>
      <c r="AI14" s="36">
        <f t="shared" si="14"/>
        <v>113540.08</v>
      </c>
      <c r="AJ14" s="51">
        <f>AH14-AI14</f>
        <v>10344.910000000003</v>
      </c>
      <c r="AK14" s="32">
        <f>ROUND(T14*13%,0)</f>
        <v>51135</v>
      </c>
      <c r="AL14" s="52">
        <v>46653</v>
      </c>
      <c r="AM14" s="80">
        <f>AK14-AL14</f>
        <v>4482</v>
      </c>
      <c r="AN14" s="47">
        <f>P14</f>
        <v>34483</v>
      </c>
      <c r="AO14" s="121"/>
      <c r="AP14" s="54">
        <f>P14-AM14-AO14</f>
        <v>30001</v>
      </c>
      <c r="AQ14" s="55"/>
      <c r="AR14" s="45"/>
      <c r="AS14" s="56"/>
      <c r="AT14" s="57" t="s">
        <v>34</v>
      </c>
      <c r="AU14" s="57" t="s">
        <v>41</v>
      </c>
      <c r="AV14" s="58"/>
      <c r="AW14" s="11"/>
    </row>
    <row r="15" spans="1:49" s="12" customFormat="1" ht="12.6" customHeight="1">
      <c r="A15" s="44"/>
      <c r="B15" s="45" t="s">
        <v>72</v>
      </c>
      <c r="C15" s="46">
        <v>0.5</v>
      </c>
      <c r="D15" s="48">
        <v>169058.86</v>
      </c>
      <c r="E15" s="47">
        <v>23</v>
      </c>
      <c r="F15" s="47">
        <f>34484*0.5</f>
        <v>17242</v>
      </c>
      <c r="G15" s="30">
        <f t="shared" si="6"/>
        <v>17242</v>
      </c>
      <c r="H15" s="47">
        <v>17242</v>
      </c>
      <c r="I15" s="47"/>
      <c r="J15" s="47"/>
      <c r="K15" s="47"/>
      <c r="L15" s="47"/>
      <c r="M15" s="47"/>
      <c r="N15" s="47"/>
      <c r="O15" s="47"/>
      <c r="P15" s="30">
        <f t="shared" si="7"/>
        <v>34484</v>
      </c>
      <c r="Q15" s="47"/>
      <c r="R15" s="48">
        <f t="shared" si="8"/>
        <v>203542.86</v>
      </c>
      <c r="S15" s="47"/>
      <c r="T15" s="30">
        <f t="shared" si="9"/>
        <v>203542.86</v>
      </c>
      <c r="U15" s="45"/>
      <c r="V15" s="78">
        <f t="shared" si="10"/>
        <v>44779.43</v>
      </c>
      <c r="W15" s="60">
        <v>37192.949999999997</v>
      </c>
      <c r="X15" s="50">
        <f t="shared" si="0"/>
        <v>7586.4800000000032</v>
      </c>
      <c r="Y15" s="32">
        <f t="shared" si="11"/>
        <v>5902.74</v>
      </c>
      <c r="Z15" s="49">
        <v>4902.71</v>
      </c>
      <c r="AA15" s="50">
        <f>Y15-Z15</f>
        <v>1000.0299999999997</v>
      </c>
      <c r="AB15" s="32">
        <f t="shared" si="12"/>
        <v>10380.69</v>
      </c>
      <c r="AC15" s="49">
        <v>8622</v>
      </c>
      <c r="AD15" s="50">
        <f>AB15-AC15</f>
        <v>1758.6900000000005</v>
      </c>
      <c r="AE15" s="47"/>
      <c r="AF15" s="49"/>
      <c r="AG15" s="50">
        <f t="shared" si="17"/>
        <v>0</v>
      </c>
      <c r="AH15" s="30">
        <f t="shared" si="13"/>
        <v>61062.86</v>
      </c>
      <c r="AI15" s="36">
        <f t="shared" si="14"/>
        <v>50717.659999999996</v>
      </c>
      <c r="AJ15" s="51">
        <f>AH15-AI15</f>
        <v>10345.200000000004</v>
      </c>
      <c r="AK15" s="32">
        <f>ROUND(T15*13%,0)</f>
        <v>26461</v>
      </c>
      <c r="AL15" s="52">
        <v>21978</v>
      </c>
      <c r="AM15" s="80">
        <f>AK15-AL15</f>
        <v>4483</v>
      </c>
      <c r="AN15" s="47">
        <f>P15</f>
        <v>34484</v>
      </c>
      <c r="AO15" s="121"/>
      <c r="AP15" s="54">
        <f>P15-AM15-AO15</f>
        <v>30001</v>
      </c>
      <c r="AQ15" s="55"/>
      <c r="AR15" s="45"/>
      <c r="AS15" s="56"/>
      <c r="AT15" s="57" t="s">
        <v>35</v>
      </c>
      <c r="AU15" s="57" t="s">
        <v>40</v>
      </c>
      <c r="AV15" s="58"/>
      <c r="AW15" s="11"/>
    </row>
    <row r="16" spans="1:49" s="12" customFormat="1" ht="12.6" customHeight="1" thickBot="1">
      <c r="A16" s="44"/>
      <c r="B16" s="45"/>
      <c r="C16" s="46"/>
      <c r="D16" s="47"/>
      <c r="E16" s="47"/>
      <c r="F16" s="47"/>
      <c r="G16" s="30" t="s">
        <v>36</v>
      </c>
      <c r="H16" s="47"/>
      <c r="I16" s="47"/>
      <c r="J16" s="47"/>
      <c r="K16" s="47"/>
      <c r="L16" s="47"/>
      <c r="M16" s="47"/>
      <c r="N16" s="47"/>
      <c r="O16" s="47"/>
      <c r="P16" s="47">
        <f t="shared" si="7"/>
        <v>0</v>
      </c>
      <c r="Q16" s="47"/>
      <c r="R16" s="47"/>
      <c r="S16" s="47"/>
      <c r="T16" s="47">
        <f t="shared" si="9"/>
        <v>0</v>
      </c>
      <c r="U16" s="45"/>
      <c r="V16" s="62"/>
      <c r="W16" s="60"/>
      <c r="X16" s="50"/>
      <c r="Y16" s="47"/>
      <c r="Z16" s="49"/>
      <c r="AA16" s="50"/>
      <c r="AB16" s="47"/>
      <c r="AC16" s="49"/>
      <c r="AD16" s="50"/>
      <c r="AE16" s="47"/>
      <c r="AF16" s="49"/>
      <c r="AG16" s="50"/>
      <c r="AH16" s="47"/>
      <c r="AI16" s="49"/>
      <c r="AJ16" s="51"/>
      <c r="AK16" s="47"/>
      <c r="AL16" s="52"/>
      <c r="AM16" s="53"/>
      <c r="AN16" s="47"/>
      <c r="AO16" s="122"/>
      <c r="AP16" s="54"/>
      <c r="AQ16" s="55"/>
      <c r="AR16" s="45"/>
      <c r="AS16" s="56"/>
      <c r="AT16" s="57"/>
      <c r="AU16" s="57"/>
      <c r="AV16" s="58"/>
      <c r="AW16" s="11"/>
    </row>
    <row r="17" spans="1:49" s="8" customFormat="1" ht="12.6" customHeight="1" thickBot="1">
      <c r="A17" s="63"/>
      <c r="B17" s="64" t="s">
        <v>32</v>
      </c>
      <c r="C17" s="64"/>
      <c r="D17" s="65">
        <v>3539792.6299999994</v>
      </c>
      <c r="E17" s="65"/>
      <c r="F17" s="65">
        <f>SUM(F5:F16)</f>
        <v>227589</v>
      </c>
      <c r="G17" s="65">
        <f>SUM(G5:G16)</f>
        <v>227589</v>
      </c>
      <c r="H17" s="65">
        <f t="shared" ref="H17:L17" si="18">SUM(H5:H16)</f>
        <v>131291</v>
      </c>
      <c r="I17" s="65">
        <f t="shared" si="18"/>
        <v>0</v>
      </c>
      <c r="J17" s="65">
        <f t="shared" si="18"/>
        <v>0</v>
      </c>
      <c r="K17" s="65">
        <f t="shared" si="18"/>
        <v>0</v>
      </c>
      <c r="L17" s="65">
        <f t="shared" si="18"/>
        <v>0</v>
      </c>
      <c r="M17" s="65"/>
      <c r="N17" s="65">
        <f>SUM(N5:N16)</f>
        <v>0</v>
      </c>
      <c r="O17" s="65"/>
      <c r="P17" s="75">
        <f>SUM(P5:P16)</f>
        <v>358880</v>
      </c>
      <c r="Q17" s="65">
        <f>SUM(Q5:Q16)</f>
        <v>0</v>
      </c>
      <c r="R17" s="65">
        <f>SUM(R5:R16)</f>
        <v>3898672.6299999994</v>
      </c>
      <c r="S17" s="65">
        <f>SUM(S5:S10)</f>
        <v>19600</v>
      </c>
      <c r="T17" s="65">
        <f>SUM(T5:T16)</f>
        <v>3861072.6299999994</v>
      </c>
      <c r="U17" s="65"/>
      <c r="V17" s="65">
        <f t="shared" ref="V17" si="19">SUM(V5:V16)</f>
        <v>756684.64</v>
      </c>
      <c r="W17" s="69">
        <v>686244.43999999983</v>
      </c>
      <c r="X17" s="76">
        <f>SUM(X5:X16)</f>
        <v>70440.200000000012</v>
      </c>
      <c r="Y17" s="65">
        <f t="shared" ref="Y17:AN17" si="20">SUM(Y5:Y16)</f>
        <v>88924.810000000012</v>
      </c>
      <c r="Z17" s="67">
        <v>80574.710000000006</v>
      </c>
      <c r="AA17" s="76">
        <f t="shared" si="20"/>
        <v>8350.1099999999969</v>
      </c>
      <c r="AB17" s="65">
        <f t="shared" si="20"/>
        <v>156385.04999999999</v>
      </c>
      <c r="AC17" s="67">
        <v>141700.34999999998</v>
      </c>
      <c r="AD17" s="76">
        <f>SUM(AD5:AD16)</f>
        <v>14684.700000000003</v>
      </c>
      <c r="AE17" s="65">
        <f t="shared" si="20"/>
        <v>0</v>
      </c>
      <c r="AF17" s="67">
        <f t="shared" si="20"/>
        <v>0</v>
      </c>
      <c r="AG17" s="66">
        <f t="shared" si="20"/>
        <v>0</v>
      </c>
      <c r="AH17" s="65">
        <f t="shared" si="20"/>
        <v>1001994.5</v>
      </c>
      <c r="AI17" s="67">
        <f t="shared" si="20"/>
        <v>908519.5</v>
      </c>
      <c r="AJ17" s="70">
        <f t="shared" si="20"/>
        <v>93475</v>
      </c>
      <c r="AK17" s="65">
        <f t="shared" si="20"/>
        <v>501939</v>
      </c>
      <c r="AL17" s="71">
        <v>455284</v>
      </c>
      <c r="AM17" s="82">
        <f t="shared" si="20"/>
        <v>46655</v>
      </c>
      <c r="AN17" s="65">
        <f t="shared" si="20"/>
        <v>358880</v>
      </c>
      <c r="AO17" s="123">
        <f>SUM(AO5:AO16)</f>
        <v>0</v>
      </c>
      <c r="AP17" s="83">
        <f>SUM(AP5:AP16)</f>
        <v>312225</v>
      </c>
      <c r="AQ17" s="72"/>
      <c r="AR17" s="73"/>
      <c r="AS17" s="73"/>
      <c r="AT17" s="74"/>
      <c r="AU17" s="58"/>
      <c r="AV17" s="58"/>
      <c r="AW17" s="9"/>
    </row>
    <row r="18" spans="1:49" s="10" customFormat="1">
      <c r="A18" s="13"/>
      <c r="B18" s="13"/>
      <c r="C18" s="13"/>
      <c r="D18" s="16"/>
      <c r="E18" s="16"/>
      <c r="F18" s="16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7"/>
      <c r="Y18" s="13"/>
      <c r="Z18" s="17"/>
      <c r="AA18" s="17"/>
      <c r="AB18" s="13"/>
      <c r="AC18" s="17"/>
      <c r="AD18" s="17"/>
      <c r="AE18" s="13"/>
      <c r="AF18" s="17"/>
      <c r="AG18" s="17"/>
      <c r="AH18" s="13"/>
      <c r="AI18" s="17"/>
      <c r="AJ18" s="18"/>
      <c r="AK18" s="13"/>
      <c r="AL18" s="20"/>
      <c r="AM18" s="81"/>
      <c r="AN18" s="68"/>
      <c r="AO18" s="68"/>
      <c r="AP18" s="77"/>
      <c r="AQ18" s="13"/>
      <c r="AR18" s="13"/>
      <c r="AS18" s="13"/>
      <c r="AT18" s="13"/>
      <c r="AU18" s="58"/>
      <c r="AV18" s="58"/>
    </row>
    <row r="20" spans="1:49">
      <c r="G20" s="7"/>
      <c r="H20" s="7"/>
    </row>
  </sheetData>
  <autoFilter ref="A2:AV18">
    <filterColumn colId="4"/>
    <filterColumn colId="5"/>
  </autoFilter>
  <mergeCells count="43">
    <mergeCell ref="AK3:AK4"/>
    <mergeCell ref="AL3:AL4"/>
    <mergeCell ref="AM3:AM4"/>
    <mergeCell ref="AJ3:AJ4"/>
    <mergeCell ref="AT3:AT4"/>
    <mergeCell ref="AN3:AN4"/>
    <mergeCell ref="AP3:AP4"/>
    <mergeCell ref="AQ3:AQ4"/>
    <mergeCell ref="AS3:AS4"/>
    <mergeCell ref="AR3:AR4"/>
    <mergeCell ref="AO3:AO4"/>
    <mergeCell ref="P3:P4"/>
    <mergeCell ref="U3:U4"/>
    <mergeCell ref="Q3:Q4"/>
    <mergeCell ref="R3:R4"/>
    <mergeCell ref="S3:S4"/>
    <mergeCell ref="T3:T4"/>
    <mergeCell ref="AU3:AU4"/>
    <mergeCell ref="A3:A4"/>
    <mergeCell ref="B3:B4"/>
    <mergeCell ref="C3:C4"/>
    <mergeCell ref="D3:D4"/>
    <mergeCell ref="G3:G4"/>
    <mergeCell ref="E3:E4"/>
    <mergeCell ref="F3:F4"/>
    <mergeCell ref="I3:I4"/>
    <mergeCell ref="H3:H4"/>
    <mergeCell ref="J3:K3"/>
    <mergeCell ref="L3:L4"/>
    <mergeCell ref="Y3:Y4"/>
    <mergeCell ref="M3:M4"/>
    <mergeCell ref="N3:N4"/>
    <mergeCell ref="O3:O4"/>
    <mergeCell ref="Z3:Z4"/>
    <mergeCell ref="AF3:AF4"/>
    <mergeCell ref="AG3:AG4"/>
    <mergeCell ref="AH3:AH4"/>
    <mergeCell ref="AI3:AI4"/>
    <mergeCell ref="AA3:AA4"/>
    <mergeCell ref="AC3:AC4"/>
    <mergeCell ref="AD3:AD4"/>
    <mergeCell ref="AE3:AE4"/>
    <mergeCell ref="AB3:AB4"/>
  </mergeCells>
  <phoneticPr fontId="3" type="noConversion"/>
  <pageMargins left="3.937007874015748E-2" right="3.937007874015748E-2" top="2.5590551181102366" bottom="0.19685039370078741" header="0.51181102362204722" footer="0.51181102362204722"/>
  <pageSetup paperSize="9" scale="94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декабрь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Pavlovich</cp:lastModifiedBy>
  <cp:lastPrinted>2015-03-30T06:55:40Z</cp:lastPrinted>
  <dcterms:created xsi:type="dcterms:W3CDTF">1996-10-08T23:32:33Z</dcterms:created>
  <dcterms:modified xsi:type="dcterms:W3CDTF">2015-08-12T09:35:05Z</dcterms:modified>
</cp:coreProperties>
</file>