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ель\Desktop\Новая папка (6)\"/>
    </mc:Choice>
  </mc:AlternateContent>
  <bookViews>
    <workbookView xWindow="0" yWindow="0" windowWidth="28800" windowHeight="12435" tabRatio="840"/>
  </bookViews>
  <sheets>
    <sheet name="Сделки_2015" sheetId="22" r:id="rId1"/>
    <sheet name="Отчет1" sheetId="23" r:id="rId2"/>
    <sheet name="Справочник контрагентов" sheetId="44" r:id="rId3"/>
    <sheet name="Справочник цен на молоко" sheetId="45" r:id="rId4"/>
    <sheet name="Справочник цен за доставку" sheetId="48" r:id="rId5"/>
    <sheet name="Сделки" sheetId="46" r:id="rId6"/>
    <sheet name="Оплаты" sheetId="47" r:id="rId7"/>
    <sheet name="Форма ввода сделок" sheetId="49" r:id="rId8"/>
  </sheets>
  <externalReferences>
    <externalReference r:id="rId9"/>
  </externalReferences>
  <definedNames>
    <definedName name="_xlnm._FilterDatabase" localSheetId="0" hidden="1">Сделки_2015!$A$2:$AX$63</definedName>
    <definedName name="_xlnm.Print_Area" localSheetId="1">Отчет1!#REF!</definedName>
    <definedName name="Статьи">[1]spr!$A$2:$A$11</definedName>
    <definedName name="СтатьиБДР">[1]spr!$D$2:$D$24</definedName>
  </definedNames>
  <calcPr calcId="152511"/>
</workbook>
</file>

<file path=xl/calcChain.xml><?xml version="1.0" encoding="utf-8"?>
<calcChain xmlns="http://schemas.openxmlformats.org/spreadsheetml/2006/main">
  <c r="H25" i="49" l="1"/>
  <c r="H14" i="49"/>
  <c r="H11" i="49"/>
  <c r="H15" i="49" s="1"/>
  <c r="H10" i="49"/>
  <c r="H22" i="49"/>
  <c r="H21" i="49"/>
  <c r="H20" i="49"/>
  <c r="H9" i="49"/>
  <c r="D33" i="49"/>
  <c r="D25" i="49"/>
  <c r="D26" i="49" s="1"/>
  <c r="D17" i="49"/>
  <c r="D16" i="49"/>
  <c r="D15" i="49"/>
  <c r="D14" i="49"/>
  <c r="H49" i="49"/>
  <c r="H53" i="49"/>
  <c r="D53" i="49"/>
  <c r="D54" i="49" s="1"/>
  <c r="D55" i="49" s="1"/>
  <c r="H26" i="49" l="1"/>
  <c r="H33" i="49" s="1"/>
  <c r="H34" i="49" s="1"/>
  <c r="H35" i="49" s="1"/>
  <c r="H16" i="49"/>
  <c r="H17" i="49" s="1"/>
  <c r="D35" i="49"/>
  <c r="D34" i="49"/>
  <c r="D27" i="49"/>
  <c r="D28" i="49" s="1"/>
  <c r="H54" i="49"/>
  <c r="H55" i="49" s="1"/>
  <c r="U15" i="22"/>
  <c r="U14" i="22"/>
  <c r="U52" i="22"/>
  <c r="AH52" i="22" s="1"/>
  <c r="AS34" i="22"/>
  <c r="AM34" i="22"/>
  <c r="AL34" i="22" s="1"/>
  <c r="AH34" i="22"/>
  <c r="AB34" i="22"/>
  <c r="U34" i="22"/>
  <c r="X34" i="22" s="1"/>
  <c r="T34" i="22"/>
  <c r="L34" i="22"/>
  <c r="P34" i="22"/>
  <c r="Q34" i="22" s="1"/>
  <c r="E34" i="22"/>
  <c r="D34" i="22"/>
  <c r="C34" i="22"/>
  <c r="AS31" i="22"/>
  <c r="AH31" i="22"/>
  <c r="AB31" i="22"/>
  <c r="U31" i="22"/>
  <c r="X31" i="22" s="1"/>
  <c r="T31" i="22"/>
  <c r="L31" i="22"/>
  <c r="E31" i="22"/>
  <c r="D31" i="22"/>
  <c r="C31" i="22"/>
  <c r="AS30" i="22"/>
  <c r="AH30" i="22"/>
  <c r="AB30" i="22"/>
  <c r="U30" i="22"/>
  <c r="X30" i="22" s="1"/>
  <c r="T30" i="22"/>
  <c r="L30" i="22"/>
  <c r="P30" i="22"/>
  <c r="Q30" i="22" s="1"/>
  <c r="E30" i="22"/>
  <c r="D30" i="22"/>
  <c r="C30" i="22"/>
  <c r="A30" i="22" s="1"/>
  <c r="AS29" i="22"/>
  <c r="AH29" i="22"/>
  <c r="AB29" i="22"/>
  <c r="U29" i="22"/>
  <c r="X29" i="22" s="1"/>
  <c r="T29" i="22"/>
  <c r="K29" i="22"/>
  <c r="L29" i="22" s="1"/>
  <c r="E29" i="22"/>
  <c r="D29" i="22"/>
  <c r="C29" i="22"/>
  <c r="A29" i="22" s="1"/>
  <c r="AS27" i="22"/>
  <c r="AM27" i="22"/>
  <c r="AL27" i="22" s="1"/>
  <c r="AJ27" i="22"/>
  <c r="AI27" i="22" s="1"/>
  <c r="AB27" i="22"/>
  <c r="U27" i="22"/>
  <c r="X27" i="22" s="1"/>
  <c r="L27" i="22"/>
  <c r="J27" i="22"/>
  <c r="P27" i="22" s="1"/>
  <c r="Q27" i="22" s="1"/>
  <c r="E27" i="22"/>
  <c r="D27" i="22"/>
  <c r="C27" i="22"/>
  <c r="AW63" i="22"/>
  <c r="AU63" i="22"/>
  <c r="AS63" i="22"/>
  <c r="R63" i="22"/>
  <c r="Q63" i="22" s="1"/>
  <c r="E63" i="22"/>
  <c r="D63" i="22"/>
  <c r="C63" i="22"/>
  <c r="AW62" i="22"/>
  <c r="AU62" i="22"/>
  <c r="AS62" i="22"/>
  <c r="AJ62" i="22"/>
  <c r="AI62" i="22" s="1"/>
  <c r="R62" i="22"/>
  <c r="Q62" i="22" s="1"/>
  <c r="E62" i="22"/>
  <c r="D62" i="22"/>
  <c r="C62" i="22"/>
  <c r="A62" i="22" s="1"/>
  <c r="AW61" i="22"/>
  <c r="AU61" i="22"/>
  <c r="AS61" i="22"/>
  <c r="R61" i="22"/>
  <c r="Q61" i="22" s="1"/>
  <c r="AV61" i="22" s="1"/>
  <c r="E61" i="22"/>
  <c r="D61" i="22"/>
  <c r="C61" i="22"/>
  <c r="AW60" i="22"/>
  <c r="AU60" i="22"/>
  <c r="AS60" i="22"/>
  <c r="AM60" i="22"/>
  <c r="AL60" i="22" s="1"/>
  <c r="Q60" i="22"/>
  <c r="AV60" i="22" s="1"/>
  <c r="E60" i="22"/>
  <c r="D60" i="22"/>
  <c r="C60" i="22"/>
  <c r="A60" i="22" s="1"/>
  <c r="AW59" i="22"/>
  <c r="AU59" i="22"/>
  <c r="AS59" i="22"/>
  <c r="R59" i="22"/>
  <c r="Q59" i="22" s="1"/>
  <c r="AT59" i="22" s="1"/>
  <c r="E59" i="22"/>
  <c r="D59" i="22"/>
  <c r="C59" i="22"/>
  <c r="A59" i="22" s="1"/>
  <c r="AW58" i="22"/>
  <c r="AU58" i="22"/>
  <c r="AS58" i="22"/>
  <c r="R58" i="22"/>
  <c r="Q58" i="22" s="1"/>
  <c r="E58" i="22"/>
  <c r="D58" i="22"/>
  <c r="C58" i="22"/>
  <c r="AW57" i="22"/>
  <c r="AU57" i="22"/>
  <c r="AS57" i="22"/>
  <c r="R57" i="22"/>
  <c r="Q57" i="22" s="1"/>
  <c r="AT57" i="22" s="1"/>
  <c r="E57" i="22"/>
  <c r="D57" i="22"/>
  <c r="C57" i="22"/>
  <c r="A57" i="22" s="1"/>
  <c r="AW56" i="22"/>
  <c r="AU56" i="22"/>
  <c r="AS56" i="22"/>
  <c r="Q56" i="22"/>
  <c r="AV56" i="22" s="1"/>
  <c r="E56" i="22"/>
  <c r="D56" i="22"/>
  <c r="C56" i="22"/>
  <c r="AW55" i="22"/>
  <c r="AU55" i="22"/>
  <c r="AS55" i="22"/>
  <c r="Q55" i="22"/>
  <c r="AT55" i="22" s="1"/>
  <c r="E55" i="22"/>
  <c r="D55" i="22"/>
  <c r="C55" i="22"/>
  <c r="A55" i="22" s="1"/>
  <c r="U54" i="22"/>
  <c r="AI54" i="22" s="1"/>
  <c r="AS54" i="22"/>
  <c r="AB54" i="22"/>
  <c r="M54" i="22"/>
  <c r="L54" i="22"/>
  <c r="J54" i="22"/>
  <c r="E54" i="22"/>
  <c r="D54" i="22"/>
  <c r="C54" i="22"/>
  <c r="AS53" i="22"/>
  <c r="AM53" i="22"/>
  <c r="AL53" i="22" s="1"/>
  <c r="AB53" i="22"/>
  <c r="U53" i="22"/>
  <c r="M53" i="22"/>
  <c r="K53" i="22"/>
  <c r="L53" i="22" s="1"/>
  <c r="J53" i="22"/>
  <c r="E53" i="22"/>
  <c r="D53" i="22"/>
  <c r="C53" i="22"/>
  <c r="AS50" i="22"/>
  <c r="AH50" i="22"/>
  <c r="AB50" i="22"/>
  <c r="U50" i="22"/>
  <c r="X50" i="22" s="1"/>
  <c r="T50" i="22"/>
  <c r="P50" i="22"/>
  <c r="Q50" i="22" s="1"/>
  <c r="L50" i="22"/>
  <c r="E50" i="22"/>
  <c r="D50" i="22"/>
  <c r="C50" i="22"/>
  <c r="AS49" i="22"/>
  <c r="AM49" i="22"/>
  <c r="AL49" i="22" s="1"/>
  <c r="AH49" i="22"/>
  <c r="AB49" i="22"/>
  <c r="U49" i="22"/>
  <c r="X49" i="22" s="1"/>
  <c r="T49" i="22"/>
  <c r="L49" i="22"/>
  <c r="P49" i="22"/>
  <c r="Q49" i="22" s="1"/>
  <c r="E49" i="22"/>
  <c r="D49" i="22"/>
  <c r="C49" i="22"/>
  <c r="AS46" i="22"/>
  <c r="AH46" i="22"/>
  <c r="AB46" i="22"/>
  <c r="U46" i="22"/>
  <c r="X46" i="22" s="1"/>
  <c r="T46" i="22"/>
  <c r="L46" i="22"/>
  <c r="P46" i="22"/>
  <c r="Q46" i="22" s="1"/>
  <c r="E46" i="22"/>
  <c r="D46" i="22"/>
  <c r="C46" i="22"/>
  <c r="AS45" i="22"/>
  <c r="AH45" i="22"/>
  <c r="AB45" i="22"/>
  <c r="U45" i="22"/>
  <c r="X45" i="22" s="1"/>
  <c r="T45" i="22"/>
  <c r="L45" i="22"/>
  <c r="E45" i="22"/>
  <c r="D45" i="22"/>
  <c r="C45" i="22"/>
  <c r="AS44" i="22"/>
  <c r="AH44" i="22"/>
  <c r="AB44" i="22"/>
  <c r="U44" i="22"/>
  <c r="X44" i="22" s="1"/>
  <c r="T44" i="22"/>
  <c r="K44" i="22"/>
  <c r="L44" i="22" s="1"/>
  <c r="E44" i="22"/>
  <c r="D44" i="22"/>
  <c r="C44" i="22"/>
  <c r="AS52" i="22"/>
  <c r="AB52" i="22"/>
  <c r="AC52" i="22" s="1"/>
  <c r="AD52" i="22" s="1"/>
  <c r="AA52" i="22"/>
  <c r="P52" i="22"/>
  <c r="Q52" i="22" s="1"/>
  <c r="AV52" i="22" s="1"/>
  <c r="L52" i="22"/>
  <c r="E52" i="22"/>
  <c r="D52" i="22"/>
  <c r="C52" i="22"/>
  <c r="AS51" i="22"/>
  <c r="AH51" i="22"/>
  <c r="AB51" i="22"/>
  <c r="X51" i="22"/>
  <c r="T51" i="22"/>
  <c r="L51" i="22"/>
  <c r="E51" i="22"/>
  <c r="D51" i="22"/>
  <c r="C51" i="22"/>
  <c r="AS48" i="22"/>
  <c r="AL48" i="22"/>
  <c r="AJ48" i="22"/>
  <c r="AK48" i="22" s="1"/>
  <c r="AH48" i="22"/>
  <c r="AB48" i="22"/>
  <c r="U48" i="22"/>
  <c r="X48" i="22" s="1"/>
  <c r="K48" i="22"/>
  <c r="L48" i="22" s="1"/>
  <c r="E48" i="22"/>
  <c r="D48" i="22"/>
  <c r="C48" i="22"/>
  <c r="AS47" i="22"/>
  <c r="AH47" i="22"/>
  <c r="AB47" i="22"/>
  <c r="U47" i="22"/>
  <c r="X47" i="22" s="1"/>
  <c r="T47" i="22"/>
  <c r="L47" i="22"/>
  <c r="P47" i="22"/>
  <c r="Q47" i="22" s="1"/>
  <c r="E47" i="22"/>
  <c r="D47" i="22"/>
  <c r="C47" i="22"/>
  <c r="A47" i="22" s="1"/>
  <c r="AS43" i="22"/>
  <c r="AM43" i="22"/>
  <c r="AL43" i="22" s="1"/>
  <c r="AJ43" i="22"/>
  <c r="AI43" i="22" s="1"/>
  <c r="AB43" i="22"/>
  <c r="U43" i="22"/>
  <c r="X43" i="22" s="1"/>
  <c r="L43" i="22"/>
  <c r="J43" i="22"/>
  <c r="P43" i="22" s="1"/>
  <c r="Q43" i="22" s="1"/>
  <c r="E43" i="22"/>
  <c r="D43" i="22"/>
  <c r="C43" i="22"/>
  <c r="AS42" i="22"/>
  <c r="AM42" i="22"/>
  <c r="AL42" i="22" s="1"/>
  <c r="AJ42" i="22"/>
  <c r="AI42" i="22" s="1"/>
  <c r="AB42" i="22"/>
  <c r="U42" i="22"/>
  <c r="X42" i="22" s="1"/>
  <c r="K42" i="22"/>
  <c r="L42" i="22" s="1"/>
  <c r="T42" i="22" s="1"/>
  <c r="J42" i="22"/>
  <c r="E42" i="22"/>
  <c r="D42" i="22"/>
  <c r="C42" i="22"/>
  <c r="H27" i="49" l="1"/>
  <c r="H28" i="49" s="1"/>
  <c r="AC30" i="22"/>
  <c r="AD30" i="22" s="1"/>
  <c r="AE30" i="22" s="1"/>
  <c r="P42" i="22"/>
  <c r="Q42" i="22" s="1"/>
  <c r="R42" i="22" s="1"/>
  <c r="S42" i="22" s="1"/>
  <c r="AV55" i="22"/>
  <c r="AC42" i="22"/>
  <c r="AU42" i="22" s="1"/>
  <c r="AC34" i="22"/>
  <c r="AQ34" i="22" s="1"/>
  <c r="AG34" i="22" s="1"/>
  <c r="AC31" i="22"/>
  <c r="AW31" i="22" s="1"/>
  <c r="A31" i="22"/>
  <c r="A34" i="22"/>
  <c r="A27" i="22"/>
  <c r="AV34" i="22"/>
  <c r="AT34" i="22"/>
  <c r="AR34" i="22"/>
  <c r="S34" i="22"/>
  <c r="P31" i="22"/>
  <c r="Q31" i="22" s="1"/>
  <c r="P29" i="22"/>
  <c r="Q29" i="22" s="1"/>
  <c r="S29" i="22" s="1"/>
  <c r="AC29" i="22"/>
  <c r="AD29" i="22" s="1"/>
  <c r="AE29" i="22" s="1"/>
  <c r="AV30" i="22"/>
  <c r="AR30" i="22"/>
  <c r="AT30" i="22"/>
  <c r="S30" i="22"/>
  <c r="AC27" i="22"/>
  <c r="AQ27" i="22" s="1"/>
  <c r="AG27" i="22" s="1"/>
  <c r="AV27" i="22"/>
  <c r="AR27" i="22"/>
  <c r="AT27" i="22"/>
  <c r="R27" i="22"/>
  <c r="S27" i="22" s="1"/>
  <c r="AT62" i="22"/>
  <c r="AV62" i="22"/>
  <c r="AT60" i="22"/>
  <c r="X54" i="22"/>
  <c r="AC54" i="22"/>
  <c r="AD54" i="22" s="1"/>
  <c r="AE54" i="22" s="1"/>
  <c r="AV63" i="22"/>
  <c r="AT63" i="22"/>
  <c r="A63" i="22"/>
  <c r="AT61" i="22"/>
  <c r="A61" i="22"/>
  <c r="A58" i="22"/>
  <c r="AV58" i="22"/>
  <c r="AT58" i="22"/>
  <c r="AV57" i="22"/>
  <c r="AV59" i="22"/>
  <c r="AT56" i="22"/>
  <c r="A56" i="22"/>
  <c r="A49" i="22"/>
  <c r="P54" i="22"/>
  <c r="Q54" i="22" s="1"/>
  <c r="A52" i="22"/>
  <c r="P53" i="22"/>
  <c r="Q53" i="22" s="1"/>
  <c r="AV53" i="22" s="1"/>
  <c r="A53" i="22"/>
  <c r="AC53" i="22"/>
  <c r="AJ54" i="22"/>
  <c r="AK54" i="22" s="1"/>
  <c r="AI53" i="22"/>
  <c r="X53" i="22"/>
  <c r="A54" i="22"/>
  <c r="AC50" i="22"/>
  <c r="AW50" i="22" s="1"/>
  <c r="AC49" i="22"/>
  <c r="AW49" i="22" s="1"/>
  <c r="AV50" i="22"/>
  <c r="AT50" i="22"/>
  <c r="S50" i="22"/>
  <c r="AR50" i="22"/>
  <c r="P44" i="22"/>
  <c r="Q44" i="22" s="1"/>
  <c r="S44" i="22" s="1"/>
  <c r="A50" i="22"/>
  <c r="AV49" i="22"/>
  <c r="AT49" i="22"/>
  <c r="AR49" i="22"/>
  <c r="S49" i="22"/>
  <c r="P51" i="22"/>
  <c r="Q51" i="22" s="1"/>
  <c r="AR51" i="22" s="1"/>
  <c r="P48" i="22"/>
  <c r="Q48" i="22" s="1"/>
  <c r="AT48" i="22" s="1"/>
  <c r="P45" i="22"/>
  <c r="Q45" i="22" s="1"/>
  <c r="AC46" i="22"/>
  <c r="AQ46" i="22" s="1"/>
  <c r="AG46" i="22" s="1"/>
  <c r="AC45" i="22"/>
  <c r="AW45" i="22" s="1"/>
  <c r="AC44" i="22"/>
  <c r="AW44" i="22" s="1"/>
  <c r="AV46" i="22"/>
  <c r="S46" i="22"/>
  <c r="AR46" i="22"/>
  <c r="AT46" i="22"/>
  <c r="A46" i="22"/>
  <c r="A45" i="22"/>
  <c r="A44" i="22"/>
  <c r="AR52" i="22"/>
  <c r="R52" i="22"/>
  <c r="S52" i="22" s="1"/>
  <c r="AQ52" i="22"/>
  <c r="AG52" i="22" s="1"/>
  <c r="AE52" i="22"/>
  <c r="AT52" i="22"/>
  <c r="AU52" i="22"/>
  <c r="X52" i="22"/>
  <c r="AW52" i="22"/>
  <c r="AC51" i="22"/>
  <c r="AD51" i="22" s="1"/>
  <c r="AE51" i="22" s="1"/>
  <c r="AC48" i="22"/>
  <c r="AD48" i="22" s="1"/>
  <c r="AE48" i="22" s="1"/>
  <c r="AC47" i="22"/>
  <c r="AQ47" i="22" s="1"/>
  <c r="AG47" i="22" s="1"/>
  <c r="A51" i="22"/>
  <c r="A48" i="22"/>
  <c r="AR47" i="22"/>
  <c r="AV47" i="22"/>
  <c r="S47" i="22"/>
  <c r="AT47" i="22"/>
  <c r="AC43" i="22"/>
  <c r="AW43" i="22" s="1"/>
  <c r="A43" i="22"/>
  <c r="A42" i="22"/>
  <c r="AV43" i="22"/>
  <c r="AT43" i="22"/>
  <c r="AR43" i="22"/>
  <c r="R43" i="22"/>
  <c r="S43" i="22" s="1"/>
  <c r="AR42" i="22" l="1"/>
  <c r="AT42" i="22"/>
  <c r="AV42" i="22"/>
  <c r="AW42" i="22"/>
  <c r="AD42" i="22"/>
  <c r="AE42" i="22" s="1"/>
  <c r="AP42" i="22" s="1"/>
  <c r="AF42" i="22" s="1"/>
  <c r="AW30" i="22"/>
  <c r="AU31" i="22"/>
  <c r="AU30" i="22"/>
  <c r="AQ30" i="22"/>
  <c r="AG30" i="22" s="1"/>
  <c r="AQ42" i="22"/>
  <c r="AG42" i="22" s="1"/>
  <c r="AU29" i="22"/>
  <c r="AW29" i="22"/>
  <c r="AQ49" i="22"/>
  <c r="AG49" i="22" s="1"/>
  <c r="AD34" i="22"/>
  <c r="AE34" i="22" s="1"/>
  <c r="AP34" i="22" s="1"/>
  <c r="AF34" i="22" s="1"/>
  <c r="AU34" i="22"/>
  <c r="AW34" i="22"/>
  <c r="AW27" i="22"/>
  <c r="AU27" i="22"/>
  <c r="AU44" i="22"/>
  <c r="AD27" i="22"/>
  <c r="AE27" i="22" s="1"/>
  <c r="AP27" i="22" s="1"/>
  <c r="AF27" i="22" s="1"/>
  <c r="AU54" i="22"/>
  <c r="AQ54" i="22"/>
  <c r="AG54" i="22" s="1"/>
  <c r="AQ31" i="22"/>
  <c r="AG31" i="22" s="1"/>
  <c r="AU49" i="22"/>
  <c r="AW54" i="22"/>
  <c r="AD31" i="22"/>
  <c r="AE31" i="22" s="1"/>
  <c r="AD44" i="22"/>
  <c r="AE44" i="22" s="1"/>
  <c r="AP44" i="22" s="1"/>
  <c r="AF44" i="22" s="1"/>
  <c r="AR54" i="22"/>
  <c r="AD49" i="22"/>
  <c r="AE49" i="22" s="1"/>
  <c r="AP49" i="22" s="1"/>
  <c r="AF49" i="22" s="1"/>
  <c r="AR31" i="22"/>
  <c r="S31" i="22"/>
  <c r="AT29" i="22"/>
  <c r="AR29" i="22"/>
  <c r="AV29" i="22"/>
  <c r="AQ29" i="22"/>
  <c r="AG29" i="22" s="1"/>
  <c r="AT31" i="22"/>
  <c r="AV31" i="22"/>
  <c r="AP29" i="22"/>
  <c r="AF29" i="22" s="1"/>
  <c r="AP30" i="22"/>
  <c r="AF30" i="22" s="1"/>
  <c r="AD50" i="22"/>
  <c r="AE50" i="22" s="1"/>
  <c r="AP50" i="22" s="1"/>
  <c r="AF50" i="22" s="1"/>
  <c r="AT54" i="22"/>
  <c r="R54" i="22"/>
  <c r="S54" i="22" s="1"/>
  <c r="AP54" i="22" s="1"/>
  <c r="AF54" i="22" s="1"/>
  <c r="AD45" i="22"/>
  <c r="AE45" i="22" s="1"/>
  <c r="AR44" i="22"/>
  <c r="AT44" i="22"/>
  <c r="AU45" i="22"/>
  <c r="AD43" i="22"/>
  <c r="AE43" i="22" s="1"/>
  <c r="AP43" i="22" s="1"/>
  <c r="AF43" i="22" s="1"/>
  <c r="AV54" i="22"/>
  <c r="AQ43" i="22"/>
  <c r="AG43" i="22" s="1"/>
  <c r="AU43" i="22"/>
  <c r="AQ45" i="22"/>
  <c r="AG45" i="22" s="1"/>
  <c r="AR53" i="22"/>
  <c r="R53" i="22"/>
  <c r="S53" i="22" s="1"/>
  <c r="AT53" i="22"/>
  <c r="AV44" i="22"/>
  <c r="AJ53" i="22"/>
  <c r="AK53" i="22" s="1"/>
  <c r="AQ44" i="22"/>
  <c r="AG44" i="22" s="1"/>
  <c r="AQ53" i="22"/>
  <c r="AG53" i="22" s="1"/>
  <c r="AW53" i="22"/>
  <c r="AD53" i="22"/>
  <c r="AE53" i="22" s="1"/>
  <c r="AU53" i="22"/>
  <c r="AQ50" i="22"/>
  <c r="AG50" i="22" s="1"/>
  <c r="AU50" i="22"/>
  <c r="AU51" i="22"/>
  <c r="AW51" i="22"/>
  <c r="AT51" i="22"/>
  <c r="AV51" i="22"/>
  <c r="AQ51" i="22"/>
  <c r="AG51" i="22" s="1"/>
  <c r="S51" i="22"/>
  <c r="AP51" i="22" s="1"/>
  <c r="AF51" i="22" s="1"/>
  <c r="R48" i="22"/>
  <c r="S48" i="22" s="1"/>
  <c r="AP48" i="22" s="1"/>
  <c r="AF48" i="22" s="1"/>
  <c r="AV48" i="22"/>
  <c r="AR48" i="22"/>
  <c r="AW48" i="22"/>
  <c r="AU48" i="22"/>
  <c r="AQ48" i="22"/>
  <c r="AG48" i="22" s="1"/>
  <c r="AR45" i="22"/>
  <c r="AT45" i="22"/>
  <c r="S45" i="22"/>
  <c r="AW46" i="22"/>
  <c r="AV45" i="22"/>
  <c r="AD47" i="22"/>
  <c r="AE47" i="22" s="1"/>
  <c r="AP47" i="22" s="1"/>
  <c r="AF47" i="22" s="1"/>
  <c r="AU46" i="22"/>
  <c r="AD46" i="22"/>
  <c r="AE46" i="22" s="1"/>
  <c r="AP46" i="22" s="1"/>
  <c r="AF46" i="22" s="1"/>
  <c r="AW47" i="22"/>
  <c r="AU47" i="22"/>
  <c r="AP52" i="22"/>
  <c r="AF52" i="22" s="1"/>
  <c r="AP31" i="22" l="1"/>
  <c r="AF31" i="22" s="1"/>
  <c r="AP45" i="22"/>
  <c r="AF45" i="22" s="1"/>
  <c r="AP53" i="22"/>
  <c r="AF53" i="22" s="1"/>
  <c r="AW41" i="22"/>
  <c r="AU41" i="22"/>
  <c r="AS41" i="22"/>
  <c r="AJ41" i="22"/>
  <c r="AI41" i="22" s="1"/>
  <c r="R41" i="22"/>
  <c r="Q41" i="22" s="1"/>
  <c r="AV41" i="22" s="1"/>
  <c r="E41" i="22"/>
  <c r="D41" i="22"/>
  <c r="C41" i="22"/>
  <c r="AW40" i="22"/>
  <c r="AU40" i="22"/>
  <c r="AS40" i="22"/>
  <c r="R40" i="22"/>
  <c r="Q40" i="22" s="1"/>
  <c r="AV40" i="22" s="1"/>
  <c r="E40" i="22"/>
  <c r="D40" i="22"/>
  <c r="C40" i="22"/>
  <c r="K39" i="22"/>
  <c r="L39" i="22" s="1"/>
  <c r="J39" i="22"/>
  <c r="J38" i="22"/>
  <c r="AS39" i="22"/>
  <c r="AB39" i="22"/>
  <c r="AC39" i="22" s="1"/>
  <c r="M39" i="22"/>
  <c r="E39" i="22"/>
  <c r="D39" i="22"/>
  <c r="C39" i="22"/>
  <c r="AS38" i="22"/>
  <c r="AM38" i="22"/>
  <c r="AL38" i="22" s="1"/>
  <c r="AB38" i="22"/>
  <c r="U38" i="22"/>
  <c r="M38" i="22"/>
  <c r="K38" i="22"/>
  <c r="L38" i="22" s="1"/>
  <c r="E38" i="22"/>
  <c r="D38" i="22"/>
  <c r="C38" i="22"/>
  <c r="AS37" i="22"/>
  <c r="AA37" i="22"/>
  <c r="AB37" i="22" s="1"/>
  <c r="U37" i="22"/>
  <c r="AH37" i="22" s="1"/>
  <c r="P37" i="22"/>
  <c r="Q37" i="22" s="1"/>
  <c r="AR37" i="22" s="1"/>
  <c r="L37" i="22"/>
  <c r="E37" i="22"/>
  <c r="D37" i="22"/>
  <c r="C37" i="22"/>
  <c r="AS36" i="22"/>
  <c r="AL36" i="22"/>
  <c r="AB36" i="22"/>
  <c r="U36" i="22"/>
  <c r="X36" i="22" s="1"/>
  <c r="K36" i="22"/>
  <c r="L36" i="22" s="1"/>
  <c r="J36" i="22"/>
  <c r="E36" i="22"/>
  <c r="D36" i="22"/>
  <c r="C36" i="22"/>
  <c r="AS35" i="22"/>
  <c r="AM35" i="22"/>
  <c r="AL35" i="22" s="1"/>
  <c r="AH35" i="22"/>
  <c r="AB35" i="22"/>
  <c r="X35" i="22"/>
  <c r="T35" i="22"/>
  <c r="L35" i="22"/>
  <c r="P35" i="22"/>
  <c r="Q35" i="22" s="1"/>
  <c r="E35" i="22"/>
  <c r="D35" i="22"/>
  <c r="C35" i="22"/>
  <c r="AS33" i="22"/>
  <c r="AL33" i="22"/>
  <c r="AJ33" i="22"/>
  <c r="AK33" i="22" s="1"/>
  <c r="AH33" i="22"/>
  <c r="AB33" i="22"/>
  <c r="U33" i="22"/>
  <c r="X33" i="22" s="1"/>
  <c r="L33" i="22"/>
  <c r="E33" i="22"/>
  <c r="D33" i="22"/>
  <c r="C33" i="22"/>
  <c r="AS32" i="22"/>
  <c r="AH32" i="22"/>
  <c r="AB32" i="22"/>
  <c r="U32" i="22"/>
  <c r="T32" i="22"/>
  <c r="K32" i="22"/>
  <c r="E32" i="22"/>
  <c r="D32" i="22"/>
  <c r="C32" i="22"/>
  <c r="A32" i="22" s="1"/>
  <c r="AS28" i="22"/>
  <c r="AM28" i="22"/>
  <c r="AL28" i="22" s="1"/>
  <c r="AJ28" i="22"/>
  <c r="AI28" i="22" s="1"/>
  <c r="AB28" i="22"/>
  <c r="U28" i="22"/>
  <c r="X28" i="22" s="1"/>
  <c r="L28" i="22"/>
  <c r="J28" i="22"/>
  <c r="P28" i="22" s="1"/>
  <c r="Q28" i="22" s="1"/>
  <c r="E28" i="22"/>
  <c r="D28" i="22"/>
  <c r="C28" i="22"/>
  <c r="AS26" i="22"/>
  <c r="AM26" i="22"/>
  <c r="AL26" i="22" s="1"/>
  <c r="AJ26" i="22"/>
  <c r="AI26" i="22" s="1"/>
  <c r="AB26" i="22"/>
  <c r="U26" i="22"/>
  <c r="X26" i="22" s="1"/>
  <c r="K26" i="22"/>
  <c r="L26" i="22" s="1"/>
  <c r="T26" i="22" s="1"/>
  <c r="J26" i="22"/>
  <c r="E26" i="22"/>
  <c r="D26" i="22"/>
  <c r="C26" i="22"/>
  <c r="P39" i="22" l="1"/>
  <c r="Q39" i="22" s="1"/>
  <c r="AR39" i="22" s="1"/>
  <c r="P36" i="22"/>
  <c r="Q36" i="22" s="1"/>
  <c r="AT36" i="22" s="1"/>
  <c r="P38" i="22"/>
  <c r="Q38" i="22" s="1"/>
  <c r="R38" i="22" s="1"/>
  <c r="S38" i="22" s="1"/>
  <c r="A41" i="22"/>
  <c r="AT41" i="22"/>
  <c r="AT40" i="22"/>
  <c r="A40" i="22"/>
  <c r="AC38" i="22"/>
  <c r="AU38" i="22" s="1"/>
  <c r="AW39" i="22"/>
  <c r="AU39" i="22"/>
  <c r="AD39" i="22"/>
  <c r="AE39" i="22" s="1"/>
  <c r="A39" i="22"/>
  <c r="AI38" i="22"/>
  <c r="X38" i="22"/>
  <c r="AI39" i="22"/>
  <c r="A38" i="22"/>
  <c r="X39" i="22"/>
  <c r="P33" i="22"/>
  <c r="Q33" i="22" s="1"/>
  <c r="AT33" i="22" s="1"/>
  <c r="AC36" i="22"/>
  <c r="AD36" i="22" s="1"/>
  <c r="AE36" i="22" s="1"/>
  <c r="AC37" i="22"/>
  <c r="AW37" i="22" s="1"/>
  <c r="A37" i="22"/>
  <c r="AT37" i="22"/>
  <c r="AV37" i="22"/>
  <c r="R37" i="22"/>
  <c r="S37" i="22" s="1"/>
  <c r="X37" i="22"/>
  <c r="P32" i="22"/>
  <c r="Q32" i="22" s="1"/>
  <c r="AR32" i="22" s="1"/>
  <c r="P26" i="22"/>
  <c r="Q26" i="22" s="1"/>
  <c r="AV26" i="22" s="1"/>
  <c r="AC26" i="22"/>
  <c r="AD26" i="22" s="1"/>
  <c r="AE26" i="22" s="1"/>
  <c r="L32" i="22"/>
  <c r="A36" i="22"/>
  <c r="AI36" i="22"/>
  <c r="AC35" i="22"/>
  <c r="AQ35" i="22" s="1"/>
  <c r="AG35" i="22" s="1"/>
  <c r="AC33" i="22"/>
  <c r="AD33" i="22" s="1"/>
  <c r="AE33" i="22" s="1"/>
  <c r="X32" i="22"/>
  <c r="AC32" i="22"/>
  <c r="A35" i="22"/>
  <c r="A33" i="22"/>
  <c r="AV35" i="22"/>
  <c r="AT35" i="22"/>
  <c r="AR35" i="22"/>
  <c r="S35" i="22"/>
  <c r="AC28" i="22"/>
  <c r="AW28" i="22" s="1"/>
  <c r="A28" i="22"/>
  <c r="AV28" i="22"/>
  <c r="AT28" i="22"/>
  <c r="AR28" i="22"/>
  <c r="R28" i="22"/>
  <c r="S28" i="22" s="1"/>
  <c r="A26" i="22"/>
  <c r="AW3" i="22"/>
  <c r="AU3" i="22"/>
  <c r="AS3" i="22"/>
  <c r="AJ3" i="22"/>
  <c r="AI3" i="22" s="1"/>
  <c r="R3" i="22"/>
  <c r="Q3" i="22" s="1"/>
  <c r="AV3" i="22" s="1"/>
  <c r="E3" i="22"/>
  <c r="D3" i="22"/>
  <c r="C3" i="22"/>
  <c r="AB17" i="22"/>
  <c r="AB16" i="22"/>
  <c r="AU36" i="22" l="1"/>
  <c r="AQ36" i="22"/>
  <c r="AG36" i="22" s="1"/>
  <c r="AV36" i="22"/>
  <c r="AT39" i="22"/>
  <c r="AW36" i="22"/>
  <c r="R39" i="22"/>
  <c r="S39" i="22" s="1"/>
  <c r="AV39" i="22"/>
  <c r="AQ39" i="22"/>
  <c r="AG39" i="22" s="1"/>
  <c r="S36" i="22"/>
  <c r="AD38" i="22"/>
  <c r="AE38" i="22" s="1"/>
  <c r="AR36" i="22"/>
  <c r="AW38" i="22"/>
  <c r="R33" i="22"/>
  <c r="S33" i="22" s="1"/>
  <c r="AP33" i="22" s="1"/>
  <c r="AF33" i="22" s="1"/>
  <c r="AR38" i="22"/>
  <c r="AV33" i="22"/>
  <c r="AV38" i="22"/>
  <c r="AT38" i="22"/>
  <c r="AD35" i="22"/>
  <c r="AE35" i="22" s="1"/>
  <c r="AP35" i="22" s="1"/>
  <c r="AF35" i="22" s="1"/>
  <c r="AU35" i="22"/>
  <c r="AR33" i="22"/>
  <c r="AJ38" i="22"/>
  <c r="AK38" i="22" s="1"/>
  <c r="AJ39" i="22"/>
  <c r="AK39" i="22" s="1"/>
  <c r="AQ38" i="22"/>
  <c r="AG38" i="22" s="1"/>
  <c r="AW33" i="22"/>
  <c r="AW35" i="22"/>
  <c r="AU26" i="22"/>
  <c r="AW26" i="22"/>
  <c r="AQ28" i="22"/>
  <c r="AG28" i="22" s="1"/>
  <c r="AR26" i="22"/>
  <c r="R26" i="22"/>
  <c r="S26" i="22" s="1"/>
  <c r="AP26" i="22" s="1"/>
  <c r="AF26" i="22" s="1"/>
  <c r="AD28" i="22"/>
  <c r="AE28" i="22" s="1"/>
  <c r="AP28" i="22" s="1"/>
  <c r="AF28" i="22" s="1"/>
  <c r="AT32" i="22"/>
  <c r="AU28" i="22"/>
  <c r="AQ26" i="22"/>
  <c r="AG26" i="22" s="1"/>
  <c r="AT26" i="22"/>
  <c r="AU33" i="22"/>
  <c r="AV32" i="22"/>
  <c r="AU37" i="22"/>
  <c r="S32" i="22"/>
  <c r="AQ32" i="22"/>
  <c r="AG32" i="22" s="1"/>
  <c r="AQ37" i="22"/>
  <c r="AG37" i="22" s="1"/>
  <c r="AD37" i="22"/>
  <c r="AE37" i="22" s="1"/>
  <c r="AP37" i="22" s="1"/>
  <c r="AF37" i="22" s="1"/>
  <c r="AW32" i="22"/>
  <c r="AD32" i="22"/>
  <c r="AE32" i="22" s="1"/>
  <c r="AU32" i="22"/>
  <c r="AJ36" i="22"/>
  <c r="AK36" i="22" s="1"/>
  <c r="AQ33" i="22"/>
  <c r="AG33" i="22" s="1"/>
  <c r="A3" i="22"/>
  <c r="AT3" i="22"/>
  <c r="AS6" i="22"/>
  <c r="AM6" i="22"/>
  <c r="AL6" i="22" s="1"/>
  <c r="AJ6" i="22"/>
  <c r="AI6" i="22" s="1"/>
  <c r="AB6" i="22"/>
  <c r="U6" i="22"/>
  <c r="X6" i="22" s="1"/>
  <c r="L6" i="22"/>
  <c r="J6" i="22"/>
  <c r="P6" i="22" s="1"/>
  <c r="Q6" i="22" s="1"/>
  <c r="E6" i="22"/>
  <c r="D6" i="22"/>
  <c r="C6" i="22"/>
  <c r="AS5" i="22"/>
  <c r="AM5" i="22"/>
  <c r="AL5" i="22" s="1"/>
  <c r="AJ5" i="22"/>
  <c r="AI5" i="22" s="1"/>
  <c r="AB5" i="22"/>
  <c r="U5" i="22"/>
  <c r="X5" i="22" s="1"/>
  <c r="L5" i="22"/>
  <c r="J5" i="22"/>
  <c r="P5" i="22" s="1"/>
  <c r="Q5" i="22" s="1"/>
  <c r="E5" i="22"/>
  <c r="D5" i="22"/>
  <c r="C5" i="22"/>
  <c r="I12" i="22"/>
  <c r="L12" i="22" s="1"/>
  <c r="I11" i="22"/>
  <c r="L11" i="22" s="1"/>
  <c r="AS11" i="22"/>
  <c r="AM11" i="22"/>
  <c r="AL11" i="22" s="1"/>
  <c r="AB11" i="22"/>
  <c r="AC11" i="22" s="1"/>
  <c r="X11" i="22"/>
  <c r="P11" i="22"/>
  <c r="E11" i="22"/>
  <c r="D11" i="22"/>
  <c r="C11" i="22"/>
  <c r="AS8" i="22"/>
  <c r="AH8" i="22"/>
  <c r="AB8" i="22"/>
  <c r="U8" i="22"/>
  <c r="X8" i="22" s="1"/>
  <c r="T8" i="22"/>
  <c r="K8" i="22"/>
  <c r="L8" i="22" s="1"/>
  <c r="E8" i="22"/>
  <c r="D8" i="22"/>
  <c r="C8" i="22"/>
  <c r="AS14" i="22"/>
  <c r="AA14" i="22"/>
  <c r="AB14" i="22" s="1"/>
  <c r="AH14" i="22"/>
  <c r="P14" i="22"/>
  <c r="Q14" i="22" s="1"/>
  <c r="AV14" i="22" s="1"/>
  <c r="L14" i="22"/>
  <c r="E14" i="22"/>
  <c r="D14" i="22"/>
  <c r="C14" i="22"/>
  <c r="A14" i="22" s="1"/>
  <c r="AS13" i="22"/>
  <c r="AA13" i="22"/>
  <c r="AB13" i="22" s="1"/>
  <c r="U13" i="22"/>
  <c r="AH13" i="22" s="1"/>
  <c r="P13" i="22"/>
  <c r="Q13" i="22" s="1"/>
  <c r="L13" i="22"/>
  <c r="E13" i="22"/>
  <c r="D13" i="22"/>
  <c r="C13" i="22"/>
  <c r="A13" i="22" s="1"/>
  <c r="K16" i="22"/>
  <c r="L16" i="22" s="1"/>
  <c r="AW25" i="22"/>
  <c r="AU25" i="22"/>
  <c r="AS25" i="22"/>
  <c r="R25" i="22"/>
  <c r="Q25" i="22" s="1"/>
  <c r="AV25" i="22" s="1"/>
  <c r="E25" i="22"/>
  <c r="D25" i="22"/>
  <c r="C25" i="22"/>
  <c r="AW24" i="22"/>
  <c r="AU24" i="22"/>
  <c r="AS24" i="22"/>
  <c r="AJ24" i="22"/>
  <c r="AI24" i="22" s="1"/>
  <c r="R24" i="22"/>
  <c r="Q24" i="22" s="1"/>
  <c r="AV24" i="22" s="1"/>
  <c r="E24" i="22"/>
  <c r="D24" i="22"/>
  <c r="C24" i="22"/>
  <c r="AW23" i="22"/>
  <c r="AU23" i="22"/>
  <c r="AS23" i="22"/>
  <c r="AM23" i="22"/>
  <c r="AL23" i="22" s="1"/>
  <c r="Q23" i="22"/>
  <c r="AV23" i="22" s="1"/>
  <c r="E23" i="22"/>
  <c r="D23" i="22"/>
  <c r="C23" i="22"/>
  <c r="AW22" i="22"/>
  <c r="AU22" i="22"/>
  <c r="AS22" i="22"/>
  <c r="R22" i="22"/>
  <c r="Q22" i="22" s="1"/>
  <c r="AV22" i="22" s="1"/>
  <c r="E22" i="22"/>
  <c r="D22" i="22"/>
  <c r="C22" i="22"/>
  <c r="AW21" i="22"/>
  <c r="AU21" i="22"/>
  <c r="AS21" i="22"/>
  <c r="R21" i="22"/>
  <c r="Q21" i="22" s="1"/>
  <c r="AV21" i="22" s="1"/>
  <c r="E21" i="22"/>
  <c r="D21" i="22"/>
  <c r="C21" i="22"/>
  <c r="AW20" i="22"/>
  <c r="AU20" i="22"/>
  <c r="AS20" i="22"/>
  <c r="R20" i="22"/>
  <c r="Q20" i="22" s="1"/>
  <c r="E20" i="22"/>
  <c r="D20" i="22"/>
  <c r="C20" i="22"/>
  <c r="AW19" i="22"/>
  <c r="AU19" i="22"/>
  <c r="AS19" i="22"/>
  <c r="Q19" i="22"/>
  <c r="AV19" i="22" s="1"/>
  <c r="E19" i="22"/>
  <c r="D19" i="22"/>
  <c r="C19" i="22"/>
  <c r="AW18" i="22"/>
  <c r="AU18" i="22"/>
  <c r="AS18" i="22"/>
  <c r="Q18" i="22"/>
  <c r="AV18" i="22" s="1"/>
  <c r="E18" i="22"/>
  <c r="D18" i="22"/>
  <c r="C18" i="22"/>
  <c r="AS17" i="22"/>
  <c r="U17" i="22"/>
  <c r="M17" i="22"/>
  <c r="P17" i="22" s="1"/>
  <c r="Q17" i="22" s="1"/>
  <c r="L17" i="22"/>
  <c r="E17" i="22"/>
  <c r="D17" i="22"/>
  <c r="C17" i="22"/>
  <c r="AS16" i="22"/>
  <c r="AM16" i="22"/>
  <c r="AL16" i="22" s="1"/>
  <c r="U16" i="22"/>
  <c r="X16" i="22" s="1"/>
  <c r="M16" i="22"/>
  <c r="E16" i="22"/>
  <c r="D16" i="22"/>
  <c r="C16" i="22"/>
  <c r="AS15" i="22"/>
  <c r="AA15" i="22"/>
  <c r="AB15" i="22" s="1"/>
  <c r="AH15" i="22"/>
  <c r="P15" i="22"/>
  <c r="Q15" i="22" s="1"/>
  <c r="L15" i="22"/>
  <c r="E15" i="22"/>
  <c r="D15" i="22"/>
  <c r="C15" i="22"/>
  <c r="AS12" i="22"/>
  <c r="AB12" i="22"/>
  <c r="X12" i="22"/>
  <c r="P12" i="22"/>
  <c r="E12" i="22"/>
  <c r="D12" i="22"/>
  <c r="C12" i="22"/>
  <c r="AS10" i="22"/>
  <c r="AL10" i="22"/>
  <c r="AJ10" i="22"/>
  <c r="AK10" i="22" s="1"/>
  <c r="AH10" i="22"/>
  <c r="AB10" i="22"/>
  <c r="U10" i="22"/>
  <c r="L10" i="22"/>
  <c r="E10" i="22"/>
  <c r="D10" i="22"/>
  <c r="C10" i="22"/>
  <c r="AS9" i="22"/>
  <c r="AH9" i="22"/>
  <c r="AB9" i="22"/>
  <c r="U9" i="22"/>
  <c r="T9" i="22"/>
  <c r="K9" i="22"/>
  <c r="L9" i="22" s="1"/>
  <c r="E9" i="22"/>
  <c r="D9" i="22"/>
  <c r="C9" i="22"/>
  <c r="A9" i="22" s="1"/>
  <c r="AS7" i="22"/>
  <c r="AM7" i="22"/>
  <c r="AL7" i="22" s="1"/>
  <c r="AJ7" i="22"/>
  <c r="AI7" i="22" s="1"/>
  <c r="AB7" i="22"/>
  <c r="U7" i="22"/>
  <c r="X7" i="22" s="1"/>
  <c r="L7" i="22"/>
  <c r="J7" i="22"/>
  <c r="P7" i="22" s="1"/>
  <c r="Q7" i="22" s="1"/>
  <c r="E7" i="22"/>
  <c r="D7" i="22"/>
  <c r="C7" i="22"/>
  <c r="AS4" i="22"/>
  <c r="AM4" i="22"/>
  <c r="AL4" i="22" s="1"/>
  <c r="AJ4" i="22"/>
  <c r="AI4" i="22" s="1"/>
  <c r="AB4" i="22"/>
  <c r="U4" i="22"/>
  <c r="X4" i="22" s="1"/>
  <c r="K4" i="22"/>
  <c r="L4" i="22" s="1"/>
  <c r="T4" i="22" s="1"/>
  <c r="J4" i="22"/>
  <c r="E4" i="22"/>
  <c r="D4" i="22"/>
  <c r="C4" i="22"/>
  <c r="AP39" i="22" l="1"/>
  <c r="AF39" i="22" s="1"/>
  <c r="AP38" i="22"/>
  <c r="AF38" i="22" s="1"/>
  <c r="AP36" i="22"/>
  <c r="AF36" i="22" s="1"/>
  <c r="AP32" i="22"/>
  <c r="AF32" i="22" s="1"/>
  <c r="X17" i="22"/>
  <c r="Q11" i="22"/>
  <c r="S11" i="22" s="1"/>
  <c r="P16" i="22"/>
  <c r="Q16" i="22" s="1"/>
  <c r="R16" i="22" s="1"/>
  <c r="S16" i="22" s="1"/>
  <c r="T12" i="22"/>
  <c r="P4" i="22"/>
  <c r="Q4" i="22" s="1"/>
  <c r="AT4" i="22" s="1"/>
  <c r="AC4" i="22"/>
  <c r="AU4" i="22" s="1"/>
  <c r="A6" i="22"/>
  <c r="T11" i="22"/>
  <c r="AH12" i="22"/>
  <c r="A8" i="22"/>
  <c r="R14" i="22"/>
  <c r="S14" i="22" s="1"/>
  <c r="AH11" i="22"/>
  <c r="AU11" i="22" s="1"/>
  <c r="Q12" i="22"/>
  <c r="S12" i="22" s="1"/>
  <c r="AC6" i="22"/>
  <c r="AD6" i="22" s="1"/>
  <c r="AE6" i="22" s="1"/>
  <c r="AC5" i="22"/>
  <c r="AD5" i="22" s="1"/>
  <c r="AE5" i="22" s="1"/>
  <c r="AV6" i="22"/>
  <c r="AT6" i="22"/>
  <c r="AR6" i="22"/>
  <c r="R6" i="22"/>
  <c r="S6" i="22" s="1"/>
  <c r="AR5" i="22"/>
  <c r="AV5" i="22"/>
  <c r="AT5" i="22"/>
  <c r="R5" i="22"/>
  <c r="S5" i="22" s="1"/>
  <c r="A5" i="22"/>
  <c r="AD11" i="22"/>
  <c r="AE11" i="22" s="1"/>
  <c r="A11" i="22"/>
  <c r="P8" i="22"/>
  <c r="Q8" i="22" s="1"/>
  <c r="AR8" i="22" s="1"/>
  <c r="AC8" i="22"/>
  <c r="AW8" i="22" s="1"/>
  <c r="AC14" i="22"/>
  <c r="AR14" i="22"/>
  <c r="AC13" i="22"/>
  <c r="AT14" i="22"/>
  <c r="X14" i="22"/>
  <c r="R13" i="22"/>
  <c r="S13" i="22" s="1"/>
  <c r="AR13" i="22"/>
  <c r="AT13" i="22"/>
  <c r="AV13" i="22"/>
  <c r="X13" i="22"/>
  <c r="AC7" i="22"/>
  <c r="AD7" i="22" s="1"/>
  <c r="AE7" i="22" s="1"/>
  <c r="P9" i="22"/>
  <c r="Q9" i="22" s="1"/>
  <c r="AR9" i="22" s="1"/>
  <c r="AC17" i="22"/>
  <c r="AW17" i="22" s="1"/>
  <c r="P10" i="22"/>
  <c r="Q10" i="22" s="1"/>
  <c r="AR10" i="22" s="1"/>
  <c r="AT25" i="22"/>
  <c r="A25" i="22"/>
  <c r="A24" i="22"/>
  <c r="AT24" i="22"/>
  <c r="A23" i="22"/>
  <c r="AT23" i="22"/>
  <c r="AT22" i="22"/>
  <c r="A22" i="22"/>
  <c r="AT21" i="22"/>
  <c r="A21" i="22"/>
  <c r="AV20" i="22"/>
  <c r="AT20" i="22"/>
  <c r="A20" i="22"/>
  <c r="AT19" i="22"/>
  <c r="A19" i="22"/>
  <c r="AT18" i="22"/>
  <c r="A18" i="22"/>
  <c r="AC16" i="22"/>
  <c r="AD16" i="22" s="1"/>
  <c r="AE16" i="22" s="1"/>
  <c r="AC10" i="22"/>
  <c r="AD10" i="22" s="1"/>
  <c r="AE10" i="22" s="1"/>
  <c r="A17" i="22"/>
  <c r="AV17" i="22"/>
  <c r="AT17" i="22"/>
  <c r="AR17" i="22"/>
  <c r="R17" i="22"/>
  <c r="S17" i="22" s="1"/>
  <c r="AI16" i="22"/>
  <c r="AI17" i="22"/>
  <c r="A16" i="22"/>
  <c r="AC15" i="22"/>
  <c r="A15" i="22"/>
  <c r="AT15" i="22"/>
  <c r="AR15" i="22"/>
  <c r="R15" i="22"/>
  <c r="S15" i="22" s="1"/>
  <c r="AV15" i="22"/>
  <c r="X15" i="22"/>
  <c r="AC12" i="22"/>
  <c r="X9" i="22"/>
  <c r="AC9" i="22"/>
  <c r="AD9" i="22" s="1"/>
  <c r="AE9" i="22" s="1"/>
  <c r="A12" i="22"/>
  <c r="A10" i="22"/>
  <c r="X10" i="22"/>
  <c r="A7" i="22"/>
  <c r="A4" i="22"/>
  <c r="AV7" i="22"/>
  <c r="AR7" i="22"/>
  <c r="R7" i="22"/>
  <c r="S7" i="22" s="1"/>
  <c r="AT7" i="22"/>
  <c r="AR11" i="22" l="1"/>
  <c r="AU14" i="22"/>
  <c r="AW15" i="22"/>
  <c r="AW13" i="22"/>
  <c r="AR16" i="22"/>
  <c r="AT16" i="22"/>
  <c r="AV16" i="22"/>
  <c r="AU12" i="22"/>
  <c r="AR12" i="22"/>
  <c r="AW4" i="22"/>
  <c r="AD4" i="22"/>
  <c r="AE4" i="22" s="1"/>
  <c r="AT12" i="22"/>
  <c r="AV12" i="22"/>
  <c r="AQ12" i="22"/>
  <c r="AG12" i="22" s="1"/>
  <c r="AW11" i="22"/>
  <c r="AR4" i="22"/>
  <c r="AV4" i="22"/>
  <c r="R4" i="22"/>
  <c r="S4" i="22" s="1"/>
  <c r="AQ4" i="22"/>
  <c r="AG4" i="22" s="1"/>
  <c r="AU5" i="22"/>
  <c r="AQ11" i="22"/>
  <c r="AG11" i="22" s="1"/>
  <c r="R10" i="22"/>
  <c r="S10" i="22" s="1"/>
  <c r="AP10" i="22" s="1"/>
  <c r="AF10" i="22" s="1"/>
  <c r="AT11" i="22"/>
  <c r="AV11" i="22"/>
  <c r="AD8" i="22"/>
  <c r="AE8" i="22" s="1"/>
  <c r="AV8" i="22"/>
  <c r="AP11" i="22"/>
  <c r="AF11" i="22" s="1"/>
  <c r="AW12" i="22"/>
  <c r="AU8" i="22"/>
  <c r="AQ6" i="22"/>
  <c r="AG6" i="22" s="1"/>
  <c r="AW5" i="22"/>
  <c r="AQ7" i="22"/>
  <c r="AG7" i="22" s="1"/>
  <c r="AU7" i="22"/>
  <c r="AU6" i="22"/>
  <c r="AQ5" i="22"/>
  <c r="AG5" i="22" s="1"/>
  <c r="AW6" i="22"/>
  <c r="AW7" i="22"/>
  <c r="AP6" i="22"/>
  <c r="AF6" i="22" s="1"/>
  <c r="AP5" i="22"/>
  <c r="AF5" i="22" s="1"/>
  <c r="AD12" i="22"/>
  <c r="AE12" i="22" s="1"/>
  <c r="AP12" i="22" s="1"/>
  <c r="AF12" i="22" s="1"/>
  <c r="AT10" i="22"/>
  <c r="AV10" i="22"/>
  <c r="S8" i="22"/>
  <c r="S9" i="22"/>
  <c r="AP9" i="22" s="1"/>
  <c r="AF9" i="22" s="1"/>
  <c r="AT8" i="22"/>
  <c r="AQ8" i="22"/>
  <c r="AG8" i="22" s="1"/>
  <c r="AT9" i="22"/>
  <c r="AV9" i="22"/>
  <c r="AU9" i="22"/>
  <c r="AQ9" i="22"/>
  <c r="AG9" i="22" s="1"/>
  <c r="AQ13" i="22"/>
  <c r="AG13" i="22" s="1"/>
  <c r="AQ15" i="22"/>
  <c r="AG15" i="22" s="1"/>
  <c r="AD14" i="22"/>
  <c r="AQ14" i="22"/>
  <c r="AG14" i="22" s="1"/>
  <c r="AW14" i="22"/>
  <c r="AD13" i="22"/>
  <c r="AE13" i="22" s="1"/>
  <c r="AU13" i="22"/>
  <c r="AU16" i="22"/>
  <c r="AW16" i="22"/>
  <c r="AQ17" i="22"/>
  <c r="AG17" i="22" s="1"/>
  <c r="AD17" i="22"/>
  <c r="AE17" i="22" s="1"/>
  <c r="AU17" i="22"/>
  <c r="AQ10" i="22"/>
  <c r="AG10" i="22" s="1"/>
  <c r="AU10" i="22"/>
  <c r="AP7" i="22"/>
  <c r="AF7" i="22" s="1"/>
  <c r="AW9" i="22"/>
  <c r="AW10" i="22"/>
  <c r="AJ16" i="22"/>
  <c r="AK16" i="22" s="1"/>
  <c r="AP16" i="22" s="1"/>
  <c r="AF16" i="22" s="1"/>
  <c r="AQ16" i="22"/>
  <c r="AG16" i="22" s="1"/>
  <c r="AJ17" i="22"/>
  <c r="AK17" i="22" s="1"/>
  <c r="AU15" i="22"/>
  <c r="AD15" i="22"/>
  <c r="AE15" i="22" s="1"/>
  <c r="AP15" i="22" l="1"/>
  <c r="AF15" i="22" s="1"/>
  <c r="AP13" i="22"/>
  <c r="AF13" i="22" s="1"/>
  <c r="AE14" i="22"/>
  <c r="AP14" i="22" s="1"/>
  <c r="AF14" i="22" s="1"/>
  <c r="AP4" i="22"/>
  <c r="AF4" i="22" s="1"/>
  <c r="AP8" i="22"/>
  <c r="AF8" i="22" s="1"/>
  <c r="AP17" i="22"/>
  <c r="AF17" i="22" s="1"/>
  <c r="F28" i="23" l="1"/>
  <c r="B34" i="23" l="1"/>
  <c r="C34" i="23"/>
  <c r="D34" i="23"/>
  <c r="E34" i="23"/>
  <c r="F44" i="23" l="1"/>
  <c r="E40" i="23"/>
  <c r="F42" i="23"/>
  <c r="F41" i="23"/>
  <c r="D40" i="23"/>
  <c r="C40" i="23"/>
  <c r="B40" i="23"/>
  <c r="F39" i="23"/>
  <c r="E38" i="23"/>
  <c r="D38" i="23"/>
  <c r="C38" i="23"/>
  <c r="B38" i="23"/>
  <c r="E37" i="23"/>
  <c r="D37" i="23"/>
  <c r="C37" i="23"/>
  <c r="B37" i="23"/>
  <c r="F36" i="23"/>
  <c r="E35" i="23"/>
  <c r="D35" i="23"/>
  <c r="C35" i="23"/>
  <c r="B35" i="23"/>
  <c r="F33" i="23"/>
  <c r="F32" i="23"/>
  <c r="F27" i="23"/>
  <c r="E26" i="23"/>
  <c r="D26" i="23"/>
  <c r="C26" i="23"/>
  <c r="B26" i="23"/>
  <c r="F14" i="23"/>
  <c r="F37" i="23" l="1"/>
  <c r="F38" i="23"/>
  <c r="F34" i="23"/>
  <c r="F35" i="23"/>
  <c r="F40" i="23"/>
  <c r="F26" i="23"/>
  <c r="F43" i="23"/>
  <c r="F45" i="23" l="1"/>
  <c r="E10" i="23" l="1"/>
  <c r="B9" i="23" l="1"/>
  <c r="E8" i="23"/>
  <c r="E13" i="23"/>
  <c r="E7" i="23" s="1"/>
  <c r="C12" i="23"/>
  <c r="E22" i="23"/>
  <c r="D10" i="23"/>
  <c r="D13" i="23"/>
  <c r="E23" i="23"/>
  <c r="B12" i="23"/>
  <c r="C10" i="23"/>
  <c r="B13" i="23"/>
  <c r="E24" i="23"/>
  <c r="C22" i="23"/>
  <c r="B8" i="23"/>
  <c r="C11" i="23"/>
  <c r="D9" i="23"/>
  <c r="B24" i="23"/>
  <c r="D23" i="23"/>
  <c r="C24" i="23"/>
  <c r="E9" i="23"/>
  <c r="B10" i="23"/>
  <c r="D24" i="23"/>
  <c r="D11" i="23"/>
  <c r="D12" i="23"/>
  <c r="C8" i="23"/>
  <c r="E11" i="23"/>
  <c r="C9" i="23"/>
  <c r="D8" i="23"/>
  <c r="E12" i="23"/>
  <c r="C23" i="23"/>
  <c r="C13" i="23"/>
  <c r="B22" i="23"/>
  <c r="D22" i="23"/>
  <c r="B11" i="23"/>
  <c r="B23" i="23"/>
  <c r="B6" i="23" l="1"/>
  <c r="C6" i="23"/>
  <c r="C5" i="23"/>
  <c r="F22" i="23"/>
  <c r="D7" i="23"/>
  <c r="B7" i="23"/>
  <c r="D5" i="23"/>
  <c r="F23" i="23"/>
  <c r="F8" i="23"/>
  <c r="B5" i="23"/>
  <c r="F10" i="23"/>
  <c r="C7" i="23"/>
  <c r="F24" i="23"/>
  <c r="E5" i="23"/>
  <c r="F9" i="23"/>
  <c r="E6" i="23"/>
  <c r="D6" i="23"/>
  <c r="F46" i="23" l="1"/>
  <c r="F12" i="23"/>
  <c r="F6" i="23" l="1"/>
  <c r="F11" i="23"/>
  <c r="C25" i="23" l="1"/>
  <c r="C21" i="23"/>
  <c r="C18" i="23" s="1"/>
  <c r="C52" i="23" s="1"/>
  <c r="D19" i="23"/>
  <c r="D21" i="23"/>
  <c r="D18" i="23" s="1"/>
  <c r="D52" i="23" s="1"/>
  <c r="B21" i="23"/>
  <c r="B18" i="23" s="1"/>
  <c r="B52" i="23" s="1"/>
  <c r="C19" i="23"/>
  <c r="E19" i="23"/>
  <c r="B25" i="23"/>
  <c r="C20" i="23"/>
  <c r="B19" i="23"/>
  <c r="D25" i="23"/>
  <c r="E25" i="23"/>
  <c r="B20" i="23"/>
  <c r="E20" i="23"/>
  <c r="D20" i="23"/>
  <c r="E21" i="23"/>
  <c r="E18" i="23" s="1"/>
  <c r="E52" i="23" s="1"/>
  <c r="F13" i="23"/>
  <c r="C17" i="23" l="1"/>
  <c r="C51" i="23" s="1"/>
  <c r="C16" i="23"/>
  <c r="C49" i="23" s="1"/>
  <c r="B17" i="23"/>
  <c r="B51" i="23" s="1"/>
  <c r="B54" i="23" s="1"/>
  <c r="B16" i="23"/>
  <c r="B49" i="23" s="1"/>
  <c r="D17" i="23"/>
  <c r="D51" i="23" s="1"/>
  <c r="E17" i="23"/>
  <c r="E51" i="23" s="1"/>
  <c r="F21" i="23"/>
  <c r="F5" i="23"/>
  <c r="F20" i="23"/>
  <c r="F7" i="23"/>
  <c r="F19" i="23"/>
  <c r="E16" i="23"/>
  <c r="E49" i="23" s="1"/>
  <c r="F25" i="23"/>
  <c r="D16" i="23"/>
  <c r="D49" i="23" s="1"/>
  <c r="F16" i="23" l="1"/>
  <c r="F17" i="23"/>
  <c r="F49" i="23"/>
  <c r="F52" i="23"/>
  <c r="F18" i="23"/>
  <c r="F51" i="23" l="1"/>
</calcChain>
</file>

<file path=xl/comments1.xml><?xml version="1.0" encoding="utf-8"?>
<comments xmlns="http://schemas.openxmlformats.org/spreadsheetml/2006/main">
  <authors>
    <author>Адель</author>
  </authors>
  <commentList>
    <comment ref="C30" authorId="0" shapeId="0">
      <text>
        <r>
          <rPr>
            <b/>
            <sz val="9"/>
            <color indexed="81"/>
            <rFont val="Tahoma"/>
            <family val="2"/>
            <charset val="204"/>
          </rPr>
          <t>Адель:</t>
        </r>
        <r>
          <rPr>
            <sz val="9"/>
            <color indexed="81"/>
            <rFont val="Tahoma"/>
            <family val="2"/>
            <charset val="204"/>
          </rPr>
          <t xml:space="preserve">
должна быть возможность добавлять секции, при открытии формы по умолчанию  доступна 1 секция</t>
        </r>
      </text>
    </comment>
  </commentList>
</comments>
</file>

<file path=xl/sharedStrings.xml><?xml version="1.0" encoding="utf-8"?>
<sst xmlns="http://schemas.openxmlformats.org/spreadsheetml/2006/main" count="658" uniqueCount="206">
  <si>
    <t>Сумма с НДС</t>
  </si>
  <si>
    <t>НДС</t>
  </si>
  <si>
    <t>Сумма без НДС</t>
  </si>
  <si>
    <t>Базовая цена</t>
  </si>
  <si>
    <t>Жир</t>
  </si>
  <si>
    <t>Белок</t>
  </si>
  <si>
    <t>Расчетная цена без НДС</t>
  </si>
  <si>
    <t>Получатель</t>
  </si>
  <si>
    <t>Отправитель</t>
  </si>
  <si>
    <t>Дата</t>
  </si>
  <si>
    <t>Данные получателя</t>
  </si>
  <si>
    <t>Данные отправителя</t>
  </si>
  <si>
    <t>Прибыль</t>
  </si>
  <si>
    <t>Тип</t>
  </si>
  <si>
    <t>поставка</t>
  </si>
  <si>
    <t>оплата</t>
  </si>
  <si>
    <t>Агрос</t>
  </si>
  <si>
    <t>Рента</t>
  </si>
  <si>
    <t>Расходы отправ</t>
  </si>
  <si>
    <t>Расходы получат</t>
  </si>
  <si>
    <t>мес</t>
  </si>
  <si>
    <t>Доход за перевозку</t>
  </si>
  <si>
    <t>Расход за перевозку</t>
  </si>
  <si>
    <t>сорт</t>
  </si>
  <si>
    <t>К сорт</t>
  </si>
  <si>
    <t>Физ. вес</t>
  </si>
  <si>
    <t>Зач. вес</t>
  </si>
  <si>
    <t>Коментарий</t>
  </si>
  <si>
    <t>Перевозчик</t>
  </si>
  <si>
    <t>Итого</t>
  </si>
  <si>
    <t>тех1</t>
  </si>
  <si>
    <t>Конечная себестоимость продажи покупателю</t>
  </si>
  <si>
    <t>сен</t>
  </si>
  <si>
    <t>окт</t>
  </si>
  <si>
    <t>ноя</t>
  </si>
  <si>
    <t>дек</t>
  </si>
  <si>
    <t>Доходы</t>
  </si>
  <si>
    <t>стоимость</t>
  </si>
  <si>
    <t>ндс</t>
  </si>
  <si>
    <t>за молоко</t>
  </si>
  <si>
    <t>за транспорт</t>
  </si>
  <si>
    <t>Расходы</t>
  </si>
  <si>
    <t>ЗП</t>
  </si>
  <si>
    <t>Проценты</t>
  </si>
  <si>
    <t>бухгалтерия</t>
  </si>
  <si>
    <t>топливо</t>
  </si>
  <si>
    <t>руководство</t>
  </si>
  <si>
    <t>пени</t>
  </si>
  <si>
    <t>лизинг</t>
  </si>
  <si>
    <t>Бюджет доходов и расходов</t>
  </si>
  <si>
    <t>Налоги</t>
  </si>
  <si>
    <t>самовывоз</t>
  </si>
  <si>
    <t>аренда</t>
  </si>
  <si>
    <t>Рента 2</t>
  </si>
  <si>
    <t>Прибыль 2</t>
  </si>
  <si>
    <t>Рен-сть по ЧП</t>
  </si>
  <si>
    <t>Год</t>
  </si>
  <si>
    <t>мес реал</t>
  </si>
  <si>
    <t>отдел фин-ия</t>
  </si>
  <si>
    <t>Прочие</t>
  </si>
  <si>
    <t>Опер прибыль</t>
  </si>
  <si>
    <t>Опер. рент.</t>
  </si>
  <si>
    <t>Дивиденды</t>
  </si>
  <si>
    <t>Поставщик-Покупатель</t>
  </si>
  <si>
    <t>Поставщик Расчетная стоимость  без транспорта</t>
  </si>
  <si>
    <t>Покупатель Расчетная стоимость  без транспорта</t>
  </si>
  <si>
    <t>Поставщик Базовая стоимость  без транспорта</t>
  </si>
  <si>
    <t>Покупатель  Базовая стоимость  без транспорта</t>
  </si>
  <si>
    <t>Данные поставщика</t>
  </si>
  <si>
    <t>Данные покупателя</t>
  </si>
  <si>
    <t>юрист</t>
  </si>
  <si>
    <t>представители</t>
  </si>
  <si>
    <t>Поставщик1</t>
  </si>
  <si>
    <t>Поставщик3</t>
  </si>
  <si>
    <t>Покупатель1</t>
  </si>
  <si>
    <t>Покупатель4</t>
  </si>
  <si>
    <t>Покупатель7</t>
  </si>
  <si>
    <t>Покупатель8</t>
  </si>
  <si>
    <t>Покупатель10</t>
  </si>
  <si>
    <t>Поставщик6</t>
  </si>
  <si>
    <t>Поставщик7</t>
  </si>
  <si>
    <t>Поставщик8</t>
  </si>
  <si>
    <t>Поставщик9</t>
  </si>
  <si>
    <t>Поставщик16</t>
  </si>
  <si>
    <t>Перевозчик1</t>
  </si>
  <si>
    <t>прочие</t>
  </si>
  <si>
    <t>Краткое наименование</t>
  </si>
  <si>
    <t>Полное наименование</t>
  </si>
  <si>
    <t>Альфа</t>
  </si>
  <si>
    <t>ООО "Альфа"</t>
  </si>
  <si>
    <t>поставщик</t>
  </si>
  <si>
    <t>№ договора</t>
  </si>
  <si>
    <t>Дата договора</t>
  </si>
  <si>
    <t>Дата окончания договора</t>
  </si>
  <si>
    <t>112-Б</t>
  </si>
  <si>
    <t>да</t>
  </si>
  <si>
    <t>Формула расчетной цены</t>
  </si>
  <si>
    <t>БЦ</t>
  </si>
  <si>
    <t>ФБ</t>
  </si>
  <si>
    <t>ББ</t>
  </si>
  <si>
    <t>КБ</t>
  </si>
  <si>
    <t>ФЖ</t>
  </si>
  <si>
    <t>БЖ</t>
  </si>
  <si>
    <t>КЖ</t>
  </si>
  <si>
    <t>КТ</t>
  </si>
  <si>
    <t>фактическое содержание белка</t>
  </si>
  <si>
    <t>базовая цена</t>
  </si>
  <si>
    <t>базовое содержание белка</t>
  </si>
  <si>
    <t>фактическое содержание жира</t>
  </si>
  <si>
    <t>базовое содержание жира</t>
  </si>
  <si>
    <t>коэффициент белка</t>
  </si>
  <si>
    <t>коэффициент жира</t>
  </si>
  <si>
    <t>коэффициент качества</t>
  </si>
  <si>
    <t>коэффициент температуры</t>
  </si>
  <si>
    <t>Базовая цена без НДС (БЦ)</t>
  </si>
  <si>
    <t>базовое содержание белка (ББ)</t>
  </si>
  <si>
    <t>коэффициент белка (КБ)</t>
  </si>
  <si>
    <t>базовое содержание жира (БЖ)</t>
  </si>
  <si>
    <t>коэффициент жира (КЖ)</t>
  </si>
  <si>
    <t>коэффициент качества за высший сорт (КК_вс)</t>
  </si>
  <si>
    <t>коэффициент качества за первый сорт (КК_1)</t>
  </si>
  <si>
    <t>коэффициент качества за второй сорт (КК_2)</t>
  </si>
  <si>
    <t>коэффициент температуры (КТ)</t>
  </si>
  <si>
    <t>РЦ=БЦ*(ФБ/ББ*КБ+ФЖ/БЖ*КЖ)*КК*КТ</t>
  </si>
  <si>
    <t>РЦ</t>
  </si>
  <si>
    <t>расчетная цена</t>
  </si>
  <si>
    <t>Омега</t>
  </si>
  <si>
    <t>ООО "Омега"</t>
  </si>
  <si>
    <t>покупатель</t>
  </si>
  <si>
    <t>к-939</t>
  </si>
  <si>
    <t>нет</t>
  </si>
  <si>
    <t>КБ+КЖ=1</t>
  </si>
  <si>
    <t>Сокращение</t>
  </si>
  <si>
    <t>Значение</t>
  </si>
  <si>
    <t>По умолчанию</t>
  </si>
  <si>
    <t>расчетное</t>
  </si>
  <si>
    <t>КК_вс</t>
  </si>
  <si>
    <t>КК_2</t>
  </si>
  <si>
    <t>КК_1</t>
  </si>
  <si>
    <t>КК_нс</t>
  </si>
  <si>
    <t>коэффициент качества за несортовое молоко (КК_нс)</t>
  </si>
  <si>
    <t>Дата установления</t>
  </si>
  <si>
    <t>вс</t>
  </si>
  <si>
    <t>Поставщик</t>
  </si>
  <si>
    <t>Покупатель</t>
  </si>
  <si>
    <t>Дата загрузки</t>
  </si>
  <si>
    <t>Дата разгрузки</t>
  </si>
  <si>
    <t>Базовая начисления</t>
  </si>
  <si>
    <t>км</t>
  </si>
  <si>
    <t>Тариф</t>
  </si>
  <si>
    <t>кг</t>
  </si>
  <si>
    <t>ИП Сергеев</t>
  </si>
  <si>
    <t>Значение по умолчанию</t>
  </si>
  <si>
    <t>Календарь с выбором даты</t>
  </si>
  <si>
    <t>Текущая дата</t>
  </si>
  <si>
    <t>числовое</t>
  </si>
  <si>
    <t>числовое (от 2 до 5)</t>
  </si>
  <si>
    <t>список (высший, 1 сорт, 2 сорт, несортовое)</t>
  </si>
  <si>
    <t>1 сорт</t>
  </si>
  <si>
    <t>список с контрагентами (покупателями), с возможностью "умного ввода"</t>
  </si>
  <si>
    <t>высший</t>
  </si>
  <si>
    <t>Секция 1</t>
  </si>
  <si>
    <t>Секция 2</t>
  </si>
  <si>
    <t>+ Добавить секцию</t>
  </si>
  <si>
    <t>пусто</t>
  </si>
  <si>
    <t>значение указанное в аналогичном поле у покупателя, с возможностью изменить</t>
  </si>
  <si>
    <t>Транспортная компания</t>
  </si>
  <si>
    <t>Доход за доставку</t>
  </si>
  <si>
    <t>База начисления</t>
  </si>
  <si>
    <t>Список (Покупатель, Поставщик, Транспортная компания)</t>
  </si>
  <si>
    <t>Тип перевозчика</t>
  </si>
  <si>
    <t>Контрагент</t>
  </si>
  <si>
    <t>к-940</t>
  </si>
  <si>
    <t>Количество</t>
  </si>
  <si>
    <t>Стоимость</t>
  </si>
  <si>
    <t>Стоимость с НДС</t>
  </si>
  <si>
    <t>Расход за доставку</t>
  </si>
  <si>
    <t>Если в качестве перевозчика выбран "Покупатель", то поля ниже становяться не доступными для ввода</t>
  </si>
  <si>
    <t>Доставка включена в стоимость молока</t>
  </si>
  <si>
    <t>Список (да, нет), если "да", то поля ниже не доступны для ввода, если "нет", то доступны</t>
  </si>
  <si>
    <t>Если в качестве перевозчика выбран "Поставщик", то Контрагентом в разделе "Расход за доставку" становится "Контрагент" указанный выше</t>
  </si>
  <si>
    <t>Если в качестве перевозчика выбран "Транспортная компания", то Контрагентом в разделе "Расход за доставку" становится "Контрагент" указанный выше</t>
  </si>
  <si>
    <t>Всегда "Покупатель" без права редактирования</t>
  </si>
  <si>
    <t>Данные беруться из справочника цен за доставку, актуальный на текущую дату тариф</t>
  </si>
  <si>
    <t>список с контрагентами (Перевозчик), с возможностью "умного ввода", Если Тип=Покупатель, то "Покупатель",  Если Тип=Проставщик, то "Проставщик"</t>
  </si>
  <si>
    <t>Список (да, нет), если "да", то поля ниже не доступны для ввода, если "нет", то доступны. Если "Тип перевозчика"=Транспортная компания, то вариант "да" не доступен</t>
  </si>
  <si>
    <t>равно полю "Контрагент" при выборе Типа перевозчика</t>
  </si>
  <si>
    <t>данные указанные в разделе "Доход за доставку", с возможностью редактирования</t>
  </si>
  <si>
    <t>Провести сделку</t>
  </si>
  <si>
    <t>Расчетная цена</t>
  </si>
  <si>
    <t>берться из справочника</t>
  </si>
  <si>
    <t>расчетное, по актуальной формуле из справочника</t>
  </si>
  <si>
    <t>После нажатия на кнопку данные записываються в лист "Сделки"</t>
  </si>
  <si>
    <t>Плательщик</t>
  </si>
  <si>
    <t>Назначение</t>
  </si>
  <si>
    <t>ООО "АГРОС"</t>
  </si>
  <si>
    <t>трейдер</t>
  </si>
  <si>
    <t>ад</t>
  </si>
  <si>
    <t>расчетное, если в справочнике контрагентов поле "НДС"=да , то 10%, в противном случае 0%</t>
  </si>
  <si>
    <t>расчетное, сумма всех секций</t>
  </si>
  <si>
    <t>список с контрагентами (покупатели и трейдеры), с возможностью "умного ввода"</t>
  </si>
  <si>
    <t>список с контрагентами (поставщики и перевозчики), с возможностью "умного ввода"</t>
  </si>
  <si>
    <t>Список (за молоко/за доставку)</t>
  </si>
  <si>
    <t>расчетное ("Сумма с ндс" - "НДС")</t>
  </si>
  <si>
    <t>список с расчетными значениями (0% от Суммы с НДС/10% от Суммы с НДС/18% от Суммы с НДС)</t>
  </si>
  <si>
    <t>поле для ввода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</si>
</sst>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(* #,##0.00_);_(* \(#,##0.00\);_(* &quot;-&quot;??_);_(@_)"/>
    <numFmt numFmtId="166" formatCode="_-* #,##0_р_._-;\-* #,##0_р_._-;_-* &quot;-&quot;??_р_._-;_-@_-"/>
    <numFmt numFmtId="167" formatCode="[$-419]d\ mmm;@"/>
    <numFmt numFmtId="168" formatCode="#,##0.000_ ;\-#,##0.0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sz val="9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b/>
      <sz val="11"/>
      <color rgb="FFFF00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66DE00"/>
        <bgColor indexed="64"/>
      </patternFill>
    </fill>
    <fill>
      <patternFill patternType="solid">
        <fgColor rgb="FF99E9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7558519241921"/>
      </bottom>
      <diagonal/>
    </border>
    <border>
      <left/>
      <right/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14548173467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1454817346722"/>
      </right>
      <top style="thin">
        <color theme="4" tint="0.39994506668294322"/>
      </top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1454817346722"/>
      </right>
      <top/>
      <bottom/>
      <diagonal/>
    </border>
    <border>
      <left style="thin">
        <color theme="4" tint="0.39994506668294322"/>
      </left>
      <right style="thin">
        <color theme="4" tint="0.39991454817346722"/>
      </right>
      <top/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1454817346722"/>
      </right>
      <top/>
      <bottom style="thin">
        <color theme="4" tint="0.399945066682943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12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6" fillId="0" borderId="0"/>
    <xf numFmtId="0" fontId="16" fillId="0" borderId="0">
      <alignment vertical="center"/>
    </xf>
    <xf numFmtId="0" fontId="17" fillId="0" borderId="0"/>
    <xf numFmtId="0" fontId="18" fillId="0" borderId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0" fillId="14" borderId="52" applyNumberFormat="0" applyAlignment="0" applyProtection="0"/>
  </cellStyleXfs>
  <cellXfs count="221">
    <xf numFmtId="0" fontId="0" fillId="0" borderId="0" xfId="0"/>
    <xf numFmtId="0" fontId="0" fillId="0" borderId="0" xfId="0" applyBorder="1"/>
    <xf numFmtId="16" fontId="0" fillId="0" borderId="18" xfId="0" applyNumberFormat="1" applyFill="1" applyBorder="1"/>
    <xf numFmtId="164" fontId="0" fillId="0" borderId="0" xfId="1" applyFont="1"/>
    <xf numFmtId="164" fontId="7" fillId="3" borderId="10" xfId="1" applyFont="1" applyFill="1" applyBorder="1"/>
    <xf numFmtId="164" fontId="0" fillId="0" borderId="10" xfId="1" applyFont="1" applyFill="1" applyBorder="1"/>
    <xf numFmtId="164" fontId="7" fillId="3" borderId="15" xfId="1" applyFont="1" applyFill="1" applyBorder="1"/>
    <xf numFmtId="164" fontId="0" fillId="0" borderId="0" xfId="1" applyFont="1" applyFill="1" applyBorder="1"/>
    <xf numFmtId="164" fontId="7" fillId="0" borderId="0" xfId="1" applyFont="1" applyFill="1" applyBorder="1"/>
    <xf numFmtId="164" fontId="7" fillId="0" borderId="10" xfId="1" applyFont="1" applyFill="1" applyBorder="1"/>
    <xf numFmtId="164" fontId="7" fillId="0" borderId="15" xfId="1" applyFont="1" applyFill="1" applyBorder="1"/>
    <xf numFmtId="167" fontId="0" fillId="0" borderId="0" xfId="0" applyNumberFormat="1"/>
    <xf numFmtId="167" fontId="0" fillId="0" borderId="9" xfId="0" applyNumberFormat="1" applyFill="1" applyBorder="1"/>
    <xf numFmtId="167" fontId="0" fillId="0" borderId="22" xfId="0" applyNumberFormat="1" applyFill="1" applyBorder="1"/>
    <xf numFmtId="164" fontId="7" fillId="0" borderId="12" xfId="1" applyFont="1" applyFill="1" applyBorder="1"/>
    <xf numFmtId="164" fontId="7" fillId="0" borderId="16" xfId="1" applyFont="1" applyFill="1" applyBorder="1"/>
    <xf numFmtId="10" fontId="7" fillId="0" borderId="10" xfId="2" applyNumberFormat="1" applyFont="1" applyFill="1" applyBorder="1"/>
    <xf numFmtId="164" fontId="4" fillId="2" borderId="2" xfId="1" applyFont="1" applyFill="1" applyBorder="1" applyAlignment="1">
      <alignment horizontal="left"/>
    </xf>
    <xf numFmtId="164" fontId="4" fillId="2" borderId="3" xfId="1" applyFont="1" applyFill="1" applyBorder="1" applyAlignment="1">
      <alignment horizontal="left"/>
    </xf>
    <xf numFmtId="164" fontId="4" fillId="2" borderId="4" xfId="1" applyFont="1" applyFill="1" applyBorder="1" applyAlignment="1">
      <alignment horizontal="left"/>
    </xf>
    <xf numFmtId="164" fontId="4" fillId="2" borderId="7" xfId="1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167" fontId="7" fillId="0" borderId="9" xfId="0" applyNumberFormat="1" applyFont="1" applyFill="1" applyBorder="1"/>
    <xf numFmtId="0" fontId="7" fillId="0" borderId="10" xfId="0" applyFont="1" applyFill="1" applyBorder="1"/>
    <xf numFmtId="16" fontId="7" fillId="0" borderId="10" xfId="0" applyNumberFormat="1" applyFont="1" applyFill="1" applyBorder="1"/>
    <xf numFmtId="164" fontId="7" fillId="0" borderId="11" xfId="1" applyFont="1" applyFill="1" applyBorder="1"/>
    <xf numFmtId="164" fontId="7" fillId="0" borderId="9" xfId="1" applyFont="1" applyFill="1" applyBorder="1"/>
    <xf numFmtId="0" fontId="7" fillId="0" borderId="0" xfId="0" applyFont="1" applyFill="1" applyBorder="1"/>
    <xf numFmtId="10" fontId="7" fillId="0" borderId="15" xfId="2" applyNumberFormat="1" applyFont="1" applyFill="1" applyBorder="1"/>
    <xf numFmtId="164" fontId="7" fillId="0" borderId="18" xfId="1" applyFont="1" applyFill="1" applyBorder="1"/>
    <xf numFmtId="0" fontId="7" fillId="0" borderId="24" xfId="0" applyFont="1" applyFill="1" applyBorder="1"/>
    <xf numFmtId="164" fontId="7" fillId="0" borderId="17" xfId="1" applyFont="1" applyFill="1" applyBorder="1"/>
    <xf numFmtId="164" fontId="7" fillId="4" borderId="10" xfId="1" applyFont="1" applyFill="1" applyBorder="1"/>
    <xf numFmtId="164" fontId="7" fillId="0" borderId="5" xfId="1" applyFont="1" applyFill="1" applyBorder="1"/>
    <xf numFmtId="167" fontId="7" fillId="0" borderId="25" xfId="0" applyNumberFormat="1" applyFont="1" applyFill="1" applyBorder="1"/>
    <xf numFmtId="16" fontId="7" fillId="0" borderId="24" xfId="0" applyNumberFormat="1" applyFont="1" applyFill="1" applyBorder="1"/>
    <xf numFmtId="164" fontId="0" fillId="0" borderId="6" xfId="1" applyFont="1" applyFill="1" applyBorder="1"/>
    <xf numFmtId="167" fontId="7" fillId="2" borderId="25" xfId="0" applyNumberFormat="1" applyFont="1" applyFill="1" applyBorder="1"/>
    <xf numFmtId="0" fontId="7" fillId="2" borderId="24" xfId="0" applyNumberFormat="1" applyFont="1" applyFill="1" applyBorder="1"/>
    <xf numFmtId="16" fontId="7" fillId="2" borderId="24" xfId="0" applyNumberFormat="1" applyFont="1" applyFill="1" applyBorder="1"/>
    <xf numFmtId="0" fontId="7" fillId="2" borderId="24" xfId="0" applyFont="1" applyFill="1" applyBorder="1"/>
    <xf numFmtId="164" fontId="7" fillId="2" borderId="24" xfId="1" applyFont="1" applyFill="1" applyBorder="1"/>
    <xf numFmtId="10" fontId="7" fillId="2" borderId="24" xfId="2" applyNumberFormat="1" applyFont="1" applyFill="1" applyBorder="1"/>
    <xf numFmtId="0" fontId="7" fillId="2" borderId="29" xfId="0" applyFont="1" applyFill="1" applyBorder="1"/>
    <xf numFmtId="164" fontId="7" fillId="2" borderId="29" xfId="1" applyFont="1" applyFill="1" applyBorder="1"/>
    <xf numFmtId="167" fontId="7" fillId="2" borderId="14" xfId="0" applyNumberFormat="1" applyFont="1" applyFill="1" applyBorder="1"/>
    <xf numFmtId="0" fontId="7" fillId="2" borderId="15" xfId="0" applyNumberFormat="1" applyFont="1" applyFill="1" applyBorder="1"/>
    <xf numFmtId="16" fontId="7" fillId="2" borderId="15" xfId="0" applyNumberFormat="1" applyFont="1" applyFill="1" applyBorder="1"/>
    <xf numFmtId="0" fontId="7" fillId="2" borderId="15" xfId="0" applyFont="1" applyFill="1" applyBorder="1"/>
    <xf numFmtId="164" fontId="7" fillId="2" borderId="15" xfId="1" applyFont="1" applyFill="1" applyBorder="1"/>
    <xf numFmtId="10" fontId="7" fillId="2" borderId="15" xfId="2" applyNumberFormat="1" applyFont="1" applyFill="1" applyBorder="1"/>
    <xf numFmtId="164" fontId="7" fillId="2" borderId="16" xfId="1" applyNumberFormat="1" applyFont="1" applyFill="1" applyBorder="1"/>
    <xf numFmtId="167" fontId="7" fillId="2" borderId="9" xfId="0" applyNumberFormat="1" applyFont="1" applyFill="1" applyBorder="1"/>
    <xf numFmtId="164" fontId="7" fillId="0" borderId="29" xfId="1" applyFont="1" applyFill="1" applyBorder="1"/>
    <xf numFmtId="164" fontId="7" fillId="0" borderId="24" xfId="1" applyFont="1" applyFill="1" applyBorder="1"/>
    <xf numFmtId="164" fontId="9" fillId="2" borderId="24" xfId="1" applyFont="1" applyFill="1" applyBorder="1"/>
    <xf numFmtId="164" fontId="9" fillId="2" borderId="15" xfId="1" applyFont="1" applyFill="1" applyBorder="1"/>
    <xf numFmtId="164" fontId="7" fillId="2" borderId="25" xfId="1" applyFont="1" applyFill="1" applyBorder="1"/>
    <xf numFmtId="164" fontId="7" fillId="2" borderId="14" xfId="1" applyFont="1" applyFill="1" applyBorder="1"/>
    <xf numFmtId="164" fontId="7" fillId="2" borderId="16" xfId="1" applyFont="1" applyFill="1" applyBorder="1"/>
    <xf numFmtId="0" fontId="4" fillId="2" borderId="4" xfId="0" applyFont="1" applyFill="1" applyBorder="1" applyAlignment="1">
      <alignment horizontal="center"/>
    </xf>
    <xf numFmtId="164" fontId="4" fillId="2" borderId="4" xfId="1" applyNumberFormat="1" applyFont="1" applyFill="1" applyBorder="1" applyAlignment="1">
      <alignment horizontal="center"/>
    </xf>
    <xf numFmtId="164" fontId="0" fillId="0" borderId="0" xfId="1" applyNumberFormat="1" applyFont="1"/>
    <xf numFmtId="0" fontId="4" fillId="0" borderId="35" xfId="0" applyFont="1" applyBorder="1" applyAlignment="1"/>
    <xf numFmtId="0" fontId="4" fillId="0" borderId="36" xfId="0" applyFont="1" applyBorder="1" applyAlignment="1"/>
    <xf numFmtId="0" fontId="4" fillId="0" borderId="37" xfId="0" applyFont="1" applyBorder="1" applyAlignment="1"/>
    <xf numFmtId="167" fontId="4" fillId="2" borderId="2" xfId="0" applyNumberFormat="1" applyFont="1" applyFill="1" applyBorder="1" applyAlignment="1">
      <alignment horizontal="left"/>
    </xf>
    <xf numFmtId="167" fontId="4" fillId="2" borderId="3" xfId="0" applyNumberFormat="1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38" xfId="0" applyFont="1" applyFill="1" applyBorder="1" applyAlignment="1">
      <alignment horizontal="left"/>
    </xf>
    <xf numFmtId="0" fontId="4" fillId="0" borderId="0" xfId="0" applyFont="1" applyBorder="1" applyAlignment="1"/>
    <xf numFmtId="164" fontId="7" fillId="2" borderId="0" xfId="1" applyNumberFormat="1" applyFont="1" applyFill="1" applyBorder="1"/>
    <xf numFmtId="0" fontId="7" fillId="0" borderId="0" xfId="0" applyFont="1" applyFill="1" applyBorder="1" applyAlignment="1">
      <alignment horizontal="center"/>
    </xf>
    <xf numFmtId="166" fontId="7" fillId="0" borderId="0" xfId="1" applyNumberFormat="1" applyFont="1" applyFill="1" applyBorder="1"/>
    <xf numFmtId="0" fontId="11" fillId="0" borderId="0" xfId="0" applyFont="1" applyFill="1" applyBorder="1" applyAlignment="1">
      <alignment horizontal="center"/>
    </xf>
    <xf numFmtId="0" fontId="13" fillId="8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166" fontId="14" fillId="7" borderId="0" xfId="0" applyNumberFormat="1" applyFont="1" applyFill="1" applyBorder="1"/>
    <xf numFmtId="166" fontId="8" fillId="5" borderId="39" xfId="1" applyNumberFormat="1" applyFont="1" applyFill="1" applyBorder="1" applyAlignment="1">
      <alignment horizontal="center"/>
    </xf>
    <xf numFmtId="166" fontId="14" fillId="7" borderId="40" xfId="0" applyNumberFormat="1" applyFont="1" applyFill="1" applyBorder="1"/>
    <xf numFmtId="166" fontId="8" fillId="5" borderId="41" xfId="1" applyNumberFormat="1" applyFont="1" applyFill="1" applyBorder="1" applyAlignment="1">
      <alignment horizontal="center"/>
    </xf>
    <xf numFmtId="166" fontId="14" fillId="7" borderId="42" xfId="0" applyNumberFormat="1" applyFont="1" applyFill="1" applyBorder="1"/>
    <xf numFmtId="166" fontId="14" fillId="7" borderId="44" xfId="0" applyNumberFormat="1" applyFont="1" applyFill="1" applyBorder="1"/>
    <xf numFmtId="0" fontId="8" fillId="5" borderId="46" xfId="0" applyFont="1" applyFill="1" applyBorder="1" applyAlignment="1">
      <alignment horizontal="center"/>
    </xf>
    <xf numFmtId="0" fontId="8" fillId="5" borderId="45" xfId="0" applyFont="1" applyFill="1" applyBorder="1" applyAlignment="1">
      <alignment horizontal="center"/>
    </xf>
    <xf numFmtId="166" fontId="8" fillId="5" borderId="40" xfId="1" applyNumberFormat="1" applyFont="1" applyFill="1" applyBorder="1" applyAlignment="1">
      <alignment horizontal="center"/>
    </xf>
    <xf numFmtId="166" fontId="8" fillId="5" borderId="44" xfId="1" applyNumberFormat="1" applyFont="1" applyFill="1" applyBorder="1" applyAlignment="1">
      <alignment horizontal="center"/>
    </xf>
    <xf numFmtId="0" fontId="13" fillId="5" borderId="47" xfId="0" applyFont="1" applyFill="1" applyBorder="1" applyAlignment="1">
      <alignment horizontal="center"/>
    </xf>
    <xf numFmtId="0" fontId="12" fillId="5" borderId="48" xfId="0" applyFont="1" applyFill="1" applyBorder="1" applyAlignment="1">
      <alignment horizontal="left"/>
    </xf>
    <xf numFmtId="0" fontId="14" fillId="7" borderId="49" xfId="0" applyFont="1" applyFill="1" applyBorder="1" applyAlignment="1">
      <alignment horizontal="right"/>
    </xf>
    <xf numFmtId="0" fontId="10" fillId="5" borderId="50" xfId="0" applyFont="1" applyFill="1" applyBorder="1" applyAlignment="1">
      <alignment horizontal="left"/>
    </xf>
    <xf numFmtId="0" fontId="14" fillId="7" borderId="51" xfId="0" applyFont="1" applyFill="1" applyBorder="1" applyAlignment="1">
      <alignment horizontal="right"/>
    </xf>
    <xf numFmtId="0" fontId="10" fillId="5" borderId="50" xfId="0" applyFont="1" applyFill="1" applyBorder="1" applyAlignment="1"/>
    <xf numFmtId="0" fontId="15" fillId="0" borderId="0" xfId="0" applyFont="1"/>
    <xf numFmtId="164" fontId="7" fillId="11" borderId="10" xfId="1" applyFont="1" applyFill="1" applyBorder="1"/>
    <xf numFmtId="164" fontId="7" fillId="3" borderId="24" xfId="1" applyFont="1" applyFill="1" applyBorder="1"/>
    <xf numFmtId="164" fontId="7" fillId="12" borderId="10" xfId="1" applyFont="1" applyFill="1" applyBorder="1"/>
    <xf numFmtId="164" fontId="4" fillId="0" borderId="1" xfId="1" applyFont="1" applyBorder="1" applyAlignment="1">
      <alignment horizontal="center"/>
    </xf>
    <xf numFmtId="166" fontId="2" fillId="5" borderId="27" xfId="1" applyNumberFormat="1" applyFont="1" applyFill="1" applyBorder="1" applyAlignment="1">
      <alignment horizontal="center"/>
    </xf>
    <xf numFmtId="166" fontId="2" fillId="5" borderId="43" xfId="1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64" fontId="0" fillId="4" borderId="18" xfId="1" applyFont="1" applyFill="1" applyBorder="1"/>
    <xf numFmtId="10" fontId="8" fillId="5" borderId="39" xfId="2" applyNumberFormat="1" applyFont="1" applyFill="1" applyBorder="1" applyAlignment="1">
      <alignment horizontal="center"/>
    </xf>
    <xf numFmtId="0" fontId="0" fillId="0" borderId="18" xfId="0" applyNumberFormat="1" applyFill="1" applyBorder="1"/>
    <xf numFmtId="0" fontId="0" fillId="0" borderId="18" xfId="0" applyFill="1" applyBorder="1"/>
    <xf numFmtId="164" fontId="0" fillId="6" borderId="26" xfId="1" applyFont="1" applyFill="1" applyBorder="1"/>
    <xf numFmtId="164" fontId="0" fillId="0" borderId="18" xfId="1" applyFont="1" applyFill="1" applyBorder="1"/>
    <xf numFmtId="164" fontId="0" fillId="0" borderId="21" xfId="1" applyFont="1" applyFill="1" applyBorder="1"/>
    <xf numFmtId="164" fontId="0" fillId="0" borderId="11" xfId="1" applyFont="1" applyFill="1" applyBorder="1"/>
    <xf numFmtId="10" fontId="0" fillId="0" borderId="21" xfId="2" applyNumberFormat="1" applyFont="1" applyFill="1" applyBorder="1"/>
    <xf numFmtId="164" fontId="0" fillId="0" borderId="21" xfId="2" applyNumberFormat="1" applyFont="1" applyFill="1" applyBorder="1"/>
    <xf numFmtId="164" fontId="0" fillId="6" borderId="18" xfId="1" applyFont="1" applyFill="1" applyBorder="1"/>
    <xf numFmtId="0" fontId="7" fillId="2" borderId="16" xfId="0" applyFont="1" applyFill="1" applyBorder="1"/>
    <xf numFmtId="168" fontId="4" fillId="2" borderId="3" xfId="1" applyNumberFormat="1" applyFont="1" applyFill="1" applyBorder="1" applyAlignment="1">
      <alignment horizontal="left"/>
    </xf>
    <xf numFmtId="168" fontId="0" fillId="0" borderId="0" xfId="1" applyNumberFormat="1" applyFont="1"/>
    <xf numFmtId="164" fontId="0" fillId="0" borderId="23" xfId="1" applyFont="1" applyFill="1" applyBorder="1"/>
    <xf numFmtId="164" fontId="0" fillId="0" borderId="17" xfId="1" applyFont="1" applyFill="1" applyBorder="1"/>
    <xf numFmtId="2" fontId="7" fillId="2" borderId="15" xfId="2" applyNumberFormat="1" applyFont="1" applyFill="1" applyBorder="1"/>
    <xf numFmtId="164" fontId="4" fillId="0" borderId="36" xfId="1" applyFont="1" applyBorder="1" applyAlignment="1"/>
    <xf numFmtId="164" fontId="0" fillId="3" borderId="21" xfId="2" applyNumberFormat="1" applyFont="1" applyFill="1" applyBorder="1"/>
    <xf numFmtId="164" fontId="0" fillId="0" borderId="26" xfId="1" applyFont="1" applyFill="1" applyBorder="1"/>
    <xf numFmtId="164" fontId="7" fillId="0" borderId="31" xfId="1" applyFont="1" applyFill="1" applyBorder="1"/>
    <xf numFmtId="164" fontId="0" fillId="0" borderId="8" xfId="1" applyFont="1" applyFill="1" applyBorder="1"/>
    <xf numFmtId="10" fontId="0" fillId="0" borderId="6" xfId="2" applyNumberFormat="1" applyFont="1" applyFill="1" applyBorder="1"/>
    <xf numFmtId="164" fontId="0" fillId="0" borderId="6" xfId="2" applyNumberFormat="1" applyFont="1" applyFill="1" applyBorder="1"/>
    <xf numFmtId="164" fontId="0" fillId="6" borderId="17" xfId="1" applyFont="1" applyFill="1" applyBorder="1"/>
    <xf numFmtId="164" fontId="0" fillId="11" borderId="21" xfId="2" applyNumberFormat="1" applyFont="1" applyFill="1" applyBorder="1"/>
    <xf numFmtId="164" fontId="0" fillId="0" borderId="5" xfId="1" applyFont="1" applyFill="1" applyBorder="1"/>
    <xf numFmtId="164" fontId="0" fillId="6" borderId="33" xfId="1" applyFont="1" applyFill="1" applyBorder="1"/>
    <xf numFmtId="164" fontId="0" fillId="3" borderId="32" xfId="2" applyNumberFormat="1" applyFont="1" applyFill="1" applyBorder="1"/>
    <xf numFmtId="164" fontId="0" fillId="12" borderId="10" xfId="2" applyNumberFormat="1" applyFont="1" applyFill="1" applyBorder="1"/>
    <xf numFmtId="164" fontId="0" fillId="11" borderId="9" xfId="2" applyNumberFormat="1" applyFont="1" applyFill="1" applyBorder="1"/>
    <xf numFmtId="164" fontId="4" fillId="3" borderId="26" xfId="2" applyNumberFormat="1" applyFont="1" applyFill="1" applyBorder="1"/>
    <xf numFmtId="164" fontId="0" fillId="0" borderId="9" xfId="2" applyNumberFormat="1" applyFont="1" applyFill="1" applyBorder="1"/>
    <xf numFmtId="0" fontId="0" fillId="0" borderId="10" xfId="0" applyFill="1" applyBorder="1"/>
    <xf numFmtId="164" fontId="7" fillId="3" borderId="28" xfId="1" applyFont="1" applyFill="1" applyBorder="1"/>
    <xf numFmtId="164" fontId="4" fillId="10" borderId="26" xfId="2" applyNumberFormat="1" applyFont="1" applyFill="1" applyBorder="1"/>
    <xf numFmtId="164" fontId="7" fillId="10" borderId="10" xfId="2" applyNumberFormat="1" applyFont="1" applyFill="1" applyBorder="1"/>
    <xf numFmtId="10" fontId="0" fillId="0" borderId="9" xfId="2" applyNumberFormat="1" applyFont="1" applyFill="1" applyBorder="1"/>
    <xf numFmtId="164" fontId="0" fillId="0" borderId="26" xfId="2" applyNumberFormat="1" applyFont="1" applyFill="1" applyBorder="1"/>
    <xf numFmtId="0" fontId="0" fillId="6" borderId="18" xfId="0" applyFill="1" applyBorder="1"/>
    <xf numFmtId="164" fontId="0" fillId="3" borderId="10" xfId="2" applyNumberFormat="1" applyFont="1" applyFill="1" applyBorder="1"/>
    <xf numFmtId="164" fontId="9" fillId="0" borderId="15" xfId="1" applyFont="1" applyFill="1" applyBorder="1"/>
    <xf numFmtId="164" fontId="6" fillId="0" borderId="15" xfId="1" applyFont="1" applyFill="1" applyBorder="1"/>
    <xf numFmtId="164" fontId="0" fillId="0" borderId="13" xfId="2" applyNumberFormat="1" applyFont="1" applyFill="1" applyBorder="1"/>
    <xf numFmtId="164" fontId="7" fillId="3" borderId="10" xfId="2" applyNumberFormat="1" applyFont="1" applyFill="1" applyBorder="1"/>
    <xf numFmtId="164" fontId="7" fillId="11" borderId="9" xfId="1" applyFont="1" applyFill="1" applyBorder="1"/>
    <xf numFmtId="0" fontId="12" fillId="5" borderId="51" xfId="0" applyFont="1" applyFill="1" applyBorder="1" applyAlignment="1">
      <alignment horizontal="left"/>
    </xf>
    <xf numFmtId="164" fontId="0" fillId="0" borderId="0" xfId="2" applyNumberFormat="1" applyFont="1" applyFill="1" applyBorder="1"/>
    <xf numFmtId="164" fontId="4" fillId="0" borderId="19" xfId="2" applyNumberFormat="1" applyFont="1" applyFill="1" applyBorder="1"/>
    <xf numFmtId="164" fontId="4" fillId="0" borderId="8" xfId="2" applyNumberFormat="1" applyFont="1" applyFill="1" applyBorder="1"/>
    <xf numFmtId="164" fontId="0" fillId="3" borderId="34" xfId="2" applyNumberFormat="1" applyFont="1" applyFill="1" applyBorder="1"/>
    <xf numFmtId="164" fontId="7" fillId="0" borderId="0" xfId="2" applyNumberFormat="1" applyFont="1" applyFill="1" applyBorder="1"/>
    <xf numFmtId="164" fontId="19" fillId="3" borderId="33" xfId="2" applyNumberFormat="1" applyFont="1" applyFill="1" applyBorder="1"/>
    <xf numFmtId="164" fontId="7" fillId="9" borderId="23" xfId="1" applyFont="1" applyFill="1" applyBorder="1"/>
    <xf numFmtId="164" fontId="0" fillId="9" borderId="18" xfId="1" applyFont="1" applyFill="1" applyBorder="1"/>
    <xf numFmtId="164" fontId="7" fillId="9" borderId="18" xfId="1" applyFont="1" applyFill="1" applyBorder="1"/>
    <xf numFmtId="164" fontId="0" fillId="9" borderId="5" xfId="1" applyFont="1" applyFill="1" applyBorder="1"/>
    <xf numFmtId="164" fontId="7" fillId="9" borderId="10" xfId="1" applyFont="1" applyFill="1" applyBorder="1"/>
    <xf numFmtId="164" fontId="0" fillId="9" borderId="26" xfId="1" applyFont="1" applyFill="1" applyBorder="1"/>
    <xf numFmtId="164" fontId="7" fillId="9" borderId="9" xfId="1" applyFont="1" applyFill="1" applyBorder="1"/>
    <xf numFmtId="164" fontId="6" fillId="9" borderId="18" xfId="1" applyFont="1" applyFill="1" applyBorder="1"/>
    <xf numFmtId="164" fontId="7" fillId="9" borderId="26" xfId="1" applyFont="1" applyFill="1" applyBorder="1"/>
    <xf numFmtId="164" fontId="0" fillId="9" borderId="23" xfId="1" applyFont="1" applyFill="1" applyBorder="1"/>
    <xf numFmtId="164" fontId="0" fillId="9" borderId="17" xfId="1" applyFont="1" applyFill="1" applyBorder="1"/>
    <xf numFmtId="164" fontId="0" fillId="9" borderId="30" xfId="1" applyFont="1" applyFill="1" applyBorder="1"/>
    <xf numFmtId="164" fontId="0" fillId="9" borderId="31" xfId="1" applyFont="1" applyFill="1" applyBorder="1"/>
    <xf numFmtId="164" fontId="0" fillId="9" borderId="33" xfId="1" applyFont="1" applyFill="1" applyBorder="1"/>
    <xf numFmtId="164" fontId="0" fillId="9" borderId="20" xfId="1" applyFont="1" applyFill="1" applyBorder="1"/>
    <xf numFmtId="164" fontId="7" fillId="9" borderId="0" xfId="1" applyFont="1" applyFill="1" applyBorder="1"/>
    <xf numFmtId="164" fontId="7" fillId="9" borderId="24" xfId="1" applyFont="1" applyFill="1" applyBorder="1"/>
    <xf numFmtId="164" fontId="7" fillId="9" borderId="31" xfId="1" applyFont="1" applyFill="1" applyBorder="1"/>
    <xf numFmtId="164" fontId="7" fillId="9" borderId="29" xfId="1" applyFont="1" applyFill="1" applyBorder="1"/>
    <xf numFmtId="164" fontId="7" fillId="9" borderId="14" xfId="1" applyFont="1" applyFill="1" applyBorder="1"/>
    <xf numFmtId="164" fontId="7" fillId="9" borderId="15" xfId="1" applyFont="1" applyFill="1" applyBorder="1"/>
    <xf numFmtId="164" fontId="0" fillId="9" borderId="22" xfId="1" applyFont="1" applyFill="1" applyBorder="1"/>
    <xf numFmtId="164" fontId="0" fillId="9" borderId="21" xfId="1" applyFont="1" applyFill="1" applyBorder="1"/>
    <xf numFmtId="164" fontId="7" fillId="9" borderId="17" xfId="1" applyFont="1" applyFill="1" applyBorder="1"/>
    <xf numFmtId="164" fontId="4" fillId="9" borderId="26" xfId="2" applyNumberFormat="1" applyFont="1" applyFill="1" applyBorder="1"/>
    <xf numFmtId="164" fontId="7" fillId="13" borderId="24" xfId="1" applyFont="1" applyFill="1" applyBorder="1"/>
    <xf numFmtId="164" fontId="7" fillId="13" borderId="29" xfId="1" applyFont="1" applyFill="1" applyBorder="1"/>
    <xf numFmtId="14" fontId="0" fillId="0" borderId="0" xfId="0" applyNumberFormat="1"/>
    <xf numFmtId="49" fontId="0" fillId="0" borderId="0" xfId="0" applyNumberFormat="1"/>
    <xf numFmtId="0" fontId="20" fillId="14" borderId="52" xfId="11" applyAlignment="1">
      <alignment horizontal="center" vertical="center" wrapText="1"/>
    </xf>
    <xf numFmtId="0" fontId="20" fillId="14" borderId="52" xfId="11"/>
    <xf numFmtId="0" fontId="1" fillId="0" borderId="0" xfId="0" applyFont="1" applyFill="1" applyBorder="1"/>
    <xf numFmtId="167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/>
    <xf numFmtId="0" fontId="21" fillId="0" borderId="0" xfId="0" applyFont="1" applyFill="1" applyBorder="1"/>
    <xf numFmtId="0" fontId="21" fillId="0" borderId="0" xfId="0" applyFont="1"/>
    <xf numFmtId="167" fontId="20" fillId="14" borderId="52" xfId="11" applyNumberFormat="1" applyAlignment="1">
      <alignment horizontal="left"/>
    </xf>
    <xf numFmtId="49" fontId="1" fillId="0" borderId="0" xfId="0" applyNumberFormat="1" applyFont="1" applyFill="1" applyBorder="1"/>
    <xf numFmtId="167" fontId="21" fillId="15" borderId="0" xfId="0" applyNumberFormat="1" applyFont="1" applyFill="1" applyBorder="1" applyAlignment="1">
      <alignment horizontal="left"/>
    </xf>
    <xf numFmtId="0" fontId="21" fillId="15" borderId="0" xfId="0" applyFont="1" applyFill="1" applyBorder="1"/>
    <xf numFmtId="0" fontId="0" fillId="15" borderId="0" xfId="0" applyFill="1"/>
    <xf numFmtId="0" fontId="20" fillId="14" borderId="53" xfId="11" applyBorder="1" applyAlignment="1">
      <alignment horizontal="center" vertical="center" wrapText="1"/>
    </xf>
    <xf numFmtId="0" fontId="21" fillId="15" borderId="0" xfId="0" applyFont="1" applyFill="1"/>
    <xf numFmtId="0" fontId="24" fillId="15" borderId="0" xfId="0" applyFont="1" applyFill="1" applyBorder="1"/>
    <xf numFmtId="0" fontId="4" fillId="16" borderId="0" xfId="0" applyFont="1" applyFill="1" applyAlignment="1">
      <alignment horizontal="center"/>
    </xf>
    <xf numFmtId="0" fontId="1" fillId="17" borderId="0" xfId="0" applyFont="1" applyFill="1" applyBorder="1"/>
    <xf numFmtId="164" fontId="1" fillId="17" borderId="0" xfId="1" applyFont="1" applyFill="1" applyBorder="1"/>
    <xf numFmtId="167" fontId="4" fillId="2" borderId="54" xfId="0" applyNumberFormat="1" applyFont="1" applyFill="1" applyBorder="1" applyAlignment="1">
      <alignment horizontal="left"/>
    </xf>
    <xf numFmtId="167" fontId="20" fillId="14" borderId="55" xfId="11" applyNumberFormat="1" applyBorder="1" applyAlignment="1">
      <alignment horizontal="left"/>
    </xf>
    <xf numFmtId="164" fontId="0" fillId="17" borderId="0" xfId="1" applyFont="1" applyFill="1"/>
    <xf numFmtId="0" fontId="0" fillId="17" borderId="0" xfId="0" applyFill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4" fillId="0" borderId="1" xfId="1" applyFont="1" applyBorder="1" applyAlignment="1">
      <alignment horizontal="center"/>
    </xf>
    <xf numFmtId="168" fontId="4" fillId="0" borderId="1" xfId="1" applyNumberFormat="1" applyFont="1" applyBorder="1" applyAlignment="1">
      <alignment horizontal="center"/>
    </xf>
    <xf numFmtId="164" fontId="4" fillId="0" borderId="35" xfId="1" applyNumberFormat="1" applyFont="1" applyBorder="1" applyAlignment="1">
      <alignment horizontal="center"/>
    </xf>
    <xf numFmtId="164" fontId="4" fillId="0" borderId="36" xfId="1" applyNumberFormat="1" applyFont="1" applyBorder="1" applyAlignment="1">
      <alignment horizontal="center"/>
    </xf>
    <xf numFmtId="164" fontId="4" fillId="0" borderId="37" xfId="1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2">
    <cellStyle name="Normal_XDO_METADATA" xfId="5"/>
    <cellStyle name="Вывод" xfId="11" builtinId="21"/>
    <cellStyle name="Обычный" xfId="0" builtinId="0"/>
    <cellStyle name="Обычный 2" xfId="3"/>
    <cellStyle name="Обычный 3" xfId="6"/>
    <cellStyle name="Обычный 4" xfId="7"/>
    <cellStyle name="Обычный 5" xfId="8"/>
    <cellStyle name="Процентный" xfId="2" builtinId="5"/>
    <cellStyle name="Процентный 2" xfId="9"/>
    <cellStyle name="Финансовый" xfId="1" builtinId="3"/>
    <cellStyle name="Финансовый 2" xfId="4"/>
    <cellStyle name="Финансовый 3" xfId="10"/>
  </cellStyles>
  <dxfs count="0"/>
  <tableStyles count="0" defaultTableStyle="TableStyleMedium2" defaultPivotStyle="PivotStyleLight16"/>
  <colors>
    <mruColors>
      <color rgb="FFCCF400"/>
      <color rgb="FF66DE00"/>
      <color rgb="FF99E900"/>
      <color rgb="FFE99900"/>
      <color rgb="FFFF0000"/>
      <color rgb="FFF4CC00"/>
      <color rgb="FFC80000"/>
      <color rgb="FFD33300"/>
      <color rgb="FFDE66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&#1055;&#1088;&#1086;&#1095;&#1077;&#1077;\&#1054;&#1090;&#1095;&#1077;&#1090;&#1085;&#1086;&#1089;&#1090;&#1100;\&#1059;&#1087;&#1088;&#1072;&#1074;&#1083;&#1077;&#1085;&#1095;&#1077;&#1089;&#1082;&#1072;&#1103;%20&#1086;&#1090;&#1095;&#1077;&#1090;&#1085;&#1086;&#1089;&#1090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"/>
      <sheetName val="БДР"/>
      <sheetName val="БДДС (Леша)"/>
      <sheetName val="БДР (Леша)"/>
      <sheetName val="Главная книга"/>
      <sheetName val="БДДС_2012"/>
      <sheetName val="СБРФ"/>
      <sheetName val="БДДС_факт 2013"/>
      <sheetName val="Книга дох и расх 2013"/>
      <sheetName val="Отчет МИНэк"/>
      <sheetName val="БДДС_прогноз"/>
      <sheetName val="БДДС_итог"/>
      <sheetName val="Книга дох и расх"/>
      <sheetName val="Лист1"/>
      <sheetName val="Лист2"/>
      <sheetName val="БДДС 2014"/>
      <sheetName val="БДР 2014"/>
      <sheetName val="Главная книга 2014"/>
      <sheetName val="Проводки"/>
      <sheetName val="spr"/>
      <sheetName val="БДР_"/>
      <sheetName val="БДДС_new"/>
      <sheetName val="DDLSettings"/>
      <sheetName val="Альфа-кэш"/>
      <sheetName val="Договора займа"/>
      <sheetName val="Выписка Фортраст"/>
      <sheetName val="Выписка с фев"/>
      <sheetName val="Платежи"/>
      <sheetName val="Миттэкс"/>
      <sheetName val="БП24"/>
      <sheetName val="ФортрастЛК"/>
      <sheetName val="Грузовики"/>
      <sheetName val="Фонд"/>
      <sheetName val="архив"/>
      <sheetName val="Росбанк ФЛ"/>
      <sheetName val="Алсу"/>
      <sheetName val="Лист3"/>
      <sheetName val="Лист4"/>
      <sheetName val="ЗП"/>
      <sheetName val="Управленческий баланс"/>
      <sheetName val="Бала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A2" t="str">
            <v>Основные средства</v>
          </cell>
          <cell r="D2" t="str">
            <v>Агентские полученные</v>
          </cell>
        </row>
        <row r="3">
          <cell r="A3" t="str">
            <v>Дебиторская задолженность</v>
          </cell>
          <cell r="D3" t="str">
            <v>Агентские уплаченные</v>
          </cell>
        </row>
        <row r="4">
          <cell r="A4" t="str">
            <v>Финансовые вложения</v>
          </cell>
          <cell r="D4" t="str">
            <v>Альт-инвест покупка</v>
          </cell>
        </row>
        <row r="5">
          <cell r="A5" t="str">
            <v>Денежные средства</v>
          </cell>
          <cell r="D5" t="str">
            <v>Альт-инвест продажа</v>
          </cell>
        </row>
        <row r="6">
          <cell r="A6" t="str">
            <v>Прочие активы</v>
          </cell>
          <cell r="D6" t="str">
            <v>Аренда</v>
          </cell>
        </row>
        <row r="7">
          <cell r="A7" t="str">
            <v>Безнадежные активы</v>
          </cell>
          <cell r="D7" t="str">
            <v>Бизнес-планы</v>
          </cell>
        </row>
        <row r="8">
          <cell r="A8" t="str">
            <v>Капитал</v>
          </cell>
          <cell r="D8" t="str">
            <v>Гранты</v>
          </cell>
        </row>
        <row r="9">
          <cell r="A9" t="str">
            <v>Кредиторская задолженность</v>
          </cell>
          <cell r="D9" t="str">
            <v>ЗП руководство</v>
          </cell>
        </row>
        <row r="10">
          <cell r="A10" t="str">
            <v>Займы полученные</v>
          </cell>
          <cell r="D10" t="str">
            <v>ЗП сотрудники</v>
          </cell>
        </row>
        <row r="11">
          <cell r="A11" t="str">
            <v>Прочие обязательства</v>
          </cell>
          <cell r="D11" t="str">
            <v>ЗП спецы</v>
          </cell>
        </row>
        <row r="12">
          <cell r="D12" t="str">
            <v>Кредиты</v>
          </cell>
        </row>
        <row r="13">
          <cell r="D13" t="str">
            <v>Лизинг</v>
          </cell>
        </row>
        <row r="14">
          <cell r="D14" t="str">
            <v>Налоги</v>
          </cell>
        </row>
        <row r="15">
          <cell r="D15" t="str">
            <v>Покупка зерна</v>
          </cell>
        </row>
        <row r="16">
          <cell r="D16" t="str">
            <v>Покупка молока</v>
          </cell>
        </row>
        <row r="17">
          <cell r="D17" t="str">
            <v>Премия</v>
          </cell>
        </row>
        <row r="18">
          <cell r="D18" t="str">
            <v>Продажа зерна</v>
          </cell>
        </row>
        <row r="19">
          <cell r="D19" t="str">
            <v>Продажа молока</v>
          </cell>
        </row>
        <row r="20">
          <cell r="D20" t="str">
            <v>Проценты полученные</v>
          </cell>
        </row>
        <row r="21">
          <cell r="D21" t="str">
            <v>Проценты уплаченные</v>
          </cell>
        </row>
        <row r="22">
          <cell r="D22" t="str">
            <v>Прочие доходы</v>
          </cell>
        </row>
        <row r="23">
          <cell r="D23" t="str">
            <v>Прочие расходы</v>
          </cell>
        </row>
        <row r="24">
          <cell r="D24" t="str">
            <v>Связь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X63"/>
  <sheetViews>
    <sheetView tabSelected="1" zoomScale="85" zoomScaleNormal="85" workbookViewId="0">
      <pane xSplit="11" ySplit="2" topLeftCell="L3" activePane="bottomRight" state="frozen"/>
      <selection activeCell="R29" sqref="R29"/>
      <selection pane="topRight" activeCell="R29" sqref="R29"/>
      <selection pane="bottomLeft" activeCell="R29" sqref="R29"/>
      <selection pane="bottomRight" activeCell="P30" sqref="P30"/>
    </sheetView>
  </sheetViews>
  <sheetFormatPr defaultRowHeight="15" x14ac:dyDescent="0.25"/>
  <cols>
    <col min="1" max="1" width="8.42578125" style="11" customWidth="1"/>
    <col min="2" max="2" width="7.7109375" style="11" customWidth="1"/>
    <col min="3" max="3" width="4.5703125" customWidth="1"/>
    <col min="4" max="4" width="5.85546875" customWidth="1"/>
    <col min="5" max="5" width="6" customWidth="1"/>
    <col min="6" max="6" width="9.5703125" customWidth="1"/>
    <col min="7" max="7" width="14" customWidth="1"/>
    <col min="8" max="8" width="14.140625" customWidth="1"/>
    <col min="9" max="9" width="12.140625" style="3" customWidth="1"/>
    <col min="10" max="10" width="10.42578125" style="3" bestFit="1" customWidth="1"/>
    <col min="11" max="11" width="9.7109375" style="3" customWidth="1"/>
    <col min="12" max="12" width="12.140625" style="3" customWidth="1"/>
    <col min="13" max="13" width="17.28515625" style="3" customWidth="1"/>
    <col min="14" max="14" width="10.140625" style="3" customWidth="1"/>
    <col min="15" max="15" width="8.85546875" style="116" customWidth="1"/>
    <col min="16" max="16" width="10.140625" style="3" customWidth="1"/>
    <col min="17" max="17" width="19.140625" style="3" customWidth="1"/>
    <col min="18" max="18" width="12.85546875" style="3" customWidth="1"/>
    <col min="19" max="19" width="16.85546875" style="3" customWidth="1"/>
    <col min="20" max="20" width="15.42578125" style="3" customWidth="1"/>
    <col min="21" max="21" width="12.7109375" style="3" customWidth="1"/>
    <col min="22" max="22" width="7.85546875" style="3" customWidth="1"/>
    <col min="23" max="23" width="10.5703125" style="3" customWidth="1"/>
    <col min="24" max="24" width="12.28515625" style="3" bestFit="1" customWidth="1"/>
    <col min="25" max="25" width="13" style="3" customWidth="1"/>
    <col min="26" max="26" width="8.28515625" style="3" customWidth="1"/>
    <col min="27" max="27" width="10.5703125" style="3" bestFit="1" customWidth="1"/>
    <col min="28" max="28" width="13.140625" style="3" customWidth="1"/>
    <col min="29" max="29" width="17.28515625" style="3" customWidth="1"/>
    <col min="30" max="30" width="14.7109375" style="3" customWidth="1"/>
    <col min="31" max="31" width="15.85546875" style="3" customWidth="1"/>
    <col min="32" max="33" width="9.140625" customWidth="1"/>
    <col min="34" max="34" width="15.42578125" style="3" customWidth="1"/>
    <col min="35" max="36" width="15.85546875" style="62" customWidth="1"/>
    <col min="37" max="37" width="14.140625" style="62" customWidth="1"/>
    <col min="38" max="39" width="14.140625" customWidth="1"/>
    <col min="40" max="41" width="13.140625" customWidth="1"/>
    <col min="42" max="43" width="15.5703125" customWidth="1"/>
    <col min="44" max="44" width="2.5703125" customWidth="1"/>
    <col min="45" max="45" width="3" customWidth="1"/>
    <col min="46" max="49" width="3.42578125" customWidth="1"/>
    <col min="50" max="50" width="13.42578125" style="1" customWidth="1"/>
    <col min="51" max="16384" width="9.140625" style="101"/>
  </cols>
  <sheetData>
    <row r="1" spans="1:50" ht="18" customHeight="1" thickBot="1" x14ac:dyDescent="0.3">
      <c r="I1" s="209" t="s">
        <v>11</v>
      </c>
      <c r="J1" s="209"/>
      <c r="K1" s="209"/>
      <c r="L1" s="209"/>
      <c r="M1" s="209"/>
      <c r="N1" s="209"/>
      <c r="O1" s="210"/>
      <c r="P1" s="209"/>
      <c r="Q1" s="209"/>
      <c r="R1" s="209"/>
      <c r="S1" s="209"/>
      <c r="T1" s="98"/>
      <c r="U1" s="63" t="s">
        <v>10</v>
      </c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120"/>
      <c r="AI1" s="211" t="s">
        <v>21</v>
      </c>
      <c r="AJ1" s="212"/>
      <c r="AK1" s="213"/>
      <c r="AL1" s="214" t="s">
        <v>22</v>
      </c>
      <c r="AM1" s="215"/>
      <c r="AN1" s="216"/>
      <c r="AO1" s="1"/>
      <c r="AP1" s="65"/>
      <c r="AQ1" s="65"/>
      <c r="AR1" s="71"/>
      <c r="AS1" s="71"/>
      <c r="AT1" s="71"/>
      <c r="AU1" s="71"/>
      <c r="AV1" s="71"/>
      <c r="AW1" s="71"/>
    </row>
    <row r="2" spans="1:50" s="102" customFormat="1" ht="18" customHeight="1" thickBot="1" x14ac:dyDescent="0.3">
      <c r="A2" s="66" t="s">
        <v>30</v>
      </c>
      <c r="B2" s="67" t="s">
        <v>9</v>
      </c>
      <c r="C2" s="68" t="s">
        <v>20</v>
      </c>
      <c r="D2" s="68" t="s">
        <v>57</v>
      </c>
      <c r="E2" s="68" t="s">
        <v>56</v>
      </c>
      <c r="F2" s="68" t="s">
        <v>13</v>
      </c>
      <c r="G2" s="68" t="s">
        <v>8</v>
      </c>
      <c r="H2" s="21" t="s">
        <v>7</v>
      </c>
      <c r="I2" s="17" t="s">
        <v>25</v>
      </c>
      <c r="J2" s="18" t="s">
        <v>5</v>
      </c>
      <c r="K2" s="18" t="s">
        <v>4</v>
      </c>
      <c r="L2" s="18" t="s">
        <v>26</v>
      </c>
      <c r="M2" s="18" t="s">
        <v>3</v>
      </c>
      <c r="N2" s="18" t="s">
        <v>23</v>
      </c>
      <c r="O2" s="115" t="s">
        <v>24</v>
      </c>
      <c r="P2" s="18" t="s">
        <v>6</v>
      </c>
      <c r="Q2" s="18" t="s">
        <v>2</v>
      </c>
      <c r="R2" s="18" t="s">
        <v>1</v>
      </c>
      <c r="S2" s="19" t="s">
        <v>0</v>
      </c>
      <c r="T2" s="20" t="s">
        <v>18</v>
      </c>
      <c r="U2" s="17" t="s">
        <v>25</v>
      </c>
      <c r="V2" s="18" t="s">
        <v>5</v>
      </c>
      <c r="W2" s="18" t="s">
        <v>4</v>
      </c>
      <c r="X2" s="18" t="s">
        <v>26</v>
      </c>
      <c r="Y2" s="18" t="s">
        <v>3</v>
      </c>
      <c r="Z2" s="18" t="s">
        <v>23</v>
      </c>
      <c r="AA2" s="18" t="s">
        <v>24</v>
      </c>
      <c r="AB2" s="18" t="s">
        <v>6</v>
      </c>
      <c r="AC2" s="18" t="s">
        <v>2</v>
      </c>
      <c r="AD2" s="18" t="s">
        <v>1</v>
      </c>
      <c r="AE2" s="18" t="s">
        <v>0</v>
      </c>
      <c r="AF2" s="21" t="s">
        <v>17</v>
      </c>
      <c r="AG2" s="21" t="s">
        <v>53</v>
      </c>
      <c r="AH2" s="19" t="s">
        <v>19</v>
      </c>
      <c r="AI2" s="61" t="s">
        <v>2</v>
      </c>
      <c r="AJ2" s="61" t="s">
        <v>1</v>
      </c>
      <c r="AK2" s="61" t="s">
        <v>0</v>
      </c>
      <c r="AL2" s="60" t="s">
        <v>2</v>
      </c>
      <c r="AM2" s="60" t="s">
        <v>1</v>
      </c>
      <c r="AN2" s="60" t="s">
        <v>0</v>
      </c>
      <c r="AO2" s="60" t="s">
        <v>28</v>
      </c>
      <c r="AP2" s="21" t="s">
        <v>12</v>
      </c>
      <c r="AQ2" s="21" t="s">
        <v>54</v>
      </c>
      <c r="AR2" s="69" t="s">
        <v>31</v>
      </c>
      <c r="AS2" s="69" t="s">
        <v>63</v>
      </c>
      <c r="AT2" s="69" t="s">
        <v>64</v>
      </c>
      <c r="AU2" s="69" t="s">
        <v>65</v>
      </c>
      <c r="AV2" s="69" t="s">
        <v>66</v>
      </c>
      <c r="AW2" s="69" t="s">
        <v>67</v>
      </c>
      <c r="AX2" s="70" t="s">
        <v>27</v>
      </c>
    </row>
    <row r="3" spans="1:50" s="27" customFormat="1" ht="15.75" customHeight="1" thickBot="1" x14ac:dyDescent="0.3">
      <c r="A3" s="37" t="str">
        <f t="shared" ref="A3" si="0">CONCATENATE(F3,"-",C3)</f>
        <v>оплата-9</v>
      </c>
      <c r="B3" s="37">
        <v>42248</v>
      </c>
      <c r="C3" s="38">
        <f t="shared" ref="C3" si="1">MONTH(B3)</f>
        <v>9</v>
      </c>
      <c r="D3" s="38">
        <f t="shared" ref="D3" si="2">MONTH(B3)</f>
        <v>9</v>
      </c>
      <c r="E3" s="38">
        <f t="shared" ref="E3" si="3">YEAR(B3)</f>
        <v>2015</v>
      </c>
      <c r="F3" s="39" t="s">
        <v>15</v>
      </c>
      <c r="G3" s="40" t="s">
        <v>76</v>
      </c>
      <c r="H3" s="43" t="s">
        <v>88</v>
      </c>
      <c r="I3" s="58"/>
      <c r="J3" s="49"/>
      <c r="K3" s="49"/>
      <c r="L3" s="49"/>
      <c r="M3" s="49"/>
      <c r="N3" s="49"/>
      <c r="O3" s="49"/>
      <c r="P3" s="49"/>
      <c r="Q3" s="49">
        <f>S3-R3</f>
        <v>454545.45454545453</v>
      </c>
      <c r="R3" s="49">
        <f t="shared" ref="R3" si="4">S3/1.1*0.1</f>
        <v>45454.545454545456</v>
      </c>
      <c r="S3" s="56">
        <v>500000</v>
      </c>
      <c r="T3" s="5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50"/>
      <c r="AG3" s="50"/>
      <c r="AH3" s="50"/>
      <c r="AI3" s="119">
        <f>AK3-AJ3</f>
        <v>0</v>
      </c>
      <c r="AJ3" s="119">
        <f>AK3/1.18*0.18</f>
        <v>0</v>
      </c>
      <c r="AK3" s="119"/>
      <c r="AL3" s="50"/>
      <c r="AM3" s="50"/>
      <c r="AN3" s="50"/>
      <c r="AO3" s="50"/>
      <c r="AP3" s="51"/>
      <c r="AQ3" s="51"/>
      <c r="AR3" s="72"/>
      <c r="AS3" s="72" t="str">
        <f t="shared" ref="AS3" si="5">CONCATENATE(G3," - ",H3)</f>
        <v>Покупатель7 - Альфа</v>
      </c>
      <c r="AT3" s="72">
        <f t="shared" ref="AT3" si="6">Q3+T3</f>
        <v>454545.45454545453</v>
      </c>
      <c r="AU3" s="72">
        <f t="shared" ref="AU3" si="7">AC3-AH3</f>
        <v>0</v>
      </c>
      <c r="AV3" s="72" t="e">
        <f t="shared" ref="AV3" si="8">Q3/(J3/3*0.5+K3/3.4*0.5)+T3</f>
        <v>#DIV/0!</v>
      </c>
      <c r="AW3" s="72" t="e">
        <f t="shared" ref="AW3" si="9">AC3/(V3/3*0.5+W3/3.4*0.5)-AH3</f>
        <v>#DIV/0!</v>
      </c>
    </row>
    <row r="4" spans="1:50" ht="15.75" customHeight="1" thickBot="1" x14ac:dyDescent="0.3">
      <c r="A4" s="12" t="str">
        <f t="shared" ref="A4:A12" si="10">CONCATENATE(F4,"-",C4)</f>
        <v>поставка-9</v>
      </c>
      <c r="B4" s="13">
        <v>42248</v>
      </c>
      <c r="C4" s="105">
        <f t="shared" ref="C4:C10" si="11">MONTH(B4)</f>
        <v>9</v>
      </c>
      <c r="D4" s="105">
        <f t="shared" ref="D4:D8" si="12">MONTH(B4)</f>
        <v>9</v>
      </c>
      <c r="E4" s="105">
        <f t="shared" ref="E4:E12" si="13">YEAR(B4)</f>
        <v>2015</v>
      </c>
      <c r="F4" s="2" t="s">
        <v>14</v>
      </c>
      <c r="G4" s="106" t="s">
        <v>72</v>
      </c>
      <c r="H4" s="122" t="s">
        <v>77</v>
      </c>
      <c r="I4" s="117">
        <v>14392</v>
      </c>
      <c r="J4" s="129">
        <f t="shared" ref="J4:J7" si="14">V4</f>
        <v>3</v>
      </c>
      <c r="K4" s="118">
        <f>W4</f>
        <v>3.6</v>
      </c>
      <c r="L4" s="108">
        <f t="shared" ref="L4:L12" si="15">I4*K4/3.4</f>
        <v>15238.588235294119</v>
      </c>
      <c r="M4" s="108">
        <v>15</v>
      </c>
      <c r="N4" s="108"/>
      <c r="O4" s="108"/>
      <c r="P4" s="108">
        <f>ROUND((M4*0.6*J4/3+M4*0.4*K4/3.4)*1.1,2)/1.1</f>
        <v>15.354545454545454</v>
      </c>
      <c r="Q4" s="108">
        <f t="shared" ref="Q4:Q9" si="16">P4*I4</f>
        <v>220982.61818181816</v>
      </c>
      <c r="R4" s="9">
        <f t="shared" ref="R4:R7" si="17">Q4*0.1</f>
        <v>22098.261818181818</v>
      </c>
      <c r="S4" s="109">
        <f t="shared" ref="S4:S12" si="18">Q4+R4</f>
        <v>243080.87999999998</v>
      </c>
      <c r="T4" s="25">
        <f>L4*0.94</f>
        <v>14324.27294117647</v>
      </c>
      <c r="U4" s="117">
        <f t="shared" ref="U4:U10" si="19">I4</f>
        <v>14392</v>
      </c>
      <c r="V4" s="108">
        <v>3</v>
      </c>
      <c r="W4" s="108">
        <v>3.6</v>
      </c>
      <c r="X4" s="29">
        <f>U4*W4/3.4</f>
        <v>15238.588235294119</v>
      </c>
      <c r="Y4" s="29">
        <v>17</v>
      </c>
      <c r="Z4" s="29"/>
      <c r="AA4" s="29">
        <v>1</v>
      </c>
      <c r="AB4" s="31">
        <f>ROUND(Y4*(W4/3.4*0.4+V4/3*0.6)*AA4,2)</f>
        <v>17.399999999999999</v>
      </c>
      <c r="AC4" s="29">
        <f t="shared" ref="AC4:AC12" si="20">AB4*U4</f>
        <v>250420.8</v>
      </c>
      <c r="AD4" s="29">
        <f>AC4*0.1</f>
        <v>25042.080000000002</v>
      </c>
      <c r="AE4" s="29">
        <f t="shared" ref="AE4:AE12" si="21">AC4+AD4</f>
        <v>275462.88</v>
      </c>
      <c r="AF4" s="111">
        <f t="shared" ref="AF4:AF17" si="22">AP4/S4</f>
        <v>7.4286908369031582E-2</v>
      </c>
      <c r="AG4" s="111">
        <f t="shared" ref="AG4:AG17" si="23">AQ4/Q4</f>
        <v>6.8394107198829823E-2</v>
      </c>
      <c r="AH4" s="112"/>
      <c r="AI4" s="133">
        <f t="shared" ref="AI4:AI7" si="24">AK4-AJ4</f>
        <v>0</v>
      </c>
      <c r="AJ4" s="128">
        <f t="shared" ref="AJ4:AJ7" si="25">AK4/1.18*0.18</f>
        <v>0</v>
      </c>
      <c r="AK4" s="128"/>
      <c r="AL4" s="4">
        <f>AN4-AM4</f>
        <v>0</v>
      </c>
      <c r="AM4" s="121">
        <f>AN4/1.18*0.18</f>
        <v>0</v>
      </c>
      <c r="AN4" s="138"/>
      <c r="AO4" s="139"/>
      <c r="AP4" s="109">
        <f t="shared" ref="AP4:AP17" si="26">AE4-S4-T4-AH4+AK4-AN4</f>
        <v>18057.727058823559</v>
      </c>
      <c r="AQ4" s="109">
        <f t="shared" ref="AQ4:AQ17" si="27">AC4-Q4-T4-AH4+AI4-AL4</f>
        <v>15113.908877005353</v>
      </c>
      <c r="AR4" s="5">
        <f t="shared" ref="AR4:AR17" si="28">Q4+T4+AL4</f>
        <v>235306.89112299462</v>
      </c>
      <c r="AS4" s="5" t="str">
        <f t="shared" ref="AS4:AS52" si="29">CONCATENATE(G4," - ",H4)</f>
        <v>Поставщик1 - Покупатель8</v>
      </c>
      <c r="AT4" s="5">
        <f t="shared" ref="AT4:AT56" si="30">Q4+T4</f>
        <v>235306.89112299462</v>
      </c>
      <c r="AU4" s="5">
        <f t="shared" ref="AU4:AU8" si="31">AC4-AH4</f>
        <v>250420.8</v>
      </c>
      <c r="AV4" s="5">
        <f t="shared" ref="AV4:AV56" si="32">Q4/(J4/3*0.5+K4/3.4*0.5)+T4</f>
        <v>228993.10203208556</v>
      </c>
      <c r="AW4" s="5">
        <f t="shared" ref="AW4:AW8" si="33">AC4/(V4/3*0.5+W4/3.4*0.5)-AH4</f>
        <v>243265.92000000001</v>
      </c>
      <c r="AX4" s="136"/>
    </row>
    <row r="5" spans="1:50" ht="15.75" customHeight="1" thickBot="1" x14ac:dyDescent="0.3">
      <c r="A5" s="12" t="str">
        <f t="shared" ref="A5:A6" si="34">CONCATENATE(F5,"-",C5)</f>
        <v>поставка-9</v>
      </c>
      <c r="B5" s="13">
        <v>42248</v>
      </c>
      <c r="C5" s="105">
        <f t="shared" ref="C5:C6" si="35">MONTH(B5)</f>
        <v>9</v>
      </c>
      <c r="D5" s="105">
        <f t="shared" ref="D5:D6" si="36">MONTH(B5)</f>
        <v>9</v>
      </c>
      <c r="E5" s="105">
        <f t="shared" ref="E5:E6" si="37">YEAR(B5)</f>
        <v>2015</v>
      </c>
      <c r="F5" s="2" t="s">
        <v>14</v>
      </c>
      <c r="G5" s="142" t="s">
        <v>74</v>
      </c>
      <c r="H5" s="122" t="s">
        <v>77</v>
      </c>
      <c r="I5" s="165">
        <v>9991</v>
      </c>
      <c r="J5" s="159">
        <f t="shared" ref="J5:J6" si="38">V5</f>
        <v>3.2</v>
      </c>
      <c r="K5" s="166">
        <v>3.8</v>
      </c>
      <c r="L5" s="157">
        <f t="shared" ref="L5:L6" si="39">I5*K5/3.4</f>
        <v>11166.411764705881</v>
      </c>
      <c r="M5" s="157">
        <v>0</v>
      </c>
      <c r="N5" s="157"/>
      <c r="O5" s="157"/>
      <c r="P5" s="157">
        <f>ROUND((M5*0.6*J5/3+M5*0.4*K5/3.4)*1.1,2)/1.1</f>
        <v>0</v>
      </c>
      <c r="Q5" s="157">
        <f t="shared" ref="Q5:Q6" si="40">P5*I5</f>
        <v>0</v>
      </c>
      <c r="R5" s="160">
        <f t="shared" ref="R5:R6" si="41">Q5*0.1</f>
        <v>0</v>
      </c>
      <c r="S5" s="178">
        <f t="shared" ref="S5:S6" si="42">Q5+R5</f>
        <v>0</v>
      </c>
      <c r="T5" s="25"/>
      <c r="U5" s="165">
        <f t="shared" si="19"/>
        <v>9991</v>
      </c>
      <c r="V5" s="157">
        <v>3.2</v>
      </c>
      <c r="W5" s="157">
        <v>3.7</v>
      </c>
      <c r="X5" s="158">
        <f>U5*W5/3.4</f>
        <v>10872.558823529413</v>
      </c>
      <c r="Y5" s="29">
        <v>17</v>
      </c>
      <c r="Z5" s="158"/>
      <c r="AA5" s="158">
        <v>1</v>
      </c>
      <c r="AB5" s="179">
        <f>ROUND(Y5*(W5/3.4*0.4+V5/3*0.6)*AA5,2)</f>
        <v>18.28</v>
      </c>
      <c r="AC5" s="158">
        <f t="shared" ref="AC5:AC6" si="43">AB5*U5</f>
        <v>182635.48</v>
      </c>
      <c r="AD5" s="158">
        <f>AC5*0.1</f>
        <v>18263.548000000003</v>
      </c>
      <c r="AE5" s="158">
        <f t="shared" ref="AE5:AE6" si="44">AC5+AD5</f>
        <v>200899.02800000002</v>
      </c>
      <c r="AF5" s="111" t="e">
        <f t="shared" si="22"/>
        <v>#DIV/0!</v>
      </c>
      <c r="AG5" s="111" t="e">
        <f t="shared" si="23"/>
        <v>#DIV/0!</v>
      </c>
      <c r="AH5" s="112"/>
      <c r="AI5" s="133">
        <f t="shared" ref="AI5:AI6" si="45">AK5-AJ5</f>
        <v>0</v>
      </c>
      <c r="AJ5" s="128">
        <f t="shared" ref="AJ5:AJ6" si="46">AK5/1.18*0.18</f>
        <v>0</v>
      </c>
      <c r="AK5" s="128"/>
      <c r="AL5" s="4">
        <f t="shared" ref="AL5:AL6" si="47">AN5-AM5</f>
        <v>0</v>
      </c>
      <c r="AM5" s="121">
        <f>AN5/1.18*0.18</f>
        <v>0</v>
      </c>
      <c r="AN5" s="134"/>
      <c r="AO5" s="147"/>
      <c r="AP5" s="109">
        <f t="shared" si="26"/>
        <v>200899.02800000002</v>
      </c>
      <c r="AQ5" s="109">
        <f t="shared" si="27"/>
        <v>182635.48</v>
      </c>
      <c r="AR5" s="5">
        <f t="shared" si="28"/>
        <v>0</v>
      </c>
      <c r="AS5" s="5" t="str">
        <f t="shared" si="29"/>
        <v>Покупатель1 - Покупатель8</v>
      </c>
      <c r="AT5" s="5">
        <f t="shared" si="30"/>
        <v>0</v>
      </c>
      <c r="AU5" s="5">
        <f t="shared" ref="AU5:AU6" si="48">AC5-AH5</f>
        <v>182635.48</v>
      </c>
      <c r="AV5" s="5">
        <f t="shared" si="32"/>
        <v>0</v>
      </c>
      <c r="AW5" s="5">
        <f t="shared" ref="AW5:AW6" si="49">AC5/(V5/3*0.5+W5/3.4*0.5)-AH5</f>
        <v>169506.99690627842</v>
      </c>
      <c r="AX5" s="136"/>
    </row>
    <row r="6" spans="1:50" ht="15.75" customHeight="1" thickBot="1" x14ac:dyDescent="0.3">
      <c r="A6" s="12" t="str">
        <f t="shared" si="34"/>
        <v>поставка-9</v>
      </c>
      <c r="B6" s="13">
        <v>42248</v>
      </c>
      <c r="C6" s="105">
        <f t="shared" si="35"/>
        <v>9</v>
      </c>
      <c r="D6" s="105">
        <f t="shared" si="36"/>
        <v>9</v>
      </c>
      <c r="E6" s="105">
        <f t="shared" si="37"/>
        <v>2015</v>
      </c>
      <c r="F6" s="2" t="s">
        <v>14</v>
      </c>
      <c r="G6" s="142" t="s">
        <v>74</v>
      </c>
      <c r="H6" s="122" t="s">
        <v>77</v>
      </c>
      <c r="I6" s="165">
        <v>8951</v>
      </c>
      <c r="J6" s="159">
        <f t="shared" si="38"/>
        <v>3.2</v>
      </c>
      <c r="K6" s="166">
        <v>3.9</v>
      </c>
      <c r="L6" s="157">
        <f t="shared" si="39"/>
        <v>10267.323529411766</v>
      </c>
      <c r="M6" s="157">
        <v>0</v>
      </c>
      <c r="N6" s="157"/>
      <c r="O6" s="157"/>
      <c r="P6" s="157">
        <f>ROUND((M6*0.6*J6/3+M6*0.4*K6/3.4)*1.1,2)/1.1</f>
        <v>0</v>
      </c>
      <c r="Q6" s="157">
        <f t="shared" si="40"/>
        <v>0</v>
      </c>
      <c r="R6" s="160">
        <f t="shared" si="41"/>
        <v>0</v>
      </c>
      <c r="S6" s="178">
        <f t="shared" si="42"/>
        <v>0</v>
      </c>
      <c r="T6" s="25"/>
      <c r="U6" s="165">
        <f t="shared" si="19"/>
        <v>8951</v>
      </c>
      <c r="V6" s="157">
        <v>3.2</v>
      </c>
      <c r="W6" s="157">
        <v>3.8</v>
      </c>
      <c r="X6" s="158">
        <f>U6*W6/3.4</f>
        <v>10004.058823529411</v>
      </c>
      <c r="Y6" s="29">
        <v>17</v>
      </c>
      <c r="Z6" s="158"/>
      <c r="AA6" s="158">
        <v>1</v>
      </c>
      <c r="AB6" s="179">
        <f>ROUND(Y6*(W6/3.4*0.4+V6/3*0.6)*AA6,2)</f>
        <v>18.48</v>
      </c>
      <c r="AC6" s="158">
        <f t="shared" si="43"/>
        <v>165414.48000000001</v>
      </c>
      <c r="AD6" s="158">
        <f>AC6*0.1</f>
        <v>16541.448</v>
      </c>
      <c r="AE6" s="158">
        <f t="shared" si="44"/>
        <v>181955.92800000001</v>
      </c>
      <c r="AF6" s="111" t="e">
        <f t="shared" si="22"/>
        <v>#DIV/0!</v>
      </c>
      <c r="AG6" s="111" t="e">
        <f t="shared" si="23"/>
        <v>#DIV/0!</v>
      </c>
      <c r="AH6" s="112"/>
      <c r="AI6" s="133">
        <f t="shared" si="45"/>
        <v>0</v>
      </c>
      <c r="AJ6" s="128">
        <f t="shared" si="46"/>
        <v>0</v>
      </c>
      <c r="AK6" s="128"/>
      <c r="AL6" s="4">
        <f t="shared" si="47"/>
        <v>0</v>
      </c>
      <c r="AM6" s="121">
        <f>AN6/1.18*0.18</f>
        <v>0</v>
      </c>
      <c r="AN6" s="134"/>
      <c r="AO6" s="147"/>
      <c r="AP6" s="109">
        <f t="shared" si="26"/>
        <v>181955.92800000001</v>
      </c>
      <c r="AQ6" s="109">
        <f t="shared" si="27"/>
        <v>165414.48000000001</v>
      </c>
      <c r="AR6" s="5">
        <f t="shared" si="28"/>
        <v>0</v>
      </c>
      <c r="AS6" s="5" t="str">
        <f t="shared" si="29"/>
        <v>Покупатель1 - Покупатель8</v>
      </c>
      <c r="AT6" s="5">
        <f t="shared" si="30"/>
        <v>0</v>
      </c>
      <c r="AU6" s="5">
        <f t="shared" si="48"/>
        <v>165414.48000000001</v>
      </c>
      <c r="AV6" s="5">
        <f t="shared" si="32"/>
        <v>0</v>
      </c>
      <c r="AW6" s="5">
        <f t="shared" si="49"/>
        <v>151456.7052064632</v>
      </c>
      <c r="AX6" s="136"/>
    </row>
    <row r="7" spans="1:50" ht="15.75" customHeight="1" thickBot="1" x14ac:dyDescent="0.3">
      <c r="A7" s="12" t="str">
        <f t="shared" si="10"/>
        <v>поставка-9</v>
      </c>
      <c r="B7" s="13">
        <v>42248</v>
      </c>
      <c r="C7" s="105">
        <f t="shared" si="11"/>
        <v>9</v>
      </c>
      <c r="D7" s="105">
        <f t="shared" si="12"/>
        <v>9</v>
      </c>
      <c r="E7" s="105">
        <f t="shared" si="13"/>
        <v>2015</v>
      </c>
      <c r="F7" s="2" t="s">
        <v>14</v>
      </c>
      <c r="G7" s="142" t="s">
        <v>74</v>
      </c>
      <c r="H7" s="122" t="s">
        <v>77</v>
      </c>
      <c r="I7" s="165">
        <v>3049</v>
      </c>
      <c r="J7" s="159">
        <f t="shared" si="14"/>
        <v>3.2</v>
      </c>
      <c r="K7" s="166">
        <v>3.9</v>
      </c>
      <c r="L7" s="157">
        <f t="shared" si="15"/>
        <v>3497.3823529411766</v>
      </c>
      <c r="M7" s="157">
        <v>0</v>
      </c>
      <c r="N7" s="157"/>
      <c r="O7" s="157"/>
      <c r="P7" s="157">
        <f>ROUND((M7*0.6*J7/3+M7*0.4*K7/3.4)*1.1,2)/1.1</f>
        <v>0</v>
      </c>
      <c r="Q7" s="157">
        <f t="shared" si="16"/>
        <v>0</v>
      </c>
      <c r="R7" s="160">
        <f t="shared" si="17"/>
        <v>0</v>
      </c>
      <c r="S7" s="178">
        <f t="shared" si="18"/>
        <v>0</v>
      </c>
      <c r="T7" s="25"/>
      <c r="U7" s="165">
        <f t="shared" si="19"/>
        <v>3049</v>
      </c>
      <c r="V7" s="157">
        <v>3.2</v>
      </c>
      <c r="W7" s="157">
        <v>3.8</v>
      </c>
      <c r="X7" s="158">
        <f>U7*W7/3.4</f>
        <v>3407.705882352941</v>
      </c>
      <c r="Y7" s="29">
        <v>17</v>
      </c>
      <c r="Z7" s="158"/>
      <c r="AA7" s="158">
        <v>1</v>
      </c>
      <c r="AB7" s="179">
        <f>ROUND(Y7*(W7/3.4*0.4+V7/3*0.6)*AA7,2)</f>
        <v>18.48</v>
      </c>
      <c r="AC7" s="158">
        <f t="shared" si="20"/>
        <v>56345.520000000004</v>
      </c>
      <c r="AD7" s="158">
        <f>AC7*0.1</f>
        <v>5634.5520000000006</v>
      </c>
      <c r="AE7" s="158">
        <f t="shared" si="21"/>
        <v>61980.072000000007</v>
      </c>
      <c r="AF7" s="111" t="e">
        <f t="shared" si="22"/>
        <v>#DIV/0!</v>
      </c>
      <c r="AG7" s="111" t="e">
        <f t="shared" si="23"/>
        <v>#DIV/0!</v>
      </c>
      <c r="AH7" s="112"/>
      <c r="AI7" s="133">
        <f t="shared" si="24"/>
        <v>0</v>
      </c>
      <c r="AJ7" s="128">
        <f t="shared" si="25"/>
        <v>0</v>
      </c>
      <c r="AK7" s="128"/>
      <c r="AL7" s="4">
        <f t="shared" ref="AL7" si="50">AN7-AM7</f>
        <v>0</v>
      </c>
      <c r="AM7" s="121">
        <f>AN7/1.18*0.18</f>
        <v>0</v>
      </c>
      <c r="AN7" s="134"/>
      <c r="AO7" s="147"/>
      <c r="AP7" s="109">
        <f t="shared" si="26"/>
        <v>61980.072000000007</v>
      </c>
      <c r="AQ7" s="109">
        <f t="shared" si="27"/>
        <v>56345.520000000004</v>
      </c>
      <c r="AR7" s="5">
        <f t="shared" si="28"/>
        <v>0</v>
      </c>
      <c r="AS7" s="5" t="str">
        <f t="shared" si="29"/>
        <v>Покупатель1 - Покупатель8</v>
      </c>
      <c r="AT7" s="5">
        <f t="shared" si="30"/>
        <v>0</v>
      </c>
      <c r="AU7" s="5">
        <f t="shared" si="31"/>
        <v>56345.520000000004</v>
      </c>
      <c r="AV7" s="5">
        <f t="shared" si="32"/>
        <v>0</v>
      </c>
      <c r="AW7" s="5">
        <f t="shared" si="33"/>
        <v>51591.050628366247</v>
      </c>
      <c r="AX7" s="136"/>
    </row>
    <row r="8" spans="1:50" ht="15.75" customHeight="1" thickBot="1" x14ac:dyDescent="0.3">
      <c r="A8" s="12" t="str">
        <f t="shared" ref="A8" si="51">CONCATENATE(F8,"-",C8)</f>
        <v>поставка-9</v>
      </c>
      <c r="B8" s="13">
        <v>42248</v>
      </c>
      <c r="C8" s="105">
        <f t="shared" ref="C8" si="52">MONTH(B8)</f>
        <v>9</v>
      </c>
      <c r="D8" s="105">
        <f t="shared" si="12"/>
        <v>9</v>
      </c>
      <c r="E8" s="105">
        <f t="shared" ref="E8" si="53">YEAR(B8)</f>
        <v>2015</v>
      </c>
      <c r="F8" s="2" t="s">
        <v>14</v>
      </c>
      <c r="G8" s="106" t="s">
        <v>80</v>
      </c>
      <c r="H8" s="107" t="s">
        <v>74</v>
      </c>
      <c r="I8" s="167">
        <v>4664</v>
      </c>
      <c r="J8" s="168">
        <v>3</v>
      </c>
      <c r="K8" s="168">
        <f t="shared" ref="K8" si="54">W8</f>
        <v>3.7</v>
      </c>
      <c r="L8" s="168">
        <f t="shared" ref="L8" si="55">I8*K8/3.4</f>
        <v>5075.5294117647054</v>
      </c>
      <c r="M8" s="168">
        <v>16.5</v>
      </c>
      <c r="N8" s="168"/>
      <c r="O8" s="168"/>
      <c r="P8" s="168">
        <f t="shared" ref="P8" si="56">ROUND((M8*0.6*J8/3+M8*0.4*K8/3.4)*1.1,2)/1.1</f>
        <v>17.081818181818178</v>
      </c>
      <c r="Q8" s="168">
        <f t="shared" ref="Q8" si="57">P8*I8</f>
        <v>79669.599999999991</v>
      </c>
      <c r="R8" s="168"/>
      <c r="S8" s="169">
        <f t="shared" ref="S8" si="58">Q8+R8</f>
        <v>79669.599999999991</v>
      </c>
      <c r="T8" s="124">
        <f>I8*0.2</f>
        <v>932.80000000000007</v>
      </c>
      <c r="U8" s="170">
        <f t="shared" si="19"/>
        <v>4664</v>
      </c>
      <c r="V8" s="166">
        <v>3.1</v>
      </c>
      <c r="W8" s="166">
        <v>3.7</v>
      </c>
      <c r="X8" s="166">
        <f t="shared" ref="X8" si="59">U8*W8/3.4</f>
        <v>5075.5294117647054</v>
      </c>
      <c r="Y8" s="127">
        <v>0</v>
      </c>
      <c r="Z8" s="127"/>
      <c r="AA8" s="127"/>
      <c r="AB8" s="127">
        <f t="shared" ref="AB8" si="60">ROUND((Y8*0.6*V8/3+Y8*0.4*W8/3.4)*1.1,2)/1.1</f>
        <v>0</v>
      </c>
      <c r="AC8" s="127">
        <f t="shared" ref="AC8" si="61">AB8*U8</f>
        <v>0</v>
      </c>
      <c r="AD8" s="127">
        <f t="shared" ref="AD8" si="62">AC8*0.1</f>
        <v>0</v>
      </c>
      <c r="AE8" s="127">
        <f t="shared" ref="AE8" si="63">AC8+AD8</f>
        <v>0</v>
      </c>
      <c r="AF8" s="125">
        <f t="shared" si="22"/>
        <v>-1.0216306906847314</v>
      </c>
      <c r="AG8" s="125">
        <f t="shared" si="23"/>
        <v>-1.0216306906847314</v>
      </c>
      <c r="AH8" s="126">
        <f>I8*0.2/1.18</f>
        <v>790.50847457627128</v>
      </c>
      <c r="AI8" s="146"/>
      <c r="AJ8" s="126"/>
      <c r="AK8" s="126"/>
      <c r="AL8" s="8"/>
      <c r="AM8" s="150"/>
      <c r="AN8" s="151"/>
      <c r="AO8" s="154" t="s">
        <v>84</v>
      </c>
      <c r="AP8" s="36">
        <f t="shared" si="26"/>
        <v>-81392.908474576267</v>
      </c>
      <c r="AQ8" s="36">
        <f t="shared" si="27"/>
        <v>-81392.908474576267</v>
      </c>
      <c r="AR8" s="7">
        <f t="shared" si="28"/>
        <v>80602.399999999994</v>
      </c>
      <c r="AS8" s="7" t="str">
        <f t="shared" si="29"/>
        <v>Поставщик7 - Покупатель1</v>
      </c>
      <c r="AT8" s="7">
        <f t="shared" si="30"/>
        <v>80602.399999999994</v>
      </c>
      <c r="AU8" s="7">
        <f t="shared" si="31"/>
        <v>-790.50847457627128</v>
      </c>
      <c r="AV8" s="7">
        <f t="shared" si="32"/>
        <v>77236.078873239429</v>
      </c>
      <c r="AW8" s="7">
        <f t="shared" si="33"/>
        <v>-790.50847457627128</v>
      </c>
      <c r="AX8" s="101"/>
    </row>
    <row r="9" spans="1:50" ht="15.75" customHeight="1" thickBot="1" x14ac:dyDescent="0.3">
      <c r="A9" s="12" t="str">
        <f t="shared" si="10"/>
        <v>поставка-9</v>
      </c>
      <c r="B9" s="13">
        <v>42248</v>
      </c>
      <c r="C9" s="105">
        <f t="shared" si="11"/>
        <v>9</v>
      </c>
      <c r="D9" s="105">
        <f t="shared" ref="D9:D18" si="64">MONTH(B9)</f>
        <v>9</v>
      </c>
      <c r="E9" s="105">
        <f t="shared" si="13"/>
        <v>2015</v>
      </c>
      <c r="F9" s="2" t="s">
        <v>14</v>
      </c>
      <c r="G9" s="106" t="s">
        <v>80</v>
      </c>
      <c r="H9" s="107" t="s">
        <v>74</v>
      </c>
      <c r="I9" s="167">
        <v>4115</v>
      </c>
      <c r="J9" s="168">
        <v>3</v>
      </c>
      <c r="K9" s="168">
        <f t="shared" ref="K9" si="65">W9</f>
        <v>3.8</v>
      </c>
      <c r="L9" s="168">
        <f t="shared" si="15"/>
        <v>4599.1176470588234</v>
      </c>
      <c r="M9" s="168">
        <v>16.5</v>
      </c>
      <c r="N9" s="168"/>
      <c r="O9" s="168"/>
      <c r="P9" s="168">
        <f t="shared" ref="P9" si="66">ROUND((M9*0.6*J9/3+M9*0.4*K9/3.4)*1.1,2)/1.1</f>
        <v>17.27272727272727</v>
      </c>
      <c r="Q9" s="168">
        <f t="shared" si="16"/>
        <v>71077.272727272721</v>
      </c>
      <c r="R9" s="168"/>
      <c r="S9" s="169">
        <f t="shared" si="18"/>
        <v>71077.272727272721</v>
      </c>
      <c r="T9" s="124">
        <f>I9*0.2</f>
        <v>823</v>
      </c>
      <c r="U9" s="170">
        <f t="shared" si="19"/>
        <v>4115</v>
      </c>
      <c r="V9" s="166">
        <v>3.1</v>
      </c>
      <c r="W9" s="166">
        <v>3.8</v>
      </c>
      <c r="X9" s="166">
        <f t="shared" ref="X9:X12" si="67">U9*W9/3.4</f>
        <v>4599.1176470588234</v>
      </c>
      <c r="Y9" s="127">
        <v>0</v>
      </c>
      <c r="Z9" s="127"/>
      <c r="AA9" s="127"/>
      <c r="AB9" s="127">
        <f t="shared" ref="AB9:AB12" si="68">ROUND((Y9*0.6*V9/3+Y9*0.4*W9/3.4)*1.1,2)/1.1</f>
        <v>0</v>
      </c>
      <c r="AC9" s="127">
        <f t="shared" si="20"/>
        <v>0</v>
      </c>
      <c r="AD9" s="127">
        <f t="shared" ref="AD9:AD17" si="69">AC9*0.1</f>
        <v>0</v>
      </c>
      <c r="AE9" s="127">
        <f t="shared" si="21"/>
        <v>0</v>
      </c>
      <c r="AF9" s="125">
        <f t="shared" si="22"/>
        <v>-1.0213916146297948</v>
      </c>
      <c r="AG9" s="125">
        <f t="shared" si="23"/>
        <v>-1.0213916146297948</v>
      </c>
      <c r="AH9" s="126">
        <f>I9*0.2/1.18</f>
        <v>697.45762711864415</v>
      </c>
      <c r="AI9" s="146"/>
      <c r="AJ9" s="126"/>
      <c r="AK9" s="126"/>
      <c r="AL9" s="8"/>
      <c r="AM9" s="150"/>
      <c r="AN9" s="151"/>
      <c r="AO9" s="154" t="s">
        <v>84</v>
      </c>
      <c r="AP9" s="36">
        <f t="shared" si="26"/>
        <v>-72597.730354391359</v>
      </c>
      <c r="AQ9" s="36">
        <f t="shared" si="27"/>
        <v>-72597.730354391359</v>
      </c>
      <c r="AR9" s="7">
        <f t="shared" si="28"/>
        <v>71900.272727272721</v>
      </c>
      <c r="AS9" s="7" t="str">
        <f t="shared" si="29"/>
        <v>Поставщик7 - Покупатель1</v>
      </c>
      <c r="AT9" s="7">
        <f t="shared" si="30"/>
        <v>71900.272727272721</v>
      </c>
      <c r="AU9" s="7">
        <f t="shared" ref="AU9:AU37" si="70">AC9-AH9</f>
        <v>-697.45762711864415</v>
      </c>
      <c r="AV9" s="7">
        <f t="shared" si="32"/>
        <v>67951.53535353535</v>
      </c>
      <c r="AW9" s="7">
        <f t="shared" ref="AW9:AW37" si="71">AC9/(V9/3*0.5+W9/3.4*0.5)-AH9</f>
        <v>-697.45762711864415</v>
      </c>
      <c r="AX9" s="101"/>
    </row>
    <row r="10" spans="1:50" s="27" customFormat="1" ht="15.75" customHeight="1" thickBot="1" x14ac:dyDescent="0.3">
      <c r="A10" s="34" t="str">
        <f t="shared" si="10"/>
        <v>поставка-9</v>
      </c>
      <c r="B10" s="34">
        <v>42248</v>
      </c>
      <c r="C10" s="30">
        <f t="shared" si="11"/>
        <v>9</v>
      </c>
      <c r="D10" s="30">
        <f t="shared" si="64"/>
        <v>9</v>
      </c>
      <c r="E10" s="30">
        <f t="shared" si="13"/>
        <v>2015</v>
      </c>
      <c r="F10" s="35" t="s">
        <v>14</v>
      </c>
      <c r="G10" s="30" t="s">
        <v>81</v>
      </c>
      <c r="H10" s="130" t="s">
        <v>74</v>
      </c>
      <c r="I10" s="175">
        <v>2707</v>
      </c>
      <c r="J10" s="176">
        <v>3.1</v>
      </c>
      <c r="K10" s="176">
        <v>4</v>
      </c>
      <c r="L10" s="176">
        <f t="shared" si="15"/>
        <v>3184.7058823529414</v>
      </c>
      <c r="M10" s="176">
        <v>15.8</v>
      </c>
      <c r="N10" s="176"/>
      <c r="O10" s="176"/>
      <c r="P10" s="176">
        <f>ROUND((M10*0.6*J10/3+M10*0.4*K10/3.4)*1.1,2)/1.1</f>
        <v>17.227272727272727</v>
      </c>
      <c r="Q10" s="176">
        <f>I10*ROUND(P10,2)</f>
        <v>46641.61</v>
      </c>
      <c r="R10" s="176">
        <f t="shared" ref="R10" si="72">Q10*0.1</f>
        <v>4664.1610000000001</v>
      </c>
      <c r="S10" s="176">
        <f t="shared" si="18"/>
        <v>51305.771000000001</v>
      </c>
      <c r="T10" s="15"/>
      <c r="U10" s="165">
        <f t="shared" si="19"/>
        <v>2707</v>
      </c>
      <c r="V10" s="157">
        <v>3</v>
      </c>
      <c r="W10" s="157">
        <v>3.9</v>
      </c>
      <c r="X10" s="157">
        <f t="shared" si="67"/>
        <v>3105.0882352941176</v>
      </c>
      <c r="Y10" s="113">
        <v>0</v>
      </c>
      <c r="Z10" s="113"/>
      <c r="AA10" s="113"/>
      <c r="AB10" s="113">
        <f t="shared" si="68"/>
        <v>0</v>
      </c>
      <c r="AC10" s="113">
        <f t="shared" si="20"/>
        <v>0</v>
      </c>
      <c r="AD10" s="113">
        <f t="shared" si="69"/>
        <v>0</v>
      </c>
      <c r="AE10" s="113">
        <f t="shared" si="21"/>
        <v>0</v>
      </c>
      <c r="AF10" s="28">
        <f t="shared" si="22"/>
        <v>-1.0089427280865155</v>
      </c>
      <c r="AG10" s="28">
        <f t="shared" si="23"/>
        <v>-1.0098370008951671</v>
      </c>
      <c r="AH10" s="10">
        <f>I10*0.2/1.18</f>
        <v>458.81355932203388</v>
      </c>
      <c r="AI10" s="10"/>
      <c r="AJ10" s="10">
        <f>AI10*0.18</f>
        <v>0</v>
      </c>
      <c r="AK10" s="10">
        <f>AI10+AJ10</f>
        <v>0</v>
      </c>
      <c r="AL10" s="6">
        <f>AN10-AM10</f>
        <v>0</v>
      </c>
      <c r="AM10" s="6">
        <v>0</v>
      </c>
      <c r="AN10" s="144"/>
      <c r="AO10" s="139" t="s">
        <v>84</v>
      </c>
      <c r="AP10" s="15">
        <f t="shared" si="26"/>
        <v>-51764.584559322037</v>
      </c>
      <c r="AQ10" s="15">
        <f t="shared" si="27"/>
        <v>-47100.423559322036</v>
      </c>
      <c r="AR10" s="8">
        <f t="shared" si="28"/>
        <v>46641.61</v>
      </c>
      <c r="AS10" s="8" t="str">
        <f t="shared" si="29"/>
        <v>Поставщик8 - Покупатель1</v>
      </c>
      <c r="AT10" s="8">
        <f t="shared" si="30"/>
        <v>46641.61</v>
      </c>
      <c r="AU10" s="8">
        <f t="shared" si="70"/>
        <v>-458.81355932203388</v>
      </c>
      <c r="AV10" s="8">
        <f t="shared" si="32"/>
        <v>42213.347116237797</v>
      </c>
      <c r="AW10" s="8">
        <f t="shared" si="71"/>
        <v>-458.81355932203388</v>
      </c>
    </row>
    <row r="11" spans="1:50" ht="15.75" customHeight="1" thickBot="1" x14ac:dyDescent="0.3">
      <c r="A11" s="12" t="str">
        <f t="shared" ref="A11" si="73">CONCATENATE(F11,"-",C11)</f>
        <v>поставка-9</v>
      </c>
      <c r="B11" s="13">
        <v>42248</v>
      </c>
      <c r="C11" s="105">
        <f>MONTH(B11)</f>
        <v>9</v>
      </c>
      <c r="D11" s="105">
        <f t="shared" ref="D11" si="74">MONTH(B11)</f>
        <v>9</v>
      </c>
      <c r="E11" s="105">
        <f t="shared" ref="E11" si="75">YEAR(B11)</f>
        <v>2015</v>
      </c>
      <c r="F11" s="2" t="s">
        <v>14</v>
      </c>
      <c r="G11" s="106" t="s">
        <v>79</v>
      </c>
      <c r="H11" s="107" t="s">
        <v>74</v>
      </c>
      <c r="I11" s="177">
        <f>U11</f>
        <v>3369</v>
      </c>
      <c r="J11" s="157">
        <v>3</v>
      </c>
      <c r="K11" s="157">
        <v>3.8</v>
      </c>
      <c r="L11" s="157">
        <f t="shared" ref="L11" si="76">I11*K11/3.4</f>
        <v>3765.3529411764703</v>
      </c>
      <c r="M11" s="157">
        <v>15.5</v>
      </c>
      <c r="N11" s="157"/>
      <c r="O11" s="157">
        <v>1</v>
      </c>
      <c r="P11" s="157">
        <f>M11*(0.6*J11/3+0.4*K11/3.4)*O11</f>
        <v>16.229411764705883</v>
      </c>
      <c r="Q11" s="157">
        <f>I11*ROUND(P11,2)</f>
        <v>54678.87</v>
      </c>
      <c r="R11" s="157"/>
      <c r="S11" s="161">
        <f t="shared" ref="S11" si="77">Q11+R11</f>
        <v>54678.87</v>
      </c>
      <c r="T11" s="124">
        <f>I11*0.5</f>
        <v>1684.5</v>
      </c>
      <c r="U11" s="165">
        <v>3369</v>
      </c>
      <c r="V11" s="157">
        <v>3.1</v>
      </c>
      <c r="W11" s="157">
        <v>4</v>
      </c>
      <c r="X11" s="157">
        <f t="shared" ref="X11" si="78">U11*W11/3.4</f>
        <v>3963.5294117647059</v>
      </c>
      <c r="Y11" s="113">
        <v>0</v>
      </c>
      <c r="Z11" s="113"/>
      <c r="AA11" s="113"/>
      <c r="AB11" s="113">
        <f t="shared" ref="AB11" si="79">ROUND((Y11*0.6*V11/3+Y11*0.4*W11/3.4)*1.1,2)/1.1</f>
        <v>0</v>
      </c>
      <c r="AC11" s="113">
        <f t="shared" ref="AC11" si="80">AB11*U11</f>
        <v>0</v>
      </c>
      <c r="AD11" s="113">
        <f t="shared" ref="AD11" si="81">AC11*0.1</f>
        <v>0</v>
      </c>
      <c r="AE11" s="113">
        <f t="shared" ref="AE11" si="82">AC11+AD11</f>
        <v>0</v>
      </c>
      <c r="AF11" s="111">
        <f t="shared" si="22"/>
        <v>-1.5613780414473184</v>
      </c>
      <c r="AG11" s="111">
        <f t="shared" si="23"/>
        <v>-1.4820365136369276</v>
      </c>
      <c r="AH11" s="112">
        <f>I11*0.2/1.18</f>
        <v>571.01694915254245</v>
      </c>
      <c r="AI11" s="135"/>
      <c r="AJ11" s="112"/>
      <c r="AK11" s="112"/>
      <c r="AL11" s="4">
        <f t="shared" ref="AL11" si="83">AN11-AM11</f>
        <v>24101.694915254237</v>
      </c>
      <c r="AM11" s="143">
        <f t="shared" ref="AM11" si="84">AN11/1.18*0.18</f>
        <v>4338.3050847457635</v>
      </c>
      <c r="AN11" s="180">
        <v>28440</v>
      </c>
      <c r="AO11" s="139" t="s">
        <v>84</v>
      </c>
      <c r="AP11" s="109">
        <f t="shared" si="26"/>
        <v>-85374.38694915254</v>
      </c>
      <c r="AQ11" s="109">
        <f t="shared" si="27"/>
        <v>-81036.081864406791</v>
      </c>
      <c r="AR11" s="5">
        <f t="shared" si="28"/>
        <v>80465.064915254246</v>
      </c>
      <c r="AS11" s="5" t="str">
        <f t="shared" si="29"/>
        <v>Поставщик6 - Покупатель1</v>
      </c>
      <c r="AT11" s="5">
        <f t="shared" si="30"/>
        <v>56363.37</v>
      </c>
      <c r="AU11" s="5">
        <f t="shared" ref="AU11" si="85">AC11-AH11</f>
        <v>-571.01694915254245</v>
      </c>
      <c r="AV11" s="5">
        <f t="shared" si="32"/>
        <v>53325.654999999999</v>
      </c>
      <c r="AW11" s="5">
        <f t="shared" ref="AW11" si="86">AC11/(V11/3*0.5+W11/3.4*0.5)-AH11</f>
        <v>-571.01694915254245</v>
      </c>
      <c r="AX11" s="136"/>
    </row>
    <row r="12" spans="1:50" ht="15.75" customHeight="1" thickBot="1" x14ac:dyDescent="0.3">
      <c r="A12" s="12" t="str">
        <f t="shared" si="10"/>
        <v>поставка-9</v>
      </c>
      <c r="B12" s="13">
        <v>42248</v>
      </c>
      <c r="C12" s="105">
        <f>MONTH(B12)</f>
        <v>9</v>
      </c>
      <c r="D12" s="105">
        <f t="shared" si="64"/>
        <v>9</v>
      </c>
      <c r="E12" s="105">
        <f t="shared" si="13"/>
        <v>2015</v>
      </c>
      <c r="F12" s="2" t="s">
        <v>14</v>
      </c>
      <c r="G12" s="106" t="s">
        <v>79</v>
      </c>
      <c r="H12" s="107" t="s">
        <v>74</v>
      </c>
      <c r="I12" s="177">
        <f>U12</f>
        <v>3219</v>
      </c>
      <c r="J12" s="157">
        <v>3</v>
      </c>
      <c r="K12" s="157">
        <v>3.8</v>
      </c>
      <c r="L12" s="157">
        <f t="shared" si="15"/>
        <v>3597.705882352941</v>
      </c>
      <c r="M12" s="157">
        <v>15.5</v>
      </c>
      <c r="N12" s="157"/>
      <c r="O12" s="157">
        <v>1</v>
      </c>
      <c r="P12" s="157">
        <f>M12*(0.6*J12/3+0.4*K12/3.4)*O12</f>
        <v>16.229411764705883</v>
      </c>
      <c r="Q12" s="157">
        <f>I12*ROUND(P12,2)</f>
        <v>52244.37</v>
      </c>
      <c r="R12" s="157"/>
      <c r="S12" s="161">
        <f t="shared" si="18"/>
        <v>52244.37</v>
      </c>
      <c r="T12" s="124">
        <f>I12*0.5</f>
        <v>1609.5</v>
      </c>
      <c r="U12" s="165">
        <v>3219</v>
      </c>
      <c r="V12" s="157">
        <v>3.1</v>
      </c>
      <c r="W12" s="157">
        <v>4.0999999999999996</v>
      </c>
      <c r="X12" s="157">
        <f t="shared" si="67"/>
        <v>3881.7352941176468</v>
      </c>
      <c r="Y12" s="113">
        <v>0</v>
      </c>
      <c r="Z12" s="113"/>
      <c r="AA12" s="113"/>
      <c r="AB12" s="113">
        <f t="shared" si="68"/>
        <v>0</v>
      </c>
      <c r="AC12" s="113">
        <f t="shared" si="20"/>
        <v>0</v>
      </c>
      <c r="AD12" s="113">
        <f t="shared" si="69"/>
        <v>0</v>
      </c>
      <c r="AE12" s="113">
        <f t="shared" si="21"/>
        <v>0</v>
      </c>
      <c r="AF12" s="111">
        <f t="shared" si="22"/>
        <v>-1.0412502480236432</v>
      </c>
      <c r="AG12" s="111">
        <f t="shared" si="23"/>
        <v>-1.0412502480236432</v>
      </c>
      <c r="AH12" s="112">
        <f>I12*0.2/1.18</f>
        <v>545.59322033898309</v>
      </c>
      <c r="AI12" s="135"/>
      <c r="AJ12" s="112"/>
      <c r="AK12" s="112"/>
      <c r="AL12" s="4"/>
      <c r="AM12" s="143"/>
      <c r="AN12" s="180"/>
      <c r="AO12" s="139" t="s">
        <v>84</v>
      </c>
      <c r="AP12" s="109">
        <f t="shared" si="26"/>
        <v>-54399.463220338985</v>
      </c>
      <c r="AQ12" s="109">
        <f t="shared" si="27"/>
        <v>-54399.463220338985</v>
      </c>
      <c r="AR12" s="5">
        <f t="shared" si="28"/>
        <v>53853.87</v>
      </c>
      <c r="AS12" s="5" t="str">
        <f t="shared" si="29"/>
        <v>Поставщик6 - Покупатель1</v>
      </c>
      <c r="AT12" s="5">
        <f t="shared" si="30"/>
        <v>53853.87</v>
      </c>
      <c r="AU12" s="5">
        <f t="shared" si="70"/>
        <v>-545.59322033898309</v>
      </c>
      <c r="AV12" s="5">
        <f t="shared" si="32"/>
        <v>50951.404999999999</v>
      </c>
      <c r="AW12" s="5">
        <f t="shared" si="71"/>
        <v>-545.59322033898309</v>
      </c>
      <c r="AX12" s="136"/>
    </row>
    <row r="13" spans="1:50" s="27" customFormat="1" ht="15.75" customHeight="1" thickBot="1" x14ac:dyDescent="0.3">
      <c r="A13" s="22" t="str">
        <f>CONCATENATE(F13,"-",C13)</f>
        <v>поставка-9</v>
      </c>
      <c r="B13" s="13">
        <v>42248</v>
      </c>
      <c r="C13" s="23">
        <f>MONTH(B13)</f>
        <v>9</v>
      </c>
      <c r="D13" s="23">
        <f t="shared" ref="D13:D14" si="87">MONTH(B13)</f>
        <v>9</v>
      </c>
      <c r="E13" s="23">
        <f>YEAR(B13)</f>
        <v>2015</v>
      </c>
      <c r="F13" s="24" t="s">
        <v>14</v>
      </c>
      <c r="G13" s="23" t="s">
        <v>82</v>
      </c>
      <c r="H13" s="23" t="s">
        <v>75</v>
      </c>
      <c r="I13" s="162">
        <v>7838</v>
      </c>
      <c r="J13" s="160">
        <v>3.3</v>
      </c>
      <c r="K13" s="160">
        <v>3.7</v>
      </c>
      <c r="L13" s="160">
        <f>I13*K13/3.4</f>
        <v>8529.5882352941189</v>
      </c>
      <c r="M13" s="160">
        <v>18</v>
      </c>
      <c r="N13" s="160"/>
      <c r="O13" s="160">
        <v>1</v>
      </c>
      <c r="P13" s="171">
        <f>(M13+(J13-3.1)*2.8+(K13-3.6)*1.7)*O13</f>
        <v>18.73</v>
      </c>
      <c r="Q13" s="160">
        <f>P13*I13</f>
        <v>146805.74</v>
      </c>
      <c r="R13" s="160">
        <f>Q13*0.1</f>
        <v>14680.574000000001</v>
      </c>
      <c r="S13" s="160">
        <f>Q13+R13</f>
        <v>161486.31399999998</v>
      </c>
      <c r="T13" s="14"/>
      <c r="U13" s="162">
        <f>I13</f>
        <v>7838</v>
      </c>
      <c r="V13" s="172">
        <v>3.3</v>
      </c>
      <c r="W13" s="172">
        <v>3.7</v>
      </c>
      <c r="X13" s="172">
        <f>U13*W13/3.4*0.4+U13*V13/3*0.6</f>
        <v>8584.9152941176471</v>
      </c>
      <c r="Y13" s="172">
        <v>17</v>
      </c>
      <c r="Z13" s="172"/>
      <c r="AA13" s="172">
        <f>1.02</f>
        <v>1.02</v>
      </c>
      <c r="AB13" s="173">
        <f t="shared" ref="AB13:AB14" si="88">Y13*(ROUND(V13/3*0.6,2)+ROUND(W13/3.4*0.4,2)+AA13-1)</f>
        <v>19.040000000000003</v>
      </c>
      <c r="AC13" s="172">
        <f t="shared" ref="AC13:AC14" si="89">U13*ROUND(AB13,2)</f>
        <v>149235.51999999999</v>
      </c>
      <c r="AD13" s="172">
        <f t="shared" ref="AD13:AD14" si="90">AC13*0.1</f>
        <v>14923.552</v>
      </c>
      <c r="AE13" s="174">
        <f>AC13+AD13</f>
        <v>164159.07199999999</v>
      </c>
      <c r="AF13" s="16">
        <f t="shared" si="22"/>
        <v>1.1697325632189497E-2</v>
      </c>
      <c r="AG13" s="16">
        <f t="shared" si="23"/>
        <v>1.1211959423384935E-2</v>
      </c>
      <c r="AH13" s="9">
        <f>U13*0.1</f>
        <v>783.80000000000007</v>
      </c>
      <c r="AI13" s="148"/>
      <c r="AJ13" s="95"/>
      <c r="AK13" s="95"/>
      <c r="AL13" s="181"/>
      <c r="AM13" s="181"/>
      <c r="AN13" s="182"/>
      <c r="AO13" s="97" t="s">
        <v>51</v>
      </c>
      <c r="AP13" s="14">
        <f t="shared" si="26"/>
        <v>1888.9580000000014</v>
      </c>
      <c r="AQ13" s="14">
        <f t="shared" si="27"/>
        <v>1645.9799999999987</v>
      </c>
      <c r="AR13" s="14">
        <f t="shared" si="28"/>
        <v>146805.74</v>
      </c>
      <c r="AS13" s="8" t="str">
        <f t="shared" si="29"/>
        <v>Поставщик9 - Покупатель4</v>
      </c>
      <c r="AT13" s="8">
        <f t="shared" si="30"/>
        <v>146805.74</v>
      </c>
      <c r="AU13" s="8">
        <f t="shared" ref="AU13:AU14" si="91">AC13-AH13</f>
        <v>148451.72</v>
      </c>
      <c r="AV13" s="8">
        <f t="shared" si="32"/>
        <v>134177.2892473118</v>
      </c>
      <c r="AW13" s="8">
        <f t="shared" ref="AW13:AW14" si="92">AC13/(V13/3*0.5+W13/3.4*0.5)-AH13</f>
        <v>135614.25591397847</v>
      </c>
    </row>
    <row r="14" spans="1:50" s="27" customFormat="1" ht="15.75" customHeight="1" thickBot="1" x14ac:dyDescent="0.3">
      <c r="A14" s="22" t="str">
        <f>CONCATENATE(F14,"-",C14)</f>
        <v>поставка-9</v>
      </c>
      <c r="B14" s="13">
        <v>42248</v>
      </c>
      <c r="C14" s="23">
        <f>MONTH(B14)</f>
        <v>9</v>
      </c>
      <c r="D14" s="23">
        <f t="shared" si="87"/>
        <v>9</v>
      </c>
      <c r="E14" s="23">
        <f>YEAR(B14)</f>
        <v>2015</v>
      </c>
      <c r="F14" s="24" t="s">
        <v>14</v>
      </c>
      <c r="G14" s="23" t="s">
        <v>82</v>
      </c>
      <c r="H14" s="23" t="s">
        <v>75</v>
      </c>
      <c r="I14" s="162">
        <v>7744</v>
      </c>
      <c r="J14" s="160">
        <v>3.3</v>
      </c>
      <c r="K14" s="160">
        <v>3.8</v>
      </c>
      <c r="L14" s="160">
        <f>I14*K14/3.4</f>
        <v>8655.0588235294108</v>
      </c>
      <c r="M14" s="160">
        <v>18</v>
      </c>
      <c r="N14" s="160"/>
      <c r="O14" s="160">
        <v>1</v>
      </c>
      <c r="P14" s="171">
        <f>(M14+(J14-3.1)*2.8+(K14-3.6)*1.7)*O14</f>
        <v>18.899999999999999</v>
      </c>
      <c r="Q14" s="160">
        <f>P14*I14</f>
        <v>146361.59999999998</v>
      </c>
      <c r="R14" s="160">
        <f>Q14*0.1</f>
        <v>14636.159999999998</v>
      </c>
      <c r="S14" s="160">
        <f>Q14+R14</f>
        <v>160997.75999999998</v>
      </c>
      <c r="T14" s="14"/>
      <c r="U14" s="162">
        <f>I14</f>
        <v>7744</v>
      </c>
      <c r="V14" s="172">
        <v>3.3</v>
      </c>
      <c r="W14" s="172">
        <v>3.8</v>
      </c>
      <c r="X14" s="172">
        <f>U14*W14/3.4*0.4+U14*V14/3*0.6</f>
        <v>8573.0635294117637</v>
      </c>
      <c r="Y14" s="172">
        <v>17</v>
      </c>
      <c r="Z14" s="172"/>
      <c r="AA14" s="172">
        <f>1.02</f>
        <v>1.02</v>
      </c>
      <c r="AB14" s="173">
        <f t="shared" si="88"/>
        <v>19.209999999999997</v>
      </c>
      <c r="AC14" s="172">
        <f t="shared" si="89"/>
        <v>148762.24000000002</v>
      </c>
      <c r="AD14" s="172">
        <f t="shared" si="90"/>
        <v>14876.224000000002</v>
      </c>
      <c r="AE14" s="174">
        <f>AC14+AD14</f>
        <v>163638.46400000004</v>
      </c>
      <c r="AF14" s="16">
        <f t="shared" si="22"/>
        <v>1.1592111592111942E-2</v>
      </c>
      <c r="AG14" s="16">
        <f t="shared" si="23"/>
        <v>1.1111111111111406E-2</v>
      </c>
      <c r="AH14" s="9">
        <f>U14*0.1</f>
        <v>774.40000000000009</v>
      </c>
      <c r="AI14" s="148"/>
      <c r="AJ14" s="95"/>
      <c r="AK14" s="95"/>
      <c r="AL14" s="181"/>
      <c r="AM14" s="181"/>
      <c r="AN14" s="182"/>
      <c r="AO14" s="97" t="s">
        <v>51</v>
      </c>
      <c r="AP14" s="14">
        <f t="shared" si="26"/>
        <v>1866.304000000056</v>
      </c>
      <c r="AQ14" s="14">
        <f t="shared" si="27"/>
        <v>1626.240000000043</v>
      </c>
      <c r="AR14" s="14">
        <f t="shared" si="28"/>
        <v>146361.59999999998</v>
      </c>
      <c r="AS14" s="8" t="str">
        <f t="shared" si="29"/>
        <v>Поставщик9 - Покупатель4</v>
      </c>
      <c r="AT14" s="8">
        <f t="shared" si="30"/>
        <v>146361.59999999998</v>
      </c>
      <c r="AU14" s="8">
        <f t="shared" si="91"/>
        <v>147987.84000000003</v>
      </c>
      <c r="AV14" s="8">
        <f t="shared" si="32"/>
        <v>131997.19893899202</v>
      </c>
      <c r="AW14" s="8">
        <f t="shared" si="92"/>
        <v>133387.83236074273</v>
      </c>
    </row>
    <row r="15" spans="1:50" s="27" customFormat="1" ht="15.75" customHeight="1" thickBot="1" x14ac:dyDescent="0.3">
      <c r="A15" s="22" t="str">
        <f>CONCATENATE(F15,"-",C15)</f>
        <v>поставка-9</v>
      </c>
      <c r="B15" s="13">
        <v>42248</v>
      </c>
      <c r="C15" s="23">
        <f>MONTH(B15)</f>
        <v>9</v>
      </c>
      <c r="D15" s="23">
        <f t="shared" si="64"/>
        <v>9</v>
      </c>
      <c r="E15" s="23">
        <f>YEAR(B15)</f>
        <v>2015</v>
      </c>
      <c r="F15" s="24" t="s">
        <v>14</v>
      </c>
      <c r="G15" s="23" t="s">
        <v>82</v>
      </c>
      <c r="H15" s="23" t="s">
        <v>75</v>
      </c>
      <c r="I15" s="162">
        <v>8224</v>
      </c>
      <c r="J15" s="160">
        <v>3.3</v>
      </c>
      <c r="K15" s="160">
        <v>3.9</v>
      </c>
      <c r="L15" s="160">
        <f>I15*K15/3.4</f>
        <v>9433.4117647058829</v>
      </c>
      <c r="M15" s="160">
        <v>18</v>
      </c>
      <c r="N15" s="160"/>
      <c r="O15" s="160">
        <v>1</v>
      </c>
      <c r="P15" s="171">
        <f>(M15+(J15-3.1)*2.8+(K15-3.6)*1.7)*O15</f>
        <v>19.069999999999997</v>
      </c>
      <c r="Q15" s="160">
        <f>P15*I15</f>
        <v>156831.67999999996</v>
      </c>
      <c r="R15" s="160">
        <f>Q15*0.1</f>
        <v>15683.167999999998</v>
      </c>
      <c r="S15" s="160">
        <f>Q15+R15</f>
        <v>172514.84799999997</v>
      </c>
      <c r="T15" s="14"/>
      <c r="U15" s="162">
        <f>I15</f>
        <v>8224</v>
      </c>
      <c r="V15" s="172">
        <v>3.3</v>
      </c>
      <c r="W15" s="172">
        <v>3.9</v>
      </c>
      <c r="X15" s="172">
        <f>U15*W15/3.4*0.4+U15*V15/3*0.6</f>
        <v>9201.2047058823518</v>
      </c>
      <c r="Y15" s="172">
        <v>17</v>
      </c>
      <c r="Z15" s="172"/>
      <c r="AA15" s="172">
        <f>1.02</f>
        <v>1.02</v>
      </c>
      <c r="AB15" s="173">
        <f t="shared" ref="AB15" si="93">Y15*(ROUND(V15/3*0.6,2)+ROUND(W15/3.4*0.4,2)+AA15-1)</f>
        <v>19.380000000000003</v>
      </c>
      <c r="AC15" s="172">
        <f t="shared" ref="AC15" si="94">U15*ROUND(AB15,2)</f>
        <v>159381.12</v>
      </c>
      <c r="AD15" s="172">
        <f t="shared" si="69"/>
        <v>15938.112000000001</v>
      </c>
      <c r="AE15" s="174">
        <f>AC15+AD15</f>
        <v>175319.23199999999</v>
      </c>
      <c r="AF15" s="16">
        <f t="shared" si="22"/>
        <v>1.14887734185061E-2</v>
      </c>
      <c r="AG15" s="16">
        <f t="shared" si="23"/>
        <v>1.1012060828526684E-2</v>
      </c>
      <c r="AH15" s="9">
        <f>U15*0.1</f>
        <v>822.40000000000009</v>
      </c>
      <c r="AI15" s="148"/>
      <c r="AJ15" s="95"/>
      <c r="AK15" s="95"/>
      <c r="AL15" s="181"/>
      <c r="AM15" s="181"/>
      <c r="AN15" s="182"/>
      <c r="AO15" s="97" t="s">
        <v>51</v>
      </c>
      <c r="AP15" s="14">
        <f t="shared" si="26"/>
        <v>1981.9840000000199</v>
      </c>
      <c r="AQ15" s="14">
        <f t="shared" si="27"/>
        <v>1727.0400000000313</v>
      </c>
      <c r="AR15" s="14">
        <f t="shared" si="28"/>
        <v>156831.67999999996</v>
      </c>
      <c r="AS15" s="8" t="str">
        <f t="shared" si="29"/>
        <v>Поставщик9 - Покупатель4</v>
      </c>
      <c r="AT15" s="8">
        <f t="shared" si="30"/>
        <v>156831.67999999996</v>
      </c>
      <c r="AU15" s="8">
        <f t="shared" si="70"/>
        <v>158558.72</v>
      </c>
      <c r="AV15" s="8">
        <f t="shared" si="32"/>
        <v>139588.40628272248</v>
      </c>
      <c r="AW15" s="8">
        <f t="shared" si="71"/>
        <v>141035.14136125654</v>
      </c>
    </row>
    <row r="16" spans="1:50" ht="16.5" customHeight="1" thickBot="1" x14ac:dyDescent="0.3">
      <c r="A16" s="12" t="str">
        <f t="shared" ref="A16:A18" si="95">CONCATENATE(F16,"-",C16)</f>
        <v>поставка-9</v>
      </c>
      <c r="B16" s="13">
        <v>42248</v>
      </c>
      <c r="C16" s="105">
        <f t="shared" ref="C16:C18" si="96">MONTH(B16)</f>
        <v>9</v>
      </c>
      <c r="D16" s="105">
        <f t="shared" si="64"/>
        <v>9</v>
      </c>
      <c r="E16" s="105">
        <f t="shared" ref="E16:E18" si="97">YEAR(B16)</f>
        <v>2015</v>
      </c>
      <c r="F16" s="2" t="s">
        <v>14</v>
      </c>
      <c r="G16" s="106" t="s">
        <v>83</v>
      </c>
      <c r="H16" s="122" t="s">
        <v>76</v>
      </c>
      <c r="I16" s="156">
        <v>4903</v>
      </c>
      <c r="J16" s="157">
        <v>3.06</v>
      </c>
      <c r="K16" s="157">
        <f>W16</f>
        <v>3.7</v>
      </c>
      <c r="L16" s="157">
        <f t="shared" ref="L16" si="98">I16*K16/3.4</f>
        <v>5335.6176470588243</v>
      </c>
      <c r="M16" s="158">
        <f t="shared" ref="M16:M17" si="99">17.5/N16</f>
        <v>15.909090909090908</v>
      </c>
      <c r="N16" s="157">
        <v>1.1000000000000001</v>
      </c>
      <c r="O16" s="159">
        <v>1</v>
      </c>
      <c r="P16" s="159">
        <f t="shared" ref="P16:P17" si="100">M16*((J16/3*0.6)+(K16/3.4*0.4))*O16</f>
        <v>16.661497326203211</v>
      </c>
      <c r="Q16" s="157">
        <f t="shared" ref="Q16:Q17" si="101">I16*ROUND(P16,2)</f>
        <v>81683.98</v>
      </c>
      <c r="R16" s="160">
        <f t="shared" ref="R16:R17" si="102">Q16*0.1</f>
        <v>8168.3980000000001</v>
      </c>
      <c r="S16" s="161">
        <f t="shared" ref="S16:S17" si="103">Q16+R16</f>
        <v>89852.377999999997</v>
      </c>
      <c r="T16" s="14">
        <v>0</v>
      </c>
      <c r="U16" s="162">
        <f>I16</f>
        <v>4903</v>
      </c>
      <c r="V16" s="159">
        <v>3.06</v>
      </c>
      <c r="W16" s="159">
        <v>3.7</v>
      </c>
      <c r="X16" s="103">
        <f t="shared" ref="X16:X17" si="104">U16*W16/3.4</f>
        <v>5335.6176470588243</v>
      </c>
      <c r="Y16" s="158">
        <v>17</v>
      </c>
      <c r="Z16" s="163"/>
      <c r="AA16" s="158">
        <v>1</v>
      </c>
      <c r="AB16" s="32">
        <f t="shared" ref="AB16:AB17" si="105">Y16*(V16/3*0.6+W16/3.4*0.4)</f>
        <v>17.804000000000002</v>
      </c>
      <c r="AC16" s="158">
        <f>U16*AB16</f>
        <v>87293.012000000017</v>
      </c>
      <c r="AD16" s="158">
        <f t="shared" si="69"/>
        <v>8729.3012000000017</v>
      </c>
      <c r="AE16" s="164">
        <f t="shared" ref="AE16:AE17" si="106">AC16+AD16</f>
        <v>96022.313200000019</v>
      </c>
      <c r="AF16" s="140">
        <f t="shared" si="22"/>
        <v>-5.1813484557971058E-2</v>
      </c>
      <c r="AG16" s="111">
        <f t="shared" si="23"/>
        <v>-4.3645284453241145E-2</v>
      </c>
      <c r="AH16" s="141"/>
      <c r="AI16" s="133">
        <f t="shared" ref="AI16:AI17" si="107">U16*1.5/1.18</f>
        <v>6232.6271186440681</v>
      </c>
      <c r="AJ16" s="128">
        <f t="shared" ref="AJ16:AJ17" si="108">AI16*0.18</f>
        <v>1121.8728813559321</v>
      </c>
      <c r="AK16" s="128">
        <f t="shared" ref="AK16:AK17" si="109">AI16+AJ16</f>
        <v>7354.5</v>
      </c>
      <c r="AL16" s="137">
        <f t="shared" ref="AL16" si="110">AN16-AM16</f>
        <v>15406.77966101695</v>
      </c>
      <c r="AM16" s="153">
        <f t="shared" ref="AM16" si="111">AN16/1.18*0.18</f>
        <v>2773.2203389830511</v>
      </c>
      <c r="AN16" s="152">
        <v>18180</v>
      </c>
      <c r="AO16" s="139" t="s">
        <v>84</v>
      </c>
      <c r="AP16" s="109">
        <f t="shared" si="26"/>
        <v>-4655.5647999999783</v>
      </c>
      <c r="AQ16" s="109">
        <f t="shared" si="27"/>
        <v>-3565.1205423728607</v>
      </c>
      <c r="AR16" s="5">
        <f t="shared" si="28"/>
        <v>97090.759661016942</v>
      </c>
      <c r="AS16" s="5" t="str">
        <f t="shared" si="29"/>
        <v>Поставщик16 - Покупатель7</v>
      </c>
      <c r="AT16" s="5">
        <f t="shared" si="30"/>
        <v>81683.98</v>
      </c>
      <c r="AU16" s="5">
        <f t="shared" si="70"/>
        <v>87293.012000000017</v>
      </c>
      <c r="AV16" s="5">
        <f t="shared" si="32"/>
        <v>77490.382812499985</v>
      </c>
      <c r="AW16" s="5">
        <f t="shared" si="71"/>
        <v>82811.451116071432</v>
      </c>
      <c r="AX16" s="136"/>
    </row>
    <row r="17" spans="1:50" ht="16.5" customHeight="1" thickBot="1" x14ac:dyDescent="0.3">
      <c r="A17" s="12" t="str">
        <f t="shared" si="95"/>
        <v>поставка-9</v>
      </c>
      <c r="B17" s="13">
        <v>42248</v>
      </c>
      <c r="C17" s="105">
        <f t="shared" si="96"/>
        <v>9</v>
      </c>
      <c r="D17" s="105">
        <f t="shared" si="64"/>
        <v>9</v>
      </c>
      <c r="E17" s="105">
        <f t="shared" si="97"/>
        <v>2015</v>
      </c>
      <c r="F17" s="2" t="s">
        <v>14</v>
      </c>
      <c r="G17" s="106" t="s">
        <v>83</v>
      </c>
      <c r="H17" s="122" t="s">
        <v>76</v>
      </c>
      <c r="I17" s="156">
        <v>7097</v>
      </c>
      <c r="J17" s="157">
        <v>3.06</v>
      </c>
      <c r="K17" s="157">
        <v>3.8</v>
      </c>
      <c r="L17" s="157">
        <f>I17*K17/3.4</f>
        <v>7931.9411764705883</v>
      </c>
      <c r="M17" s="158">
        <f t="shared" si="99"/>
        <v>15.909090909090908</v>
      </c>
      <c r="N17" s="157">
        <v>1.1000000000000001</v>
      </c>
      <c r="O17" s="159">
        <v>1</v>
      </c>
      <c r="P17" s="159">
        <f t="shared" si="100"/>
        <v>16.848663101604277</v>
      </c>
      <c r="Q17" s="157">
        <f t="shared" si="101"/>
        <v>119584.45000000001</v>
      </c>
      <c r="R17" s="160">
        <f t="shared" si="102"/>
        <v>11958.445000000002</v>
      </c>
      <c r="S17" s="161">
        <f t="shared" si="103"/>
        <v>131542.89500000002</v>
      </c>
      <c r="T17" s="14">
        <v>0</v>
      </c>
      <c r="U17" s="162">
        <f>I17</f>
        <v>7097</v>
      </c>
      <c r="V17" s="159">
        <v>3.06</v>
      </c>
      <c r="W17" s="159">
        <v>3.7</v>
      </c>
      <c r="X17" s="103">
        <f t="shared" si="104"/>
        <v>7723.2058823529414</v>
      </c>
      <c r="Y17" s="158">
        <v>17</v>
      </c>
      <c r="Z17" s="163"/>
      <c r="AA17" s="158">
        <v>1</v>
      </c>
      <c r="AB17" s="32">
        <f t="shared" si="105"/>
        <v>17.804000000000002</v>
      </c>
      <c r="AC17" s="158">
        <f t="shared" ref="AC17" si="112">U17*AB17</f>
        <v>126354.98800000001</v>
      </c>
      <c r="AD17" s="158">
        <f t="shared" si="69"/>
        <v>12635.498800000001</v>
      </c>
      <c r="AE17" s="164">
        <f t="shared" si="106"/>
        <v>138990.48680000001</v>
      </c>
      <c r="AF17" s="140">
        <f t="shared" si="22"/>
        <v>0.13754518478554081</v>
      </c>
      <c r="AG17" s="111">
        <f t="shared" si="23"/>
        <v>0.13205854247346979</v>
      </c>
      <c r="AH17" s="141"/>
      <c r="AI17" s="133">
        <f t="shared" si="107"/>
        <v>9021.6101694915251</v>
      </c>
      <c r="AJ17" s="128">
        <f t="shared" si="108"/>
        <v>1623.8898305084745</v>
      </c>
      <c r="AK17" s="128">
        <f t="shared" si="109"/>
        <v>10645.5</v>
      </c>
      <c r="AL17" s="137"/>
      <c r="AM17" s="153"/>
      <c r="AN17" s="152"/>
      <c r="AO17" s="139" t="s">
        <v>84</v>
      </c>
      <c r="AP17" s="109">
        <f t="shared" si="26"/>
        <v>18093.091799999995</v>
      </c>
      <c r="AQ17" s="109">
        <f t="shared" si="27"/>
        <v>15792.148169491526</v>
      </c>
      <c r="AR17" s="5">
        <f t="shared" si="28"/>
        <v>119584.45000000001</v>
      </c>
      <c r="AS17" s="5" t="str">
        <f t="shared" si="29"/>
        <v>Поставщик16 - Покупатель7</v>
      </c>
      <c r="AT17" s="5">
        <f t="shared" si="30"/>
        <v>119584.45000000001</v>
      </c>
      <c r="AU17" s="5">
        <f t="shared" si="70"/>
        <v>126354.98800000001</v>
      </c>
      <c r="AV17" s="5">
        <f t="shared" si="32"/>
        <v>111884.18547055587</v>
      </c>
      <c r="AW17" s="5">
        <f t="shared" si="71"/>
        <v>119868.01316964286</v>
      </c>
      <c r="AX17" s="136"/>
    </row>
    <row r="18" spans="1:50" s="27" customFormat="1" ht="15.75" customHeight="1" thickBot="1" x14ac:dyDescent="0.3">
      <c r="A18" s="37" t="str">
        <f t="shared" si="95"/>
        <v>оплата-9</v>
      </c>
      <c r="B18" s="37">
        <v>42248</v>
      </c>
      <c r="C18" s="38">
        <f t="shared" si="96"/>
        <v>9</v>
      </c>
      <c r="D18" s="38">
        <f t="shared" si="64"/>
        <v>9</v>
      </c>
      <c r="E18" s="38">
        <f t="shared" si="97"/>
        <v>2015</v>
      </c>
      <c r="F18" s="39" t="s">
        <v>15</v>
      </c>
      <c r="G18" s="40" t="s">
        <v>88</v>
      </c>
      <c r="H18" s="43" t="s">
        <v>80</v>
      </c>
      <c r="I18" s="58"/>
      <c r="J18" s="49"/>
      <c r="K18" s="49"/>
      <c r="L18" s="49"/>
      <c r="M18" s="49"/>
      <c r="N18" s="49"/>
      <c r="O18" s="49"/>
      <c r="P18" s="49"/>
      <c r="Q18" s="49">
        <f t="shared" ref="Q18:Q21" si="113">S18-R18</f>
        <v>300000</v>
      </c>
      <c r="R18" s="49">
        <v>0</v>
      </c>
      <c r="S18" s="56">
        <v>300000</v>
      </c>
      <c r="T18" s="5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1"/>
      <c r="AQ18" s="51"/>
      <c r="AR18" s="72"/>
      <c r="AS18" s="72" t="str">
        <f t="shared" si="29"/>
        <v>Альфа - Поставщик7</v>
      </c>
      <c r="AT18" s="72">
        <f t="shared" si="30"/>
        <v>300000</v>
      </c>
      <c r="AU18" s="72">
        <f t="shared" si="70"/>
        <v>0</v>
      </c>
      <c r="AV18" s="72" t="e">
        <f t="shared" si="32"/>
        <v>#DIV/0!</v>
      </c>
      <c r="AW18" s="72" t="e">
        <f t="shared" si="71"/>
        <v>#DIV/0!</v>
      </c>
    </row>
    <row r="19" spans="1:50" s="27" customFormat="1" ht="15.75" customHeight="1" thickBot="1" x14ac:dyDescent="0.3">
      <c r="A19" s="52" t="str">
        <f>CONCATENATE(F19,"-",C19)</f>
        <v>оплата-9</v>
      </c>
      <c r="B19" s="37">
        <v>42248</v>
      </c>
      <c r="C19" s="38">
        <f>MONTH(B19)</f>
        <v>9</v>
      </c>
      <c r="D19" s="38">
        <f>MONTH(B19)</f>
        <v>9</v>
      </c>
      <c r="E19" s="38">
        <f>YEAR(B19)</f>
        <v>2015</v>
      </c>
      <c r="F19" s="39" t="s">
        <v>15</v>
      </c>
      <c r="G19" s="40" t="s">
        <v>88</v>
      </c>
      <c r="H19" s="40" t="s">
        <v>81</v>
      </c>
      <c r="I19" s="57"/>
      <c r="J19" s="41"/>
      <c r="K19" s="41"/>
      <c r="L19" s="41"/>
      <c r="M19" s="41"/>
      <c r="N19" s="41"/>
      <c r="O19" s="41"/>
      <c r="P19" s="41"/>
      <c r="Q19" s="41">
        <f t="shared" si="113"/>
        <v>280000</v>
      </c>
      <c r="R19" s="49">
        <v>0</v>
      </c>
      <c r="S19" s="55">
        <v>280000</v>
      </c>
      <c r="T19" s="44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1"/>
      <c r="AQ19" s="51"/>
      <c r="AR19" s="72"/>
      <c r="AS19" s="72" t="str">
        <f t="shared" si="29"/>
        <v>Альфа - Поставщик8</v>
      </c>
      <c r="AT19" s="72">
        <f t="shared" si="30"/>
        <v>280000</v>
      </c>
      <c r="AU19" s="72">
        <f t="shared" si="70"/>
        <v>0</v>
      </c>
      <c r="AV19" s="72" t="e">
        <f t="shared" si="32"/>
        <v>#DIV/0!</v>
      </c>
      <c r="AW19" s="72" t="e">
        <f t="shared" si="71"/>
        <v>#DIV/0!</v>
      </c>
    </row>
    <row r="20" spans="1:50" s="27" customFormat="1" ht="15.75" customHeight="1" thickBot="1" x14ac:dyDescent="0.3">
      <c r="A20" s="52" t="str">
        <f t="shared" ref="A20:A21" si="114">CONCATENATE(F20,"-",C20)</f>
        <v>оплата-9</v>
      </c>
      <c r="B20" s="37">
        <v>42248</v>
      </c>
      <c r="C20" s="38">
        <f t="shared" ref="C20:C21" si="115">MONTH(B20)</f>
        <v>9</v>
      </c>
      <c r="D20" s="38">
        <f t="shared" ref="D20:D21" si="116">MONTH(B20)</f>
        <v>9</v>
      </c>
      <c r="E20" s="38">
        <f t="shared" ref="E20:E21" si="117">YEAR(B20)</f>
        <v>2015</v>
      </c>
      <c r="F20" s="39" t="s">
        <v>15</v>
      </c>
      <c r="G20" s="40" t="s">
        <v>88</v>
      </c>
      <c r="H20" s="40" t="s">
        <v>83</v>
      </c>
      <c r="I20" s="57"/>
      <c r="J20" s="41"/>
      <c r="K20" s="41"/>
      <c r="L20" s="41"/>
      <c r="M20" s="41"/>
      <c r="N20" s="41"/>
      <c r="O20" s="41"/>
      <c r="P20" s="41"/>
      <c r="Q20" s="41">
        <f t="shared" si="113"/>
        <v>272727.27272727271</v>
      </c>
      <c r="R20" s="41">
        <f t="shared" ref="R20:R22" si="118">S20/1.1*0.1</f>
        <v>27272.727272727272</v>
      </c>
      <c r="S20" s="55">
        <v>300000</v>
      </c>
      <c r="T20" s="44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1"/>
      <c r="AQ20" s="51"/>
      <c r="AR20" s="72"/>
      <c r="AS20" s="72" t="str">
        <f t="shared" si="29"/>
        <v>Альфа - Поставщик16</v>
      </c>
      <c r="AT20" s="72">
        <f t="shared" si="30"/>
        <v>272727.27272727271</v>
      </c>
      <c r="AU20" s="72">
        <f t="shared" si="70"/>
        <v>0</v>
      </c>
      <c r="AV20" s="72" t="e">
        <f t="shared" si="32"/>
        <v>#DIV/0!</v>
      </c>
      <c r="AW20" s="72" t="e">
        <f t="shared" si="71"/>
        <v>#DIV/0!</v>
      </c>
    </row>
    <row r="21" spans="1:50" s="27" customFormat="1" ht="15.75" customHeight="1" thickBot="1" x14ac:dyDescent="0.3">
      <c r="A21" s="52" t="str">
        <f t="shared" si="114"/>
        <v>оплата-9</v>
      </c>
      <c r="B21" s="37">
        <v>42248</v>
      </c>
      <c r="C21" s="38">
        <f t="shared" si="115"/>
        <v>9</v>
      </c>
      <c r="D21" s="38">
        <f t="shared" si="116"/>
        <v>9</v>
      </c>
      <c r="E21" s="38">
        <f t="shared" si="117"/>
        <v>2015</v>
      </c>
      <c r="F21" s="39" t="s">
        <v>15</v>
      </c>
      <c r="G21" s="40" t="s">
        <v>88</v>
      </c>
      <c r="H21" s="40" t="s">
        <v>82</v>
      </c>
      <c r="I21" s="57"/>
      <c r="J21" s="41"/>
      <c r="K21" s="41"/>
      <c r="L21" s="41"/>
      <c r="M21" s="41"/>
      <c r="N21" s="41"/>
      <c r="O21" s="41"/>
      <c r="P21" s="41"/>
      <c r="Q21" s="41">
        <f t="shared" si="113"/>
        <v>909090.90909090906</v>
      </c>
      <c r="R21" s="41">
        <f t="shared" si="118"/>
        <v>90909.090909090912</v>
      </c>
      <c r="S21" s="55">
        <v>1000000</v>
      </c>
      <c r="T21" s="44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1"/>
      <c r="AQ21" s="51"/>
      <c r="AR21" s="72"/>
      <c r="AS21" s="72" t="str">
        <f t="shared" si="29"/>
        <v>Альфа - Поставщик9</v>
      </c>
      <c r="AT21" s="72">
        <f t="shared" si="30"/>
        <v>909090.90909090906</v>
      </c>
      <c r="AU21" s="72">
        <f t="shared" si="70"/>
        <v>0</v>
      </c>
      <c r="AV21" s="72" t="e">
        <f t="shared" si="32"/>
        <v>#DIV/0!</v>
      </c>
      <c r="AW21" s="72" t="e">
        <f t="shared" si="71"/>
        <v>#DIV/0!</v>
      </c>
    </row>
    <row r="22" spans="1:50" s="27" customFormat="1" ht="15.75" customHeight="1" thickBot="1" x14ac:dyDescent="0.3">
      <c r="A22" s="52" t="str">
        <f>CONCATENATE(F22,"-",C22)</f>
        <v>оплата-9</v>
      </c>
      <c r="B22" s="37">
        <v>42248</v>
      </c>
      <c r="C22" s="38">
        <f>MONTH(B22)</f>
        <v>9</v>
      </c>
      <c r="D22" s="38">
        <f>MONTH(B22)</f>
        <v>9</v>
      </c>
      <c r="E22" s="38">
        <f>YEAR(B22)</f>
        <v>2015</v>
      </c>
      <c r="F22" s="39" t="s">
        <v>15</v>
      </c>
      <c r="G22" s="40" t="s">
        <v>88</v>
      </c>
      <c r="H22" s="40" t="s">
        <v>79</v>
      </c>
      <c r="I22" s="57"/>
      <c r="J22" s="41"/>
      <c r="K22" s="41"/>
      <c r="L22" s="41"/>
      <c r="M22" s="41"/>
      <c r="N22" s="41"/>
      <c r="O22" s="41"/>
      <c r="P22" s="41"/>
      <c r="Q22" s="41">
        <f>S22-R22</f>
        <v>518181.81818181818</v>
      </c>
      <c r="R22" s="41">
        <f t="shared" si="118"/>
        <v>51818.181818181816</v>
      </c>
      <c r="S22" s="55">
        <v>570000</v>
      </c>
      <c r="T22" s="44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1"/>
      <c r="AQ22" s="51"/>
      <c r="AR22" s="72"/>
      <c r="AS22" s="72" t="str">
        <f t="shared" si="29"/>
        <v>Альфа - Поставщик6</v>
      </c>
      <c r="AT22" s="72">
        <f t="shared" si="30"/>
        <v>518181.81818181818</v>
      </c>
      <c r="AU22" s="72">
        <f t="shared" si="70"/>
        <v>0</v>
      </c>
      <c r="AV22" s="72" t="e">
        <f t="shared" si="32"/>
        <v>#DIV/0!</v>
      </c>
      <c r="AW22" s="72" t="e">
        <f t="shared" si="71"/>
        <v>#DIV/0!</v>
      </c>
    </row>
    <row r="23" spans="1:50" s="27" customFormat="1" ht="15.75" customHeight="1" thickBot="1" x14ac:dyDescent="0.3">
      <c r="A23" s="37" t="str">
        <f t="shared" ref="A23:A36" si="119">CONCATENATE(F23,"-",C23)</f>
        <v>оплата-9</v>
      </c>
      <c r="B23" s="37">
        <v>42248</v>
      </c>
      <c r="C23" s="38">
        <f t="shared" ref="C23:C33" si="120">MONTH(B23)</f>
        <v>9</v>
      </c>
      <c r="D23" s="38">
        <f t="shared" ref="D23:D41" si="121">MONTH(B23)</f>
        <v>9</v>
      </c>
      <c r="E23" s="38">
        <f t="shared" ref="E23:E36" si="122">YEAR(B23)</f>
        <v>2015</v>
      </c>
      <c r="F23" s="39" t="s">
        <v>15</v>
      </c>
      <c r="G23" s="40" t="s">
        <v>88</v>
      </c>
      <c r="H23" s="43" t="s">
        <v>84</v>
      </c>
      <c r="I23" s="58"/>
      <c r="J23" s="49"/>
      <c r="K23" s="49"/>
      <c r="L23" s="49"/>
      <c r="M23" s="49"/>
      <c r="N23" s="49"/>
      <c r="O23" s="49"/>
      <c r="P23" s="49"/>
      <c r="Q23" s="49">
        <f t="shared" ref="Q23" si="123">S23-R23</f>
        <v>0</v>
      </c>
      <c r="R23" s="49">
        <v>0</v>
      </c>
      <c r="S23" s="56">
        <v>0</v>
      </c>
      <c r="T23" s="59"/>
      <c r="U23" s="57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2"/>
      <c r="AG23" s="42"/>
      <c r="AH23" s="42"/>
      <c r="AI23" s="42"/>
      <c r="AJ23" s="42"/>
      <c r="AK23" s="42"/>
      <c r="AL23" s="41">
        <f t="shared" ref="AL23" si="124">AN23-AM23</f>
        <v>61016.949152542336</v>
      </c>
      <c r="AM23" s="41">
        <f>AN23/1.18</f>
        <v>338983.05084745766</v>
      </c>
      <c r="AN23" s="55">
        <v>400000</v>
      </c>
      <c r="AO23" s="44" t="s">
        <v>84</v>
      </c>
      <c r="AP23" s="51"/>
      <c r="AQ23" s="51"/>
      <c r="AR23" s="72"/>
      <c r="AS23" s="72" t="str">
        <f t="shared" si="29"/>
        <v>Альфа - Перевозчик1</v>
      </c>
      <c r="AT23" s="72">
        <f t="shared" si="30"/>
        <v>0</v>
      </c>
      <c r="AU23" s="72">
        <f t="shared" si="70"/>
        <v>0</v>
      </c>
      <c r="AV23" s="72" t="e">
        <f t="shared" si="32"/>
        <v>#DIV/0!</v>
      </c>
      <c r="AW23" s="72" t="e">
        <f t="shared" si="71"/>
        <v>#DIV/0!</v>
      </c>
    </row>
    <row r="24" spans="1:50" s="27" customFormat="1" ht="15.75" customHeight="1" thickBot="1" x14ac:dyDescent="0.3">
      <c r="A24" s="37" t="str">
        <f t="shared" si="119"/>
        <v>оплата-9</v>
      </c>
      <c r="B24" s="37">
        <v>42248</v>
      </c>
      <c r="C24" s="38">
        <f t="shared" si="120"/>
        <v>9</v>
      </c>
      <c r="D24" s="38">
        <f t="shared" si="121"/>
        <v>9</v>
      </c>
      <c r="E24" s="38">
        <f t="shared" si="122"/>
        <v>2015</v>
      </c>
      <c r="F24" s="39" t="s">
        <v>15</v>
      </c>
      <c r="G24" s="40" t="s">
        <v>76</v>
      </c>
      <c r="H24" s="43" t="s">
        <v>88</v>
      </c>
      <c r="I24" s="58"/>
      <c r="J24" s="49"/>
      <c r="K24" s="49"/>
      <c r="L24" s="49"/>
      <c r="M24" s="49"/>
      <c r="N24" s="49"/>
      <c r="O24" s="49"/>
      <c r="P24" s="49"/>
      <c r="Q24" s="49">
        <f>S24-R24</f>
        <v>454545.45454545453</v>
      </c>
      <c r="R24" s="49">
        <f t="shared" ref="R24:R25" si="125">S24/1.1*0.1</f>
        <v>45454.545454545456</v>
      </c>
      <c r="S24" s="56">
        <v>500000</v>
      </c>
      <c r="T24" s="5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50"/>
      <c r="AG24" s="50"/>
      <c r="AH24" s="50"/>
      <c r="AI24" s="119">
        <f>AK24-AJ24</f>
        <v>0</v>
      </c>
      <c r="AJ24" s="119">
        <f>AK24/1.18*0.18</f>
        <v>0</v>
      </c>
      <c r="AK24" s="119"/>
      <c r="AL24" s="50"/>
      <c r="AM24" s="50"/>
      <c r="AN24" s="50"/>
      <c r="AO24" s="50"/>
      <c r="AP24" s="51"/>
      <c r="AQ24" s="51"/>
      <c r="AR24" s="72"/>
      <c r="AS24" s="72" t="str">
        <f t="shared" si="29"/>
        <v>Покупатель7 - Альфа</v>
      </c>
      <c r="AT24" s="72">
        <f t="shared" si="30"/>
        <v>454545.45454545453</v>
      </c>
      <c r="AU24" s="72">
        <f t="shared" si="70"/>
        <v>0</v>
      </c>
      <c r="AV24" s="72" t="e">
        <f t="shared" si="32"/>
        <v>#DIV/0!</v>
      </c>
      <c r="AW24" s="72" t="e">
        <f t="shared" si="71"/>
        <v>#DIV/0!</v>
      </c>
    </row>
    <row r="25" spans="1:50" s="27" customFormat="1" ht="15.75" customHeight="1" thickBot="1" x14ac:dyDescent="0.3">
      <c r="A25" s="37" t="str">
        <f t="shared" si="119"/>
        <v>оплата-9</v>
      </c>
      <c r="B25" s="45">
        <v>42248</v>
      </c>
      <c r="C25" s="46">
        <f t="shared" si="120"/>
        <v>9</v>
      </c>
      <c r="D25" s="46">
        <f t="shared" si="121"/>
        <v>9</v>
      </c>
      <c r="E25" s="46">
        <f t="shared" si="122"/>
        <v>2015</v>
      </c>
      <c r="F25" s="47" t="s">
        <v>15</v>
      </c>
      <c r="G25" s="48" t="s">
        <v>75</v>
      </c>
      <c r="H25" s="114" t="s">
        <v>88</v>
      </c>
      <c r="I25" s="57"/>
      <c r="J25" s="41"/>
      <c r="K25" s="41"/>
      <c r="L25" s="41"/>
      <c r="M25" s="41"/>
      <c r="N25" s="41"/>
      <c r="O25" s="41"/>
      <c r="P25" s="41"/>
      <c r="Q25" s="41">
        <f t="shared" ref="Q25" si="126">S25-R25</f>
        <v>1821915.4545454546</v>
      </c>
      <c r="R25" s="41">
        <f t="shared" si="125"/>
        <v>182191.54545454544</v>
      </c>
      <c r="S25" s="55">
        <v>2004107</v>
      </c>
      <c r="T25" s="44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1"/>
      <c r="AQ25" s="51"/>
      <c r="AR25" s="72"/>
      <c r="AS25" s="72" t="str">
        <f t="shared" si="29"/>
        <v>Покупатель4 - Альфа</v>
      </c>
      <c r="AT25" s="72">
        <f t="shared" si="30"/>
        <v>1821915.4545454546</v>
      </c>
      <c r="AU25" s="72">
        <f t="shared" si="70"/>
        <v>0</v>
      </c>
      <c r="AV25" s="72" t="e">
        <f t="shared" si="32"/>
        <v>#DIV/0!</v>
      </c>
      <c r="AW25" s="72" t="e">
        <f t="shared" si="71"/>
        <v>#DIV/0!</v>
      </c>
    </row>
    <row r="26" spans="1:50" ht="15.75" customHeight="1" thickBot="1" x14ac:dyDescent="0.3">
      <c r="A26" s="12" t="str">
        <f t="shared" si="119"/>
        <v>поставка-9</v>
      </c>
      <c r="B26" s="13">
        <v>42249</v>
      </c>
      <c r="C26" s="105">
        <f t="shared" si="120"/>
        <v>9</v>
      </c>
      <c r="D26" s="105">
        <f t="shared" si="121"/>
        <v>9</v>
      </c>
      <c r="E26" s="105">
        <f t="shared" si="122"/>
        <v>2015</v>
      </c>
      <c r="F26" s="2" t="s">
        <v>14</v>
      </c>
      <c r="G26" s="106" t="s">
        <v>72</v>
      </c>
      <c r="H26" s="122" t="s">
        <v>77</v>
      </c>
      <c r="I26" s="165">
        <v>14392</v>
      </c>
      <c r="J26" s="159">
        <f t="shared" ref="J26:J28" si="127">V26</f>
        <v>3.2</v>
      </c>
      <c r="K26" s="166">
        <f>W26</f>
        <v>3.9</v>
      </c>
      <c r="L26" s="157">
        <f t="shared" ref="L26:L36" si="128">I26*K26/3.4</f>
        <v>16508.470588235294</v>
      </c>
      <c r="M26" s="157">
        <v>15.5</v>
      </c>
      <c r="N26" s="157"/>
      <c r="O26" s="157"/>
      <c r="P26" s="157">
        <f>ROUND((M26*0.6*J26/3+M26*0.4*K26/3.4)*1.1,2)/1.1</f>
        <v>17.027272727272727</v>
      </c>
      <c r="Q26" s="157">
        <f t="shared" ref="Q26:Q32" si="129">P26*I26</f>
        <v>245056.50909090909</v>
      </c>
      <c r="R26" s="160">
        <f t="shared" ref="R26:R28" si="130">Q26*0.1</f>
        <v>24505.650909090909</v>
      </c>
      <c r="S26" s="178">
        <f t="shared" ref="S26:S36" si="131">Q26+R26</f>
        <v>269562.16000000003</v>
      </c>
      <c r="T26" s="25">
        <f>L26*0.94</f>
        <v>15517.962352941175</v>
      </c>
      <c r="U26" s="165">
        <f t="shared" ref="U26:U34" si="132">I26</f>
        <v>14392</v>
      </c>
      <c r="V26" s="157">
        <v>3.2</v>
      </c>
      <c r="W26" s="157">
        <v>3.9</v>
      </c>
      <c r="X26" s="158">
        <f>U26*W26/3.4</f>
        <v>16508.470588235294</v>
      </c>
      <c r="Y26" s="29">
        <v>17</v>
      </c>
      <c r="Z26" s="158"/>
      <c r="AA26" s="158">
        <v>1</v>
      </c>
      <c r="AB26" s="179">
        <f>ROUND(Y26*(W26/3.4*0.4+V26/3*0.6)*AA26,2)</f>
        <v>18.68</v>
      </c>
      <c r="AC26" s="158">
        <f t="shared" ref="AC26:AC35" si="133">AB26*U26</f>
        <v>268842.56</v>
      </c>
      <c r="AD26" s="158">
        <f>AC26*0.1</f>
        <v>26884.256000000001</v>
      </c>
      <c r="AE26" s="158">
        <f t="shared" ref="AE26:AE36" si="134">AC26+AD26</f>
        <v>295726.81599999999</v>
      </c>
      <c r="AF26" s="111">
        <f t="shared" ref="AF26:AF39" si="135">AP26/S26</f>
        <v>3.9496246977167651E-2</v>
      </c>
      <c r="AG26" s="111">
        <f t="shared" ref="AG26:AG39" si="136">AQ26/Q26</f>
        <v>3.3739518231211317E-2</v>
      </c>
      <c r="AH26" s="112"/>
      <c r="AI26" s="133">
        <f t="shared" ref="AI26:AI28" si="137">AK26-AJ26</f>
        <v>0</v>
      </c>
      <c r="AJ26" s="128">
        <f t="shared" ref="AJ26:AJ28" si="138">AK26/1.18*0.18</f>
        <v>0</v>
      </c>
      <c r="AK26" s="128"/>
      <c r="AL26" s="4">
        <f>AN26-AM26</f>
        <v>0</v>
      </c>
      <c r="AM26" s="121">
        <f>AN26/1.18*0.18</f>
        <v>0</v>
      </c>
      <c r="AN26" s="138"/>
      <c r="AO26" s="139"/>
      <c r="AP26" s="109">
        <f t="shared" ref="AP26:AP39" si="139">AE26-S26-T26-AH26+AK26-AN26</f>
        <v>10646.693647058784</v>
      </c>
      <c r="AQ26" s="109">
        <f t="shared" ref="AQ26:AQ39" si="140">AC26-Q26-T26-AH26+AI26-AL26</f>
        <v>8268.0885561497289</v>
      </c>
      <c r="AR26" s="5">
        <f t="shared" ref="AR26:AR39" si="141">Q26+T26+AL26</f>
        <v>260574.47144385026</v>
      </c>
      <c r="AS26" s="5" t="str">
        <f t="shared" si="29"/>
        <v>Поставщик1 - Покупатель8</v>
      </c>
      <c r="AT26" s="5">
        <f t="shared" si="30"/>
        <v>260574.47144385026</v>
      </c>
      <c r="AU26" s="5">
        <f t="shared" si="70"/>
        <v>268842.56</v>
      </c>
      <c r="AV26" s="5">
        <f t="shared" si="32"/>
        <v>236915.33991957293</v>
      </c>
      <c r="AW26" s="5">
        <f t="shared" si="71"/>
        <v>242886.9895482728</v>
      </c>
      <c r="AX26" s="136"/>
    </row>
    <row r="27" spans="1:50" ht="15.75" customHeight="1" thickBot="1" x14ac:dyDescent="0.3">
      <c r="A27" s="12" t="str">
        <f t="shared" ref="A27" si="142">CONCATENATE(F27,"-",C27)</f>
        <v>поставка-9</v>
      </c>
      <c r="B27" s="13">
        <v>42249</v>
      </c>
      <c r="C27" s="105">
        <f t="shared" ref="C27" si="143">MONTH(B27)</f>
        <v>9</v>
      </c>
      <c r="D27" s="105">
        <f t="shared" ref="D27" si="144">MONTH(B27)</f>
        <v>9</v>
      </c>
      <c r="E27" s="105">
        <f t="shared" ref="E27" si="145">YEAR(B27)</f>
        <v>2015</v>
      </c>
      <c r="F27" s="2" t="s">
        <v>14</v>
      </c>
      <c r="G27" s="142" t="s">
        <v>74</v>
      </c>
      <c r="H27" s="122" t="s">
        <v>77</v>
      </c>
      <c r="I27" s="165">
        <v>18834</v>
      </c>
      <c r="J27" s="159">
        <f t="shared" ref="J27" si="146">V27</f>
        <v>3.2</v>
      </c>
      <c r="K27" s="166">
        <v>3.8</v>
      </c>
      <c r="L27" s="157">
        <f t="shared" ref="L27" si="147">I27*K27/3.4</f>
        <v>21049.764705882353</v>
      </c>
      <c r="M27" s="157">
        <v>0</v>
      </c>
      <c r="N27" s="157"/>
      <c r="O27" s="157"/>
      <c r="P27" s="157">
        <f>ROUND((M27*0.6*J27/3+M27*0.4*K27/3.4)*1.1,2)/1.1</f>
        <v>0</v>
      </c>
      <c r="Q27" s="157">
        <f t="shared" ref="Q27" si="148">P27*I27</f>
        <v>0</v>
      </c>
      <c r="R27" s="160">
        <f t="shared" ref="R27" si="149">Q27*0.1</f>
        <v>0</v>
      </c>
      <c r="S27" s="178">
        <f t="shared" ref="S27" si="150">Q27+R27</f>
        <v>0</v>
      </c>
      <c r="T27" s="25"/>
      <c r="U27" s="165">
        <f t="shared" si="132"/>
        <v>18834</v>
      </c>
      <c r="V27" s="157">
        <v>3.2</v>
      </c>
      <c r="W27" s="157">
        <v>3.8</v>
      </c>
      <c r="X27" s="158">
        <f>U27*W27/3.4</f>
        <v>21049.764705882353</v>
      </c>
      <c r="Y27" s="29">
        <v>17</v>
      </c>
      <c r="Z27" s="158"/>
      <c r="AA27" s="158">
        <v>1</v>
      </c>
      <c r="AB27" s="179">
        <f>ROUND(Y27*(W27/3.4*0.4+V27/3*0.6)*AA27,2)</f>
        <v>18.48</v>
      </c>
      <c r="AC27" s="158">
        <f t="shared" ref="AC27" si="151">AB27*U27</f>
        <v>348052.32</v>
      </c>
      <c r="AD27" s="158">
        <f>AC27*0.1</f>
        <v>34805.232000000004</v>
      </c>
      <c r="AE27" s="158">
        <f t="shared" ref="AE27" si="152">AC27+AD27</f>
        <v>382857.55200000003</v>
      </c>
      <c r="AF27" s="111" t="e">
        <f t="shared" si="135"/>
        <v>#DIV/0!</v>
      </c>
      <c r="AG27" s="111" t="e">
        <f t="shared" si="136"/>
        <v>#DIV/0!</v>
      </c>
      <c r="AH27" s="112"/>
      <c r="AI27" s="133">
        <f t="shared" ref="AI27" si="153">AK27-AJ27</f>
        <v>0</v>
      </c>
      <c r="AJ27" s="128">
        <f t="shared" ref="AJ27" si="154">AK27/1.18*0.18</f>
        <v>0</v>
      </c>
      <c r="AK27" s="128"/>
      <c r="AL27" s="4">
        <f t="shared" ref="AL27" si="155">AN27-AM27</f>
        <v>0</v>
      </c>
      <c r="AM27" s="121">
        <f>AN27/1.18*0.18</f>
        <v>0</v>
      </c>
      <c r="AN27" s="134"/>
      <c r="AO27" s="147"/>
      <c r="AP27" s="109">
        <f t="shared" si="139"/>
        <v>382857.55200000003</v>
      </c>
      <c r="AQ27" s="109">
        <f t="shared" si="140"/>
        <v>348052.32</v>
      </c>
      <c r="AR27" s="5">
        <f t="shared" si="141"/>
        <v>0</v>
      </c>
      <c r="AS27" s="5" t="str">
        <f t="shared" si="29"/>
        <v>Покупатель1 - Покупатель8</v>
      </c>
      <c r="AT27" s="5">
        <f t="shared" si="30"/>
        <v>0</v>
      </c>
      <c r="AU27" s="5">
        <f t="shared" ref="AU27" si="156">AC27-AH27</f>
        <v>348052.32</v>
      </c>
      <c r="AV27" s="5">
        <f t="shared" si="32"/>
        <v>0</v>
      </c>
      <c r="AW27" s="5">
        <f t="shared" ref="AW27" si="157">AC27/(V27/3*0.5+W27/3.4*0.5)-AH27</f>
        <v>318683.4527827648</v>
      </c>
      <c r="AX27" s="136"/>
    </row>
    <row r="28" spans="1:50" ht="15.75" customHeight="1" thickBot="1" x14ac:dyDescent="0.3">
      <c r="A28" s="12" t="str">
        <f t="shared" si="119"/>
        <v>поставка-9</v>
      </c>
      <c r="B28" s="13">
        <v>42249</v>
      </c>
      <c r="C28" s="105">
        <f t="shared" si="120"/>
        <v>9</v>
      </c>
      <c r="D28" s="105">
        <f t="shared" si="121"/>
        <v>9</v>
      </c>
      <c r="E28" s="105">
        <f t="shared" si="122"/>
        <v>2015</v>
      </c>
      <c r="F28" s="2" t="s">
        <v>14</v>
      </c>
      <c r="G28" s="142" t="s">
        <v>74</v>
      </c>
      <c r="H28" s="122" t="s">
        <v>77</v>
      </c>
      <c r="I28" s="165">
        <v>2987</v>
      </c>
      <c r="J28" s="159">
        <f t="shared" si="127"/>
        <v>3.2</v>
      </c>
      <c r="K28" s="166">
        <v>3.9</v>
      </c>
      <c r="L28" s="157">
        <f t="shared" si="128"/>
        <v>3426.2647058823527</v>
      </c>
      <c r="M28" s="157">
        <v>0</v>
      </c>
      <c r="N28" s="157"/>
      <c r="O28" s="157"/>
      <c r="P28" s="157">
        <f>ROUND((M28*0.6*J28/3+M28*0.4*K28/3.4)*1.1,2)/1.1</f>
        <v>0</v>
      </c>
      <c r="Q28" s="157">
        <f t="shared" si="129"/>
        <v>0</v>
      </c>
      <c r="R28" s="160">
        <f t="shared" si="130"/>
        <v>0</v>
      </c>
      <c r="S28" s="178">
        <f t="shared" si="131"/>
        <v>0</v>
      </c>
      <c r="T28" s="25"/>
      <c r="U28" s="165">
        <f t="shared" si="132"/>
        <v>2987</v>
      </c>
      <c r="V28" s="157">
        <v>3.2</v>
      </c>
      <c r="W28" s="157">
        <v>3.9</v>
      </c>
      <c r="X28" s="158">
        <f>U28*W28/3.4</f>
        <v>3426.2647058823527</v>
      </c>
      <c r="Y28" s="29">
        <v>17</v>
      </c>
      <c r="Z28" s="158"/>
      <c r="AA28" s="158">
        <v>1</v>
      </c>
      <c r="AB28" s="179">
        <f>ROUND(Y28*(W28/3.4*0.4+V28/3*0.6)*AA28,2)</f>
        <v>18.68</v>
      </c>
      <c r="AC28" s="158">
        <f t="shared" si="133"/>
        <v>55797.159999999996</v>
      </c>
      <c r="AD28" s="158">
        <f>AC28*0.1</f>
        <v>5579.7160000000003</v>
      </c>
      <c r="AE28" s="158">
        <f t="shared" si="134"/>
        <v>61376.875999999997</v>
      </c>
      <c r="AF28" s="111" t="e">
        <f t="shared" si="135"/>
        <v>#DIV/0!</v>
      </c>
      <c r="AG28" s="111" t="e">
        <f t="shared" si="136"/>
        <v>#DIV/0!</v>
      </c>
      <c r="AH28" s="112"/>
      <c r="AI28" s="133">
        <f t="shared" si="137"/>
        <v>0</v>
      </c>
      <c r="AJ28" s="128">
        <f t="shared" si="138"/>
        <v>0</v>
      </c>
      <c r="AK28" s="128"/>
      <c r="AL28" s="4">
        <f t="shared" ref="AL28" si="158">AN28-AM28</f>
        <v>0</v>
      </c>
      <c r="AM28" s="121">
        <f>AN28/1.18*0.18</f>
        <v>0</v>
      </c>
      <c r="AN28" s="134"/>
      <c r="AO28" s="147"/>
      <c r="AP28" s="109">
        <f t="shared" si="139"/>
        <v>61376.875999999997</v>
      </c>
      <c r="AQ28" s="109">
        <f t="shared" si="140"/>
        <v>55797.159999999996</v>
      </c>
      <c r="AR28" s="5">
        <f t="shared" si="141"/>
        <v>0</v>
      </c>
      <c r="AS28" s="5" t="str">
        <f t="shared" si="29"/>
        <v>Покупатель1 - Покупатель8</v>
      </c>
      <c r="AT28" s="5">
        <f t="shared" si="30"/>
        <v>0</v>
      </c>
      <c r="AU28" s="5">
        <f t="shared" si="70"/>
        <v>55797.159999999996</v>
      </c>
      <c r="AV28" s="5">
        <f t="shared" si="32"/>
        <v>0</v>
      </c>
      <c r="AW28" s="5">
        <f t="shared" si="71"/>
        <v>50410.188839681126</v>
      </c>
      <c r="AX28" s="136"/>
    </row>
    <row r="29" spans="1:50" ht="15.75" customHeight="1" thickBot="1" x14ac:dyDescent="0.3">
      <c r="A29" s="12" t="str">
        <f t="shared" ref="A29:A31" si="159">CONCATENATE(F29,"-",C29)</f>
        <v>поставка-9</v>
      </c>
      <c r="B29" s="13">
        <v>42249</v>
      </c>
      <c r="C29" s="105">
        <f t="shared" ref="C29:C31" si="160">MONTH(B29)</f>
        <v>9</v>
      </c>
      <c r="D29" s="105">
        <f t="shared" ref="D29:D31" si="161">MONTH(B29)</f>
        <v>9</v>
      </c>
      <c r="E29" s="105">
        <f t="shared" ref="E29:E31" si="162">YEAR(B29)</f>
        <v>2015</v>
      </c>
      <c r="F29" s="2" t="s">
        <v>14</v>
      </c>
      <c r="G29" s="106" t="s">
        <v>80</v>
      </c>
      <c r="H29" s="107" t="s">
        <v>74</v>
      </c>
      <c r="I29" s="167">
        <v>2339</v>
      </c>
      <c r="J29" s="168">
        <v>3</v>
      </c>
      <c r="K29" s="168">
        <f t="shared" ref="K29" si="163">W29</f>
        <v>3.5</v>
      </c>
      <c r="L29" s="168">
        <f t="shared" ref="L29:L31" si="164">I29*K29/3.4</f>
        <v>2407.794117647059</v>
      </c>
      <c r="M29" s="168">
        <v>16.5</v>
      </c>
      <c r="N29" s="168"/>
      <c r="O29" s="168"/>
      <c r="P29" s="168">
        <f t="shared" ref="P29:P31" si="165">ROUND((M29*0.6*J29/3+M29*0.4*K29/3.4)*1.1,2)/1.1</f>
        <v>16.690909090909088</v>
      </c>
      <c r="Q29" s="168">
        <f t="shared" ref="Q29:Q31" si="166">P29*I29</f>
        <v>39040.036363636355</v>
      </c>
      <c r="R29" s="168"/>
      <c r="S29" s="169">
        <f t="shared" ref="S29:S31" si="167">Q29+R29</f>
        <v>39040.036363636355</v>
      </c>
      <c r="T29" s="124">
        <f>I29*0.2</f>
        <v>467.8</v>
      </c>
      <c r="U29" s="170">
        <f t="shared" si="132"/>
        <v>2339</v>
      </c>
      <c r="V29" s="166">
        <v>3.1</v>
      </c>
      <c r="W29" s="166">
        <v>3.5</v>
      </c>
      <c r="X29" s="166">
        <f t="shared" ref="X29:X31" si="168">U29*W29/3.4</f>
        <v>2407.794117647059</v>
      </c>
      <c r="Y29" s="127">
        <v>0</v>
      </c>
      <c r="Z29" s="127"/>
      <c r="AA29" s="127"/>
      <c r="AB29" s="127">
        <f t="shared" ref="AB29:AB31" si="169">ROUND((Y29*0.6*V29/3+Y29*0.4*W29/3.4)*1.1,2)/1.1</f>
        <v>0</v>
      </c>
      <c r="AC29" s="127">
        <f t="shared" ref="AC29:AC31" si="170">AB29*U29</f>
        <v>0</v>
      </c>
      <c r="AD29" s="127">
        <f t="shared" ref="AD29:AD31" si="171">AC29*0.1</f>
        <v>0</v>
      </c>
      <c r="AE29" s="127">
        <f t="shared" ref="AE29:AE31" si="172">AC29+AD29</f>
        <v>0</v>
      </c>
      <c r="AF29" s="125">
        <f t="shared" si="135"/>
        <v>-1.022137291828219</v>
      </c>
      <c r="AG29" s="125">
        <f t="shared" si="136"/>
        <v>-1.022137291828219</v>
      </c>
      <c r="AH29" s="126">
        <f t="shared" ref="AH29:AH35" si="173">I29*0.2/1.18</f>
        <v>396.4406779661017</v>
      </c>
      <c r="AI29" s="146"/>
      <c r="AJ29" s="126"/>
      <c r="AK29" s="126"/>
      <c r="AL29" s="8"/>
      <c r="AM29" s="150"/>
      <c r="AN29" s="151"/>
      <c r="AO29" s="154" t="s">
        <v>84</v>
      </c>
      <c r="AP29" s="36">
        <f t="shared" si="139"/>
        <v>-39904.277041602458</v>
      </c>
      <c r="AQ29" s="36">
        <f t="shared" si="140"/>
        <v>-39904.277041602458</v>
      </c>
      <c r="AR29" s="7">
        <f t="shared" si="141"/>
        <v>39507.836363636357</v>
      </c>
      <c r="AS29" s="7" t="str">
        <f t="shared" si="29"/>
        <v>Поставщик7 - Покупатель1</v>
      </c>
      <c r="AT29" s="7">
        <f t="shared" si="30"/>
        <v>39507.836363636357</v>
      </c>
      <c r="AU29" s="7">
        <f t="shared" ref="AU29:AU31" si="174">AC29-AH29</f>
        <v>-396.4406779661017</v>
      </c>
      <c r="AV29" s="7">
        <f t="shared" si="32"/>
        <v>38942.038735177863</v>
      </c>
      <c r="AW29" s="7">
        <f t="shared" ref="AW29:AW31" si="175">AC29/(V29/3*0.5+W29/3.4*0.5)-AH29</f>
        <v>-396.4406779661017</v>
      </c>
      <c r="AX29" s="101"/>
    </row>
    <row r="30" spans="1:50" ht="15.75" customHeight="1" thickBot="1" x14ac:dyDescent="0.3">
      <c r="A30" s="12" t="str">
        <f t="shared" si="159"/>
        <v>поставка-9</v>
      </c>
      <c r="B30" s="13">
        <v>42249</v>
      </c>
      <c r="C30" s="105">
        <f t="shared" si="160"/>
        <v>9</v>
      </c>
      <c r="D30" s="105">
        <f t="shared" si="161"/>
        <v>9</v>
      </c>
      <c r="E30" s="105">
        <f t="shared" si="162"/>
        <v>2015</v>
      </c>
      <c r="F30" s="2" t="s">
        <v>14</v>
      </c>
      <c r="G30" s="106" t="s">
        <v>80</v>
      </c>
      <c r="H30" s="107" t="s">
        <v>74</v>
      </c>
      <c r="I30" s="167">
        <v>2620</v>
      </c>
      <c r="J30" s="168">
        <v>3</v>
      </c>
      <c r="K30" s="168">
        <v>3.9</v>
      </c>
      <c r="L30" s="168">
        <f t="shared" si="164"/>
        <v>3005.294117647059</v>
      </c>
      <c r="M30" s="168">
        <v>16.5</v>
      </c>
      <c r="N30" s="168"/>
      <c r="O30" s="168"/>
      <c r="P30" s="168">
        <f t="shared" si="165"/>
        <v>17.472727272727269</v>
      </c>
      <c r="Q30" s="168">
        <f t="shared" si="166"/>
        <v>45778.545454545449</v>
      </c>
      <c r="R30" s="168"/>
      <c r="S30" s="169">
        <f t="shared" si="167"/>
        <v>45778.545454545449</v>
      </c>
      <c r="T30" s="124">
        <f>I30*0.2</f>
        <v>524</v>
      </c>
      <c r="U30" s="170">
        <f t="shared" si="132"/>
        <v>2620</v>
      </c>
      <c r="V30" s="166">
        <v>3.1</v>
      </c>
      <c r="W30" s="166">
        <v>4</v>
      </c>
      <c r="X30" s="166">
        <f t="shared" si="168"/>
        <v>3082.3529411764707</v>
      </c>
      <c r="Y30" s="127">
        <v>0</v>
      </c>
      <c r="Z30" s="127"/>
      <c r="AA30" s="127"/>
      <c r="AB30" s="127">
        <f t="shared" si="169"/>
        <v>0</v>
      </c>
      <c r="AC30" s="127">
        <f t="shared" si="170"/>
        <v>0</v>
      </c>
      <c r="AD30" s="127">
        <f t="shared" si="171"/>
        <v>0</v>
      </c>
      <c r="AE30" s="127">
        <f t="shared" si="172"/>
        <v>0</v>
      </c>
      <c r="AF30" s="125">
        <f t="shared" si="135"/>
        <v>-1.0211467574384028</v>
      </c>
      <c r="AG30" s="125">
        <f t="shared" si="136"/>
        <v>-1.0211467574384028</v>
      </c>
      <c r="AH30" s="126">
        <f t="shared" si="173"/>
        <v>444.06779661016952</v>
      </c>
      <c r="AI30" s="146"/>
      <c r="AJ30" s="126"/>
      <c r="AK30" s="126"/>
      <c r="AL30" s="8"/>
      <c r="AM30" s="150"/>
      <c r="AN30" s="151"/>
      <c r="AO30" s="154" t="s">
        <v>84</v>
      </c>
      <c r="AP30" s="36">
        <f t="shared" si="139"/>
        <v>-46746.613251155621</v>
      </c>
      <c r="AQ30" s="36">
        <f t="shared" si="140"/>
        <v>-46746.613251155621</v>
      </c>
      <c r="AR30" s="7">
        <f t="shared" si="141"/>
        <v>46302.545454545449</v>
      </c>
      <c r="AS30" s="7" t="str">
        <f t="shared" si="29"/>
        <v>Поставщик7 - Покупатель1</v>
      </c>
      <c r="AT30" s="7">
        <f t="shared" si="30"/>
        <v>46302.545454545449</v>
      </c>
      <c r="AU30" s="7">
        <f t="shared" si="174"/>
        <v>-444.06779661016952</v>
      </c>
      <c r="AV30" s="7">
        <f t="shared" si="32"/>
        <v>43167.028642590281</v>
      </c>
      <c r="AW30" s="7">
        <f t="shared" si="175"/>
        <v>-444.06779661016952</v>
      </c>
      <c r="AX30" s="101"/>
    </row>
    <row r="31" spans="1:50" ht="15.75" customHeight="1" thickBot="1" x14ac:dyDescent="0.3">
      <c r="A31" s="12" t="str">
        <f t="shared" si="159"/>
        <v>поставка-9</v>
      </c>
      <c r="B31" s="13">
        <v>42249</v>
      </c>
      <c r="C31" s="105">
        <f t="shared" si="160"/>
        <v>9</v>
      </c>
      <c r="D31" s="105">
        <f t="shared" si="161"/>
        <v>9</v>
      </c>
      <c r="E31" s="105">
        <f t="shared" si="162"/>
        <v>2015</v>
      </c>
      <c r="F31" s="2" t="s">
        <v>14</v>
      </c>
      <c r="G31" s="106" t="s">
        <v>80</v>
      </c>
      <c r="H31" s="107" t="s">
        <v>74</v>
      </c>
      <c r="I31" s="167">
        <v>2780</v>
      </c>
      <c r="J31" s="168">
        <v>3</v>
      </c>
      <c r="K31" s="168">
        <v>3.9</v>
      </c>
      <c r="L31" s="168">
        <f t="shared" si="164"/>
        <v>3188.8235294117649</v>
      </c>
      <c r="M31" s="168">
        <v>16.5</v>
      </c>
      <c r="N31" s="168"/>
      <c r="O31" s="168"/>
      <c r="P31" s="168">
        <f t="shared" si="165"/>
        <v>17.472727272727269</v>
      </c>
      <c r="Q31" s="168">
        <f t="shared" si="166"/>
        <v>48574.181818181809</v>
      </c>
      <c r="R31" s="168"/>
      <c r="S31" s="169">
        <f t="shared" si="167"/>
        <v>48574.181818181809</v>
      </c>
      <c r="T31" s="124">
        <f>I31*0.2</f>
        <v>556</v>
      </c>
      <c r="U31" s="170">
        <f t="shared" si="132"/>
        <v>2780</v>
      </c>
      <c r="V31" s="166">
        <v>3.1</v>
      </c>
      <c r="W31" s="166">
        <v>3.9</v>
      </c>
      <c r="X31" s="166">
        <f t="shared" si="168"/>
        <v>3188.8235294117649</v>
      </c>
      <c r="Y31" s="127">
        <v>0</v>
      </c>
      <c r="Z31" s="127"/>
      <c r="AA31" s="127"/>
      <c r="AB31" s="127">
        <f t="shared" si="169"/>
        <v>0</v>
      </c>
      <c r="AC31" s="127">
        <f t="shared" si="170"/>
        <v>0</v>
      </c>
      <c r="AD31" s="127">
        <f t="shared" si="171"/>
        <v>0</v>
      </c>
      <c r="AE31" s="127">
        <f t="shared" si="172"/>
        <v>0</v>
      </c>
      <c r="AF31" s="125">
        <f t="shared" si="135"/>
        <v>-1.0211467574384028</v>
      </c>
      <c r="AG31" s="125">
        <f t="shared" si="136"/>
        <v>-1.0211467574384028</v>
      </c>
      <c r="AH31" s="126">
        <f t="shared" si="173"/>
        <v>471.18644067796612</v>
      </c>
      <c r="AI31" s="146"/>
      <c r="AJ31" s="126"/>
      <c r="AK31" s="126"/>
      <c r="AL31" s="8"/>
      <c r="AM31" s="150"/>
      <c r="AN31" s="151"/>
      <c r="AO31" s="154" t="s">
        <v>84</v>
      </c>
      <c r="AP31" s="36">
        <f t="shared" si="139"/>
        <v>-49601.368258859773</v>
      </c>
      <c r="AQ31" s="36">
        <f t="shared" si="140"/>
        <v>-49601.368258859773</v>
      </c>
      <c r="AR31" s="7">
        <f t="shared" si="141"/>
        <v>49130.181818181809</v>
      </c>
      <c r="AS31" s="7" t="str">
        <f t="shared" si="29"/>
        <v>Поставщик7 - Покупатель1</v>
      </c>
      <c r="AT31" s="7">
        <f t="shared" si="30"/>
        <v>49130.181818181809</v>
      </c>
      <c r="AU31" s="7">
        <f t="shared" si="174"/>
        <v>-471.18644067796612</v>
      </c>
      <c r="AV31" s="7">
        <f t="shared" si="32"/>
        <v>45803.183063511824</v>
      </c>
      <c r="AW31" s="7">
        <f t="shared" si="175"/>
        <v>-471.18644067796612</v>
      </c>
      <c r="AX31" s="101"/>
    </row>
    <row r="32" spans="1:50" ht="15.75" customHeight="1" thickBot="1" x14ac:dyDescent="0.3">
      <c r="A32" s="12" t="str">
        <f t="shared" si="119"/>
        <v>поставка-9</v>
      </c>
      <c r="B32" s="13">
        <v>42249</v>
      </c>
      <c r="C32" s="105">
        <f t="shared" si="120"/>
        <v>9</v>
      </c>
      <c r="D32" s="105">
        <f t="shared" si="121"/>
        <v>9</v>
      </c>
      <c r="E32" s="105">
        <f t="shared" si="122"/>
        <v>2015</v>
      </c>
      <c r="F32" s="2" t="s">
        <v>14</v>
      </c>
      <c r="G32" s="106" t="s">
        <v>80</v>
      </c>
      <c r="H32" s="107" t="s">
        <v>74</v>
      </c>
      <c r="I32" s="167">
        <v>1550</v>
      </c>
      <c r="J32" s="168">
        <v>3</v>
      </c>
      <c r="K32" s="168">
        <f t="shared" ref="K32" si="176">W32</f>
        <v>4</v>
      </c>
      <c r="L32" s="168">
        <f t="shared" si="128"/>
        <v>1823.5294117647059</v>
      </c>
      <c r="M32" s="168">
        <v>16.5</v>
      </c>
      <c r="N32" s="168"/>
      <c r="O32" s="168"/>
      <c r="P32" s="168">
        <f t="shared" ref="P32" si="177">ROUND((M32*0.6*J32/3+M32*0.4*K32/3.4)*1.1,2)/1.1</f>
        <v>17.66363636363636</v>
      </c>
      <c r="Q32" s="168">
        <f t="shared" si="129"/>
        <v>27378.63636363636</v>
      </c>
      <c r="R32" s="168"/>
      <c r="S32" s="169">
        <f t="shared" si="131"/>
        <v>27378.63636363636</v>
      </c>
      <c r="T32" s="124">
        <f>I32*0.2</f>
        <v>310</v>
      </c>
      <c r="U32" s="170">
        <f t="shared" si="132"/>
        <v>1550</v>
      </c>
      <c r="V32" s="166">
        <v>3.1</v>
      </c>
      <c r="W32" s="166">
        <v>4</v>
      </c>
      <c r="X32" s="166">
        <f t="shared" ref="X32:X36" si="178">U32*W32/3.4</f>
        <v>1823.5294117647059</v>
      </c>
      <c r="Y32" s="127">
        <v>0</v>
      </c>
      <c r="Z32" s="127"/>
      <c r="AA32" s="127"/>
      <c r="AB32" s="127">
        <f t="shared" ref="AB32:AB35" si="179">ROUND((Y32*0.6*V32/3+Y32*0.4*W32/3.4)*1.1,2)/1.1</f>
        <v>0</v>
      </c>
      <c r="AC32" s="127">
        <f t="shared" si="133"/>
        <v>0</v>
      </c>
      <c r="AD32" s="127">
        <f t="shared" ref="AD32:AD35" si="180">AC32*0.1</f>
        <v>0</v>
      </c>
      <c r="AE32" s="127">
        <f t="shared" si="134"/>
        <v>0</v>
      </c>
      <c r="AF32" s="125">
        <f t="shared" si="135"/>
        <v>-1.0209182026745292</v>
      </c>
      <c r="AG32" s="125">
        <f t="shared" si="136"/>
        <v>-1.0209182026745292</v>
      </c>
      <c r="AH32" s="126">
        <f t="shared" si="173"/>
        <v>262.71186440677968</v>
      </c>
      <c r="AI32" s="146"/>
      <c r="AJ32" s="126"/>
      <c r="AK32" s="126"/>
      <c r="AL32" s="8"/>
      <c r="AM32" s="150"/>
      <c r="AN32" s="151"/>
      <c r="AO32" s="154" t="s">
        <v>84</v>
      </c>
      <c r="AP32" s="36">
        <f t="shared" si="139"/>
        <v>-27951.348228043142</v>
      </c>
      <c r="AQ32" s="36">
        <f t="shared" si="140"/>
        <v>-27951.348228043142</v>
      </c>
      <c r="AR32" s="7">
        <f t="shared" si="141"/>
        <v>27688.63636363636</v>
      </c>
      <c r="AS32" s="7" t="str">
        <f t="shared" si="29"/>
        <v>Поставщик7 - Покупатель1</v>
      </c>
      <c r="AT32" s="7">
        <f t="shared" si="30"/>
        <v>27688.63636363636</v>
      </c>
      <c r="AU32" s="7">
        <f t="shared" si="70"/>
        <v>-262.71186440677968</v>
      </c>
      <c r="AV32" s="7">
        <f t="shared" si="32"/>
        <v>25468.746928746921</v>
      </c>
      <c r="AW32" s="7">
        <f t="shared" si="71"/>
        <v>-262.71186440677968</v>
      </c>
      <c r="AX32" s="101"/>
    </row>
    <row r="33" spans="1:50" s="27" customFormat="1" ht="15.75" customHeight="1" thickBot="1" x14ac:dyDescent="0.3">
      <c r="A33" s="34" t="str">
        <f t="shared" si="119"/>
        <v>поставка-9</v>
      </c>
      <c r="B33" s="34">
        <v>42249</v>
      </c>
      <c r="C33" s="30">
        <f t="shared" si="120"/>
        <v>9</v>
      </c>
      <c r="D33" s="30">
        <f t="shared" si="121"/>
        <v>9</v>
      </c>
      <c r="E33" s="30">
        <f t="shared" si="122"/>
        <v>2015</v>
      </c>
      <c r="F33" s="35" t="s">
        <v>14</v>
      </c>
      <c r="G33" s="30" t="s">
        <v>81</v>
      </c>
      <c r="H33" s="130" t="s">
        <v>74</v>
      </c>
      <c r="I33" s="175">
        <v>3181</v>
      </c>
      <c r="J33" s="176">
        <v>3</v>
      </c>
      <c r="K33" s="176">
        <v>3.9</v>
      </c>
      <c r="L33" s="176">
        <f t="shared" si="128"/>
        <v>3648.794117647059</v>
      </c>
      <c r="M33" s="176">
        <v>15.8</v>
      </c>
      <c r="N33" s="176"/>
      <c r="O33" s="176"/>
      <c r="P33" s="176">
        <f>ROUND((M33*0.6*J33/3+M33*0.4*K33/3.4)*1.1,2)/1.1</f>
        <v>16.727272727272723</v>
      </c>
      <c r="Q33" s="176">
        <f>I33*ROUND(P33,2)</f>
        <v>53218.130000000005</v>
      </c>
      <c r="R33" s="176">
        <f t="shared" ref="R33" si="181">Q33*0.1</f>
        <v>5321.813000000001</v>
      </c>
      <c r="S33" s="176">
        <f t="shared" si="131"/>
        <v>58539.943000000007</v>
      </c>
      <c r="T33" s="15"/>
      <c r="U33" s="165">
        <f t="shared" si="132"/>
        <v>3181</v>
      </c>
      <c r="V33" s="157">
        <v>3.1</v>
      </c>
      <c r="W33" s="157">
        <v>4.0999999999999996</v>
      </c>
      <c r="X33" s="157">
        <f t="shared" si="178"/>
        <v>3835.911764705882</v>
      </c>
      <c r="Y33" s="113">
        <v>0</v>
      </c>
      <c r="Z33" s="113"/>
      <c r="AA33" s="113"/>
      <c r="AB33" s="113">
        <f t="shared" si="179"/>
        <v>0</v>
      </c>
      <c r="AC33" s="113">
        <f t="shared" si="133"/>
        <v>0</v>
      </c>
      <c r="AD33" s="113">
        <f t="shared" si="180"/>
        <v>0</v>
      </c>
      <c r="AE33" s="113">
        <f t="shared" si="134"/>
        <v>0</v>
      </c>
      <c r="AF33" s="28">
        <f t="shared" si="135"/>
        <v>-1.0092099943174335</v>
      </c>
      <c r="AG33" s="28">
        <f t="shared" si="136"/>
        <v>-1.0101309937491769</v>
      </c>
      <c r="AH33" s="10">
        <f t="shared" si="173"/>
        <v>539.15254237288138</v>
      </c>
      <c r="AI33" s="10"/>
      <c r="AJ33" s="10">
        <f>AI33*0.18</f>
        <v>0</v>
      </c>
      <c r="AK33" s="10">
        <f>AI33+AJ33</f>
        <v>0</v>
      </c>
      <c r="AL33" s="6">
        <f>AN33-AM33</f>
        <v>0</v>
      </c>
      <c r="AM33" s="6">
        <v>0</v>
      </c>
      <c r="AN33" s="144"/>
      <c r="AO33" s="139" t="s">
        <v>84</v>
      </c>
      <c r="AP33" s="15">
        <f t="shared" si="139"/>
        <v>-59079.095542372888</v>
      </c>
      <c r="AQ33" s="15">
        <f t="shared" si="140"/>
        <v>-53757.282542372886</v>
      </c>
      <c r="AR33" s="8">
        <f t="shared" si="141"/>
        <v>53218.130000000005</v>
      </c>
      <c r="AS33" s="8" t="str">
        <f t="shared" si="29"/>
        <v>Поставщик8 - Покупатель1</v>
      </c>
      <c r="AT33" s="8">
        <f t="shared" si="30"/>
        <v>53218.130000000005</v>
      </c>
      <c r="AU33" s="8">
        <f t="shared" si="70"/>
        <v>-539.15254237288138</v>
      </c>
      <c r="AV33" s="8">
        <f t="shared" si="32"/>
        <v>49573.052602739735</v>
      </c>
      <c r="AW33" s="8">
        <f t="shared" si="71"/>
        <v>-539.15254237288138</v>
      </c>
    </row>
    <row r="34" spans="1:50" ht="15.75" customHeight="1" thickBot="1" x14ac:dyDescent="0.3">
      <c r="A34" s="12" t="str">
        <f t="shared" ref="A34" si="182">CONCATENATE(F34,"-",C34)</f>
        <v>поставка-9</v>
      </c>
      <c r="B34" s="13">
        <v>42249</v>
      </c>
      <c r="C34" s="105">
        <f>MONTH(B34)</f>
        <v>9</v>
      </c>
      <c r="D34" s="105">
        <f t="shared" ref="D34" si="183">MONTH(B34)</f>
        <v>9</v>
      </c>
      <c r="E34" s="105">
        <f t="shared" ref="E34" si="184">YEAR(B34)</f>
        <v>2015</v>
      </c>
      <c r="F34" s="2" t="s">
        <v>14</v>
      </c>
      <c r="G34" s="106" t="s">
        <v>79</v>
      </c>
      <c r="H34" s="107" t="s">
        <v>74</v>
      </c>
      <c r="I34" s="177">
        <v>3410</v>
      </c>
      <c r="J34" s="157">
        <v>3</v>
      </c>
      <c r="K34" s="157">
        <v>3.9</v>
      </c>
      <c r="L34" s="157">
        <f t="shared" ref="L34" si="185">I34*K34/3.4</f>
        <v>3911.4705882352941</v>
      </c>
      <c r="M34" s="157">
        <v>15.5</v>
      </c>
      <c r="N34" s="157"/>
      <c r="O34" s="157">
        <v>1</v>
      </c>
      <c r="P34" s="157">
        <f>M34*(0.6*J34/3+0.4*K34/3.4)*O34</f>
        <v>16.411764705882351</v>
      </c>
      <c r="Q34" s="157">
        <f>I34*ROUND(P34,2)</f>
        <v>55958.1</v>
      </c>
      <c r="R34" s="157"/>
      <c r="S34" s="161">
        <f t="shared" ref="S34" si="186">Q34+R34</f>
        <v>55958.1</v>
      </c>
      <c r="T34" s="124">
        <f>I34*0.5</f>
        <v>1705</v>
      </c>
      <c r="U34" s="165">
        <f t="shared" si="132"/>
        <v>3410</v>
      </c>
      <c r="V34" s="157">
        <v>3.1</v>
      </c>
      <c r="W34" s="157">
        <v>3.9</v>
      </c>
      <c r="X34" s="157">
        <f t="shared" ref="X34" si="187">U34*W34/3.4</f>
        <v>3911.4705882352941</v>
      </c>
      <c r="Y34" s="113">
        <v>0</v>
      </c>
      <c r="Z34" s="113"/>
      <c r="AA34" s="113"/>
      <c r="AB34" s="113">
        <f t="shared" ref="AB34" si="188">ROUND((Y34*0.6*V34/3+Y34*0.4*W34/3.4)*1.1,2)/1.1</f>
        <v>0</v>
      </c>
      <c r="AC34" s="113">
        <f t="shared" ref="AC34" si="189">AB34*U34</f>
        <v>0</v>
      </c>
      <c r="AD34" s="113">
        <f t="shared" ref="AD34" si="190">AC34*0.1</f>
        <v>0</v>
      </c>
      <c r="AE34" s="113">
        <f t="shared" ref="AE34" si="191">AC34+AD34</f>
        <v>0</v>
      </c>
      <c r="AF34" s="111">
        <f t="shared" si="135"/>
        <v>-1.5490351906461248</v>
      </c>
      <c r="AG34" s="111">
        <f t="shared" si="136"/>
        <v>-1.4715074496265805</v>
      </c>
      <c r="AH34" s="112">
        <f t="shared" si="173"/>
        <v>577.96610169491532</v>
      </c>
      <c r="AI34" s="135"/>
      <c r="AJ34" s="112"/>
      <c r="AK34" s="112"/>
      <c r="AL34" s="4">
        <f t="shared" ref="AL34" si="192">AN34-AM34</f>
        <v>24101.694915254237</v>
      </c>
      <c r="AM34" s="143">
        <f t="shared" ref="AM34" si="193">AN34/1.18*0.18</f>
        <v>4338.3050847457635</v>
      </c>
      <c r="AN34" s="180">
        <v>28440</v>
      </c>
      <c r="AO34" s="139" t="s">
        <v>84</v>
      </c>
      <c r="AP34" s="109">
        <f t="shared" si="139"/>
        <v>-86681.066101694916</v>
      </c>
      <c r="AQ34" s="109">
        <f t="shared" si="140"/>
        <v>-82342.761016949153</v>
      </c>
      <c r="AR34" s="5">
        <f t="shared" si="141"/>
        <v>81764.794915254228</v>
      </c>
      <c r="AS34" s="5" t="str">
        <f t="shared" si="29"/>
        <v>Поставщик6 - Покупатель1</v>
      </c>
      <c r="AT34" s="5">
        <f t="shared" si="30"/>
        <v>57663.1</v>
      </c>
      <c r="AU34" s="5">
        <f t="shared" ref="AU34" si="194">AC34-AH34</f>
        <v>-577.96610169491532</v>
      </c>
      <c r="AV34" s="5">
        <f t="shared" si="32"/>
        <v>53830.353424657536</v>
      </c>
      <c r="AW34" s="5">
        <f t="shared" ref="AW34" si="195">AC34/(V34/3*0.5+W34/3.4*0.5)-AH34</f>
        <v>-577.96610169491532</v>
      </c>
      <c r="AX34" s="136"/>
    </row>
    <row r="35" spans="1:50" ht="15.75" customHeight="1" thickBot="1" x14ac:dyDescent="0.3">
      <c r="A35" s="12" t="str">
        <f t="shared" si="119"/>
        <v>поставка-9</v>
      </c>
      <c r="B35" s="13">
        <v>42249</v>
      </c>
      <c r="C35" s="105">
        <f>MONTH(B35)</f>
        <v>9</v>
      </c>
      <c r="D35" s="105">
        <f t="shared" si="121"/>
        <v>9</v>
      </c>
      <c r="E35" s="105">
        <f t="shared" si="122"/>
        <v>2015</v>
      </c>
      <c r="F35" s="2" t="s">
        <v>14</v>
      </c>
      <c r="G35" s="106" t="s">
        <v>79</v>
      </c>
      <c r="H35" s="107" t="s">
        <v>74</v>
      </c>
      <c r="I35" s="177">
        <v>2900</v>
      </c>
      <c r="J35" s="157">
        <v>3</v>
      </c>
      <c r="K35" s="157">
        <v>3.8</v>
      </c>
      <c r="L35" s="157">
        <f t="shared" si="128"/>
        <v>3241.1764705882356</v>
      </c>
      <c r="M35" s="157">
        <v>15.5</v>
      </c>
      <c r="N35" s="157"/>
      <c r="O35" s="157">
        <v>1</v>
      </c>
      <c r="P35" s="157">
        <f>M35*(0.6*J35/3+0.4*K35/3.4)*O35</f>
        <v>16.229411764705883</v>
      </c>
      <c r="Q35" s="157">
        <f>I35*ROUND(P35,2)</f>
        <v>47067</v>
      </c>
      <c r="R35" s="157"/>
      <c r="S35" s="161">
        <f t="shared" si="131"/>
        <v>47067</v>
      </c>
      <c r="T35" s="124">
        <f>I35*0.5</f>
        <v>1450</v>
      </c>
      <c r="U35" s="165">
        <v>2899</v>
      </c>
      <c r="V35" s="157">
        <v>3.1</v>
      </c>
      <c r="W35" s="157">
        <v>4</v>
      </c>
      <c r="X35" s="157">
        <f t="shared" si="178"/>
        <v>3410.5882352941176</v>
      </c>
      <c r="Y35" s="113">
        <v>0</v>
      </c>
      <c r="Z35" s="113"/>
      <c r="AA35" s="113"/>
      <c r="AB35" s="113">
        <f t="shared" si="179"/>
        <v>0</v>
      </c>
      <c r="AC35" s="113">
        <f t="shared" si="133"/>
        <v>0</v>
      </c>
      <c r="AD35" s="113">
        <f t="shared" si="180"/>
        <v>0</v>
      </c>
      <c r="AE35" s="113">
        <f t="shared" si="134"/>
        <v>0</v>
      </c>
      <c r="AF35" s="111">
        <f t="shared" si="135"/>
        <v>-1.6454952604527333</v>
      </c>
      <c r="AG35" s="111">
        <f t="shared" si="136"/>
        <v>-1.5533222924550758</v>
      </c>
      <c r="AH35" s="112">
        <f t="shared" si="173"/>
        <v>491.52542372881356</v>
      </c>
      <c r="AI35" s="135"/>
      <c r="AJ35" s="112"/>
      <c r="AK35" s="112"/>
      <c r="AL35" s="4">
        <f t="shared" ref="AL35:AL36" si="196">AN35-AM35</f>
        <v>24101.694915254237</v>
      </c>
      <c r="AM35" s="143">
        <f t="shared" ref="AM35" si="197">AN35/1.18*0.18</f>
        <v>4338.3050847457635</v>
      </c>
      <c r="AN35" s="180">
        <v>28440</v>
      </c>
      <c r="AO35" s="139" t="s">
        <v>84</v>
      </c>
      <c r="AP35" s="109">
        <f t="shared" si="139"/>
        <v>-77448.525423728803</v>
      </c>
      <c r="AQ35" s="109">
        <f t="shared" si="140"/>
        <v>-73110.220338983054</v>
      </c>
      <c r="AR35" s="5">
        <f t="shared" si="141"/>
        <v>72618.694915254237</v>
      </c>
      <c r="AS35" s="5" t="str">
        <f t="shared" si="29"/>
        <v>Поставщик6 - Покупатель1</v>
      </c>
      <c r="AT35" s="5">
        <f t="shared" si="30"/>
        <v>48517</v>
      </c>
      <c r="AU35" s="5">
        <f t="shared" si="70"/>
        <v>-491.52542372881356</v>
      </c>
      <c r="AV35" s="5">
        <f t="shared" si="32"/>
        <v>45902.166666666664</v>
      </c>
      <c r="AW35" s="5">
        <f t="shared" si="71"/>
        <v>-491.52542372881356</v>
      </c>
      <c r="AX35" s="136"/>
    </row>
    <row r="36" spans="1:50" ht="15.75" customHeight="1" thickBot="1" x14ac:dyDescent="0.3">
      <c r="A36" s="12" t="str">
        <f t="shared" si="119"/>
        <v>поставка-9</v>
      </c>
      <c r="B36" s="13">
        <v>42249</v>
      </c>
      <c r="C36" s="105">
        <f t="shared" ref="C36" si="198">MONTH(B36)</f>
        <v>9</v>
      </c>
      <c r="D36" s="105">
        <f t="shared" si="121"/>
        <v>9</v>
      </c>
      <c r="E36" s="105">
        <f t="shared" si="122"/>
        <v>2015</v>
      </c>
      <c r="F36" s="2" t="s">
        <v>14</v>
      </c>
      <c r="G36" s="106" t="s">
        <v>73</v>
      </c>
      <c r="H36" s="122" t="s">
        <v>78</v>
      </c>
      <c r="I36" s="117">
        <v>19459</v>
      </c>
      <c r="J36" s="108">
        <f>V36</f>
        <v>3</v>
      </c>
      <c r="K36" s="118">
        <f>W36</f>
        <v>3.6</v>
      </c>
      <c r="L36" s="108">
        <f t="shared" si="128"/>
        <v>20603.647058823532</v>
      </c>
      <c r="M36" s="108">
        <v>15.5</v>
      </c>
      <c r="N36" s="108"/>
      <c r="O36" s="108"/>
      <c r="P36" s="108">
        <f>ROUND((M36*0.6*J36/3+M36*0.4*K36/3.4)*1.1,2)/1.1</f>
        <v>15.863636363636362</v>
      </c>
      <c r="Q36" s="108">
        <f t="shared" ref="Q36" si="199">P36*I36</f>
        <v>308690.49999999994</v>
      </c>
      <c r="R36" s="108"/>
      <c r="S36" s="109">
        <f t="shared" si="131"/>
        <v>308690.49999999994</v>
      </c>
      <c r="T36" s="110"/>
      <c r="U36" s="117">
        <f>I36</f>
        <v>19459</v>
      </c>
      <c r="V36" s="108">
        <v>3</v>
      </c>
      <c r="W36" s="108">
        <v>3.6</v>
      </c>
      <c r="X36" s="29">
        <f t="shared" si="178"/>
        <v>20603.647058823532</v>
      </c>
      <c r="Y36" s="145">
        <v>18</v>
      </c>
      <c r="Z36" s="29"/>
      <c r="AA36" s="29">
        <v>1</v>
      </c>
      <c r="AB36" s="10">
        <f>Y36*(V36/3*0.5+W36/3.4*0.5)</f>
        <v>18.52941176470588</v>
      </c>
      <c r="AC36" s="33">
        <f t="shared" ref="AC36:AC37" si="200">U36*ROUND(AB36,2)</f>
        <v>360575.27</v>
      </c>
      <c r="AD36" s="29">
        <f>AC36*0.1</f>
        <v>36057.527000000002</v>
      </c>
      <c r="AE36" s="29">
        <f t="shared" si="134"/>
        <v>396632.79700000002</v>
      </c>
      <c r="AF36" s="111">
        <f t="shared" si="135"/>
        <v>0.32158090385029697</v>
      </c>
      <c r="AG36" s="111">
        <f t="shared" si="136"/>
        <v>0.18605081789041159</v>
      </c>
      <c r="AH36" s="112"/>
      <c r="AI36" s="148">
        <f>U36*1.65</f>
        <v>32107.35</v>
      </c>
      <c r="AJ36" s="128">
        <f>AI36*0.18</f>
        <v>5779.3229999999994</v>
      </c>
      <c r="AK36" s="128">
        <f>AI36+AJ36</f>
        <v>37886.672999999995</v>
      </c>
      <c r="AL36" s="96">
        <f t="shared" si="196"/>
        <v>26560</v>
      </c>
      <c r="AM36" s="131"/>
      <c r="AN36" s="155">
        <v>26560</v>
      </c>
      <c r="AO36" s="132" t="s">
        <v>73</v>
      </c>
      <c r="AP36" s="109">
        <f t="shared" si="139"/>
        <v>99268.970000000074</v>
      </c>
      <c r="AQ36" s="109">
        <f t="shared" si="140"/>
        <v>57432.120000000083</v>
      </c>
      <c r="AR36" s="5">
        <f t="shared" si="141"/>
        <v>335250.49999999994</v>
      </c>
      <c r="AS36" s="5" t="str">
        <f t="shared" si="29"/>
        <v>Поставщик3 - Покупатель10</v>
      </c>
      <c r="AT36" s="5">
        <f t="shared" si="30"/>
        <v>308690.49999999994</v>
      </c>
      <c r="AU36" s="5">
        <f t="shared" si="70"/>
        <v>360575.27</v>
      </c>
      <c r="AV36" s="5">
        <f t="shared" si="32"/>
        <v>299870.77142857137</v>
      </c>
      <c r="AW36" s="5">
        <f t="shared" si="71"/>
        <v>350273.11942857149</v>
      </c>
      <c r="AX36" s="136"/>
    </row>
    <row r="37" spans="1:50" s="27" customFormat="1" ht="15.75" customHeight="1" thickBot="1" x14ac:dyDescent="0.3">
      <c r="A37" s="22" t="str">
        <f>CONCATENATE(F37,"-",C37)</f>
        <v>поставка-9</v>
      </c>
      <c r="B37" s="13">
        <v>42249</v>
      </c>
      <c r="C37" s="23">
        <f>MONTH(B37)</f>
        <v>9</v>
      </c>
      <c r="D37" s="23">
        <f t="shared" si="121"/>
        <v>9</v>
      </c>
      <c r="E37" s="23">
        <f>YEAR(B37)</f>
        <v>2015</v>
      </c>
      <c r="F37" s="24" t="s">
        <v>14</v>
      </c>
      <c r="G37" s="23" t="s">
        <v>82</v>
      </c>
      <c r="H37" s="23" t="s">
        <v>75</v>
      </c>
      <c r="I37" s="26">
        <v>24399</v>
      </c>
      <c r="J37" s="9">
        <v>3.3</v>
      </c>
      <c r="K37" s="9">
        <v>3.7</v>
      </c>
      <c r="L37" s="9">
        <f>I37*K37/3.4</f>
        <v>26551.852941176472</v>
      </c>
      <c r="M37" s="9">
        <v>18</v>
      </c>
      <c r="N37" s="9"/>
      <c r="O37" s="9">
        <v>1</v>
      </c>
      <c r="P37" s="8">
        <f>(M37+(J37-3.1)*2.8+(K37-3.6)*1.7)*O37</f>
        <v>18.73</v>
      </c>
      <c r="Q37" s="9">
        <f>P37*I37</f>
        <v>456993.27</v>
      </c>
      <c r="R37" s="9">
        <f>Q37*0.1</f>
        <v>45699.327000000005</v>
      </c>
      <c r="S37" s="9">
        <f>Q37+R37</f>
        <v>502692.59700000001</v>
      </c>
      <c r="T37" s="14"/>
      <c r="U37" s="26">
        <f>I37</f>
        <v>24399</v>
      </c>
      <c r="V37" s="54">
        <v>3.2</v>
      </c>
      <c r="W37" s="54">
        <v>3.7</v>
      </c>
      <c r="X37" s="54">
        <f>U37*W37/3.4*0.4+U37*V37/3*0.6</f>
        <v>26236.101176470591</v>
      </c>
      <c r="Y37" s="54">
        <v>17</v>
      </c>
      <c r="Z37" s="54"/>
      <c r="AA37" s="54">
        <f>1.02</f>
        <v>1.02</v>
      </c>
      <c r="AB37" s="123">
        <f t="shared" ref="AB37" si="201">Y37*(ROUND(V37/3*0.6,2)+ROUND(W37/3.4*0.4,2)+AA37-1)</f>
        <v>18.700000000000003</v>
      </c>
      <c r="AC37" s="54">
        <f t="shared" si="200"/>
        <v>456261.3</v>
      </c>
      <c r="AD37" s="54">
        <f t="shared" ref="AD37:AD39" si="202">AC37*0.1</f>
        <v>45626.130000000005</v>
      </c>
      <c r="AE37" s="53">
        <f>AC37+AD37</f>
        <v>501887.43</v>
      </c>
      <c r="AF37" s="16">
        <f t="shared" si="135"/>
        <v>-6.4553705771004536E-3</v>
      </c>
      <c r="AG37" s="16">
        <f t="shared" si="136"/>
        <v>-6.9407367859050315E-3</v>
      </c>
      <c r="AH37" s="9">
        <f>U37*0.1</f>
        <v>2439.9</v>
      </c>
      <c r="AI37" s="148"/>
      <c r="AJ37" s="95"/>
      <c r="AK37" s="95"/>
      <c r="AL37" s="181"/>
      <c r="AM37" s="181"/>
      <c r="AN37" s="182"/>
      <c r="AO37" s="97" t="s">
        <v>51</v>
      </c>
      <c r="AP37" s="14">
        <f t="shared" si="139"/>
        <v>-3245.0670000000159</v>
      </c>
      <c r="AQ37" s="14">
        <f t="shared" si="140"/>
        <v>-3171.8700000000304</v>
      </c>
      <c r="AR37" s="14">
        <f t="shared" si="141"/>
        <v>456993.27</v>
      </c>
      <c r="AS37" s="8" t="str">
        <f t="shared" si="29"/>
        <v>Поставщик9 - Покупатель4</v>
      </c>
      <c r="AT37" s="8">
        <f t="shared" si="30"/>
        <v>456993.27</v>
      </c>
      <c r="AU37" s="8">
        <f t="shared" si="70"/>
        <v>453821.39999999997</v>
      </c>
      <c r="AV37" s="8">
        <f t="shared" si="32"/>
        <v>417682.0209677419</v>
      </c>
      <c r="AW37" s="8">
        <f t="shared" si="71"/>
        <v>421023.72693357588</v>
      </c>
    </row>
    <row r="38" spans="1:50" ht="16.5" customHeight="1" thickBot="1" x14ac:dyDescent="0.3">
      <c r="A38" s="12" t="str">
        <f t="shared" ref="A38:A51" si="203">CONCATENATE(F38,"-",C38)</f>
        <v>поставка-9</v>
      </c>
      <c r="B38" s="13">
        <v>42249</v>
      </c>
      <c r="C38" s="105">
        <f t="shared" ref="C38:C48" si="204">MONTH(B38)</f>
        <v>9</v>
      </c>
      <c r="D38" s="105">
        <f t="shared" si="121"/>
        <v>9</v>
      </c>
      <c r="E38" s="105">
        <f t="shared" ref="E38:E51" si="205">YEAR(B38)</f>
        <v>2015</v>
      </c>
      <c r="F38" s="2" t="s">
        <v>14</v>
      </c>
      <c r="G38" s="106" t="s">
        <v>83</v>
      </c>
      <c r="H38" s="122" t="s">
        <v>76</v>
      </c>
      <c r="I38" s="156">
        <v>5070</v>
      </c>
      <c r="J38" s="157">
        <f>V38</f>
        <v>3.08</v>
      </c>
      <c r="K38" s="157">
        <f>W38</f>
        <v>3.8</v>
      </c>
      <c r="L38" s="157">
        <f t="shared" ref="L38" si="206">I38*K38/3.4</f>
        <v>5666.4705882352946</v>
      </c>
      <c r="M38" s="158">
        <f t="shared" ref="M38:M39" si="207">17.5/N38</f>
        <v>15.909090909090908</v>
      </c>
      <c r="N38" s="157">
        <v>1.1000000000000001</v>
      </c>
      <c r="O38" s="159">
        <v>1</v>
      </c>
      <c r="P38" s="159">
        <f t="shared" ref="P38:P39" si="208">M38*((J38/3*0.6)+(K38/3.4*0.4))*O38</f>
        <v>16.912299465240643</v>
      </c>
      <c r="Q38" s="157">
        <f t="shared" ref="Q38:Q39" si="209">I38*ROUND(P38,2)</f>
        <v>85733.7</v>
      </c>
      <c r="R38" s="160">
        <f t="shared" ref="R38:R39" si="210">Q38*0.1</f>
        <v>8573.3700000000008</v>
      </c>
      <c r="S38" s="161">
        <f t="shared" ref="S38:S39" si="211">Q38+R38</f>
        <v>94307.069999999992</v>
      </c>
      <c r="T38" s="14">
        <v>0</v>
      </c>
      <c r="U38" s="162">
        <f>I38</f>
        <v>5070</v>
      </c>
      <c r="V38" s="159">
        <v>3.08</v>
      </c>
      <c r="W38" s="159">
        <v>3.8</v>
      </c>
      <c r="X38" s="103">
        <f t="shared" ref="X38:X39" si="212">U38*W38/3.4</f>
        <v>5666.4705882352946</v>
      </c>
      <c r="Y38" s="158">
        <v>17</v>
      </c>
      <c r="Z38" s="163"/>
      <c r="AA38" s="158">
        <v>1</v>
      </c>
      <c r="AB38" s="32">
        <f t="shared" ref="AB38:AB39" si="213">Y38*(V38/3*0.6+W38/3.4*0.4)</f>
        <v>18.072000000000003</v>
      </c>
      <c r="AC38" s="158">
        <f>U38*AB38</f>
        <v>91625.040000000008</v>
      </c>
      <c r="AD38" s="158">
        <f t="shared" si="202"/>
        <v>9162.5040000000008</v>
      </c>
      <c r="AE38" s="164">
        <f t="shared" ref="AE38:AE39" si="214">AC38+AD38</f>
        <v>100787.54400000001</v>
      </c>
      <c r="AF38" s="140">
        <f t="shared" si="135"/>
        <v>-4.341695696833741E-2</v>
      </c>
      <c r="AG38" s="111">
        <f t="shared" si="136"/>
        <v>-3.5814672722390965E-2</v>
      </c>
      <c r="AH38" s="141"/>
      <c r="AI38" s="133">
        <f t="shared" ref="AI38:AI39" si="215">U38*1.5/1.18</f>
        <v>6444.9152542372885</v>
      </c>
      <c r="AJ38" s="128">
        <f t="shared" ref="AJ38:AJ39" si="216">AI38*0.18</f>
        <v>1160.0847457627119</v>
      </c>
      <c r="AK38" s="128">
        <f t="shared" ref="AK38:AK39" si="217">AI38+AJ38</f>
        <v>7605</v>
      </c>
      <c r="AL38" s="137">
        <f t="shared" ref="AL38" si="218">AN38-AM38</f>
        <v>15406.77966101695</v>
      </c>
      <c r="AM38" s="153">
        <f t="shared" ref="AM38" si="219">AN38/1.18*0.18</f>
        <v>2773.2203389830511</v>
      </c>
      <c r="AN38" s="152">
        <v>18180</v>
      </c>
      <c r="AO38" s="139" t="s">
        <v>84</v>
      </c>
      <c r="AP38" s="109">
        <f t="shared" si="139"/>
        <v>-4094.5259999999835</v>
      </c>
      <c r="AQ38" s="109">
        <f t="shared" si="140"/>
        <v>-3070.5244067796502</v>
      </c>
      <c r="AR38" s="5">
        <f t="shared" si="141"/>
        <v>101140.47966101694</v>
      </c>
      <c r="AS38" s="5" t="str">
        <f t="shared" si="29"/>
        <v>Поставщик16 - Покупатель7</v>
      </c>
      <c r="AT38" s="5">
        <f t="shared" si="30"/>
        <v>85733.7</v>
      </c>
      <c r="AU38" s="5">
        <f t="shared" ref="AU38:AU51" si="220">AC38-AH38</f>
        <v>91625.040000000008</v>
      </c>
      <c r="AV38" s="5">
        <f t="shared" si="32"/>
        <v>79963.765544989015</v>
      </c>
      <c r="AW38" s="5">
        <f t="shared" ref="AW38:AW51" si="221">AC38/(V38/3*0.5+W38/3.4*0.5)-AH38</f>
        <v>85458.614484272126</v>
      </c>
      <c r="AX38" s="136"/>
    </row>
    <row r="39" spans="1:50" ht="16.5" customHeight="1" thickBot="1" x14ac:dyDescent="0.3">
      <c r="A39" s="12" t="str">
        <f t="shared" si="203"/>
        <v>поставка-9</v>
      </c>
      <c r="B39" s="13">
        <v>42249</v>
      </c>
      <c r="C39" s="105">
        <f t="shared" si="204"/>
        <v>9</v>
      </c>
      <c r="D39" s="105">
        <f t="shared" si="121"/>
        <v>9</v>
      </c>
      <c r="E39" s="105">
        <f t="shared" si="205"/>
        <v>2015</v>
      </c>
      <c r="F39" s="2" t="s">
        <v>14</v>
      </c>
      <c r="G39" s="106" t="s">
        <v>83</v>
      </c>
      <c r="H39" s="122" t="s">
        <v>76</v>
      </c>
      <c r="I39" s="156">
        <v>6814</v>
      </c>
      <c r="J39" s="157">
        <f>V39</f>
        <v>2.95</v>
      </c>
      <c r="K39" s="157">
        <f>W39</f>
        <v>3.7</v>
      </c>
      <c r="L39" s="157">
        <f>I39*K39/3.4</f>
        <v>7415.2352941176478</v>
      </c>
      <c r="M39" s="158">
        <f t="shared" si="207"/>
        <v>15.909090909090908</v>
      </c>
      <c r="N39" s="157">
        <v>1.1000000000000001</v>
      </c>
      <c r="O39" s="159">
        <v>1</v>
      </c>
      <c r="P39" s="159">
        <f t="shared" si="208"/>
        <v>16.311497326203209</v>
      </c>
      <c r="Q39" s="157">
        <f t="shared" si="209"/>
        <v>111136.34</v>
      </c>
      <c r="R39" s="160">
        <f t="shared" si="210"/>
        <v>11113.634</v>
      </c>
      <c r="S39" s="161">
        <f t="shared" si="211"/>
        <v>122249.974</v>
      </c>
      <c r="T39" s="14">
        <v>0</v>
      </c>
      <c r="U39" s="162">
        <v>6867</v>
      </c>
      <c r="V39" s="159">
        <v>2.95</v>
      </c>
      <c r="W39" s="159">
        <v>3.7</v>
      </c>
      <c r="X39" s="103">
        <f t="shared" si="212"/>
        <v>7472.9117647058829</v>
      </c>
      <c r="Y39" s="158">
        <v>17</v>
      </c>
      <c r="Z39" s="163"/>
      <c r="AA39" s="158">
        <v>1</v>
      </c>
      <c r="AB39" s="32">
        <f t="shared" si="213"/>
        <v>17.43</v>
      </c>
      <c r="AC39" s="158">
        <f t="shared" ref="AC39" si="222">U39*AB39</f>
        <v>119691.81</v>
      </c>
      <c r="AD39" s="158">
        <f t="shared" si="202"/>
        <v>11969.181</v>
      </c>
      <c r="AE39" s="164">
        <f t="shared" si="214"/>
        <v>131660.99100000001</v>
      </c>
      <c r="AF39" s="140">
        <f t="shared" si="135"/>
        <v>0.16123943715521777</v>
      </c>
      <c r="AG39" s="111">
        <f t="shared" si="136"/>
        <v>0.15552705162087929</v>
      </c>
      <c r="AH39" s="141"/>
      <c r="AI39" s="133">
        <f t="shared" si="215"/>
        <v>8729.2372881355932</v>
      </c>
      <c r="AJ39" s="128">
        <f t="shared" si="216"/>
        <v>1571.2627118644068</v>
      </c>
      <c r="AK39" s="128">
        <f t="shared" si="217"/>
        <v>10300.5</v>
      </c>
      <c r="AL39" s="137"/>
      <c r="AM39" s="153"/>
      <c r="AN39" s="152"/>
      <c r="AO39" s="139" t="s">
        <v>84</v>
      </c>
      <c r="AP39" s="109">
        <f t="shared" si="139"/>
        <v>19711.517000000007</v>
      </c>
      <c r="AQ39" s="109">
        <f t="shared" si="140"/>
        <v>17284.707288135593</v>
      </c>
      <c r="AR39" s="5">
        <f t="shared" si="141"/>
        <v>111136.34</v>
      </c>
      <c r="AS39" s="5" t="str">
        <f t="shared" si="29"/>
        <v>Поставщик16 - Покупатель7</v>
      </c>
      <c r="AT39" s="5">
        <f t="shared" si="30"/>
        <v>111136.34</v>
      </c>
      <c r="AU39" s="5">
        <f t="shared" si="220"/>
        <v>119691.81</v>
      </c>
      <c r="AV39" s="5">
        <f t="shared" si="32"/>
        <v>107296.79772834831</v>
      </c>
      <c r="AW39" s="5">
        <f t="shared" si="221"/>
        <v>115556.69304306671</v>
      </c>
      <c r="AX39" s="136"/>
    </row>
    <row r="40" spans="1:50" s="27" customFormat="1" ht="15.75" customHeight="1" thickBot="1" x14ac:dyDescent="0.3">
      <c r="A40" s="37" t="str">
        <f t="shared" si="203"/>
        <v>оплата-9</v>
      </c>
      <c r="B40" s="37">
        <v>42249</v>
      </c>
      <c r="C40" s="38">
        <f t="shared" si="204"/>
        <v>9</v>
      </c>
      <c r="D40" s="38">
        <f t="shared" si="121"/>
        <v>9</v>
      </c>
      <c r="E40" s="38">
        <f t="shared" si="205"/>
        <v>2015</v>
      </c>
      <c r="F40" s="39" t="s">
        <v>15</v>
      </c>
      <c r="G40" s="40" t="s">
        <v>78</v>
      </c>
      <c r="H40" s="43" t="s">
        <v>88</v>
      </c>
      <c r="I40" s="57"/>
      <c r="J40" s="41"/>
      <c r="K40" s="41"/>
      <c r="L40" s="41"/>
      <c r="M40" s="41"/>
      <c r="N40" s="41"/>
      <c r="O40" s="41"/>
      <c r="P40" s="41"/>
      <c r="Q40" s="41">
        <f>S40-R40</f>
        <v>272727.27272727271</v>
      </c>
      <c r="R40" s="41">
        <f>S40/1.1*0.1</f>
        <v>27272.727272727272</v>
      </c>
      <c r="S40" s="55">
        <v>300000</v>
      </c>
      <c r="T40" s="44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1"/>
      <c r="AQ40" s="51"/>
      <c r="AR40" s="72"/>
      <c r="AS40" s="72" t="str">
        <f t="shared" si="29"/>
        <v>Покупатель10 - Альфа</v>
      </c>
      <c r="AT40" s="72">
        <f t="shared" si="30"/>
        <v>272727.27272727271</v>
      </c>
      <c r="AU40" s="72">
        <f t="shared" si="220"/>
        <v>0</v>
      </c>
      <c r="AV40" s="72" t="e">
        <f t="shared" si="32"/>
        <v>#DIV/0!</v>
      </c>
      <c r="AW40" s="72" t="e">
        <f t="shared" si="221"/>
        <v>#DIV/0!</v>
      </c>
    </row>
    <row r="41" spans="1:50" s="27" customFormat="1" ht="15.75" customHeight="1" thickBot="1" x14ac:dyDescent="0.3">
      <c r="A41" s="37" t="str">
        <f t="shared" si="203"/>
        <v>оплата-9</v>
      </c>
      <c r="B41" s="37">
        <v>42249</v>
      </c>
      <c r="C41" s="38">
        <f t="shared" si="204"/>
        <v>9</v>
      </c>
      <c r="D41" s="38">
        <f t="shared" si="121"/>
        <v>9</v>
      </c>
      <c r="E41" s="38">
        <f t="shared" si="205"/>
        <v>2015</v>
      </c>
      <c r="F41" s="39" t="s">
        <v>15</v>
      </c>
      <c r="G41" s="40" t="s">
        <v>76</v>
      </c>
      <c r="H41" s="43" t="s">
        <v>88</v>
      </c>
      <c r="I41" s="58"/>
      <c r="J41" s="49"/>
      <c r="K41" s="49"/>
      <c r="L41" s="49"/>
      <c r="M41" s="49"/>
      <c r="N41" s="49"/>
      <c r="O41" s="49"/>
      <c r="P41" s="49"/>
      <c r="Q41" s="49">
        <f>S41-R41</f>
        <v>545454.54545454541</v>
      </c>
      <c r="R41" s="49">
        <f t="shared" ref="R41" si="223">S41/1.1*0.1</f>
        <v>54545.454545454544</v>
      </c>
      <c r="S41" s="56">
        <v>600000</v>
      </c>
      <c r="T41" s="5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50"/>
      <c r="AG41" s="50"/>
      <c r="AH41" s="50"/>
      <c r="AI41" s="119">
        <f>AK41-AJ41</f>
        <v>0</v>
      </c>
      <c r="AJ41" s="119">
        <f>AK41/1.18*0.18</f>
        <v>0</v>
      </c>
      <c r="AK41" s="119"/>
      <c r="AL41" s="50"/>
      <c r="AM41" s="50"/>
      <c r="AN41" s="50"/>
      <c r="AO41" s="50"/>
      <c r="AP41" s="51"/>
      <c r="AQ41" s="51"/>
      <c r="AR41" s="72"/>
      <c r="AS41" s="72" t="str">
        <f t="shared" si="29"/>
        <v>Покупатель7 - Альфа</v>
      </c>
      <c r="AT41" s="72">
        <f t="shared" si="30"/>
        <v>545454.54545454541</v>
      </c>
      <c r="AU41" s="72">
        <f t="shared" si="220"/>
        <v>0</v>
      </c>
      <c r="AV41" s="72" t="e">
        <f t="shared" si="32"/>
        <v>#DIV/0!</v>
      </c>
      <c r="AW41" s="72" t="e">
        <f t="shared" si="221"/>
        <v>#DIV/0!</v>
      </c>
    </row>
    <row r="42" spans="1:50" ht="15.75" customHeight="1" thickBot="1" x14ac:dyDescent="0.3">
      <c r="A42" s="12" t="str">
        <f t="shared" si="203"/>
        <v>поставка-9</v>
      </c>
      <c r="B42" s="13">
        <v>42250</v>
      </c>
      <c r="C42" s="105">
        <f t="shared" si="204"/>
        <v>9</v>
      </c>
      <c r="D42" s="105">
        <f t="shared" ref="D42:D55" si="224">MONTH(B42)</f>
        <v>9</v>
      </c>
      <c r="E42" s="105">
        <f t="shared" si="205"/>
        <v>2015</v>
      </c>
      <c r="F42" s="2" t="s">
        <v>14</v>
      </c>
      <c r="G42" s="106" t="s">
        <v>72</v>
      </c>
      <c r="H42" s="122" t="s">
        <v>77</v>
      </c>
      <c r="I42" s="117">
        <v>14392</v>
      </c>
      <c r="J42" s="129">
        <f t="shared" ref="J42:J43" si="225">V42</f>
        <v>3</v>
      </c>
      <c r="K42" s="118">
        <f>W42</f>
        <v>3.6</v>
      </c>
      <c r="L42" s="108">
        <f t="shared" ref="L42:L51" si="226">I42*K42/3.4</f>
        <v>15238.588235294119</v>
      </c>
      <c r="M42" s="108">
        <v>15.5</v>
      </c>
      <c r="N42" s="108"/>
      <c r="O42" s="108"/>
      <c r="P42" s="108">
        <f>ROUND((M42*0.6*J42/3+M42*0.4*K42/3.4)*1.1,2)/1.1</f>
        <v>15.863636363636362</v>
      </c>
      <c r="Q42" s="108">
        <f t="shared" ref="Q42:Q47" si="227">P42*I42</f>
        <v>228309.45454545453</v>
      </c>
      <c r="R42" s="9">
        <f t="shared" ref="R42:R43" si="228">Q42*0.1</f>
        <v>22830.945454545454</v>
      </c>
      <c r="S42" s="109">
        <f t="shared" ref="S42:S51" si="229">Q42+R42</f>
        <v>251140.4</v>
      </c>
      <c r="T42" s="25">
        <f>L42*0.94</f>
        <v>14324.27294117647</v>
      </c>
      <c r="U42" s="117">
        <f t="shared" ref="U42:U50" si="230">I42</f>
        <v>14392</v>
      </c>
      <c r="V42" s="108">
        <v>3</v>
      </c>
      <c r="W42" s="108">
        <v>3.6</v>
      </c>
      <c r="X42" s="29">
        <f>U42*W42/3.4</f>
        <v>15238.588235294119</v>
      </c>
      <c r="Y42" s="29">
        <v>17</v>
      </c>
      <c r="Z42" s="29"/>
      <c r="AA42" s="29">
        <v>1</v>
      </c>
      <c r="AB42" s="31">
        <f>ROUND(Y42*(W42/3.4*0.4+V42/3*0.6)*AA42,2)</f>
        <v>17.399999999999999</v>
      </c>
      <c r="AC42" s="29">
        <f t="shared" ref="AC42:AC51" si="231">AB42*U42</f>
        <v>250420.8</v>
      </c>
      <c r="AD42" s="29">
        <f>AC42*0.1</f>
        <v>25042.080000000002</v>
      </c>
      <c r="AE42" s="29">
        <f t="shared" ref="AE42:AE51" si="232">AC42+AD42</f>
        <v>275462.88</v>
      </c>
      <c r="AF42" s="111">
        <f t="shared" ref="AF42:AF54" si="233">AP42/S42</f>
        <v>3.9811225349738792E-2</v>
      </c>
      <c r="AG42" s="111">
        <f t="shared" ref="AG42:AG54" si="234">AQ42/Q42</f>
        <v>3.4107534131130983E-2</v>
      </c>
      <c r="AH42" s="112"/>
      <c r="AI42" s="133">
        <f t="shared" ref="AI42:AI43" si="235">AK42-AJ42</f>
        <v>0</v>
      </c>
      <c r="AJ42" s="128">
        <f t="shared" ref="AJ42:AJ43" si="236">AK42/1.18*0.18</f>
        <v>0</v>
      </c>
      <c r="AK42" s="128"/>
      <c r="AL42" s="4">
        <f>AN42-AM42</f>
        <v>0</v>
      </c>
      <c r="AM42" s="121">
        <f>AN42/1.18*0.18</f>
        <v>0</v>
      </c>
      <c r="AN42" s="138"/>
      <c r="AO42" s="139"/>
      <c r="AP42" s="109">
        <f t="shared" ref="AP42:AP54" si="237">AE42-S42-T42-AH42+AK42-AN42</f>
        <v>9998.2070588235401</v>
      </c>
      <c r="AQ42" s="109">
        <f t="shared" ref="AQ42:AQ54" si="238">AC42-Q42-T42-AH42+AI42-AL42</f>
        <v>7787.0725133689884</v>
      </c>
      <c r="AR42" s="5">
        <f t="shared" ref="AR42:AR54" si="239">Q42+T42+AL42</f>
        <v>242633.72748663099</v>
      </c>
      <c r="AS42" s="5" t="str">
        <f t="shared" si="29"/>
        <v>Поставщик1 - Покупатель8</v>
      </c>
      <c r="AT42" s="5">
        <f t="shared" si="30"/>
        <v>242633.72748663099</v>
      </c>
      <c r="AU42" s="5">
        <f t="shared" si="220"/>
        <v>250420.8</v>
      </c>
      <c r="AV42" s="5">
        <f t="shared" si="32"/>
        <v>236110.60021390373</v>
      </c>
      <c r="AW42" s="5">
        <f t="shared" si="221"/>
        <v>243265.92000000001</v>
      </c>
      <c r="AX42" s="136"/>
    </row>
    <row r="43" spans="1:50" ht="15.75" customHeight="1" thickBot="1" x14ac:dyDescent="0.3">
      <c r="A43" s="12" t="str">
        <f t="shared" si="203"/>
        <v>поставка-9</v>
      </c>
      <c r="B43" s="13">
        <v>42250</v>
      </c>
      <c r="C43" s="105">
        <f t="shared" si="204"/>
        <v>9</v>
      </c>
      <c r="D43" s="105">
        <f t="shared" si="224"/>
        <v>9</v>
      </c>
      <c r="E43" s="105">
        <f t="shared" si="205"/>
        <v>2015</v>
      </c>
      <c r="F43" s="2" t="s">
        <v>14</v>
      </c>
      <c r="G43" s="142" t="s">
        <v>74</v>
      </c>
      <c r="H43" s="122" t="s">
        <v>77</v>
      </c>
      <c r="I43" s="117">
        <v>21991</v>
      </c>
      <c r="J43" s="129">
        <f t="shared" si="225"/>
        <v>3.1</v>
      </c>
      <c r="K43" s="118">
        <v>3.8</v>
      </c>
      <c r="L43" s="108">
        <f t="shared" si="226"/>
        <v>24578.176470588238</v>
      </c>
      <c r="M43" s="108">
        <v>0</v>
      </c>
      <c r="N43" s="108"/>
      <c r="O43" s="108"/>
      <c r="P43" s="108">
        <f>ROUND((M43*0.6*J43/3+M43*0.4*K43/3.4)*1.1,2)/1.1</f>
        <v>0</v>
      </c>
      <c r="Q43" s="108">
        <f t="shared" si="227"/>
        <v>0</v>
      </c>
      <c r="R43" s="9">
        <f t="shared" si="228"/>
        <v>0</v>
      </c>
      <c r="S43" s="109">
        <f t="shared" si="229"/>
        <v>0</v>
      </c>
      <c r="T43" s="25"/>
      <c r="U43" s="117">
        <f t="shared" si="230"/>
        <v>21991</v>
      </c>
      <c r="V43" s="108">
        <v>3.1</v>
      </c>
      <c r="W43" s="108">
        <v>3.7</v>
      </c>
      <c r="X43" s="29">
        <f>U43*W43/3.4</f>
        <v>23931.382352941175</v>
      </c>
      <c r="Y43" s="29">
        <v>17</v>
      </c>
      <c r="Z43" s="29"/>
      <c r="AA43" s="29">
        <v>1</v>
      </c>
      <c r="AB43" s="31">
        <f>ROUND(Y43*(W43/3.4*0.4+V43/3*0.6)*AA43,2)</f>
        <v>17.940000000000001</v>
      </c>
      <c r="AC43" s="29">
        <f t="shared" si="231"/>
        <v>394518.54000000004</v>
      </c>
      <c r="AD43" s="29">
        <f>AC43*0.1</f>
        <v>39451.854000000007</v>
      </c>
      <c r="AE43" s="29">
        <f t="shared" si="232"/>
        <v>433970.39400000003</v>
      </c>
      <c r="AF43" s="111" t="e">
        <f t="shared" si="233"/>
        <v>#DIV/0!</v>
      </c>
      <c r="AG43" s="111" t="e">
        <f t="shared" si="234"/>
        <v>#DIV/0!</v>
      </c>
      <c r="AH43" s="112"/>
      <c r="AI43" s="133">
        <f t="shared" si="235"/>
        <v>0</v>
      </c>
      <c r="AJ43" s="128">
        <f t="shared" si="236"/>
        <v>0</v>
      </c>
      <c r="AK43" s="128"/>
      <c r="AL43" s="4">
        <f t="shared" ref="AL43" si="240">AN43-AM43</f>
        <v>0</v>
      </c>
      <c r="AM43" s="121">
        <f>AN43/1.18*0.18</f>
        <v>0</v>
      </c>
      <c r="AN43" s="134"/>
      <c r="AO43" s="147"/>
      <c r="AP43" s="109">
        <f t="shared" si="237"/>
        <v>433970.39400000003</v>
      </c>
      <c r="AQ43" s="109">
        <f t="shared" si="238"/>
        <v>394518.54000000004</v>
      </c>
      <c r="AR43" s="5">
        <f t="shared" si="239"/>
        <v>0</v>
      </c>
      <c r="AS43" s="5" t="str">
        <f t="shared" si="29"/>
        <v>Покупатель1 - Покупатель8</v>
      </c>
      <c r="AT43" s="5">
        <f t="shared" si="30"/>
        <v>0</v>
      </c>
      <c r="AU43" s="5">
        <f t="shared" si="220"/>
        <v>394518.54000000004</v>
      </c>
      <c r="AV43" s="5">
        <f t="shared" si="32"/>
        <v>0</v>
      </c>
      <c r="AW43" s="5">
        <f t="shared" si="221"/>
        <v>371912.11719038815</v>
      </c>
      <c r="AX43" s="136"/>
    </row>
    <row r="44" spans="1:50" ht="15.75" customHeight="1" thickBot="1" x14ac:dyDescent="0.3">
      <c r="A44" s="12" t="str">
        <f t="shared" ref="A44:A46" si="241">CONCATENATE(F44,"-",C44)</f>
        <v>поставка-9</v>
      </c>
      <c r="B44" s="13">
        <v>42250</v>
      </c>
      <c r="C44" s="105">
        <f t="shared" ref="C44:C46" si="242">MONTH(B44)</f>
        <v>9</v>
      </c>
      <c r="D44" s="105">
        <f t="shared" ref="D44:D46" si="243">MONTH(B44)</f>
        <v>9</v>
      </c>
      <c r="E44" s="105">
        <f t="shared" ref="E44:E46" si="244">YEAR(B44)</f>
        <v>2015</v>
      </c>
      <c r="F44" s="2" t="s">
        <v>14</v>
      </c>
      <c r="G44" s="106" t="s">
        <v>80</v>
      </c>
      <c r="H44" s="107" t="s">
        <v>74</v>
      </c>
      <c r="I44" s="167">
        <v>2286</v>
      </c>
      <c r="J44" s="168">
        <v>3</v>
      </c>
      <c r="K44" s="168">
        <f t="shared" ref="K44" si="245">W44</f>
        <v>3.7</v>
      </c>
      <c r="L44" s="168">
        <f t="shared" ref="L44:L46" si="246">I44*K44/3.4</f>
        <v>2487.7058823529414</v>
      </c>
      <c r="M44" s="168">
        <v>16.5</v>
      </c>
      <c r="N44" s="168"/>
      <c r="O44" s="168"/>
      <c r="P44" s="168">
        <f t="shared" ref="P44:P46" si="247">ROUND((M44*0.6*J44/3+M44*0.4*K44/3.4)*1.1,2)/1.1</f>
        <v>17.081818181818178</v>
      </c>
      <c r="Q44" s="168">
        <f t="shared" ref="Q44:Q46" si="248">P44*I44</f>
        <v>39049.036363636355</v>
      </c>
      <c r="R44" s="168"/>
      <c r="S44" s="169">
        <f t="shared" ref="S44:S46" si="249">Q44+R44</f>
        <v>39049.036363636355</v>
      </c>
      <c r="T44" s="124">
        <f>I44*0.2</f>
        <v>457.20000000000005</v>
      </c>
      <c r="U44" s="170">
        <f t="shared" si="230"/>
        <v>2286</v>
      </c>
      <c r="V44" s="166">
        <v>3.1</v>
      </c>
      <c r="W44" s="166">
        <v>3.7</v>
      </c>
      <c r="X44" s="166">
        <f t="shared" ref="X44:X46" si="250">U44*W44/3.4</f>
        <v>2487.7058823529414</v>
      </c>
      <c r="Y44" s="127">
        <v>0</v>
      </c>
      <c r="Z44" s="127"/>
      <c r="AA44" s="127"/>
      <c r="AB44" s="127">
        <f t="shared" ref="AB44:AB46" si="251">ROUND((Y44*0.6*V44/3+Y44*0.4*W44/3.4)*1.1,2)/1.1</f>
        <v>0</v>
      </c>
      <c r="AC44" s="127">
        <f t="shared" ref="AC44:AC46" si="252">AB44*U44</f>
        <v>0</v>
      </c>
      <c r="AD44" s="127">
        <f t="shared" ref="AD44:AD46" si="253">AC44*0.1</f>
        <v>0</v>
      </c>
      <c r="AE44" s="127">
        <f t="shared" ref="AE44:AE46" si="254">AC44+AD44</f>
        <v>0</v>
      </c>
      <c r="AF44" s="125">
        <f t="shared" si="233"/>
        <v>-1.0216306906847312</v>
      </c>
      <c r="AG44" s="125">
        <f t="shared" si="234"/>
        <v>-1.0216306906847312</v>
      </c>
      <c r="AH44" s="126">
        <f t="shared" ref="AH44:AH51" si="255">I44*0.2/1.18</f>
        <v>387.45762711864415</v>
      </c>
      <c r="AI44" s="146"/>
      <c r="AJ44" s="126"/>
      <c r="AK44" s="126"/>
      <c r="AL44" s="8"/>
      <c r="AM44" s="150"/>
      <c r="AN44" s="151"/>
      <c r="AO44" s="154" t="s">
        <v>84</v>
      </c>
      <c r="AP44" s="36">
        <f t="shared" si="237"/>
        <v>-39893.693990754997</v>
      </c>
      <c r="AQ44" s="36">
        <f t="shared" si="238"/>
        <v>-39893.693990754997</v>
      </c>
      <c r="AR44" s="7">
        <f t="shared" si="239"/>
        <v>39506.236363636352</v>
      </c>
      <c r="AS44" s="7" t="str">
        <f t="shared" si="29"/>
        <v>Поставщик7 - Покупатель1</v>
      </c>
      <c r="AT44" s="7">
        <f t="shared" si="30"/>
        <v>39506.236363636352</v>
      </c>
      <c r="AU44" s="7">
        <f t="shared" ref="AU44:AU46" si="256">AC44-AH44</f>
        <v>-387.45762711864415</v>
      </c>
      <c r="AV44" s="7">
        <f t="shared" si="32"/>
        <v>37856.277080665801</v>
      </c>
      <c r="AW44" s="7">
        <f t="shared" ref="AW44:AW46" si="257">AC44/(V44/3*0.5+W44/3.4*0.5)-AH44</f>
        <v>-387.45762711864415</v>
      </c>
      <c r="AX44" s="101"/>
    </row>
    <row r="45" spans="1:50" ht="15.75" customHeight="1" thickBot="1" x14ac:dyDescent="0.3">
      <c r="A45" s="12" t="str">
        <f t="shared" si="241"/>
        <v>поставка-9</v>
      </c>
      <c r="B45" s="13">
        <v>42250</v>
      </c>
      <c r="C45" s="105">
        <f t="shared" si="242"/>
        <v>9</v>
      </c>
      <c r="D45" s="105">
        <f t="shared" si="243"/>
        <v>9</v>
      </c>
      <c r="E45" s="105">
        <f t="shared" si="244"/>
        <v>2015</v>
      </c>
      <c r="F45" s="2" t="s">
        <v>14</v>
      </c>
      <c r="G45" s="106" t="s">
        <v>80</v>
      </c>
      <c r="H45" s="107" t="s">
        <v>74</v>
      </c>
      <c r="I45" s="167">
        <v>2590</v>
      </c>
      <c r="J45" s="168">
        <v>3</v>
      </c>
      <c r="K45" s="168">
        <v>3.8</v>
      </c>
      <c r="L45" s="168">
        <f t="shared" si="246"/>
        <v>2894.7058823529414</v>
      </c>
      <c r="M45" s="168">
        <v>16.5</v>
      </c>
      <c r="N45" s="168"/>
      <c r="O45" s="168"/>
      <c r="P45" s="168">
        <f t="shared" si="247"/>
        <v>17.27272727272727</v>
      </c>
      <c r="Q45" s="168">
        <f t="shared" si="248"/>
        <v>44736.363636363632</v>
      </c>
      <c r="R45" s="168"/>
      <c r="S45" s="169">
        <f t="shared" si="249"/>
        <v>44736.363636363632</v>
      </c>
      <c r="T45" s="124">
        <f>I45*0.2</f>
        <v>518</v>
      </c>
      <c r="U45" s="170">
        <f t="shared" si="230"/>
        <v>2590</v>
      </c>
      <c r="V45" s="166">
        <v>3.1</v>
      </c>
      <c r="W45" s="166">
        <v>3.7</v>
      </c>
      <c r="X45" s="166">
        <f t="shared" si="250"/>
        <v>2818.5294117647059</v>
      </c>
      <c r="Y45" s="127">
        <v>0</v>
      </c>
      <c r="Z45" s="127"/>
      <c r="AA45" s="127"/>
      <c r="AB45" s="127">
        <f t="shared" si="251"/>
        <v>0</v>
      </c>
      <c r="AC45" s="127">
        <f t="shared" si="252"/>
        <v>0</v>
      </c>
      <c r="AD45" s="127">
        <f t="shared" si="253"/>
        <v>0</v>
      </c>
      <c r="AE45" s="127">
        <f t="shared" si="254"/>
        <v>0</v>
      </c>
      <c r="AF45" s="125">
        <f t="shared" si="233"/>
        <v>-1.0213916146297948</v>
      </c>
      <c r="AG45" s="125">
        <f t="shared" si="234"/>
        <v>-1.0213916146297948</v>
      </c>
      <c r="AH45" s="126">
        <f t="shared" si="255"/>
        <v>438.98305084745766</v>
      </c>
      <c r="AI45" s="146"/>
      <c r="AJ45" s="126"/>
      <c r="AK45" s="126"/>
      <c r="AL45" s="8"/>
      <c r="AM45" s="150"/>
      <c r="AN45" s="151"/>
      <c r="AO45" s="154" t="s">
        <v>84</v>
      </c>
      <c r="AP45" s="36">
        <f t="shared" si="237"/>
        <v>-45693.346687211088</v>
      </c>
      <c r="AQ45" s="36">
        <f t="shared" si="238"/>
        <v>-45693.346687211088</v>
      </c>
      <c r="AR45" s="7">
        <f t="shared" si="239"/>
        <v>45254.363636363632</v>
      </c>
      <c r="AS45" s="7" t="str">
        <f t="shared" si="29"/>
        <v>Поставщик7 - Покупатель1</v>
      </c>
      <c r="AT45" s="7">
        <f t="shared" si="30"/>
        <v>45254.363636363632</v>
      </c>
      <c r="AU45" s="7">
        <f t="shared" si="256"/>
        <v>-438.98305084745766</v>
      </c>
      <c r="AV45" s="7">
        <f t="shared" si="32"/>
        <v>42769.010101010099</v>
      </c>
      <c r="AW45" s="7">
        <f t="shared" si="257"/>
        <v>-438.98305084745766</v>
      </c>
      <c r="AX45" s="101"/>
    </row>
    <row r="46" spans="1:50" ht="15.75" customHeight="1" thickBot="1" x14ac:dyDescent="0.3">
      <c r="A46" s="12" t="str">
        <f t="shared" si="241"/>
        <v>поставка-9</v>
      </c>
      <c r="B46" s="13">
        <v>42250</v>
      </c>
      <c r="C46" s="105">
        <f t="shared" si="242"/>
        <v>9</v>
      </c>
      <c r="D46" s="105">
        <f t="shared" si="243"/>
        <v>9</v>
      </c>
      <c r="E46" s="105">
        <f t="shared" si="244"/>
        <v>2015</v>
      </c>
      <c r="F46" s="2" t="s">
        <v>14</v>
      </c>
      <c r="G46" s="106" t="s">
        <v>80</v>
      </c>
      <c r="H46" s="107" t="s">
        <v>74</v>
      </c>
      <c r="I46" s="167">
        <v>2890</v>
      </c>
      <c r="J46" s="168">
        <v>3</v>
      </c>
      <c r="K46" s="168">
        <v>3.7</v>
      </c>
      <c r="L46" s="168">
        <f t="shared" si="246"/>
        <v>3145</v>
      </c>
      <c r="M46" s="168">
        <v>16.5</v>
      </c>
      <c r="N46" s="168"/>
      <c r="O46" s="168"/>
      <c r="P46" s="168">
        <f t="shared" si="247"/>
        <v>17.081818181818178</v>
      </c>
      <c r="Q46" s="168">
        <f t="shared" si="248"/>
        <v>49366.454545454537</v>
      </c>
      <c r="R46" s="168"/>
      <c r="S46" s="169">
        <f t="shared" si="249"/>
        <v>49366.454545454537</v>
      </c>
      <c r="T46" s="124">
        <f>I46*0.2</f>
        <v>578</v>
      </c>
      <c r="U46" s="170">
        <f t="shared" si="230"/>
        <v>2890</v>
      </c>
      <c r="V46" s="166">
        <v>3.1</v>
      </c>
      <c r="W46" s="166">
        <v>3.6</v>
      </c>
      <c r="X46" s="166">
        <f t="shared" si="250"/>
        <v>3060</v>
      </c>
      <c r="Y46" s="127">
        <v>0</v>
      </c>
      <c r="Z46" s="127"/>
      <c r="AA46" s="127"/>
      <c r="AB46" s="127">
        <f t="shared" si="251"/>
        <v>0</v>
      </c>
      <c r="AC46" s="127">
        <f t="shared" si="252"/>
        <v>0</v>
      </c>
      <c r="AD46" s="127">
        <f t="shared" si="253"/>
        <v>0</v>
      </c>
      <c r="AE46" s="127">
        <f t="shared" si="254"/>
        <v>0</v>
      </c>
      <c r="AF46" s="125">
        <f t="shared" si="233"/>
        <v>-1.0216306906847312</v>
      </c>
      <c r="AG46" s="125">
        <f t="shared" si="234"/>
        <v>-1.0216306906847312</v>
      </c>
      <c r="AH46" s="126">
        <f t="shared" si="255"/>
        <v>489.83050847457628</v>
      </c>
      <c r="AI46" s="146"/>
      <c r="AJ46" s="126"/>
      <c r="AK46" s="126"/>
      <c r="AL46" s="8"/>
      <c r="AM46" s="150"/>
      <c r="AN46" s="151"/>
      <c r="AO46" s="154" t="s">
        <v>84</v>
      </c>
      <c r="AP46" s="36">
        <f t="shared" si="237"/>
        <v>-50434.28505392911</v>
      </c>
      <c r="AQ46" s="36">
        <f t="shared" si="238"/>
        <v>-50434.28505392911</v>
      </c>
      <c r="AR46" s="7">
        <f t="shared" si="239"/>
        <v>49944.454545454537</v>
      </c>
      <c r="AS46" s="7" t="str">
        <f t="shared" si="29"/>
        <v>Поставщик7 - Покупатель1</v>
      </c>
      <c r="AT46" s="7">
        <f t="shared" si="30"/>
        <v>49944.454545454537</v>
      </c>
      <c r="AU46" s="7">
        <f t="shared" si="256"/>
        <v>-489.83050847457628</v>
      </c>
      <c r="AV46" s="7">
        <f t="shared" si="32"/>
        <v>47858.548015364904</v>
      </c>
      <c r="AW46" s="7">
        <f t="shared" si="257"/>
        <v>-489.83050847457628</v>
      </c>
      <c r="AX46" s="101"/>
    </row>
    <row r="47" spans="1:50" ht="15.75" customHeight="1" thickBot="1" x14ac:dyDescent="0.3">
      <c r="A47" s="12" t="str">
        <f t="shared" si="203"/>
        <v>поставка-9</v>
      </c>
      <c r="B47" s="13">
        <v>42250</v>
      </c>
      <c r="C47" s="105">
        <f t="shared" si="204"/>
        <v>9</v>
      </c>
      <c r="D47" s="105">
        <f t="shared" si="224"/>
        <v>9</v>
      </c>
      <c r="E47" s="105">
        <f t="shared" si="205"/>
        <v>2015</v>
      </c>
      <c r="F47" s="2" t="s">
        <v>14</v>
      </c>
      <c r="G47" s="106" t="s">
        <v>80</v>
      </c>
      <c r="H47" s="107" t="s">
        <v>74</v>
      </c>
      <c r="I47" s="167">
        <v>1650</v>
      </c>
      <c r="J47" s="168">
        <v>3</v>
      </c>
      <c r="K47" s="168">
        <v>3.9</v>
      </c>
      <c r="L47" s="168">
        <f t="shared" si="226"/>
        <v>1892.6470588235295</v>
      </c>
      <c r="M47" s="168">
        <v>16.5</v>
      </c>
      <c r="N47" s="168"/>
      <c r="O47" s="168"/>
      <c r="P47" s="168">
        <f t="shared" ref="P47" si="258">ROUND((M47*0.6*J47/3+M47*0.4*K47/3.4)*1.1,2)/1.1</f>
        <v>17.472727272727269</v>
      </c>
      <c r="Q47" s="168">
        <f t="shared" si="227"/>
        <v>28829.999999999993</v>
      </c>
      <c r="R47" s="168"/>
      <c r="S47" s="169">
        <f t="shared" si="229"/>
        <v>28829.999999999993</v>
      </c>
      <c r="T47" s="124">
        <f>I47*0.2</f>
        <v>330</v>
      </c>
      <c r="U47" s="170">
        <f t="shared" si="230"/>
        <v>1650</v>
      </c>
      <c r="V47" s="166">
        <v>3.1</v>
      </c>
      <c r="W47" s="166">
        <v>4</v>
      </c>
      <c r="X47" s="166">
        <f t="shared" ref="X47:X51" si="259">U47*W47/3.4</f>
        <v>1941.1764705882354</v>
      </c>
      <c r="Y47" s="127">
        <v>0</v>
      </c>
      <c r="Z47" s="127"/>
      <c r="AA47" s="127"/>
      <c r="AB47" s="127">
        <f t="shared" ref="AB47:AB51" si="260">ROUND((Y47*0.6*V47/3+Y47*0.4*W47/3.4)*1.1,2)/1.1</f>
        <v>0</v>
      </c>
      <c r="AC47" s="127">
        <f t="shared" si="231"/>
        <v>0</v>
      </c>
      <c r="AD47" s="127">
        <f t="shared" ref="AD47:AD54" si="261">AC47*0.1</f>
        <v>0</v>
      </c>
      <c r="AE47" s="127">
        <f t="shared" si="232"/>
        <v>0</v>
      </c>
      <c r="AF47" s="125">
        <f t="shared" si="233"/>
        <v>-1.0211467574384028</v>
      </c>
      <c r="AG47" s="125">
        <f t="shared" si="234"/>
        <v>-1.0211467574384028</v>
      </c>
      <c r="AH47" s="126">
        <f t="shared" si="255"/>
        <v>279.66101694915255</v>
      </c>
      <c r="AI47" s="146"/>
      <c r="AJ47" s="126"/>
      <c r="AK47" s="126"/>
      <c r="AL47" s="8"/>
      <c r="AM47" s="150"/>
      <c r="AN47" s="151"/>
      <c r="AO47" s="154" t="s">
        <v>84</v>
      </c>
      <c r="AP47" s="36">
        <f t="shared" si="237"/>
        <v>-29439.661016949147</v>
      </c>
      <c r="AQ47" s="36">
        <f t="shared" si="238"/>
        <v>-29439.661016949147</v>
      </c>
      <c r="AR47" s="7">
        <f t="shared" si="239"/>
        <v>29159.999999999993</v>
      </c>
      <c r="AS47" s="7" t="str">
        <f t="shared" si="29"/>
        <v>Поставщик7 - Покупатель1</v>
      </c>
      <c r="AT47" s="7">
        <f t="shared" si="30"/>
        <v>29159.999999999993</v>
      </c>
      <c r="AU47" s="7">
        <f t="shared" si="220"/>
        <v>-279.66101694915255</v>
      </c>
      <c r="AV47" s="7">
        <f t="shared" si="32"/>
        <v>27185.34246575342</v>
      </c>
      <c r="AW47" s="7">
        <f t="shared" si="221"/>
        <v>-279.66101694915255</v>
      </c>
      <c r="AX47" s="101"/>
    </row>
    <row r="48" spans="1:50" s="27" customFormat="1" ht="15.75" customHeight="1" thickBot="1" x14ac:dyDescent="0.3">
      <c r="A48" s="34" t="str">
        <f t="shared" si="203"/>
        <v>поставка-9</v>
      </c>
      <c r="B48" s="34">
        <v>42250</v>
      </c>
      <c r="C48" s="30">
        <f t="shared" si="204"/>
        <v>9</v>
      </c>
      <c r="D48" s="30">
        <f t="shared" si="224"/>
        <v>9</v>
      </c>
      <c r="E48" s="30">
        <f t="shared" si="205"/>
        <v>2015</v>
      </c>
      <c r="F48" s="35" t="s">
        <v>14</v>
      </c>
      <c r="G48" s="30" t="s">
        <v>81</v>
      </c>
      <c r="H48" s="130" t="s">
        <v>74</v>
      </c>
      <c r="I48" s="175">
        <v>3169</v>
      </c>
      <c r="J48" s="176">
        <v>3</v>
      </c>
      <c r="K48" s="176">
        <f>W48</f>
        <v>3.9</v>
      </c>
      <c r="L48" s="176">
        <f t="shared" si="226"/>
        <v>3635.0294117647063</v>
      </c>
      <c r="M48" s="176">
        <v>15.8</v>
      </c>
      <c r="N48" s="176"/>
      <c r="O48" s="176"/>
      <c r="P48" s="176">
        <f>ROUND((M48*0.6*J48/3+M48*0.4*K48/3.4)*1.1,2)/1.1</f>
        <v>16.727272727272723</v>
      </c>
      <c r="Q48" s="176">
        <f>I48*ROUND(P48,2)</f>
        <v>53017.37</v>
      </c>
      <c r="R48" s="176">
        <f t="shared" ref="R48" si="262">Q48*0.1</f>
        <v>5301.737000000001</v>
      </c>
      <c r="S48" s="176">
        <f t="shared" si="229"/>
        <v>58319.107000000004</v>
      </c>
      <c r="T48" s="15"/>
      <c r="U48" s="165">
        <f t="shared" si="230"/>
        <v>3169</v>
      </c>
      <c r="V48" s="157">
        <v>3.1</v>
      </c>
      <c r="W48" s="157">
        <v>3.9</v>
      </c>
      <c r="X48" s="157">
        <f t="shared" si="259"/>
        <v>3635.0294117647063</v>
      </c>
      <c r="Y48" s="113">
        <v>0</v>
      </c>
      <c r="Z48" s="113"/>
      <c r="AA48" s="113"/>
      <c r="AB48" s="113">
        <f t="shared" si="260"/>
        <v>0</v>
      </c>
      <c r="AC48" s="113">
        <f t="shared" si="231"/>
        <v>0</v>
      </c>
      <c r="AD48" s="113">
        <f t="shared" si="261"/>
        <v>0</v>
      </c>
      <c r="AE48" s="113">
        <f t="shared" si="232"/>
        <v>0</v>
      </c>
      <c r="AF48" s="28">
        <f t="shared" si="233"/>
        <v>-1.0092099943174335</v>
      </c>
      <c r="AG48" s="28">
        <f t="shared" si="234"/>
        <v>-1.0101309937491769</v>
      </c>
      <c r="AH48" s="10">
        <f t="shared" si="255"/>
        <v>537.11864406779671</v>
      </c>
      <c r="AI48" s="10"/>
      <c r="AJ48" s="10">
        <f>AI48*0.18</f>
        <v>0</v>
      </c>
      <c r="AK48" s="10">
        <f>AI48+AJ48</f>
        <v>0</v>
      </c>
      <c r="AL48" s="6">
        <f>AN48-AM48</f>
        <v>0</v>
      </c>
      <c r="AM48" s="6">
        <v>0</v>
      </c>
      <c r="AN48" s="144"/>
      <c r="AO48" s="139" t="s">
        <v>84</v>
      </c>
      <c r="AP48" s="15">
        <f t="shared" si="237"/>
        <v>-58856.225644067803</v>
      </c>
      <c r="AQ48" s="15">
        <f t="shared" si="238"/>
        <v>-53554.488644067802</v>
      </c>
      <c r="AR48" s="8">
        <f t="shared" si="239"/>
        <v>53017.37</v>
      </c>
      <c r="AS48" s="8" t="str">
        <f t="shared" si="29"/>
        <v>Поставщик8 - Покупатель1</v>
      </c>
      <c r="AT48" s="8">
        <f t="shared" si="30"/>
        <v>53017.37</v>
      </c>
      <c r="AU48" s="8">
        <f t="shared" si="220"/>
        <v>-537.11864406779671</v>
      </c>
      <c r="AV48" s="8">
        <f t="shared" si="32"/>
        <v>49386.043287671237</v>
      </c>
      <c r="AW48" s="8">
        <f t="shared" si="221"/>
        <v>-537.11864406779671</v>
      </c>
    </row>
    <row r="49" spans="1:50" ht="15.75" customHeight="1" thickBot="1" x14ac:dyDescent="0.3">
      <c r="A49" s="12" t="str">
        <f t="shared" ref="A49:A50" si="263">CONCATENATE(F49,"-",C49)</f>
        <v>поставка-9</v>
      </c>
      <c r="B49" s="13">
        <v>42250</v>
      </c>
      <c r="C49" s="105">
        <f>MONTH(B49)</f>
        <v>9</v>
      </c>
      <c r="D49" s="105">
        <f t="shared" ref="D49:D50" si="264">MONTH(B49)</f>
        <v>9</v>
      </c>
      <c r="E49" s="105">
        <f t="shared" ref="E49:E50" si="265">YEAR(B49)</f>
        <v>2015</v>
      </c>
      <c r="F49" s="2" t="s">
        <v>14</v>
      </c>
      <c r="G49" s="106" t="s">
        <v>79</v>
      </c>
      <c r="H49" s="107" t="s">
        <v>74</v>
      </c>
      <c r="I49" s="177">
        <v>1215</v>
      </c>
      <c r="J49" s="157">
        <v>3</v>
      </c>
      <c r="K49" s="157">
        <v>3.8</v>
      </c>
      <c r="L49" s="157">
        <f t="shared" ref="L49:L50" si="266">I49*K49/3.4</f>
        <v>1357.9411764705883</v>
      </c>
      <c r="M49" s="157">
        <v>15.5</v>
      </c>
      <c r="N49" s="157"/>
      <c r="O49" s="157">
        <v>1</v>
      </c>
      <c r="P49" s="157">
        <f>M49*(0.6*J49/3+0.4*K49/3.4)*O49</f>
        <v>16.229411764705883</v>
      </c>
      <c r="Q49" s="157">
        <f>I49*ROUND(P49,2)</f>
        <v>19719.45</v>
      </c>
      <c r="R49" s="157"/>
      <c r="S49" s="161">
        <f t="shared" ref="S49:S50" si="267">Q49+R49</f>
        <v>19719.45</v>
      </c>
      <c r="T49" s="124">
        <f>I49*0.5</f>
        <v>607.5</v>
      </c>
      <c r="U49" s="165">
        <f t="shared" si="230"/>
        <v>1215</v>
      </c>
      <c r="V49" s="157">
        <v>3.1</v>
      </c>
      <c r="W49" s="157">
        <v>4</v>
      </c>
      <c r="X49" s="157">
        <f t="shared" ref="X49:X50" si="268">U49*W49/3.4</f>
        <v>1429.4117647058824</v>
      </c>
      <c r="Y49" s="113">
        <v>0</v>
      </c>
      <c r="Z49" s="113"/>
      <c r="AA49" s="113"/>
      <c r="AB49" s="113">
        <f t="shared" ref="AB49:AB50" si="269">ROUND((Y49*0.6*V49/3+Y49*0.4*W49/3.4)*1.1,2)/1.1</f>
        <v>0</v>
      </c>
      <c r="AC49" s="113">
        <f t="shared" ref="AC49:AC50" si="270">AB49*U49</f>
        <v>0</v>
      </c>
      <c r="AD49" s="113">
        <f t="shared" ref="AD49:AD50" si="271">AC49*0.1</f>
        <v>0</v>
      </c>
      <c r="AE49" s="113">
        <f t="shared" ref="AE49:AE50" si="272">AC49+AD49</f>
        <v>0</v>
      </c>
      <c r="AF49" s="111">
        <f t="shared" si="233"/>
        <v>-2.4834811418873159</v>
      </c>
      <c r="AG49" s="111">
        <f t="shared" si="234"/>
        <v>-2.263479819094552</v>
      </c>
      <c r="AH49" s="112">
        <f t="shared" si="255"/>
        <v>205.93220338983053</v>
      </c>
      <c r="AI49" s="135"/>
      <c r="AJ49" s="112"/>
      <c r="AK49" s="112"/>
      <c r="AL49" s="4">
        <f t="shared" ref="AL49" si="273">AN49-AM49</f>
        <v>24101.694915254237</v>
      </c>
      <c r="AM49" s="143">
        <f t="shared" ref="AM49" si="274">AN49/1.18*0.18</f>
        <v>4338.3050847457635</v>
      </c>
      <c r="AN49" s="180">
        <v>28440</v>
      </c>
      <c r="AO49" s="139" t="s">
        <v>84</v>
      </c>
      <c r="AP49" s="109">
        <f t="shared" si="237"/>
        <v>-48972.882203389832</v>
      </c>
      <c r="AQ49" s="109">
        <f t="shared" si="238"/>
        <v>-44634.577118644069</v>
      </c>
      <c r="AR49" s="5">
        <f t="shared" si="239"/>
        <v>44428.644915254234</v>
      </c>
      <c r="AS49" s="5" t="str">
        <f t="shared" si="29"/>
        <v>Поставщик6 - Покупатель1</v>
      </c>
      <c r="AT49" s="5">
        <f t="shared" si="30"/>
        <v>20326.95</v>
      </c>
      <c r="AU49" s="5">
        <f t="shared" ref="AU49:AU50" si="275">AC49-AH49</f>
        <v>-205.93220338983053</v>
      </c>
      <c r="AV49" s="5">
        <f t="shared" si="32"/>
        <v>19231.424999999999</v>
      </c>
      <c r="AW49" s="5">
        <f t="shared" ref="AW49:AW50" si="276">AC49/(V49/3*0.5+W49/3.4*0.5)-AH49</f>
        <v>-205.93220338983053</v>
      </c>
      <c r="AX49" s="136"/>
    </row>
    <row r="50" spans="1:50" ht="15.75" customHeight="1" thickBot="1" x14ac:dyDescent="0.3">
      <c r="A50" s="12" t="str">
        <f t="shared" si="263"/>
        <v>поставка-9</v>
      </c>
      <c r="B50" s="13">
        <v>42250</v>
      </c>
      <c r="C50" s="105">
        <f>MONTH(B50)</f>
        <v>9</v>
      </c>
      <c r="D50" s="105">
        <f t="shared" si="264"/>
        <v>9</v>
      </c>
      <c r="E50" s="105">
        <f t="shared" si="265"/>
        <v>2015</v>
      </c>
      <c r="F50" s="2" t="s">
        <v>14</v>
      </c>
      <c r="G50" s="106" t="s">
        <v>79</v>
      </c>
      <c r="H50" s="107" t="s">
        <v>74</v>
      </c>
      <c r="I50" s="177">
        <v>2179</v>
      </c>
      <c r="J50" s="157">
        <v>3</v>
      </c>
      <c r="K50" s="157">
        <v>3.8</v>
      </c>
      <c r="L50" s="157">
        <f t="shared" si="266"/>
        <v>2435.3529411764703</v>
      </c>
      <c r="M50" s="157">
        <v>15.5</v>
      </c>
      <c r="N50" s="157"/>
      <c r="O50" s="157">
        <v>1</v>
      </c>
      <c r="P50" s="157">
        <f>M50*(0.6*J50/3+0.4*K50/3.4)*O50</f>
        <v>16.229411764705883</v>
      </c>
      <c r="Q50" s="157">
        <f>I50*ROUND(P50,2)</f>
        <v>35365.17</v>
      </c>
      <c r="R50" s="157"/>
      <c r="S50" s="161">
        <f t="shared" si="267"/>
        <v>35365.17</v>
      </c>
      <c r="T50" s="124">
        <f>I50*0.5</f>
        <v>1089.5</v>
      </c>
      <c r="U50" s="165">
        <f t="shared" si="230"/>
        <v>2179</v>
      </c>
      <c r="V50" s="157">
        <v>3.1</v>
      </c>
      <c r="W50" s="157">
        <v>3.8</v>
      </c>
      <c r="X50" s="157">
        <f t="shared" si="268"/>
        <v>2435.3529411764703</v>
      </c>
      <c r="Y50" s="113">
        <v>0</v>
      </c>
      <c r="Z50" s="113"/>
      <c r="AA50" s="113"/>
      <c r="AB50" s="113">
        <f t="shared" si="269"/>
        <v>0</v>
      </c>
      <c r="AC50" s="113">
        <f t="shared" si="270"/>
        <v>0</v>
      </c>
      <c r="AD50" s="113">
        <f t="shared" si="271"/>
        <v>0</v>
      </c>
      <c r="AE50" s="113">
        <f t="shared" si="272"/>
        <v>0</v>
      </c>
      <c r="AF50" s="111">
        <f t="shared" si="233"/>
        <v>-1.0412502480236432</v>
      </c>
      <c r="AG50" s="111">
        <f t="shared" si="234"/>
        <v>-1.0412502480236432</v>
      </c>
      <c r="AH50" s="112">
        <f t="shared" si="255"/>
        <v>369.32203389830511</v>
      </c>
      <c r="AI50" s="135"/>
      <c r="AJ50" s="112"/>
      <c r="AK50" s="112"/>
      <c r="AL50" s="4"/>
      <c r="AM50" s="143"/>
      <c r="AN50" s="180"/>
      <c r="AO50" s="139" t="s">
        <v>84</v>
      </c>
      <c r="AP50" s="109">
        <f t="shared" si="237"/>
        <v>-36823.992033898307</v>
      </c>
      <c r="AQ50" s="109">
        <f t="shared" si="238"/>
        <v>-36823.992033898307</v>
      </c>
      <c r="AR50" s="5">
        <f t="shared" si="239"/>
        <v>36454.67</v>
      </c>
      <c r="AS50" s="5" t="str">
        <f t="shared" si="29"/>
        <v>Поставщик6 - Покупатель1</v>
      </c>
      <c r="AT50" s="5">
        <f t="shared" si="30"/>
        <v>36454.67</v>
      </c>
      <c r="AU50" s="5">
        <f t="shared" si="275"/>
        <v>-369.32203389830511</v>
      </c>
      <c r="AV50" s="5">
        <f t="shared" si="32"/>
        <v>34489.938333333332</v>
      </c>
      <c r="AW50" s="5">
        <f t="shared" si="276"/>
        <v>-369.32203389830511</v>
      </c>
      <c r="AX50" s="136"/>
    </row>
    <row r="51" spans="1:50" ht="15.75" customHeight="1" thickBot="1" x14ac:dyDescent="0.3">
      <c r="A51" s="12" t="str">
        <f t="shared" si="203"/>
        <v>поставка-9</v>
      </c>
      <c r="B51" s="13">
        <v>42250</v>
      </c>
      <c r="C51" s="105">
        <f>MONTH(B51)</f>
        <v>9</v>
      </c>
      <c r="D51" s="105">
        <f t="shared" si="224"/>
        <v>9</v>
      </c>
      <c r="E51" s="105">
        <f t="shared" si="205"/>
        <v>2015</v>
      </c>
      <c r="F51" s="2" t="s">
        <v>14</v>
      </c>
      <c r="G51" s="106" t="s">
        <v>79</v>
      </c>
      <c r="H51" s="107" t="s">
        <v>74</v>
      </c>
      <c r="I51" s="177">
        <v>2794</v>
      </c>
      <c r="J51" s="157">
        <v>3</v>
      </c>
      <c r="K51" s="157">
        <v>3.8</v>
      </c>
      <c r="L51" s="157">
        <f t="shared" si="226"/>
        <v>3122.705882352941</v>
      </c>
      <c r="M51" s="157">
        <v>15.5</v>
      </c>
      <c r="N51" s="157"/>
      <c r="O51" s="157">
        <v>1</v>
      </c>
      <c r="P51" s="157">
        <f>M51*(0.6*J51/3+0.4*K51/3.4)*O51</f>
        <v>16.229411764705883</v>
      </c>
      <c r="Q51" s="157">
        <f>I51*ROUND(P51,2)</f>
        <v>45346.62</v>
      </c>
      <c r="R51" s="157"/>
      <c r="S51" s="161">
        <f t="shared" si="229"/>
        <v>45346.62</v>
      </c>
      <c r="T51" s="124">
        <f>I51*0.5</f>
        <v>1397</v>
      </c>
      <c r="U51" s="165">
        <v>3007</v>
      </c>
      <c r="V51" s="157">
        <v>3.1</v>
      </c>
      <c r="W51" s="157">
        <v>4</v>
      </c>
      <c r="X51" s="157">
        <f t="shared" si="259"/>
        <v>3537.6470588235293</v>
      </c>
      <c r="Y51" s="113">
        <v>0</v>
      </c>
      <c r="Z51" s="113"/>
      <c r="AA51" s="113"/>
      <c r="AB51" s="113">
        <f t="shared" si="260"/>
        <v>0</v>
      </c>
      <c r="AC51" s="113">
        <f t="shared" si="231"/>
        <v>0</v>
      </c>
      <c r="AD51" s="113">
        <f t="shared" si="261"/>
        <v>0</v>
      </c>
      <c r="AE51" s="113">
        <f t="shared" si="232"/>
        <v>0</v>
      </c>
      <c r="AF51" s="111">
        <f t="shared" si="233"/>
        <v>-1.0412502480236432</v>
      </c>
      <c r="AG51" s="111">
        <f t="shared" si="234"/>
        <v>-1.0412502480236432</v>
      </c>
      <c r="AH51" s="112">
        <f t="shared" si="255"/>
        <v>473.55932203389841</v>
      </c>
      <c r="AI51" s="135"/>
      <c r="AJ51" s="112"/>
      <c r="AK51" s="112"/>
      <c r="AL51" s="4"/>
      <c r="AM51" s="143"/>
      <c r="AN51" s="180"/>
      <c r="AO51" s="139" t="s">
        <v>84</v>
      </c>
      <c r="AP51" s="109">
        <f t="shared" si="237"/>
        <v>-47217.179322033902</v>
      </c>
      <c r="AQ51" s="109">
        <f t="shared" si="238"/>
        <v>-47217.179322033902</v>
      </c>
      <c r="AR51" s="5">
        <f t="shared" si="239"/>
        <v>46743.62</v>
      </c>
      <c r="AS51" s="5" t="str">
        <f t="shared" si="29"/>
        <v>Поставщик6 - Покупатель1</v>
      </c>
      <c r="AT51" s="5">
        <f t="shared" si="30"/>
        <v>46743.62</v>
      </c>
      <c r="AU51" s="5">
        <f t="shared" si="220"/>
        <v>-473.55932203389841</v>
      </c>
      <c r="AV51" s="5">
        <f t="shared" si="32"/>
        <v>44224.363333333335</v>
      </c>
      <c r="AW51" s="5">
        <f t="shared" si="221"/>
        <v>-473.55932203389841</v>
      </c>
      <c r="AX51" s="136"/>
    </row>
    <row r="52" spans="1:50" s="27" customFormat="1" ht="15.75" customHeight="1" thickBot="1" x14ac:dyDescent="0.3">
      <c r="A52" s="22" t="str">
        <f>CONCATENATE(F52,"-",C52)</f>
        <v>поставка-9</v>
      </c>
      <c r="B52" s="13">
        <v>42250</v>
      </c>
      <c r="C52" s="23">
        <f>MONTH(B52)</f>
        <v>9</v>
      </c>
      <c r="D52" s="23">
        <f t="shared" ref="D52" si="277">MONTH(B52)</f>
        <v>9</v>
      </c>
      <c r="E52" s="23">
        <f>YEAR(B52)</f>
        <v>2015</v>
      </c>
      <c r="F52" s="24" t="s">
        <v>14</v>
      </c>
      <c r="G52" s="23" t="s">
        <v>82</v>
      </c>
      <c r="H52" s="23" t="s">
        <v>75</v>
      </c>
      <c r="I52" s="26">
        <v>23791</v>
      </c>
      <c r="J52" s="9">
        <v>3.3</v>
      </c>
      <c r="K52" s="9">
        <v>3.5</v>
      </c>
      <c r="L52" s="9">
        <f>I52*K52/3.4</f>
        <v>24490.735294117647</v>
      </c>
      <c r="M52" s="9">
        <v>18</v>
      </c>
      <c r="N52" s="9"/>
      <c r="O52" s="9">
        <v>1</v>
      </c>
      <c r="P52" s="8">
        <f>(M52+(J52-3.1)*2.8+(K52-3.6)*1.7)*O52</f>
        <v>18.389999999999997</v>
      </c>
      <c r="Q52" s="9">
        <f>P52*I52</f>
        <v>437516.48999999993</v>
      </c>
      <c r="R52" s="9">
        <f>Q52*0.1</f>
        <v>43751.648999999998</v>
      </c>
      <c r="S52" s="9">
        <f>Q52+R52</f>
        <v>481268.13899999991</v>
      </c>
      <c r="T52" s="14"/>
      <c r="U52" s="26">
        <f>I52</f>
        <v>23791</v>
      </c>
      <c r="V52" s="54">
        <v>3.3</v>
      </c>
      <c r="W52" s="54">
        <v>3.7</v>
      </c>
      <c r="X52" s="54">
        <f>U52*W52/3.4*0.4+U52*V52/3*0.6</f>
        <v>26058.142352941177</v>
      </c>
      <c r="Y52" s="54">
        <v>17</v>
      </c>
      <c r="Z52" s="54"/>
      <c r="AA52" s="54">
        <f>1.02</f>
        <v>1.02</v>
      </c>
      <c r="AB52" s="123">
        <f t="shared" ref="AB52" si="278">Y52*(ROUND(V52/3*0.6,2)+ROUND(W52/3.4*0.4,2)+AA52-1)</f>
        <v>19.040000000000003</v>
      </c>
      <c r="AC52" s="54">
        <f t="shared" ref="AC52" si="279">U52*ROUND(AB52,2)</f>
        <v>452980.63999999996</v>
      </c>
      <c r="AD52" s="54">
        <f t="shared" ref="AD52" si="280">AC52*0.1</f>
        <v>45298.063999999998</v>
      </c>
      <c r="AE52" s="53">
        <f>AC52+AD52</f>
        <v>498278.70399999997</v>
      </c>
      <c r="AF52" s="16">
        <f t="shared" si="233"/>
        <v>3.0401898264867399E-2</v>
      </c>
      <c r="AG52" s="16">
        <f t="shared" si="234"/>
        <v>2.9907558455682492E-2</v>
      </c>
      <c r="AH52" s="9">
        <f>U52*0.1</f>
        <v>2379.1</v>
      </c>
      <c r="AI52" s="148"/>
      <c r="AJ52" s="95"/>
      <c r="AK52" s="95"/>
      <c r="AL52" s="181"/>
      <c r="AM52" s="181"/>
      <c r="AN52" s="182"/>
      <c r="AO52" s="97" t="s">
        <v>51</v>
      </c>
      <c r="AP52" s="14">
        <f t="shared" si="237"/>
        <v>14631.46500000006</v>
      </c>
      <c r="AQ52" s="14">
        <f t="shared" si="238"/>
        <v>13085.050000000023</v>
      </c>
      <c r="AR52" s="14">
        <f t="shared" si="239"/>
        <v>437516.48999999993</v>
      </c>
      <c r="AS52" s="8" t="str">
        <f t="shared" si="29"/>
        <v>Поставщик9 - Покупатель4</v>
      </c>
      <c r="AT52" s="8">
        <f t="shared" si="30"/>
        <v>437516.48999999993</v>
      </c>
      <c r="AU52" s="8">
        <f t="shared" ref="AU52" si="281">AC52-AH52</f>
        <v>450601.54</v>
      </c>
      <c r="AV52" s="8">
        <f t="shared" si="32"/>
        <v>410927.09005524858</v>
      </c>
      <c r="AW52" s="8">
        <f t="shared" ref="AW52" si="282">AC52/(V52/3*0.5+W52/3.4*0.5)-AH52</f>
        <v>411635.46344086016</v>
      </c>
    </row>
    <row r="53" spans="1:50" ht="16.5" customHeight="1" thickBot="1" x14ac:dyDescent="0.3">
      <c r="A53" s="12" t="str">
        <f t="shared" ref="A53:A55" si="283">CONCATENATE(F53,"-",C53)</f>
        <v>поставка-9</v>
      </c>
      <c r="B53" s="13">
        <v>42250</v>
      </c>
      <c r="C53" s="105">
        <f t="shared" ref="C53:C55" si="284">MONTH(B53)</f>
        <v>9</v>
      </c>
      <c r="D53" s="105">
        <f t="shared" si="224"/>
        <v>9</v>
      </c>
      <c r="E53" s="105">
        <f t="shared" ref="E53:E55" si="285">YEAR(B53)</f>
        <v>2015</v>
      </c>
      <c r="F53" s="2" t="s">
        <v>14</v>
      </c>
      <c r="G53" s="106" t="s">
        <v>83</v>
      </c>
      <c r="H53" s="122" t="s">
        <v>76</v>
      </c>
      <c r="I53" s="156">
        <v>5200</v>
      </c>
      <c r="J53" s="157">
        <f>V53</f>
        <v>3.07</v>
      </c>
      <c r="K53" s="157">
        <f>W53</f>
        <v>3.8</v>
      </c>
      <c r="L53" s="157">
        <f t="shared" ref="L53" si="286">I53*K53/3.4</f>
        <v>5811.7647058823532</v>
      </c>
      <c r="M53" s="158">
        <f t="shared" ref="M53:M54" si="287">17.5/N53</f>
        <v>15.909090909090908</v>
      </c>
      <c r="N53" s="157">
        <v>1.1000000000000001</v>
      </c>
      <c r="O53" s="159">
        <v>1</v>
      </c>
      <c r="P53" s="159">
        <f t="shared" ref="P53:P54" si="288">M53*((J53/3*0.6)+(K53/3.4*0.4))*O53</f>
        <v>16.880481283422455</v>
      </c>
      <c r="Q53" s="157">
        <f t="shared" ref="Q53:Q54" si="289">I53*ROUND(P53,2)</f>
        <v>87776</v>
      </c>
      <c r="R53" s="160">
        <f t="shared" ref="R53:R54" si="290">Q53*0.1</f>
        <v>8777.6</v>
      </c>
      <c r="S53" s="161">
        <f t="shared" ref="S53:S54" si="291">Q53+R53</f>
        <v>96553.600000000006</v>
      </c>
      <c r="T53" s="14">
        <v>0</v>
      </c>
      <c r="U53" s="162">
        <f>I53</f>
        <v>5200</v>
      </c>
      <c r="V53" s="159">
        <v>3.07</v>
      </c>
      <c r="W53" s="159">
        <v>3.8</v>
      </c>
      <c r="X53" s="103">
        <f t="shared" ref="X53:X54" si="292">U53*W53/3.4</f>
        <v>5811.7647058823532</v>
      </c>
      <c r="Y53" s="158">
        <v>17</v>
      </c>
      <c r="Z53" s="163"/>
      <c r="AA53" s="158">
        <v>1</v>
      </c>
      <c r="AB53" s="32">
        <f t="shared" ref="AB53:AB54" si="293">Y53*(V53/3*0.6+W53/3.4*0.4)</f>
        <v>18.037999999999997</v>
      </c>
      <c r="AC53" s="158">
        <f>U53*AB53</f>
        <v>93797.599999999977</v>
      </c>
      <c r="AD53" s="158">
        <f t="shared" si="261"/>
        <v>9379.7599999999984</v>
      </c>
      <c r="AE53" s="164">
        <f t="shared" ref="AE53:AE54" si="294">AC53+AD53</f>
        <v>103177.35999999997</v>
      </c>
      <c r="AF53" s="140">
        <f t="shared" si="233"/>
        <v>-3.8903158452921839E-2</v>
      </c>
      <c r="AG53" s="111">
        <f t="shared" si="234"/>
        <v>-3.1614680202920506E-2</v>
      </c>
      <c r="AH53" s="141"/>
      <c r="AI53" s="133">
        <f t="shared" ref="AI53:AI54" si="295">U53*1.5/1.18</f>
        <v>6610.1694915254238</v>
      </c>
      <c r="AJ53" s="128">
        <f t="shared" ref="AJ53:AJ54" si="296">AI53*0.18</f>
        <v>1189.8305084745762</v>
      </c>
      <c r="AK53" s="128">
        <f t="shared" ref="AK53:AK54" si="297">AI53+AJ53</f>
        <v>7800</v>
      </c>
      <c r="AL53" s="137">
        <f t="shared" ref="AL53" si="298">AN53-AM53</f>
        <v>15406.77966101695</v>
      </c>
      <c r="AM53" s="153">
        <f t="shared" ref="AM53" si="299">AN53/1.18*0.18</f>
        <v>2773.2203389830511</v>
      </c>
      <c r="AN53" s="152">
        <v>18180</v>
      </c>
      <c r="AO53" s="139" t="s">
        <v>84</v>
      </c>
      <c r="AP53" s="109">
        <f t="shared" si="237"/>
        <v>-3756.2400000000343</v>
      </c>
      <c r="AQ53" s="109">
        <f t="shared" si="238"/>
        <v>-2775.0101694915502</v>
      </c>
      <c r="AR53" s="5">
        <f t="shared" si="239"/>
        <v>103182.77966101695</v>
      </c>
      <c r="AS53" s="5" t="str">
        <f t="shared" ref="AS53:AS63" si="300">CONCATENATE(G53," - ",H53)</f>
        <v>Поставщик16 - Покупатель7</v>
      </c>
      <c r="AT53" s="5">
        <f t="shared" si="30"/>
        <v>87776</v>
      </c>
      <c r="AU53" s="5">
        <f t="shared" ref="AU53:AU63" si="301">AC53-AH53</f>
        <v>93797.599999999977</v>
      </c>
      <c r="AV53" s="5">
        <f t="shared" si="32"/>
        <v>81996.080227127037</v>
      </c>
      <c r="AW53" s="5">
        <f t="shared" ref="AW53:AW63" si="302">AC53/(V53/3*0.5+W53/3.4*0.5)-AH53</f>
        <v>87621.166773514051</v>
      </c>
      <c r="AX53" s="136"/>
    </row>
    <row r="54" spans="1:50" ht="16.5" customHeight="1" thickBot="1" x14ac:dyDescent="0.3">
      <c r="A54" s="12" t="str">
        <f t="shared" si="283"/>
        <v>поставка-9</v>
      </c>
      <c r="B54" s="13">
        <v>42250</v>
      </c>
      <c r="C54" s="105">
        <f t="shared" si="284"/>
        <v>9</v>
      </c>
      <c r="D54" s="105">
        <f t="shared" si="224"/>
        <v>9</v>
      </c>
      <c r="E54" s="105">
        <f t="shared" si="285"/>
        <v>2015</v>
      </c>
      <c r="F54" s="2" t="s">
        <v>14</v>
      </c>
      <c r="G54" s="106" t="s">
        <v>83</v>
      </c>
      <c r="H54" s="122" t="s">
        <v>76</v>
      </c>
      <c r="I54" s="156">
        <v>6688</v>
      </c>
      <c r="J54" s="157">
        <f>V54</f>
        <v>3.04</v>
      </c>
      <c r="K54" s="157">
        <v>3.8</v>
      </c>
      <c r="L54" s="157">
        <f>I54*K54/3.4</f>
        <v>7474.823529411764</v>
      </c>
      <c r="M54" s="158">
        <f t="shared" si="287"/>
        <v>15.909090909090908</v>
      </c>
      <c r="N54" s="157">
        <v>1.1000000000000001</v>
      </c>
      <c r="O54" s="159">
        <v>1</v>
      </c>
      <c r="P54" s="159">
        <f t="shared" si="288"/>
        <v>16.785026737967915</v>
      </c>
      <c r="Q54" s="157">
        <f t="shared" si="289"/>
        <v>112291.51999999999</v>
      </c>
      <c r="R54" s="160">
        <f t="shared" si="290"/>
        <v>11229.152</v>
      </c>
      <c r="S54" s="161">
        <f t="shared" si="291"/>
        <v>123520.67199999999</v>
      </c>
      <c r="T54" s="14">
        <v>0</v>
      </c>
      <c r="U54" s="162">
        <f>I54</f>
        <v>6688</v>
      </c>
      <c r="V54" s="159">
        <v>3.04</v>
      </c>
      <c r="W54" s="159">
        <v>3.9</v>
      </c>
      <c r="X54" s="103">
        <f t="shared" si="292"/>
        <v>7671.5294117647063</v>
      </c>
      <c r="Y54" s="158">
        <v>17</v>
      </c>
      <c r="Z54" s="163"/>
      <c r="AA54" s="158">
        <v>1</v>
      </c>
      <c r="AB54" s="32">
        <f t="shared" si="293"/>
        <v>18.135999999999999</v>
      </c>
      <c r="AC54" s="158">
        <f t="shared" ref="AC54" si="303">U54*AB54</f>
        <v>121293.568</v>
      </c>
      <c r="AD54" s="158">
        <f t="shared" si="261"/>
        <v>12129.356800000001</v>
      </c>
      <c r="AE54" s="164">
        <f t="shared" si="294"/>
        <v>133422.92480000001</v>
      </c>
      <c r="AF54" s="140">
        <f t="shared" si="233"/>
        <v>0.16138394065731781</v>
      </c>
      <c r="AG54" s="111">
        <f t="shared" si="234"/>
        <v>0.15587769152340486</v>
      </c>
      <c r="AH54" s="141"/>
      <c r="AI54" s="133">
        <f t="shared" si="295"/>
        <v>8501.6949152542384</v>
      </c>
      <c r="AJ54" s="128">
        <f t="shared" si="296"/>
        <v>1530.3050847457628</v>
      </c>
      <c r="AK54" s="128">
        <f t="shared" si="297"/>
        <v>10032.000000000002</v>
      </c>
      <c r="AL54" s="137"/>
      <c r="AM54" s="153"/>
      <c r="AN54" s="152"/>
      <c r="AO54" s="139" t="s">
        <v>84</v>
      </c>
      <c r="AP54" s="109">
        <f t="shared" si="237"/>
        <v>19934.252800000017</v>
      </c>
      <c r="AQ54" s="109">
        <f t="shared" si="238"/>
        <v>17503.742915254246</v>
      </c>
      <c r="AR54" s="5">
        <f t="shared" si="239"/>
        <v>112291.51999999999</v>
      </c>
      <c r="AS54" s="5" t="str">
        <f t="shared" si="300"/>
        <v>Поставщик16 - Покупатель7</v>
      </c>
      <c r="AT54" s="5">
        <f t="shared" si="30"/>
        <v>112291.51999999999</v>
      </c>
      <c r="AU54" s="5">
        <f t="shared" si="301"/>
        <v>121293.568</v>
      </c>
      <c r="AV54" s="5">
        <f t="shared" si="32"/>
        <v>105389.53846153845</v>
      </c>
      <c r="AW54" s="5">
        <f t="shared" si="302"/>
        <v>112288.47282628427</v>
      </c>
      <c r="AX54" s="136"/>
    </row>
    <row r="55" spans="1:50" s="27" customFormat="1" ht="15.75" customHeight="1" thickBot="1" x14ac:dyDescent="0.3">
      <c r="A55" s="37" t="str">
        <f t="shared" si="283"/>
        <v>оплата-9</v>
      </c>
      <c r="B55" s="37">
        <v>42250</v>
      </c>
      <c r="C55" s="38">
        <f t="shared" si="284"/>
        <v>9</v>
      </c>
      <c r="D55" s="38">
        <f t="shared" si="224"/>
        <v>9</v>
      </c>
      <c r="E55" s="38">
        <f t="shared" si="285"/>
        <v>2015</v>
      </c>
      <c r="F55" s="39" t="s">
        <v>15</v>
      </c>
      <c r="G55" s="40" t="s">
        <v>88</v>
      </c>
      <c r="H55" s="43" t="s">
        <v>80</v>
      </c>
      <c r="I55" s="58"/>
      <c r="J55" s="49"/>
      <c r="K55" s="49"/>
      <c r="L55" s="49"/>
      <c r="M55" s="49"/>
      <c r="N55" s="49"/>
      <c r="O55" s="49"/>
      <c r="P55" s="49"/>
      <c r="Q55" s="49">
        <f t="shared" ref="Q55:Q58" si="304">S55-R55</f>
        <v>300000</v>
      </c>
      <c r="R55" s="49">
        <v>0</v>
      </c>
      <c r="S55" s="56">
        <v>300000</v>
      </c>
      <c r="T55" s="5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1"/>
      <c r="AQ55" s="51"/>
      <c r="AR55" s="72"/>
      <c r="AS55" s="72" t="str">
        <f t="shared" si="300"/>
        <v>Альфа - Поставщик7</v>
      </c>
      <c r="AT55" s="72">
        <f t="shared" si="30"/>
        <v>300000</v>
      </c>
      <c r="AU55" s="72">
        <f t="shared" si="301"/>
        <v>0</v>
      </c>
      <c r="AV55" s="72" t="e">
        <f t="shared" si="32"/>
        <v>#DIV/0!</v>
      </c>
      <c r="AW55" s="72" t="e">
        <f t="shared" si="302"/>
        <v>#DIV/0!</v>
      </c>
    </row>
    <row r="56" spans="1:50" s="27" customFormat="1" ht="15.75" customHeight="1" thickBot="1" x14ac:dyDescent="0.3">
      <c r="A56" s="52" t="str">
        <f>CONCATENATE(F56,"-",C56)</f>
        <v>оплата-9</v>
      </c>
      <c r="B56" s="37">
        <v>42250</v>
      </c>
      <c r="C56" s="38">
        <f>MONTH(B56)</f>
        <v>9</v>
      </c>
      <c r="D56" s="38">
        <f>MONTH(B56)</f>
        <v>9</v>
      </c>
      <c r="E56" s="38">
        <f>YEAR(B56)</f>
        <v>2015</v>
      </c>
      <c r="F56" s="39" t="s">
        <v>15</v>
      </c>
      <c r="G56" s="40" t="s">
        <v>88</v>
      </c>
      <c r="H56" s="40" t="s">
        <v>81</v>
      </c>
      <c r="I56" s="57"/>
      <c r="J56" s="41"/>
      <c r="K56" s="41"/>
      <c r="L56" s="41"/>
      <c r="M56" s="41"/>
      <c r="N56" s="41"/>
      <c r="O56" s="41"/>
      <c r="P56" s="41"/>
      <c r="Q56" s="41">
        <f t="shared" si="304"/>
        <v>110000</v>
      </c>
      <c r="R56" s="49">
        <v>0</v>
      </c>
      <c r="S56" s="55">
        <v>110000</v>
      </c>
      <c r="T56" s="44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1"/>
      <c r="AQ56" s="51"/>
      <c r="AR56" s="72"/>
      <c r="AS56" s="72" t="str">
        <f t="shared" si="300"/>
        <v>Альфа - Поставщик8</v>
      </c>
      <c r="AT56" s="72">
        <f t="shared" si="30"/>
        <v>110000</v>
      </c>
      <c r="AU56" s="72">
        <f t="shared" si="301"/>
        <v>0</v>
      </c>
      <c r="AV56" s="72" t="e">
        <f t="shared" si="32"/>
        <v>#DIV/0!</v>
      </c>
      <c r="AW56" s="72" t="e">
        <f t="shared" si="302"/>
        <v>#DIV/0!</v>
      </c>
    </row>
    <row r="57" spans="1:50" s="27" customFormat="1" ht="15.75" customHeight="1" thickBot="1" x14ac:dyDescent="0.3">
      <c r="A57" s="52" t="str">
        <f t="shared" ref="A57:A58" si="305">CONCATENATE(F57,"-",C57)</f>
        <v>оплата-9</v>
      </c>
      <c r="B57" s="37">
        <v>42250</v>
      </c>
      <c r="C57" s="38">
        <f t="shared" ref="C57:C58" si="306">MONTH(B57)</f>
        <v>9</v>
      </c>
      <c r="D57" s="38">
        <f t="shared" ref="D57:D58" si="307">MONTH(B57)</f>
        <v>9</v>
      </c>
      <c r="E57" s="38">
        <f t="shared" ref="E57:E58" si="308">YEAR(B57)</f>
        <v>2015</v>
      </c>
      <c r="F57" s="39" t="s">
        <v>15</v>
      </c>
      <c r="G57" s="40" t="s">
        <v>88</v>
      </c>
      <c r="H57" s="40" t="s">
        <v>83</v>
      </c>
      <c r="I57" s="57"/>
      <c r="J57" s="41"/>
      <c r="K57" s="41"/>
      <c r="L57" s="41"/>
      <c r="M57" s="41"/>
      <c r="N57" s="41"/>
      <c r="O57" s="41"/>
      <c r="P57" s="41"/>
      <c r="Q57" s="41">
        <f t="shared" si="304"/>
        <v>272727.27272727271</v>
      </c>
      <c r="R57" s="41">
        <f t="shared" ref="R57:R59" si="309">S57/1.1*0.1</f>
        <v>27272.727272727272</v>
      </c>
      <c r="S57" s="55">
        <v>300000</v>
      </c>
      <c r="T57" s="44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1"/>
      <c r="AQ57" s="51"/>
      <c r="AR57" s="72"/>
      <c r="AS57" s="72" t="str">
        <f t="shared" si="300"/>
        <v>Альфа - Поставщик16</v>
      </c>
      <c r="AT57" s="72">
        <f t="shared" ref="AT57:AT63" si="310">Q57+T57</f>
        <v>272727.27272727271</v>
      </c>
      <c r="AU57" s="72">
        <f t="shared" si="301"/>
        <v>0</v>
      </c>
      <c r="AV57" s="72" t="e">
        <f t="shared" ref="AV57:AV63" si="311">Q57/(J57/3*0.5+K57/3.4*0.5)+T57</f>
        <v>#DIV/0!</v>
      </c>
      <c r="AW57" s="72" t="e">
        <f t="shared" si="302"/>
        <v>#DIV/0!</v>
      </c>
    </row>
    <row r="58" spans="1:50" s="27" customFormat="1" ht="15.75" customHeight="1" thickBot="1" x14ac:dyDescent="0.3">
      <c r="A58" s="52" t="str">
        <f t="shared" si="305"/>
        <v>оплата-9</v>
      </c>
      <c r="B58" s="37">
        <v>42250</v>
      </c>
      <c r="C58" s="38">
        <f t="shared" si="306"/>
        <v>9</v>
      </c>
      <c r="D58" s="38">
        <f t="shared" si="307"/>
        <v>9</v>
      </c>
      <c r="E58" s="38">
        <f t="shared" si="308"/>
        <v>2015</v>
      </c>
      <c r="F58" s="39" t="s">
        <v>15</v>
      </c>
      <c r="G58" s="40" t="s">
        <v>88</v>
      </c>
      <c r="H58" s="40" t="s">
        <v>82</v>
      </c>
      <c r="I58" s="57"/>
      <c r="J58" s="41"/>
      <c r="K58" s="41"/>
      <c r="L58" s="41"/>
      <c r="M58" s="41"/>
      <c r="N58" s="41"/>
      <c r="O58" s="41"/>
      <c r="P58" s="41"/>
      <c r="Q58" s="41">
        <f t="shared" si="304"/>
        <v>454545.45454545453</v>
      </c>
      <c r="R58" s="41">
        <f t="shared" si="309"/>
        <v>45454.545454545456</v>
      </c>
      <c r="S58" s="55">
        <v>500000</v>
      </c>
      <c r="T58" s="44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1"/>
      <c r="AQ58" s="51"/>
      <c r="AR58" s="72"/>
      <c r="AS58" s="72" t="str">
        <f t="shared" si="300"/>
        <v>Альфа - Поставщик9</v>
      </c>
      <c r="AT58" s="72">
        <f t="shared" si="310"/>
        <v>454545.45454545453</v>
      </c>
      <c r="AU58" s="72">
        <f t="shared" si="301"/>
        <v>0</v>
      </c>
      <c r="AV58" s="72" t="e">
        <f t="shared" si="311"/>
        <v>#DIV/0!</v>
      </c>
      <c r="AW58" s="72" t="e">
        <f t="shared" si="302"/>
        <v>#DIV/0!</v>
      </c>
    </row>
    <row r="59" spans="1:50" s="27" customFormat="1" ht="15.75" customHeight="1" thickBot="1" x14ac:dyDescent="0.3">
      <c r="A59" s="52" t="str">
        <f>CONCATENATE(F59,"-",C59)</f>
        <v>оплата-9</v>
      </c>
      <c r="B59" s="37">
        <v>42250</v>
      </c>
      <c r="C59" s="38">
        <f>MONTH(B59)</f>
        <v>9</v>
      </c>
      <c r="D59" s="38">
        <f>MONTH(B59)</f>
        <v>9</v>
      </c>
      <c r="E59" s="38">
        <f>YEAR(B59)</f>
        <v>2015</v>
      </c>
      <c r="F59" s="39" t="s">
        <v>15</v>
      </c>
      <c r="G59" s="40" t="s">
        <v>88</v>
      </c>
      <c r="H59" s="40" t="s">
        <v>79</v>
      </c>
      <c r="I59" s="57"/>
      <c r="J59" s="41"/>
      <c r="K59" s="41"/>
      <c r="L59" s="41"/>
      <c r="M59" s="41"/>
      <c r="N59" s="41"/>
      <c r="O59" s="41"/>
      <c r="P59" s="41"/>
      <c r="Q59" s="41">
        <f>S59-R59</f>
        <v>190909.09090909091</v>
      </c>
      <c r="R59" s="41">
        <f t="shared" si="309"/>
        <v>19090.909090909088</v>
      </c>
      <c r="S59" s="55">
        <v>210000</v>
      </c>
      <c r="T59" s="44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1"/>
      <c r="AQ59" s="51"/>
      <c r="AR59" s="72"/>
      <c r="AS59" s="72" t="str">
        <f t="shared" si="300"/>
        <v>Альфа - Поставщик6</v>
      </c>
      <c r="AT59" s="72">
        <f t="shared" si="310"/>
        <v>190909.09090909091</v>
      </c>
      <c r="AU59" s="72">
        <f t="shared" si="301"/>
        <v>0</v>
      </c>
      <c r="AV59" s="72" t="e">
        <f t="shared" si="311"/>
        <v>#DIV/0!</v>
      </c>
      <c r="AW59" s="72" t="e">
        <f t="shared" si="302"/>
        <v>#DIV/0!</v>
      </c>
    </row>
    <row r="60" spans="1:50" s="27" customFormat="1" ht="15.75" customHeight="1" thickBot="1" x14ac:dyDescent="0.3">
      <c r="A60" s="37" t="str">
        <f t="shared" ref="A60:A63" si="312">CONCATENATE(F60,"-",C60)</f>
        <v>оплата-9</v>
      </c>
      <c r="B60" s="37">
        <v>42250</v>
      </c>
      <c r="C60" s="38">
        <f t="shared" ref="C60:C63" si="313">MONTH(B60)</f>
        <v>9</v>
      </c>
      <c r="D60" s="38">
        <f t="shared" ref="D60:D63" si="314">MONTH(B60)</f>
        <v>9</v>
      </c>
      <c r="E60" s="38">
        <f t="shared" ref="E60:E63" si="315">YEAR(B60)</f>
        <v>2015</v>
      </c>
      <c r="F60" s="39" t="s">
        <v>15</v>
      </c>
      <c r="G60" s="40" t="s">
        <v>88</v>
      </c>
      <c r="H60" s="43" t="s">
        <v>84</v>
      </c>
      <c r="I60" s="58"/>
      <c r="J60" s="49"/>
      <c r="K60" s="49"/>
      <c r="L60" s="49"/>
      <c r="M60" s="49"/>
      <c r="N60" s="49"/>
      <c r="O60" s="49"/>
      <c r="P60" s="49"/>
      <c r="Q60" s="49">
        <f t="shared" ref="Q60:Q61" si="316">S60-R60</f>
        <v>0</v>
      </c>
      <c r="R60" s="49">
        <v>0</v>
      </c>
      <c r="S60" s="56">
        <v>0</v>
      </c>
      <c r="T60" s="59"/>
      <c r="U60" s="57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2"/>
      <c r="AG60" s="42"/>
      <c r="AH60" s="42"/>
      <c r="AI60" s="42"/>
      <c r="AJ60" s="42"/>
      <c r="AK60" s="42"/>
      <c r="AL60" s="41">
        <f t="shared" ref="AL60" si="317">AN60-AM60</f>
        <v>45762.711864406767</v>
      </c>
      <c r="AM60" s="41">
        <f>AN60/1.18</f>
        <v>254237.28813559323</v>
      </c>
      <c r="AN60" s="55">
        <v>300000</v>
      </c>
      <c r="AO60" s="44" t="s">
        <v>84</v>
      </c>
      <c r="AP60" s="51"/>
      <c r="AQ60" s="51"/>
      <c r="AR60" s="72"/>
      <c r="AS60" s="72" t="str">
        <f t="shared" si="300"/>
        <v>Альфа - Перевозчик1</v>
      </c>
      <c r="AT60" s="72">
        <f t="shared" si="310"/>
        <v>0</v>
      </c>
      <c r="AU60" s="72">
        <f t="shared" si="301"/>
        <v>0</v>
      </c>
      <c r="AV60" s="72" t="e">
        <f t="shared" si="311"/>
        <v>#DIV/0!</v>
      </c>
      <c r="AW60" s="72" t="e">
        <f t="shared" si="302"/>
        <v>#DIV/0!</v>
      </c>
    </row>
    <row r="61" spans="1:50" s="27" customFormat="1" ht="15.75" customHeight="1" thickBot="1" x14ac:dyDescent="0.3">
      <c r="A61" s="52" t="str">
        <f t="shared" si="312"/>
        <v>оплата-9</v>
      </c>
      <c r="B61" s="37">
        <v>42250</v>
      </c>
      <c r="C61" s="38">
        <f t="shared" si="313"/>
        <v>9</v>
      </c>
      <c r="D61" s="38">
        <f t="shared" si="314"/>
        <v>9</v>
      </c>
      <c r="E61" s="38">
        <f t="shared" si="315"/>
        <v>2015</v>
      </c>
      <c r="F61" s="39" t="s">
        <v>15</v>
      </c>
      <c r="G61" s="40" t="s">
        <v>88</v>
      </c>
      <c r="H61" s="40" t="s">
        <v>83</v>
      </c>
      <c r="I61" s="57"/>
      <c r="J61" s="41"/>
      <c r="K61" s="41"/>
      <c r="L61" s="41"/>
      <c r="M61" s="41"/>
      <c r="N61" s="41"/>
      <c r="O61" s="41"/>
      <c r="P61" s="41"/>
      <c r="Q61" s="41">
        <f t="shared" si="316"/>
        <v>909090.90909090906</v>
      </c>
      <c r="R61" s="41">
        <f t="shared" ref="R61:R63" si="318">S61/1.1*0.1</f>
        <v>90909.090909090912</v>
      </c>
      <c r="S61" s="55">
        <v>1000000</v>
      </c>
      <c r="T61" s="44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1"/>
      <c r="AQ61" s="51"/>
      <c r="AR61" s="72"/>
      <c r="AS61" s="72" t="str">
        <f t="shared" si="300"/>
        <v>Альфа - Поставщик16</v>
      </c>
      <c r="AT61" s="72">
        <f t="shared" si="310"/>
        <v>909090.90909090906</v>
      </c>
      <c r="AU61" s="72">
        <f t="shared" si="301"/>
        <v>0</v>
      </c>
      <c r="AV61" s="72" t="e">
        <f t="shared" si="311"/>
        <v>#DIV/0!</v>
      </c>
      <c r="AW61" s="72" t="e">
        <f t="shared" si="302"/>
        <v>#DIV/0!</v>
      </c>
    </row>
    <row r="62" spans="1:50" s="27" customFormat="1" ht="15.75" customHeight="1" thickBot="1" x14ac:dyDescent="0.3">
      <c r="A62" s="37" t="str">
        <f t="shared" si="312"/>
        <v>оплата-9</v>
      </c>
      <c r="B62" s="37">
        <v>42250</v>
      </c>
      <c r="C62" s="38">
        <f t="shared" si="313"/>
        <v>9</v>
      </c>
      <c r="D62" s="38">
        <f t="shared" si="314"/>
        <v>9</v>
      </c>
      <c r="E62" s="38">
        <f t="shared" si="315"/>
        <v>2015</v>
      </c>
      <c r="F62" s="39" t="s">
        <v>15</v>
      </c>
      <c r="G62" s="40" t="s">
        <v>76</v>
      </c>
      <c r="H62" s="43" t="s">
        <v>88</v>
      </c>
      <c r="I62" s="58"/>
      <c r="J62" s="49"/>
      <c r="K62" s="49"/>
      <c r="L62" s="49"/>
      <c r="M62" s="49"/>
      <c r="N62" s="49"/>
      <c r="O62" s="49"/>
      <c r="P62" s="49"/>
      <c r="Q62" s="49">
        <f>S62-R62</f>
        <v>454545.45454545453</v>
      </c>
      <c r="R62" s="49">
        <f t="shared" si="318"/>
        <v>45454.545454545456</v>
      </c>
      <c r="S62" s="56">
        <v>500000</v>
      </c>
      <c r="T62" s="5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50"/>
      <c r="AG62" s="50"/>
      <c r="AH62" s="50"/>
      <c r="AI62" s="119">
        <f>AK62-AJ62</f>
        <v>0</v>
      </c>
      <c r="AJ62" s="119">
        <f>AK62/1.18*0.18</f>
        <v>0</v>
      </c>
      <c r="AK62" s="119"/>
      <c r="AL62" s="50"/>
      <c r="AM62" s="50"/>
      <c r="AN62" s="50"/>
      <c r="AO62" s="50"/>
      <c r="AP62" s="51"/>
      <c r="AQ62" s="51"/>
      <c r="AR62" s="72"/>
      <c r="AS62" s="72" t="str">
        <f t="shared" si="300"/>
        <v>Покупатель7 - Альфа</v>
      </c>
      <c r="AT62" s="72">
        <f t="shared" si="310"/>
        <v>454545.45454545453</v>
      </c>
      <c r="AU62" s="72">
        <f t="shared" si="301"/>
        <v>0</v>
      </c>
      <c r="AV62" s="72" t="e">
        <f t="shared" si="311"/>
        <v>#DIV/0!</v>
      </c>
      <c r="AW62" s="72" t="e">
        <f t="shared" si="302"/>
        <v>#DIV/0!</v>
      </c>
    </row>
    <row r="63" spans="1:50" s="27" customFormat="1" ht="15.75" customHeight="1" thickBot="1" x14ac:dyDescent="0.3">
      <c r="A63" s="37" t="str">
        <f t="shared" si="312"/>
        <v>оплата-9</v>
      </c>
      <c r="B63" s="45">
        <v>42250</v>
      </c>
      <c r="C63" s="46">
        <f t="shared" si="313"/>
        <v>9</v>
      </c>
      <c r="D63" s="46">
        <f t="shared" si="314"/>
        <v>9</v>
      </c>
      <c r="E63" s="46">
        <f t="shared" si="315"/>
        <v>2015</v>
      </c>
      <c r="F63" s="47" t="s">
        <v>15</v>
      </c>
      <c r="G63" s="48" t="s">
        <v>75</v>
      </c>
      <c r="H63" s="114" t="s">
        <v>88</v>
      </c>
      <c r="I63" s="57"/>
      <c r="J63" s="41"/>
      <c r="K63" s="41"/>
      <c r="L63" s="41"/>
      <c r="M63" s="41"/>
      <c r="N63" s="41"/>
      <c r="O63" s="41"/>
      <c r="P63" s="41"/>
      <c r="Q63" s="41">
        <f t="shared" ref="Q63" si="319">S63-R63</f>
        <v>1431705.4545454546</v>
      </c>
      <c r="R63" s="41">
        <f t="shared" si="318"/>
        <v>143170.54545454544</v>
      </c>
      <c r="S63" s="55">
        <v>1574876</v>
      </c>
      <c r="T63" s="44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1"/>
      <c r="AQ63" s="51"/>
      <c r="AR63" s="72"/>
      <c r="AS63" s="72" t="str">
        <f t="shared" si="300"/>
        <v>Покупатель4 - Альфа</v>
      </c>
      <c r="AT63" s="72">
        <f t="shared" si="310"/>
        <v>1431705.4545454546</v>
      </c>
      <c r="AU63" s="72">
        <f t="shared" si="301"/>
        <v>0</v>
      </c>
      <c r="AV63" s="72" t="e">
        <f t="shared" si="311"/>
        <v>#DIV/0!</v>
      </c>
      <c r="AW63" s="72" t="e">
        <f t="shared" si="302"/>
        <v>#DIV/0!</v>
      </c>
    </row>
  </sheetData>
  <autoFilter ref="A2:AX63"/>
  <mergeCells count="3">
    <mergeCell ref="I1:S1"/>
    <mergeCell ref="AI1:AK1"/>
    <mergeCell ref="AL1:AN1"/>
  </mergeCells>
  <pageMargins left="0.25" right="0.25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54"/>
  <sheetViews>
    <sheetView zoomScale="70" zoomScaleNormal="70" workbookViewId="0">
      <selection activeCell="M19" sqref="M19"/>
    </sheetView>
  </sheetViews>
  <sheetFormatPr defaultRowHeight="15" x14ac:dyDescent="0.25"/>
  <cols>
    <col min="1" max="1" width="12.85546875" customWidth="1"/>
    <col min="2" max="4" width="12.28515625" bestFit="1" customWidth="1"/>
    <col min="5" max="5" width="13.42578125" customWidth="1"/>
    <col min="6" max="6" width="15.7109375" bestFit="1" customWidth="1"/>
  </cols>
  <sheetData>
    <row r="1" spans="1:6" ht="17.25" x14ac:dyDescent="0.3">
      <c r="A1" s="94" t="s">
        <v>49</v>
      </c>
    </row>
    <row r="2" spans="1:6" x14ac:dyDescent="0.25">
      <c r="A2" s="27"/>
      <c r="B2" s="75">
        <v>9</v>
      </c>
      <c r="C2" s="75">
        <v>10</v>
      </c>
      <c r="D2" s="75">
        <v>11</v>
      </c>
      <c r="E2" s="75">
        <v>12</v>
      </c>
      <c r="F2" s="73"/>
    </row>
    <row r="3" spans="1:6" x14ac:dyDescent="0.25">
      <c r="A3" s="88" t="s">
        <v>14</v>
      </c>
      <c r="B3" s="84" t="s">
        <v>32</v>
      </c>
      <c r="C3" s="84" t="s">
        <v>33</v>
      </c>
      <c r="D3" s="84" t="s">
        <v>34</v>
      </c>
      <c r="E3" s="84" t="s">
        <v>35</v>
      </c>
      <c r="F3" s="85" t="s">
        <v>29</v>
      </c>
    </row>
    <row r="4" spans="1:6" x14ac:dyDescent="0.25">
      <c r="A4" s="76"/>
      <c r="B4" s="77"/>
      <c r="C4" s="77"/>
      <c r="D4" s="77"/>
      <c r="E4" s="77"/>
      <c r="F4" s="77"/>
    </row>
    <row r="5" spans="1:6" x14ac:dyDescent="0.25">
      <c r="A5" s="89" t="s">
        <v>36</v>
      </c>
      <c r="B5" s="79">
        <f t="shared" ref="B5:E5" ca="1" si="0">B8+B11+B14</f>
        <v>4865293.9178000018</v>
      </c>
      <c r="C5" s="79">
        <f t="shared" ca="1" si="0"/>
        <v>0</v>
      </c>
      <c r="D5" s="79">
        <f t="shared" ca="1" si="0"/>
        <v>0</v>
      </c>
      <c r="E5" s="79">
        <f t="shared" ca="1" si="0"/>
        <v>0</v>
      </c>
      <c r="F5" s="81">
        <f ca="1">SUM(B5:E5)</f>
        <v>4865293.9178000018</v>
      </c>
    </row>
    <row r="6" spans="1:6" x14ac:dyDescent="0.25">
      <c r="A6" s="90" t="s">
        <v>37</v>
      </c>
      <c r="B6" s="78">
        <f t="shared" ref="B6:E6" ca="1" si="1">B9+B12+B14</f>
        <v>4417347.3722372884</v>
      </c>
      <c r="C6" s="78">
        <f t="shared" ca="1" si="1"/>
        <v>0</v>
      </c>
      <c r="D6" s="78">
        <f t="shared" ca="1" si="1"/>
        <v>0</v>
      </c>
      <c r="E6" s="78">
        <f t="shared" ca="1" si="1"/>
        <v>0</v>
      </c>
      <c r="F6" s="82">
        <f ca="1">SUM(B6:E6)</f>
        <v>4417347.3722372884</v>
      </c>
    </row>
    <row r="7" spans="1:6" x14ac:dyDescent="0.25">
      <c r="A7" s="90" t="s">
        <v>38</v>
      </c>
      <c r="B7" s="78">
        <f t="shared" ref="B7:E7" ca="1" si="2">B10+B13</f>
        <v>447946.54556271195</v>
      </c>
      <c r="C7" s="78">
        <f t="shared" ca="1" si="2"/>
        <v>0</v>
      </c>
      <c r="D7" s="78">
        <f t="shared" ca="1" si="2"/>
        <v>0</v>
      </c>
      <c r="E7" s="78">
        <f t="shared" ca="1" si="2"/>
        <v>0</v>
      </c>
      <c r="F7" s="82">
        <f ca="1">SUM(B7:E7)</f>
        <v>447946.54556271195</v>
      </c>
    </row>
    <row r="8" spans="1:6" x14ac:dyDescent="0.25">
      <c r="A8" s="91" t="s">
        <v>39</v>
      </c>
      <c r="B8" s="99">
        <f ca="1">SUMIF(Сделки_2015!$A:$AR,CONCATENATE($A$3,"-",B$2),Сделки_2015!$AE:$AE)</f>
        <v>4773669.7448000014</v>
      </c>
      <c r="C8" s="99">
        <f ca="1">SUMIF(Сделки_2015!$A:$AR,CONCATENATE($A$3,"-",C$2),Сделки_2015!$AE:$AE)</f>
        <v>0</v>
      </c>
      <c r="D8" s="99">
        <f ca="1">SUMIF(Сделки_2015!$A:$AR,CONCATENATE($A$3,"-",D$2),Сделки_2015!$AE:$AE)</f>
        <v>0</v>
      </c>
      <c r="E8" s="99">
        <f ca="1">SUMIF(Сделки_2015!$A:$AR,CONCATENATE($A$3,"-",E$2),Сделки_2015!$AE:$AE)</f>
        <v>0</v>
      </c>
      <c r="F8" s="100">
        <f ca="1">SUM(B8:E8)</f>
        <v>4773669.7448000014</v>
      </c>
    </row>
    <row r="9" spans="1:6" x14ac:dyDescent="0.25">
      <c r="A9" s="90" t="s">
        <v>37</v>
      </c>
      <c r="B9" s="78">
        <f ca="1">SUMIF(Сделки_2015!$A:$AR,CONCATENATE($A$3,"-",B$2),Сделки_2015!$AC:$AC)</f>
        <v>4339699.7680000002</v>
      </c>
      <c r="C9" s="78">
        <f ca="1">SUMIF(Сделки_2015!$A:$AR,CONCATENATE($A$3,"-",C$2),Сделки_2015!$AC:$AC)</f>
        <v>0</v>
      </c>
      <c r="D9" s="78">
        <f ca="1">SUMIF(Сделки_2015!$A:$AR,CONCATENATE($A$3,"-",D$2),Сделки_2015!$AC:$AC)</f>
        <v>0</v>
      </c>
      <c r="E9" s="78">
        <f ca="1">SUMIF(Сделки_2015!$A:$AR,CONCATENATE($A$3,"-",E$2),Сделки_2015!$AC:$AC)</f>
        <v>0</v>
      </c>
      <c r="F9" s="82">
        <f ca="1">SUM(B9:E9)</f>
        <v>4339699.7680000002</v>
      </c>
    </row>
    <row r="10" spans="1:6" x14ac:dyDescent="0.25">
      <c r="A10" s="90" t="s">
        <v>38</v>
      </c>
      <c r="B10" s="78">
        <f ca="1">SUMIF(Сделки_2015!$A:$AR,CONCATENATE($A$3,"-",B$2),Сделки_2015!$AD:$AD)</f>
        <v>433969.97680000006</v>
      </c>
      <c r="C10" s="78">
        <f ca="1">SUMIF(Сделки_2015!$A:$AR,CONCATENATE($A$3,"-",C$2),Сделки_2015!$AD:$AD)</f>
        <v>0</v>
      </c>
      <c r="D10" s="78">
        <f ca="1">SUMIF(Сделки_2015!$A:$AR,CONCATENATE($A$3,"-",D$2),Сделки_2015!$AD:$AD)</f>
        <v>0</v>
      </c>
      <c r="E10" s="78">
        <f ca="1">SUMIF(Сделки_2015!$A:$AR,CONCATENATE($A$3,"-",E$2),Сделки_2015!$AD:$AD)</f>
        <v>0</v>
      </c>
      <c r="F10" s="82">
        <f ca="1">SUM(B10:E10)</f>
        <v>433969.97680000006</v>
      </c>
    </row>
    <row r="11" spans="1:6" x14ac:dyDescent="0.25">
      <c r="A11" s="91" t="s">
        <v>40</v>
      </c>
      <c r="B11" s="99">
        <f ca="1">SUMIF(Сделки_2015!$A:$AR,CONCATENATE($A$3,"-",B$2),Сделки_2015!$AK:$AK)</f>
        <v>91624.172999999995</v>
      </c>
      <c r="C11" s="99">
        <f ca="1">SUMIF(Сделки_2015!$A:$AR,CONCATENATE($A$3,"-",C$2),Сделки_2015!$AK:$AK)</f>
        <v>0</v>
      </c>
      <c r="D11" s="99">
        <f ca="1">SUMIF(Сделки_2015!$A:$AR,CONCATENATE($A$3,"-",D$2),Сделки_2015!$AK:$AK)</f>
        <v>0</v>
      </c>
      <c r="E11" s="99">
        <f ca="1">SUMIF(Сделки_2015!$A:$AR,CONCATENATE($A$3,"-",E$2),Сделки_2015!$AK:$AK)</f>
        <v>0</v>
      </c>
      <c r="F11" s="100">
        <f ca="1">SUM(B11:E11)</f>
        <v>91624.172999999995</v>
      </c>
    </row>
    <row r="12" spans="1:6" x14ac:dyDescent="0.25">
      <c r="A12" s="90" t="s">
        <v>37</v>
      </c>
      <c r="B12" s="78">
        <f ca="1">SUMIF(Сделки_2015!$A:$AR,CONCATENATE($A$3,"-",B$2),Сделки_2015!$AI:$AI)</f>
        <v>77647.604237288135</v>
      </c>
      <c r="C12" s="78">
        <f ca="1">SUMIF(Сделки_2015!$A:$AR,CONCATENATE($A$3,"-",C$2),Сделки_2015!$AI:$AI)</f>
        <v>0</v>
      </c>
      <c r="D12" s="78">
        <f ca="1">SUMIF(Сделки_2015!$A:$AR,CONCATENATE($A$3,"-",D$2),Сделки_2015!$AI:$AI)</f>
        <v>0</v>
      </c>
      <c r="E12" s="78">
        <f ca="1">SUMIF(Сделки_2015!$A:$AR,CONCATENATE($A$3,"-",E$2),Сделки_2015!$AI:$AI)</f>
        <v>0</v>
      </c>
      <c r="F12" s="82">
        <f ca="1">SUM(B12:E12)</f>
        <v>77647.604237288135</v>
      </c>
    </row>
    <row r="13" spans="1:6" x14ac:dyDescent="0.25">
      <c r="A13" s="92" t="s">
        <v>38</v>
      </c>
      <c r="B13" s="80">
        <f ca="1">SUMIF(Сделки_2015!$A:$AR,CONCATENATE($A$3,"-",B$2),Сделки_2015!$AJ:$AJ)</f>
        <v>13976.568762711864</v>
      </c>
      <c r="C13" s="80">
        <f ca="1">SUMIF(Сделки_2015!$A:$AR,CONCATENATE($A$3,"-",C$2),Сделки_2015!$AJ:$AJ)</f>
        <v>0</v>
      </c>
      <c r="D13" s="80">
        <f ca="1">SUMIF(Сделки_2015!$A:$AR,CONCATENATE($A$3,"-",D$2),Сделки_2015!$AJ:$AJ)</f>
        <v>0</v>
      </c>
      <c r="E13" s="80">
        <f ca="1">SUMIF(Сделки_2015!$A:$AR,CONCATENATE($A$3,"-",E$2),Сделки_2015!$AJ:$AJ)</f>
        <v>0</v>
      </c>
      <c r="F13" s="83">
        <f ca="1">SUM(B13:E13)</f>
        <v>13976.568762711864</v>
      </c>
    </row>
    <row r="14" spans="1:6" x14ac:dyDescent="0.25">
      <c r="A14" s="91" t="s">
        <v>47</v>
      </c>
      <c r="B14" s="99">
        <v>0</v>
      </c>
      <c r="C14" s="99">
        <v>0</v>
      </c>
      <c r="D14" s="99">
        <v>0</v>
      </c>
      <c r="E14" s="99">
        <v>0</v>
      </c>
      <c r="F14" s="100">
        <f>SUM(B14:E14)</f>
        <v>0</v>
      </c>
    </row>
    <row r="15" spans="1:6" x14ac:dyDescent="0.25">
      <c r="A15" s="27"/>
      <c r="B15" s="74"/>
      <c r="C15" s="74"/>
      <c r="D15" s="74"/>
      <c r="E15" s="74"/>
      <c r="F15" s="74"/>
    </row>
    <row r="16" spans="1:6" x14ac:dyDescent="0.25">
      <c r="A16" s="89" t="s">
        <v>41</v>
      </c>
      <c r="B16" s="79">
        <f t="shared" ref="B16:E16" ca="1" si="3">B19+B22+B25+B26+B33+B36+B39+B40+B46</f>
        <v>4415571.0235080207</v>
      </c>
      <c r="C16" s="79">
        <f t="shared" ca="1" si="3"/>
        <v>0</v>
      </c>
      <c r="D16" s="79">
        <f t="shared" ca="1" si="3"/>
        <v>0</v>
      </c>
      <c r="E16" s="79">
        <f t="shared" ca="1" si="3"/>
        <v>0</v>
      </c>
      <c r="F16" s="81">
        <f ca="1">SUM(B16:E16)</f>
        <v>4415571.0235080207</v>
      </c>
    </row>
    <row r="17" spans="1:6" x14ac:dyDescent="0.25">
      <c r="A17" s="90" t="s">
        <v>37</v>
      </c>
      <c r="B17" s="78">
        <f t="shared" ref="B17:E17" ca="1" si="4">B20+B23+B25+B26+B34+B37+B39+B40+B46</f>
        <v>4110904.0959702712</v>
      </c>
      <c r="C17" s="78">
        <f t="shared" ca="1" si="4"/>
        <v>0</v>
      </c>
      <c r="D17" s="78">
        <f t="shared" ca="1" si="4"/>
        <v>0</v>
      </c>
      <c r="E17" s="78">
        <f t="shared" ca="1" si="4"/>
        <v>0</v>
      </c>
      <c r="F17" s="82">
        <f ca="1">SUM(B17:E17)</f>
        <v>4110904.0959702712</v>
      </c>
    </row>
    <row r="18" spans="1:6" x14ac:dyDescent="0.25">
      <c r="A18" s="90" t="s">
        <v>38</v>
      </c>
      <c r="B18" s="78">
        <f t="shared" ref="B18:E18" ca="1" si="5">B21+B24+B35+B38</f>
        <v>304666.92753775039</v>
      </c>
      <c r="C18" s="78">
        <f t="shared" ca="1" si="5"/>
        <v>0</v>
      </c>
      <c r="D18" s="78">
        <f t="shared" ca="1" si="5"/>
        <v>0</v>
      </c>
      <c r="E18" s="78">
        <f t="shared" ca="1" si="5"/>
        <v>0</v>
      </c>
      <c r="F18" s="82">
        <f ca="1">SUM(B18:E18)</f>
        <v>304666.92753775039</v>
      </c>
    </row>
    <row r="19" spans="1:6" x14ac:dyDescent="0.25">
      <c r="A19" s="93" t="s">
        <v>39</v>
      </c>
      <c r="B19" s="99">
        <f ca="1">SUMIF(Сделки_2015!$A:$AR,CONCATENATE($A$3,"-",B$2),Сделки_2015!$S:$S)</f>
        <v>4161504.715272727</v>
      </c>
      <c r="C19" s="99">
        <f ca="1">SUMIF(Сделки_2015!$A:$AR,CONCATENATE($A$3,"-",C$2),Сделки_2015!$S:$S)</f>
        <v>0</v>
      </c>
      <c r="D19" s="99">
        <f ca="1">SUMIF(Сделки_2015!$A:$AR,CONCATENATE($A$3,"-",D$2),Сделки_2015!$S:$S)</f>
        <v>0</v>
      </c>
      <c r="E19" s="99">
        <f ca="1">SUMIF(Сделки_2015!$A:$AR,CONCATENATE($A$3,"-",E$2),Сделки_2015!$S:$S)</f>
        <v>0</v>
      </c>
      <c r="F19" s="100">
        <f ca="1">SUM(B19:E19)</f>
        <v>4161504.715272727</v>
      </c>
    </row>
    <row r="20" spans="1:6" x14ac:dyDescent="0.25">
      <c r="A20" s="90" t="s">
        <v>37</v>
      </c>
      <c r="B20" s="78">
        <f ca="1">SUMIF(Сделки_2015!$A:$AR,CONCATENATE($A$3,"-",B$2),Сделки_2015!$Q:$Q)</f>
        <v>3882510.6690909094</v>
      </c>
      <c r="C20" s="78">
        <f ca="1">SUMIF(Сделки_2015!$A:$AR,CONCATENATE($A$3,"-",C$2),Сделки_2015!$Q:$Q)</f>
        <v>0</v>
      </c>
      <c r="D20" s="78">
        <f ca="1">SUMIF(Сделки_2015!$A:$AR,CONCATENATE($A$3,"-",D$2),Сделки_2015!$Q:$Q)</f>
        <v>0</v>
      </c>
      <c r="E20" s="78">
        <f ca="1">SUMIF(Сделки_2015!$A:$AR,CONCATENATE($A$3,"-",E$2),Сделки_2015!$Q:$Q)</f>
        <v>0</v>
      </c>
      <c r="F20" s="82">
        <f ca="1">SUM(B20:E20)</f>
        <v>3882510.6690909094</v>
      </c>
    </row>
    <row r="21" spans="1:6" x14ac:dyDescent="0.25">
      <c r="A21" s="90" t="s">
        <v>38</v>
      </c>
      <c r="B21" s="78">
        <f ca="1">SUMIF(Сделки_2015!$A:$AR,CONCATENATE($A$3,"-",B$2),Сделки_2015!$R:$R)</f>
        <v>278994.04618181818</v>
      </c>
      <c r="C21" s="78">
        <f ca="1">SUMIF(Сделки_2015!$A:$AR,CONCATENATE($A$3,"-",C$2),Сделки_2015!$R:$R)</f>
        <v>0</v>
      </c>
      <c r="D21" s="78">
        <f ca="1">SUMIF(Сделки_2015!$A:$AR,CONCATENATE($A$3,"-",D$2),Сделки_2015!$R:$R)</f>
        <v>0</v>
      </c>
      <c r="E21" s="78">
        <f ca="1">SUMIF(Сделки_2015!$A:$AR,CONCATENATE($A$3,"-",E$2),Сделки_2015!$R:$R)</f>
        <v>0</v>
      </c>
      <c r="F21" s="82">
        <f ca="1">SUM(B21:E21)</f>
        <v>278994.04618181818</v>
      </c>
    </row>
    <row r="22" spans="1:6" x14ac:dyDescent="0.25">
      <c r="A22" s="91" t="s">
        <v>40</v>
      </c>
      <c r="B22" s="99">
        <f ca="1">SUMIF(Сделки_2015!$A:$AR,CONCATENATE($A$3,"-",B$2),Сделки_2015!$AN:$AN)</f>
        <v>194860</v>
      </c>
      <c r="C22" s="99">
        <f ca="1">SUMIF(Сделки_2015!$A:$AR,CONCATENATE($A$3,"-",C$2),Сделки_2015!$AN:$AN)</f>
        <v>0</v>
      </c>
      <c r="D22" s="99">
        <f ca="1">SUMIF(Сделки_2015!$A:$AR,CONCATENATE($A$3,"-",D$2),Сделки_2015!$AN:$AN)</f>
        <v>0</v>
      </c>
      <c r="E22" s="99">
        <f ca="1">SUMIF(Сделки_2015!$A:$AR,CONCATENATE($A$3,"-",E$2),Сделки_2015!$AN:$AN)</f>
        <v>0</v>
      </c>
      <c r="F22" s="100">
        <f ca="1">SUM(B22:E22)</f>
        <v>194860</v>
      </c>
    </row>
    <row r="23" spans="1:6" x14ac:dyDescent="0.25">
      <c r="A23" s="90" t="s">
        <v>37</v>
      </c>
      <c r="B23" s="78">
        <f ca="1">SUMIF(Сделки_2015!$A:$AR,CONCATENATE($A$3,"-",B$2),Сделки_2015!$AL:$AL)</f>
        <v>169187.11864406778</v>
      </c>
      <c r="C23" s="78">
        <f ca="1">SUMIF(Сделки_2015!$A:$AR,CONCATENATE($A$3,"-",C$2),Сделки_2015!$AL:$AL)</f>
        <v>0</v>
      </c>
      <c r="D23" s="78">
        <f ca="1">SUMIF(Сделки_2015!$A:$AR,CONCATENATE($A$3,"-",D$2),Сделки_2015!$AL:$AL)</f>
        <v>0</v>
      </c>
      <c r="E23" s="78">
        <f ca="1">SUMIF(Сделки_2015!$A:$AR,CONCATENATE($A$3,"-",E$2),Сделки_2015!$AL:$AL)</f>
        <v>0</v>
      </c>
      <c r="F23" s="82">
        <f ca="1">SUM(B23:E23)</f>
        <v>169187.11864406778</v>
      </c>
    </row>
    <row r="24" spans="1:6" x14ac:dyDescent="0.25">
      <c r="A24" s="90" t="s">
        <v>38</v>
      </c>
      <c r="B24" s="78">
        <f ca="1">SUMIF(Сделки_2015!$A:$AR,CONCATENATE($A$3,"-",B$2),Сделки_2015!$AM:$AM)</f>
        <v>25672.881355932204</v>
      </c>
      <c r="C24" s="78">
        <f ca="1">SUMIF(Сделки_2015!$A:$AR,CONCATENATE($A$3,"-",C$2),Сделки_2015!$AM:$AM)</f>
        <v>0</v>
      </c>
      <c r="D24" s="78">
        <f ca="1">SUMIF(Сделки_2015!$A:$AR,CONCATENATE($A$3,"-",D$2),Сделки_2015!$AM:$AM)</f>
        <v>0</v>
      </c>
      <c r="E24" s="78">
        <f ca="1">SUMIF(Сделки_2015!$A:$AR,CONCATENATE($A$3,"-",E$2),Сделки_2015!$AM:$AM)</f>
        <v>0</v>
      </c>
      <c r="F24" s="82">
        <f ca="1">SUM(B24:E24)</f>
        <v>25672.881355932204</v>
      </c>
    </row>
    <row r="25" spans="1:6" x14ac:dyDescent="0.25">
      <c r="A25" s="91" t="s">
        <v>85</v>
      </c>
      <c r="B25" s="99">
        <f ca="1">SUMIF(Сделки_2015!$A:$AR,CONCATENATE($A$3,"-",B$2),Сделки_2015!$T:$T)</f>
        <v>59206.308235294113</v>
      </c>
      <c r="C25" s="99">
        <f ca="1">SUMIF(Сделки_2015!$A:$AR,CONCATENATE($A$3,"-",C$2),Сделки_2015!$T:$T)</f>
        <v>0</v>
      </c>
      <c r="D25" s="99">
        <f ca="1">SUMIF(Сделки_2015!$A:$AR,CONCATENATE($A$3,"-",D$2),Сделки_2015!$T:$T)</f>
        <v>0</v>
      </c>
      <c r="E25" s="99">
        <f ca="1">SUMIF(Сделки_2015!$A:$AR,CONCATENATE($A$3,"-",E$2),Сделки_2015!$T:$T)</f>
        <v>0</v>
      </c>
      <c r="F25" s="100">
        <f ca="1">SUM(B25:E25)</f>
        <v>59206.308235294113</v>
      </c>
    </row>
    <row r="26" spans="1:6" x14ac:dyDescent="0.25">
      <c r="A26" s="91" t="s">
        <v>42</v>
      </c>
      <c r="B26" s="99">
        <f t="shared" ref="B26:E26" si="6">SUM(B27:B32)</f>
        <v>0</v>
      </c>
      <c r="C26" s="99">
        <f t="shared" si="6"/>
        <v>0</v>
      </c>
      <c r="D26" s="99">
        <f t="shared" si="6"/>
        <v>0</v>
      </c>
      <c r="E26" s="99">
        <f t="shared" si="6"/>
        <v>0</v>
      </c>
      <c r="F26" s="100">
        <f>SUM(B26:E26)</f>
        <v>0</v>
      </c>
    </row>
    <row r="27" spans="1:6" ht="17.25" customHeight="1" x14ac:dyDescent="0.25">
      <c r="A27" s="90" t="s">
        <v>46</v>
      </c>
      <c r="B27" s="78"/>
      <c r="C27" s="78"/>
      <c r="D27" s="78"/>
      <c r="E27" s="78"/>
      <c r="F27" s="82">
        <f>SUM(B27:E27)</f>
        <v>0</v>
      </c>
    </row>
    <row r="28" spans="1:6" x14ac:dyDescent="0.25">
      <c r="A28" s="90" t="s">
        <v>58</v>
      </c>
      <c r="B28" s="78"/>
      <c r="C28" s="78"/>
      <c r="D28" s="78"/>
      <c r="E28" s="78"/>
      <c r="F28" s="82">
        <f>SUM(B28:E28)</f>
        <v>0</v>
      </c>
    </row>
    <row r="29" spans="1:6" x14ac:dyDescent="0.25">
      <c r="A29" s="90" t="s">
        <v>71</v>
      </c>
      <c r="B29" s="78"/>
      <c r="C29" s="78"/>
      <c r="D29" s="78"/>
      <c r="E29" s="78"/>
      <c r="F29" s="82"/>
    </row>
    <row r="30" spans="1:6" x14ac:dyDescent="0.25">
      <c r="A30" s="90"/>
      <c r="B30" s="78"/>
      <c r="C30" s="78"/>
      <c r="D30" s="78"/>
      <c r="E30" s="78"/>
      <c r="F30" s="82"/>
    </row>
    <row r="31" spans="1:6" x14ac:dyDescent="0.25">
      <c r="A31" s="90" t="s">
        <v>70</v>
      </c>
      <c r="B31" s="78"/>
      <c r="C31" s="78"/>
      <c r="D31" s="78"/>
      <c r="E31" s="78"/>
      <c r="F31" s="82"/>
    </row>
    <row r="32" spans="1:6" x14ac:dyDescent="0.25">
      <c r="A32" s="90" t="s">
        <v>44</v>
      </c>
      <c r="B32" s="78"/>
      <c r="C32" s="78"/>
      <c r="D32" s="78"/>
      <c r="E32" s="78"/>
      <c r="F32" s="82">
        <f>SUM(B32:E32)</f>
        <v>0</v>
      </c>
    </row>
    <row r="33" spans="1:6" x14ac:dyDescent="0.25">
      <c r="A33" s="91" t="s">
        <v>45</v>
      </c>
      <c r="B33" s="99"/>
      <c r="C33" s="99"/>
      <c r="D33" s="99"/>
      <c r="E33" s="99"/>
      <c r="F33" s="100">
        <f>SUM(B33:E33)</f>
        <v>0</v>
      </c>
    </row>
    <row r="34" spans="1:6" x14ac:dyDescent="0.25">
      <c r="A34" s="90" t="s">
        <v>37</v>
      </c>
      <c r="B34" s="78">
        <f t="shared" ref="B34:E34" si="7">B33/118*100</f>
        <v>0</v>
      </c>
      <c r="C34" s="78">
        <f t="shared" si="7"/>
        <v>0</v>
      </c>
      <c r="D34" s="78">
        <f t="shared" si="7"/>
        <v>0</v>
      </c>
      <c r="E34" s="78">
        <f t="shared" si="7"/>
        <v>0</v>
      </c>
      <c r="F34" s="82">
        <f>SUM(B34:E34)</f>
        <v>0</v>
      </c>
    </row>
    <row r="35" spans="1:6" x14ac:dyDescent="0.25">
      <c r="A35" s="90" t="s">
        <v>38</v>
      </c>
      <c r="B35" s="78">
        <f t="shared" ref="B35:E35" si="8">B33/118*18</f>
        <v>0</v>
      </c>
      <c r="C35" s="78">
        <f t="shared" si="8"/>
        <v>0</v>
      </c>
      <c r="D35" s="78">
        <f t="shared" si="8"/>
        <v>0</v>
      </c>
      <c r="E35" s="78">
        <f t="shared" si="8"/>
        <v>0</v>
      </c>
      <c r="F35" s="82">
        <f>SUM(B35:E35)</f>
        <v>0</v>
      </c>
    </row>
    <row r="36" spans="1:6" x14ac:dyDescent="0.25">
      <c r="A36" s="91" t="s">
        <v>48</v>
      </c>
      <c r="B36" s="99">
        <v>0</v>
      </c>
      <c r="C36" s="99">
        <v>0</v>
      </c>
      <c r="D36" s="99">
        <v>0</v>
      </c>
      <c r="E36" s="99">
        <v>0</v>
      </c>
      <c r="F36" s="100">
        <f>SUM(B36:E36)</f>
        <v>0</v>
      </c>
    </row>
    <row r="37" spans="1:6" x14ac:dyDescent="0.25">
      <c r="A37" s="90" t="s">
        <v>37</v>
      </c>
      <c r="B37" s="78">
        <f t="shared" ref="B37:E37" si="9">B36/118*100</f>
        <v>0</v>
      </c>
      <c r="C37" s="78">
        <f t="shared" si="9"/>
        <v>0</v>
      </c>
      <c r="D37" s="78">
        <f t="shared" si="9"/>
        <v>0</v>
      </c>
      <c r="E37" s="78">
        <f t="shared" si="9"/>
        <v>0</v>
      </c>
      <c r="F37" s="82">
        <f>SUM(B37:E37)</f>
        <v>0</v>
      </c>
    </row>
    <row r="38" spans="1:6" x14ac:dyDescent="0.25">
      <c r="A38" s="90" t="s">
        <v>38</v>
      </c>
      <c r="B38" s="78">
        <f t="shared" ref="B38:E38" si="10">B36/118*18</f>
        <v>0</v>
      </c>
      <c r="C38" s="78">
        <f t="shared" si="10"/>
        <v>0</v>
      </c>
      <c r="D38" s="78">
        <f t="shared" si="10"/>
        <v>0</v>
      </c>
      <c r="E38" s="78">
        <f t="shared" si="10"/>
        <v>0</v>
      </c>
      <c r="F38" s="82">
        <f>SUM(B38:E38)</f>
        <v>0</v>
      </c>
    </row>
    <row r="39" spans="1:6" x14ac:dyDescent="0.25">
      <c r="A39" s="91" t="s">
        <v>52</v>
      </c>
      <c r="B39" s="99"/>
      <c r="C39" s="99"/>
      <c r="D39" s="99"/>
      <c r="E39" s="99"/>
      <c r="F39" s="100">
        <f>SUM(B39:E39)</f>
        <v>0</v>
      </c>
    </row>
    <row r="40" spans="1:6" x14ac:dyDescent="0.25">
      <c r="A40" s="91" t="s">
        <v>43</v>
      </c>
      <c r="B40" s="99">
        <f t="shared" ref="B40:E40" si="11">SUM(B41:B44)</f>
        <v>0</v>
      </c>
      <c r="C40" s="99">
        <f t="shared" si="11"/>
        <v>0</v>
      </c>
      <c r="D40" s="99">
        <f t="shared" si="11"/>
        <v>0</v>
      </c>
      <c r="E40" s="99">
        <f t="shared" si="11"/>
        <v>0</v>
      </c>
      <c r="F40" s="100">
        <f>SUM(B40:E40)</f>
        <v>0</v>
      </c>
    </row>
    <row r="41" spans="1:6" x14ac:dyDescent="0.25">
      <c r="A41" s="90">
        <v>1</v>
      </c>
      <c r="B41" s="78"/>
      <c r="C41" s="78"/>
      <c r="D41" s="78"/>
      <c r="E41" s="78"/>
      <c r="F41" s="82">
        <f>SUM(B41:E41)</f>
        <v>0</v>
      </c>
    </row>
    <row r="42" spans="1:6" x14ac:dyDescent="0.25">
      <c r="A42" s="90">
        <v>2</v>
      </c>
      <c r="B42" s="78"/>
      <c r="C42" s="78"/>
      <c r="D42" s="78"/>
      <c r="E42" s="78"/>
      <c r="F42" s="82">
        <f>SUM(B42:E42)</f>
        <v>0</v>
      </c>
    </row>
    <row r="43" spans="1:6" x14ac:dyDescent="0.25">
      <c r="A43" s="90">
        <v>3</v>
      </c>
      <c r="B43" s="78"/>
      <c r="C43" s="78"/>
      <c r="D43" s="78"/>
      <c r="E43" s="78"/>
      <c r="F43" s="82">
        <f>SUM(B43:E43)</f>
        <v>0</v>
      </c>
    </row>
    <row r="44" spans="1:6" x14ac:dyDescent="0.25">
      <c r="A44" s="90">
        <v>4</v>
      </c>
      <c r="B44" s="78"/>
      <c r="C44" s="78"/>
      <c r="D44" s="78"/>
      <c r="E44" s="78"/>
      <c r="F44" s="82">
        <f>SUM(B44:E44)</f>
        <v>0</v>
      </c>
    </row>
    <row r="45" spans="1:6" x14ac:dyDescent="0.25">
      <c r="A45" s="91" t="s">
        <v>59</v>
      </c>
      <c r="B45" s="99"/>
      <c r="C45" s="99">
        <v>0</v>
      </c>
      <c r="D45" s="99">
        <v>0</v>
      </c>
      <c r="E45" s="99">
        <v>0</v>
      </c>
      <c r="F45" s="100">
        <f>SUM(B45:E45)</f>
        <v>0</v>
      </c>
    </row>
    <row r="46" spans="1:6" x14ac:dyDescent="0.25">
      <c r="A46" s="91" t="s">
        <v>50</v>
      </c>
      <c r="B46" s="99"/>
      <c r="C46" s="99">
        <v>0</v>
      </c>
      <c r="D46" s="99">
        <v>0</v>
      </c>
      <c r="E46" s="99">
        <v>0</v>
      </c>
      <c r="F46" s="100">
        <f>SUM(B46:E46)</f>
        <v>0</v>
      </c>
    </row>
    <row r="47" spans="1:6" x14ac:dyDescent="0.25">
      <c r="A47" s="27"/>
      <c r="B47" s="74"/>
      <c r="C47" s="74"/>
      <c r="D47" s="74"/>
      <c r="E47" s="74"/>
      <c r="F47" s="74"/>
    </row>
    <row r="48" spans="1:6" x14ac:dyDescent="0.25">
      <c r="A48" s="27"/>
      <c r="B48" s="74"/>
      <c r="C48" s="74"/>
      <c r="D48" s="74"/>
      <c r="E48" s="74"/>
      <c r="F48" s="74"/>
    </row>
    <row r="49" spans="1:6" x14ac:dyDescent="0.25">
      <c r="A49" s="89" t="s">
        <v>60</v>
      </c>
      <c r="B49" s="79">
        <f t="shared" ref="B49:E49" ca="1" si="12">B5-B16</f>
        <v>449722.89429198112</v>
      </c>
      <c r="C49" s="79">
        <f t="shared" ca="1" si="12"/>
        <v>0</v>
      </c>
      <c r="D49" s="79">
        <f t="shared" ca="1" si="12"/>
        <v>0</v>
      </c>
      <c r="E49" s="79">
        <f t="shared" ca="1" si="12"/>
        <v>0</v>
      </c>
      <c r="F49" s="81">
        <f ca="1">SUM(B49:E49)</f>
        <v>449722.89429198112</v>
      </c>
    </row>
    <row r="50" spans="1:6" x14ac:dyDescent="0.25">
      <c r="A50" s="89" t="s">
        <v>61</v>
      </c>
      <c r="B50" s="79"/>
      <c r="C50" s="79"/>
      <c r="D50" s="79"/>
      <c r="E50" s="79"/>
      <c r="F50" s="81"/>
    </row>
    <row r="51" spans="1:6" x14ac:dyDescent="0.25">
      <c r="A51" s="89" t="s">
        <v>12</v>
      </c>
      <c r="B51" s="79">
        <f t="shared" ref="B51:E51" ca="1" si="13">B6-B17</f>
        <v>306443.27626701724</v>
      </c>
      <c r="C51" s="79">
        <f t="shared" ca="1" si="13"/>
        <v>0</v>
      </c>
      <c r="D51" s="79">
        <f t="shared" ca="1" si="13"/>
        <v>0</v>
      </c>
      <c r="E51" s="79">
        <f t="shared" ca="1" si="13"/>
        <v>0</v>
      </c>
      <c r="F51" s="81">
        <f ca="1">SUM(B51:E51)</f>
        <v>306443.27626701724</v>
      </c>
    </row>
    <row r="52" spans="1:6" x14ac:dyDescent="0.25">
      <c r="A52" s="89" t="s">
        <v>1</v>
      </c>
      <c r="B52" s="79">
        <f t="shared" ref="B52:E52" ca="1" si="14">B7-B18</f>
        <v>143279.61802496156</v>
      </c>
      <c r="C52" s="79">
        <f t="shared" ca="1" si="14"/>
        <v>0</v>
      </c>
      <c r="D52" s="79">
        <f t="shared" ca="1" si="14"/>
        <v>0</v>
      </c>
      <c r="E52" s="79">
        <f t="shared" ca="1" si="14"/>
        <v>0</v>
      </c>
      <c r="F52" s="81">
        <f ca="1">SUM(B52:E52)</f>
        <v>143279.61802496156</v>
      </c>
    </row>
    <row r="53" spans="1:6" x14ac:dyDescent="0.25">
      <c r="A53" s="149" t="s">
        <v>62</v>
      </c>
      <c r="B53" s="86"/>
      <c r="C53" s="86"/>
      <c r="D53" s="86"/>
      <c r="E53" s="86"/>
      <c r="F53" s="87"/>
    </row>
    <row r="54" spans="1:6" x14ac:dyDescent="0.25">
      <c r="A54" s="89" t="s">
        <v>55</v>
      </c>
      <c r="B54" s="104">
        <f t="shared" ref="B54" ca="1" si="15">B51/B17</f>
        <v>7.4544010055454565E-2</v>
      </c>
      <c r="C54" s="79"/>
      <c r="D54" s="79"/>
      <c r="E54" s="79"/>
      <c r="F54" s="81"/>
    </row>
  </sheetData>
  <pageMargins left="0.39370078740157483" right="0.39370078740157483" top="0.39370078740157483" bottom="0.3937007874015748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G5"/>
  <sheetViews>
    <sheetView workbookViewId="0">
      <selection activeCell="E35" sqref="E35"/>
    </sheetView>
  </sheetViews>
  <sheetFormatPr defaultRowHeight="15" x14ac:dyDescent="0.25"/>
  <cols>
    <col min="1" max="1" width="22.85546875" bestFit="1" customWidth="1"/>
    <col min="2" max="2" width="22.42578125" bestFit="1" customWidth="1"/>
    <col min="3" max="3" width="11.5703125" bestFit="1" customWidth="1"/>
    <col min="4" max="4" width="12" bestFit="1" customWidth="1"/>
    <col min="5" max="5" width="14.28515625" bestFit="1" customWidth="1"/>
    <col min="6" max="6" width="24.7109375" bestFit="1" customWidth="1"/>
  </cols>
  <sheetData>
    <row r="1" spans="1:7" x14ac:dyDescent="0.25">
      <c r="A1" s="186" t="s">
        <v>86</v>
      </c>
      <c r="B1" s="186" t="s">
        <v>87</v>
      </c>
      <c r="C1" s="186" t="s">
        <v>13</v>
      </c>
      <c r="D1" s="186" t="s">
        <v>91</v>
      </c>
      <c r="E1" s="186" t="s">
        <v>92</v>
      </c>
      <c r="F1" s="186" t="s">
        <v>93</v>
      </c>
      <c r="G1" s="186" t="s">
        <v>1</v>
      </c>
    </row>
    <row r="2" spans="1:7" x14ac:dyDescent="0.25">
      <c r="A2" t="s">
        <v>88</v>
      </c>
      <c r="B2" t="s">
        <v>89</v>
      </c>
      <c r="C2" t="s">
        <v>90</v>
      </c>
      <c r="D2" t="s">
        <v>94</v>
      </c>
      <c r="E2" s="183">
        <v>42250</v>
      </c>
      <c r="F2" s="183">
        <v>42616</v>
      </c>
      <c r="G2" t="s">
        <v>95</v>
      </c>
    </row>
    <row r="3" spans="1:7" x14ac:dyDescent="0.25">
      <c r="A3" t="s">
        <v>126</v>
      </c>
      <c r="B3" t="s">
        <v>127</v>
      </c>
      <c r="C3" t="s">
        <v>128</v>
      </c>
      <c r="D3" t="s">
        <v>129</v>
      </c>
      <c r="E3" s="183">
        <v>42251</v>
      </c>
      <c r="F3" s="183">
        <v>42525</v>
      </c>
      <c r="G3" t="s">
        <v>95</v>
      </c>
    </row>
    <row r="4" spans="1:7" x14ac:dyDescent="0.25">
      <c r="A4" t="s">
        <v>151</v>
      </c>
      <c r="B4" t="s">
        <v>151</v>
      </c>
      <c r="C4" t="s">
        <v>28</v>
      </c>
      <c r="D4" t="s">
        <v>172</v>
      </c>
      <c r="E4" s="183">
        <v>42250</v>
      </c>
      <c r="F4" s="183">
        <v>42951</v>
      </c>
      <c r="G4" t="s">
        <v>95</v>
      </c>
    </row>
    <row r="5" spans="1:7" x14ac:dyDescent="0.25">
      <c r="A5" t="s">
        <v>16</v>
      </c>
      <c r="B5" t="s">
        <v>195</v>
      </c>
      <c r="C5" t="s">
        <v>196</v>
      </c>
      <c r="D5">
        <v>1</v>
      </c>
      <c r="E5" s="183">
        <v>42248</v>
      </c>
      <c r="F5" s="183">
        <v>44075</v>
      </c>
      <c r="G5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S16"/>
  <sheetViews>
    <sheetView zoomScale="85" zoomScaleNormal="85" workbookViewId="0">
      <selection activeCell="E35" sqref="E35"/>
    </sheetView>
  </sheetViews>
  <sheetFormatPr defaultRowHeight="15" x14ac:dyDescent="0.25"/>
  <cols>
    <col min="1" max="13" width="15" customWidth="1"/>
    <col min="17" max="17" width="12.5703125" bestFit="1" customWidth="1"/>
    <col min="18" max="18" width="31.28515625" bestFit="1" customWidth="1"/>
    <col min="19" max="19" width="14.5703125" bestFit="1" customWidth="1"/>
  </cols>
  <sheetData>
    <row r="1" spans="1:19" ht="75" x14ac:dyDescent="0.25">
      <c r="A1" s="185" t="s">
        <v>87</v>
      </c>
      <c r="B1" s="185" t="s">
        <v>141</v>
      </c>
      <c r="C1" s="185" t="s">
        <v>114</v>
      </c>
      <c r="D1" s="185" t="s">
        <v>115</v>
      </c>
      <c r="E1" s="185" t="s">
        <v>116</v>
      </c>
      <c r="F1" s="185" t="s">
        <v>117</v>
      </c>
      <c r="G1" s="185" t="s">
        <v>118</v>
      </c>
      <c r="H1" s="185" t="s">
        <v>119</v>
      </c>
      <c r="I1" s="185" t="s">
        <v>120</v>
      </c>
      <c r="J1" s="185" t="s">
        <v>121</v>
      </c>
      <c r="K1" s="185" t="s">
        <v>140</v>
      </c>
      <c r="L1" s="185" t="s">
        <v>122</v>
      </c>
      <c r="M1" s="185" t="s">
        <v>96</v>
      </c>
      <c r="Q1" s="185" t="s">
        <v>132</v>
      </c>
      <c r="R1" s="185" t="s">
        <v>133</v>
      </c>
      <c r="S1" s="185" t="s">
        <v>134</v>
      </c>
    </row>
    <row r="2" spans="1:19" x14ac:dyDescent="0.25">
      <c r="A2" t="s">
        <v>89</v>
      </c>
      <c r="B2" s="183">
        <v>42250</v>
      </c>
      <c r="C2" s="3">
        <v>18.5</v>
      </c>
      <c r="D2" s="3">
        <v>3</v>
      </c>
      <c r="E2" s="3">
        <v>0.6</v>
      </c>
      <c r="F2" s="3">
        <v>3.4</v>
      </c>
      <c r="G2" s="3">
        <v>0.4</v>
      </c>
      <c r="H2" s="3">
        <v>1.1000000000000001</v>
      </c>
      <c r="I2" s="3">
        <v>1</v>
      </c>
      <c r="J2" s="3">
        <v>0.9</v>
      </c>
      <c r="K2" s="3">
        <v>0.8</v>
      </c>
      <c r="L2" s="3">
        <v>1.02</v>
      </c>
      <c r="M2" s="184" t="s">
        <v>123</v>
      </c>
      <c r="Q2" t="s">
        <v>124</v>
      </c>
      <c r="R2" t="s">
        <v>125</v>
      </c>
      <c r="S2" t="s">
        <v>135</v>
      </c>
    </row>
    <row r="3" spans="1:19" x14ac:dyDescent="0.25">
      <c r="A3" t="s">
        <v>127</v>
      </c>
      <c r="B3" s="183">
        <v>42253</v>
      </c>
      <c r="C3" s="3">
        <v>19</v>
      </c>
      <c r="D3" s="3">
        <v>3</v>
      </c>
      <c r="E3" s="3">
        <v>0.5</v>
      </c>
      <c r="F3" s="3">
        <v>3.4</v>
      </c>
      <c r="G3" s="3">
        <v>0.5</v>
      </c>
      <c r="H3" s="3">
        <v>1.1000000000000001</v>
      </c>
      <c r="I3" s="3">
        <v>1</v>
      </c>
      <c r="J3" s="3">
        <v>0.9</v>
      </c>
      <c r="K3" s="3">
        <v>0.75</v>
      </c>
      <c r="L3" s="3">
        <v>1</v>
      </c>
      <c r="M3" s="184" t="s">
        <v>123</v>
      </c>
      <c r="Q3" t="s">
        <v>97</v>
      </c>
      <c r="R3" t="s">
        <v>106</v>
      </c>
      <c r="S3" t="s">
        <v>130</v>
      </c>
    </row>
    <row r="4" spans="1:19" x14ac:dyDescent="0.25">
      <c r="Q4" t="s">
        <v>98</v>
      </c>
      <c r="R4" t="s">
        <v>105</v>
      </c>
      <c r="S4" t="s">
        <v>130</v>
      </c>
    </row>
    <row r="5" spans="1:19" x14ac:dyDescent="0.25">
      <c r="Q5" t="s">
        <v>99</v>
      </c>
      <c r="R5" t="s">
        <v>107</v>
      </c>
      <c r="S5" s="3">
        <v>3</v>
      </c>
    </row>
    <row r="6" spans="1:19" x14ac:dyDescent="0.25">
      <c r="Q6" t="s">
        <v>100</v>
      </c>
      <c r="R6" t="s">
        <v>110</v>
      </c>
      <c r="S6" s="3">
        <v>0.6</v>
      </c>
    </row>
    <row r="7" spans="1:19" x14ac:dyDescent="0.25">
      <c r="Q7" t="s">
        <v>101</v>
      </c>
      <c r="R7" t="s">
        <v>108</v>
      </c>
      <c r="S7" s="3" t="s">
        <v>130</v>
      </c>
    </row>
    <row r="8" spans="1:19" x14ac:dyDescent="0.25">
      <c r="Q8" t="s">
        <v>102</v>
      </c>
      <c r="R8" t="s">
        <v>109</v>
      </c>
      <c r="S8" s="3">
        <v>3.4</v>
      </c>
    </row>
    <row r="9" spans="1:19" x14ac:dyDescent="0.25">
      <c r="Q9" t="s">
        <v>103</v>
      </c>
      <c r="R9" t="s">
        <v>111</v>
      </c>
      <c r="S9" s="3">
        <v>0.4</v>
      </c>
    </row>
    <row r="10" spans="1:19" x14ac:dyDescent="0.25">
      <c r="Q10" t="s">
        <v>136</v>
      </c>
      <c r="R10" t="s">
        <v>112</v>
      </c>
      <c r="S10" s="3">
        <v>1.1000000000000001</v>
      </c>
    </row>
    <row r="11" spans="1:19" x14ac:dyDescent="0.25">
      <c r="Q11" t="s">
        <v>138</v>
      </c>
      <c r="R11" t="s">
        <v>112</v>
      </c>
      <c r="S11" s="3">
        <v>1</v>
      </c>
    </row>
    <row r="12" spans="1:19" x14ac:dyDescent="0.25">
      <c r="Q12" t="s">
        <v>137</v>
      </c>
      <c r="R12" t="s">
        <v>112</v>
      </c>
      <c r="S12" s="3">
        <v>0.9</v>
      </c>
    </row>
    <row r="13" spans="1:19" x14ac:dyDescent="0.25">
      <c r="Q13" t="s">
        <v>139</v>
      </c>
      <c r="R13" t="s">
        <v>112</v>
      </c>
      <c r="S13" s="3">
        <v>0.8</v>
      </c>
    </row>
    <row r="14" spans="1:19" x14ac:dyDescent="0.25">
      <c r="Q14" t="s">
        <v>104</v>
      </c>
      <c r="R14" t="s">
        <v>113</v>
      </c>
      <c r="S14" s="3">
        <v>1</v>
      </c>
    </row>
    <row r="16" spans="1:19" x14ac:dyDescent="0.25">
      <c r="Q16" t="s">
        <v>131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4"/>
  <sheetViews>
    <sheetView zoomScale="85" zoomScaleNormal="85" workbookViewId="0">
      <selection activeCell="E35" sqref="E35"/>
    </sheetView>
  </sheetViews>
  <sheetFormatPr defaultRowHeight="15" x14ac:dyDescent="0.25"/>
  <cols>
    <col min="1" max="4" width="15" customWidth="1"/>
  </cols>
  <sheetData>
    <row r="1" spans="1:5" ht="30" x14ac:dyDescent="0.25">
      <c r="A1" s="185" t="s">
        <v>87</v>
      </c>
      <c r="B1" s="185" t="s">
        <v>141</v>
      </c>
      <c r="C1" s="185" t="s">
        <v>147</v>
      </c>
      <c r="D1" s="185" t="s">
        <v>149</v>
      </c>
      <c r="E1" s="197" t="s">
        <v>1</v>
      </c>
    </row>
    <row r="2" spans="1:5" x14ac:dyDescent="0.25">
      <c r="A2" t="s">
        <v>127</v>
      </c>
      <c r="B2" s="183">
        <v>42250</v>
      </c>
      <c r="C2" s="3" t="s">
        <v>148</v>
      </c>
      <c r="D2" s="3">
        <v>35</v>
      </c>
      <c r="E2" t="s">
        <v>95</v>
      </c>
    </row>
    <row r="3" spans="1:5" x14ac:dyDescent="0.25">
      <c r="A3" t="s">
        <v>127</v>
      </c>
      <c r="B3" s="183">
        <v>42253</v>
      </c>
      <c r="C3" s="3" t="s">
        <v>150</v>
      </c>
      <c r="D3" s="3">
        <v>2</v>
      </c>
      <c r="E3" t="s">
        <v>95</v>
      </c>
    </row>
    <row r="4" spans="1:5" x14ac:dyDescent="0.25">
      <c r="A4" t="s">
        <v>151</v>
      </c>
      <c r="B4" s="183">
        <v>42253</v>
      </c>
      <c r="C4" s="3" t="s">
        <v>148</v>
      </c>
      <c r="D4" s="3">
        <v>32</v>
      </c>
      <c r="E4" t="s">
        <v>197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J4"/>
  <sheetViews>
    <sheetView topLeftCell="L1" zoomScale="85" zoomScaleNormal="85" workbookViewId="0">
      <selection activeCell="E35" sqref="E35"/>
    </sheetView>
  </sheetViews>
  <sheetFormatPr defaultRowHeight="15" x14ac:dyDescent="0.25"/>
  <cols>
    <col min="1" max="1" width="13.5703125" bestFit="1" customWidth="1"/>
    <col min="2" max="2" width="11" bestFit="1" customWidth="1"/>
    <col min="3" max="3" width="10" bestFit="1" customWidth="1"/>
    <col min="4" max="4" width="8.140625" bestFit="1" customWidth="1"/>
    <col min="5" max="5" width="7.7109375" bestFit="1" customWidth="1"/>
    <col min="6" max="6" width="8.140625" bestFit="1" customWidth="1"/>
    <col min="7" max="7" width="13.140625" bestFit="1" customWidth="1"/>
    <col min="8" max="8" width="15.140625" bestFit="1" customWidth="1"/>
    <col min="9" max="9" width="13.42578125" bestFit="1" customWidth="1"/>
    <col min="10" max="10" width="12.28515625" bestFit="1" customWidth="1"/>
    <col min="11" max="11" width="16.42578125" bestFit="1" customWidth="1"/>
    <col min="12" max="12" width="14.7109375" bestFit="1" customWidth="1"/>
    <col min="13" max="13" width="11.7109375" bestFit="1" customWidth="1"/>
    <col min="14" max="14" width="10" bestFit="1" customWidth="1"/>
    <col min="15" max="15" width="8.140625" bestFit="1" customWidth="1"/>
    <col min="16" max="16" width="7.7109375" bestFit="1" customWidth="1"/>
    <col min="17" max="17" width="6.42578125" bestFit="1" customWidth="1"/>
    <col min="18" max="18" width="13.140625" bestFit="1" customWidth="1"/>
    <col min="19" max="19" width="15.140625" bestFit="1" customWidth="1"/>
    <col min="20" max="20" width="13.42578125" bestFit="1" customWidth="1"/>
    <col min="21" max="21" width="12.28515625" bestFit="1" customWidth="1"/>
    <col min="22" max="22" width="16.42578125" bestFit="1" customWidth="1"/>
    <col min="23" max="23" width="13.42578125" bestFit="1" customWidth="1"/>
    <col min="24" max="24" width="28.28515625" customWidth="1"/>
    <col min="29" max="29" width="16.42578125" bestFit="1" customWidth="1"/>
    <col min="30" max="30" width="11.5703125" bestFit="1" customWidth="1"/>
    <col min="31" max="31" width="16.42578125" bestFit="1" customWidth="1"/>
    <col min="32" max="32" width="8.7109375" bestFit="1" customWidth="1"/>
    <col min="33" max="33" width="11.5703125" bestFit="1" customWidth="1"/>
    <col min="34" max="34" width="12.28515625" bestFit="1" customWidth="1"/>
    <col min="35" max="35" width="11.28515625" bestFit="1" customWidth="1"/>
    <col min="36" max="36" width="16.42578125" bestFit="1" customWidth="1"/>
  </cols>
  <sheetData>
    <row r="1" spans="1:36" ht="15.75" thickBot="1" x14ac:dyDescent="0.3">
      <c r="W1" s="217" t="s">
        <v>167</v>
      </c>
      <c r="X1" s="218"/>
      <c r="Y1" s="218"/>
      <c r="Z1" s="218"/>
      <c r="AA1" s="218"/>
      <c r="AB1" s="218"/>
      <c r="AC1" s="219"/>
      <c r="AD1" s="220" t="s">
        <v>176</v>
      </c>
      <c r="AE1" s="220"/>
      <c r="AF1" s="220"/>
      <c r="AG1" s="220"/>
      <c r="AH1" s="220"/>
      <c r="AI1" s="220"/>
      <c r="AJ1" s="220"/>
    </row>
    <row r="2" spans="1:36" s="102" customFormat="1" ht="18" customHeight="1" x14ac:dyDescent="0.25">
      <c r="A2" s="67" t="s">
        <v>145</v>
      </c>
      <c r="B2" s="67" t="s">
        <v>143</v>
      </c>
      <c r="C2" s="67" t="s">
        <v>25</v>
      </c>
      <c r="D2" s="67" t="s">
        <v>5</v>
      </c>
      <c r="E2" s="67" t="s">
        <v>4</v>
      </c>
      <c r="F2" s="67" t="s">
        <v>23</v>
      </c>
      <c r="G2" s="67" t="s">
        <v>3</v>
      </c>
      <c r="H2" s="192" t="s">
        <v>189</v>
      </c>
      <c r="I2" s="192" t="s">
        <v>174</v>
      </c>
      <c r="J2" s="192" t="s">
        <v>1</v>
      </c>
      <c r="K2" s="192" t="s">
        <v>175</v>
      </c>
      <c r="L2" s="67" t="s">
        <v>146</v>
      </c>
      <c r="M2" s="67" t="s">
        <v>144</v>
      </c>
      <c r="N2" s="67" t="s">
        <v>25</v>
      </c>
      <c r="O2" s="67" t="s">
        <v>5</v>
      </c>
      <c r="P2" s="67" t="s">
        <v>4</v>
      </c>
      <c r="Q2" s="67" t="s">
        <v>23</v>
      </c>
      <c r="R2" s="67" t="s">
        <v>3</v>
      </c>
      <c r="S2" s="192" t="s">
        <v>189</v>
      </c>
      <c r="T2" s="192" t="s">
        <v>174</v>
      </c>
      <c r="U2" s="192" t="s">
        <v>1</v>
      </c>
      <c r="V2" s="192" t="s">
        <v>175</v>
      </c>
      <c r="W2" s="203" t="s">
        <v>171</v>
      </c>
      <c r="X2" s="204" t="s">
        <v>168</v>
      </c>
      <c r="Y2" s="204" t="s">
        <v>149</v>
      </c>
      <c r="Z2" s="204" t="s">
        <v>173</v>
      </c>
      <c r="AA2" s="204" t="s">
        <v>174</v>
      </c>
      <c r="AB2" s="204" t="s">
        <v>1</v>
      </c>
      <c r="AC2" s="204" t="s">
        <v>175</v>
      </c>
      <c r="AD2" s="192" t="s">
        <v>171</v>
      </c>
      <c r="AE2" s="192" t="s">
        <v>168</v>
      </c>
      <c r="AF2" s="192" t="s">
        <v>149</v>
      </c>
      <c r="AG2" s="192" t="s">
        <v>173</v>
      </c>
      <c r="AH2" s="192" t="s">
        <v>174</v>
      </c>
      <c r="AI2" s="192" t="s">
        <v>1</v>
      </c>
      <c r="AJ2" s="192" t="s">
        <v>175</v>
      </c>
    </row>
    <row r="3" spans="1:36" x14ac:dyDescent="0.25">
      <c r="A3" s="183">
        <v>42252</v>
      </c>
      <c r="B3" t="s">
        <v>88</v>
      </c>
      <c r="C3">
        <v>5500</v>
      </c>
      <c r="D3" s="3">
        <v>3.1</v>
      </c>
      <c r="E3" s="3">
        <v>3.5</v>
      </c>
      <c r="F3" t="s">
        <v>160</v>
      </c>
      <c r="G3" s="202">
        <v>18.5</v>
      </c>
      <c r="H3" s="202">
        <v>20.996411764705883</v>
      </c>
      <c r="I3" s="202">
        <v>115480.26470588235</v>
      </c>
      <c r="J3" s="202">
        <v>11548.026470588236</v>
      </c>
      <c r="K3" s="202">
        <v>127028.29117647058</v>
      </c>
      <c r="L3" s="183">
        <v>42253</v>
      </c>
      <c r="M3" t="s">
        <v>126</v>
      </c>
      <c r="N3">
        <v>25000</v>
      </c>
      <c r="O3" s="3">
        <v>3.1</v>
      </c>
      <c r="P3" s="3">
        <v>3.5</v>
      </c>
      <c r="Q3" t="s">
        <v>142</v>
      </c>
      <c r="R3" s="205">
        <v>19</v>
      </c>
      <c r="S3" s="205">
        <v>21.555686274509807</v>
      </c>
      <c r="T3" s="205">
        <v>118556.27450980393</v>
      </c>
      <c r="U3" s="205">
        <v>11855.627450980393</v>
      </c>
      <c r="V3" s="205">
        <v>130411.90196078432</v>
      </c>
      <c r="W3" s="187" t="s">
        <v>126</v>
      </c>
      <c r="X3" t="s">
        <v>148</v>
      </c>
      <c r="Y3">
        <v>35</v>
      </c>
      <c r="Z3">
        <v>1200</v>
      </c>
      <c r="AA3" s="206">
        <v>42000</v>
      </c>
      <c r="AB3" s="206">
        <v>7560</v>
      </c>
      <c r="AC3" s="206">
        <v>49560</v>
      </c>
      <c r="AD3" s="187" t="s">
        <v>151</v>
      </c>
      <c r="AE3" s="101" t="s">
        <v>148</v>
      </c>
      <c r="AF3" s="7">
        <v>32</v>
      </c>
      <c r="AG3" s="7">
        <v>1200</v>
      </c>
      <c r="AH3" s="205">
        <v>38400</v>
      </c>
      <c r="AI3" s="205">
        <v>6912</v>
      </c>
      <c r="AJ3" s="205">
        <v>45312</v>
      </c>
    </row>
    <row r="4" spans="1:36" x14ac:dyDescent="0.25">
      <c r="A4" s="183">
        <v>42252</v>
      </c>
      <c r="B4" t="s">
        <v>88</v>
      </c>
      <c r="C4">
        <v>8400</v>
      </c>
      <c r="D4" s="3">
        <v>3.2</v>
      </c>
      <c r="E4" s="3">
        <v>3.4</v>
      </c>
      <c r="F4" t="s">
        <v>160</v>
      </c>
      <c r="G4" s="205">
        <v>18.5</v>
      </c>
      <c r="H4" s="205">
        <v>21.164000000000005</v>
      </c>
      <c r="I4" s="205">
        <v>177777.60000000003</v>
      </c>
      <c r="J4" s="205">
        <v>17777.760000000006</v>
      </c>
      <c r="K4" s="205">
        <v>195555.36000000004</v>
      </c>
      <c r="L4" s="183">
        <v>42253</v>
      </c>
      <c r="M4" t="s">
        <v>126</v>
      </c>
      <c r="N4">
        <v>25000</v>
      </c>
      <c r="O4" s="3">
        <v>3.1</v>
      </c>
      <c r="P4" s="3">
        <v>3.5</v>
      </c>
      <c r="Q4" t="s">
        <v>142</v>
      </c>
      <c r="R4" s="205">
        <v>19</v>
      </c>
      <c r="S4" s="205">
        <v>21.596666666666668</v>
      </c>
      <c r="T4" s="205">
        <v>181412</v>
      </c>
      <c r="U4" s="205">
        <v>18141.2</v>
      </c>
      <c r="V4" s="205">
        <v>199553.2</v>
      </c>
      <c r="W4" s="187"/>
      <c r="AD4" s="187"/>
    </row>
  </sheetData>
  <mergeCells count="2">
    <mergeCell ref="W1:AC1"/>
    <mergeCell ref="AD1:A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G2"/>
  <sheetViews>
    <sheetView zoomScale="85" zoomScaleNormal="85" workbookViewId="0">
      <selection activeCell="E35" sqref="E35"/>
    </sheetView>
  </sheetViews>
  <sheetFormatPr defaultRowHeight="15" x14ac:dyDescent="0.25"/>
  <cols>
    <col min="1" max="1" width="10.140625" bestFit="1" customWidth="1"/>
    <col min="2" max="6" width="39.42578125" customWidth="1"/>
    <col min="7" max="7" width="12.5703125" bestFit="1" customWidth="1"/>
  </cols>
  <sheetData>
    <row r="1" spans="1:7" x14ac:dyDescent="0.25">
      <c r="A1" s="186" t="s">
        <v>9</v>
      </c>
      <c r="B1" s="186" t="s">
        <v>193</v>
      </c>
      <c r="C1" s="186" t="s">
        <v>7</v>
      </c>
      <c r="D1" s="186" t="s">
        <v>194</v>
      </c>
      <c r="E1" s="186" t="s">
        <v>2</v>
      </c>
      <c r="F1" s="186" t="s">
        <v>1</v>
      </c>
      <c r="G1" s="186" t="s">
        <v>0</v>
      </c>
    </row>
    <row r="2" spans="1:7" ht="45" x14ac:dyDescent="0.25">
      <c r="A2" s="207">
        <v>42254</v>
      </c>
      <c r="B2" s="208" t="s">
        <v>200</v>
      </c>
      <c r="C2" s="208" t="s">
        <v>201</v>
      </c>
      <c r="D2" s="208" t="s">
        <v>202</v>
      </c>
      <c r="E2" s="208" t="s">
        <v>203</v>
      </c>
      <c r="F2" s="208" t="s">
        <v>204</v>
      </c>
      <c r="G2" s="208" t="s">
        <v>205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B1:J60"/>
  <sheetViews>
    <sheetView zoomScale="85" zoomScaleNormal="85" workbookViewId="0">
      <selection activeCell="E35" sqref="E35"/>
    </sheetView>
  </sheetViews>
  <sheetFormatPr defaultRowHeight="15" x14ac:dyDescent="0.25"/>
  <cols>
    <col min="3" max="3" width="36.85546875" customWidth="1"/>
    <col min="4" max="4" width="32.42578125" customWidth="1"/>
    <col min="5" max="5" width="53.42578125" style="191" customWidth="1"/>
    <col min="6" max="6" width="23.85546875" style="191" bestFit="1" customWidth="1"/>
    <col min="7" max="7" width="38.140625" bestFit="1" customWidth="1"/>
    <col min="8" max="8" width="20" bestFit="1" customWidth="1"/>
    <col min="9" max="9" width="53.42578125" style="191" customWidth="1"/>
    <col min="10" max="10" width="23.85546875" style="191" bestFit="1" customWidth="1"/>
  </cols>
  <sheetData>
    <row r="1" spans="2:10" x14ac:dyDescent="0.25">
      <c r="B1" s="101"/>
      <c r="C1" s="101"/>
      <c r="D1" s="101"/>
      <c r="E1" s="190"/>
      <c r="F1" s="190"/>
      <c r="G1" s="101"/>
      <c r="H1" s="101"/>
      <c r="I1" s="190"/>
      <c r="J1" s="190"/>
    </row>
    <row r="2" spans="2:10" x14ac:dyDescent="0.25">
      <c r="B2" s="187"/>
      <c r="C2" s="187"/>
      <c r="D2" s="187"/>
      <c r="E2" s="190"/>
      <c r="F2" s="190"/>
      <c r="G2" s="187"/>
      <c r="H2" s="187"/>
      <c r="I2" s="190"/>
      <c r="J2" s="190"/>
    </row>
    <row r="3" spans="2:10" x14ac:dyDescent="0.25">
      <c r="B3" s="187"/>
      <c r="C3" s="188"/>
      <c r="D3" s="192" t="s">
        <v>69</v>
      </c>
      <c r="E3" s="194" t="s">
        <v>27</v>
      </c>
      <c r="F3" s="194" t="s">
        <v>152</v>
      </c>
      <c r="G3" s="188"/>
      <c r="H3" s="192" t="s">
        <v>68</v>
      </c>
      <c r="I3" s="194" t="s">
        <v>27</v>
      </c>
      <c r="J3" s="194" t="s">
        <v>152</v>
      </c>
    </row>
    <row r="4" spans="2:10" x14ac:dyDescent="0.25">
      <c r="B4" s="187"/>
      <c r="C4" s="187"/>
      <c r="D4" s="187"/>
      <c r="E4" s="195"/>
      <c r="F4" s="195"/>
      <c r="G4" s="187"/>
      <c r="H4" s="187"/>
      <c r="I4" s="195"/>
      <c r="J4" s="195"/>
    </row>
    <row r="5" spans="2:10" x14ac:dyDescent="0.25">
      <c r="B5" s="187"/>
      <c r="C5" s="192" t="s">
        <v>146</v>
      </c>
      <c r="D5" s="189">
        <v>42253</v>
      </c>
      <c r="E5" s="195" t="s">
        <v>153</v>
      </c>
      <c r="F5" s="195" t="s">
        <v>154</v>
      </c>
      <c r="G5" s="192" t="s">
        <v>145</v>
      </c>
      <c r="H5" s="189">
        <v>42252</v>
      </c>
      <c r="I5" s="195" t="s">
        <v>153</v>
      </c>
      <c r="J5" s="195" t="s">
        <v>165</v>
      </c>
    </row>
    <row r="6" spans="2:10" x14ac:dyDescent="0.25">
      <c r="B6" s="187"/>
      <c r="C6" s="192" t="s">
        <v>144</v>
      </c>
      <c r="D6" s="187" t="s">
        <v>126</v>
      </c>
      <c r="E6" s="195" t="s">
        <v>159</v>
      </c>
      <c r="F6" s="195" t="s">
        <v>164</v>
      </c>
      <c r="G6" s="192" t="s">
        <v>143</v>
      </c>
      <c r="H6" s="187" t="s">
        <v>88</v>
      </c>
      <c r="I6" s="195" t="s">
        <v>159</v>
      </c>
      <c r="J6" s="195" t="s">
        <v>164</v>
      </c>
    </row>
    <row r="7" spans="2:10" x14ac:dyDescent="0.25">
      <c r="E7" s="196"/>
      <c r="F7" s="196"/>
      <c r="I7" s="196"/>
      <c r="J7" s="196"/>
    </row>
    <row r="8" spans="2:10" x14ac:dyDescent="0.25">
      <c r="C8" t="s">
        <v>161</v>
      </c>
      <c r="E8" s="196"/>
      <c r="F8" s="196"/>
      <c r="I8" s="196"/>
      <c r="J8" s="196"/>
    </row>
    <row r="9" spans="2:10" x14ac:dyDescent="0.25">
      <c r="B9" s="187"/>
      <c r="C9" s="192" t="s">
        <v>25</v>
      </c>
      <c r="D9" s="187">
        <v>5500</v>
      </c>
      <c r="E9" s="195" t="s">
        <v>155</v>
      </c>
      <c r="F9" s="195" t="s">
        <v>164</v>
      </c>
      <c r="G9" s="192" t="s">
        <v>25</v>
      </c>
      <c r="H9" s="187">
        <f>D9</f>
        <v>5500</v>
      </c>
      <c r="I9" s="195" t="s">
        <v>155</v>
      </c>
      <c r="J9" s="195" t="s">
        <v>165</v>
      </c>
    </row>
    <row r="10" spans="2:10" x14ac:dyDescent="0.25">
      <c r="B10" s="187"/>
      <c r="C10" s="192" t="s">
        <v>5</v>
      </c>
      <c r="D10" s="187">
        <v>3.1</v>
      </c>
      <c r="E10" s="195" t="s">
        <v>156</v>
      </c>
      <c r="F10" s="195" t="s">
        <v>164</v>
      </c>
      <c r="G10" s="192" t="s">
        <v>5</v>
      </c>
      <c r="H10" s="187">
        <f>D10</f>
        <v>3.1</v>
      </c>
      <c r="I10" s="195" t="s">
        <v>156</v>
      </c>
      <c r="J10" s="195" t="s">
        <v>165</v>
      </c>
    </row>
    <row r="11" spans="2:10" x14ac:dyDescent="0.25">
      <c r="B11" s="187"/>
      <c r="C11" s="192" t="s">
        <v>4</v>
      </c>
      <c r="D11" s="187">
        <v>3.5</v>
      </c>
      <c r="E11" s="195" t="s">
        <v>156</v>
      </c>
      <c r="F11" s="195" t="s">
        <v>164</v>
      </c>
      <c r="G11" s="192" t="s">
        <v>4</v>
      </c>
      <c r="H11" s="187">
        <f>D11</f>
        <v>3.5</v>
      </c>
      <c r="I11" s="195" t="s">
        <v>156</v>
      </c>
      <c r="J11" s="195" t="s">
        <v>165</v>
      </c>
    </row>
    <row r="12" spans="2:10" x14ac:dyDescent="0.25">
      <c r="B12" s="187"/>
      <c r="C12" s="192" t="s">
        <v>23</v>
      </c>
      <c r="D12" s="187" t="s">
        <v>160</v>
      </c>
      <c r="E12" s="195" t="s">
        <v>157</v>
      </c>
      <c r="F12" s="195" t="s">
        <v>158</v>
      </c>
      <c r="G12" s="192" t="s">
        <v>23</v>
      </c>
      <c r="H12" s="187" t="s">
        <v>160</v>
      </c>
      <c r="I12" s="195" t="s">
        <v>157</v>
      </c>
      <c r="J12" s="195" t="s">
        <v>165</v>
      </c>
    </row>
    <row r="13" spans="2:10" x14ac:dyDescent="0.25">
      <c r="B13" s="187"/>
      <c r="C13" s="192" t="s">
        <v>3</v>
      </c>
      <c r="D13" s="201">
        <v>19</v>
      </c>
      <c r="E13" s="195" t="s">
        <v>190</v>
      </c>
      <c r="F13" s="195"/>
      <c r="G13" s="192" t="s">
        <v>3</v>
      </c>
      <c r="H13" s="201">
        <v>18.5</v>
      </c>
      <c r="I13" s="195" t="s">
        <v>190</v>
      </c>
      <c r="J13" s="195"/>
    </row>
    <row r="14" spans="2:10" x14ac:dyDescent="0.25">
      <c r="B14" s="187"/>
      <c r="C14" s="192" t="s">
        <v>189</v>
      </c>
      <c r="D14" s="202">
        <f>D13*(D10/3*0.5+D11/3.4*0.5)*1.1</f>
        <v>21.555686274509807</v>
      </c>
      <c r="E14" s="195" t="s">
        <v>191</v>
      </c>
      <c r="F14" s="195"/>
      <c r="G14" s="192" t="s">
        <v>189</v>
      </c>
      <c r="H14" s="202">
        <f>H13*(H10/3*0.6+H11/3.4*0.4)*1.1</f>
        <v>20.996411764705883</v>
      </c>
      <c r="I14" s="195" t="s">
        <v>191</v>
      </c>
      <c r="J14" s="195"/>
    </row>
    <row r="15" spans="2:10" x14ac:dyDescent="0.25">
      <c r="B15" s="187"/>
      <c r="C15" s="192" t="s">
        <v>174</v>
      </c>
      <c r="D15" s="202">
        <f>D14*D9</f>
        <v>118556.27450980393</v>
      </c>
      <c r="E15" s="195" t="s">
        <v>135</v>
      </c>
      <c r="F15" s="195"/>
      <c r="G15" s="192" t="s">
        <v>174</v>
      </c>
      <c r="H15" s="202">
        <f>H14*H9</f>
        <v>115480.26470588235</v>
      </c>
      <c r="I15" s="195" t="s">
        <v>135</v>
      </c>
      <c r="J15" s="195"/>
    </row>
    <row r="16" spans="2:10" x14ac:dyDescent="0.25">
      <c r="B16" s="187"/>
      <c r="C16" s="192" t="s">
        <v>1</v>
      </c>
      <c r="D16" s="202">
        <f>D15*0.1</f>
        <v>11855.627450980393</v>
      </c>
      <c r="E16" s="195" t="s">
        <v>198</v>
      </c>
      <c r="F16" s="195"/>
      <c r="G16" s="192" t="s">
        <v>1</v>
      </c>
      <c r="H16" s="202">
        <f>H15*0.1</f>
        <v>11548.026470588236</v>
      </c>
      <c r="I16" s="195" t="s">
        <v>198</v>
      </c>
      <c r="J16" s="195"/>
    </row>
    <row r="17" spans="2:10" x14ac:dyDescent="0.25">
      <c r="B17" s="187"/>
      <c r="C17" s="192" t="s">
        <v>175</v>
      </c>
      <c r="D17" s="202">
        <f>D15+D16</f>
        <v>130411.90196078432</v>
      </c>
      <c r="E17" s="195" t="s">
        <v>135</v>
      </c>
      <c r="F17" s="195"/>
      <c r="G17" s="192" t="s">
        <v>175</v>
      </c>
      <c r="H17" s="202">
        <f>H15+H16</f>
        <v>127028.29117647058</v>
      </c>
      <c r="I17" s="195" t="s">
        <v>135</v>
      </c>
      <c r="J17" s="195"/>
    </row>
    <row r="18" spans="2:10" x14ac:dyDescent="0.25">
      <c r="B18" s="187"/>
      <c r="C18" s="187"/>
      <c r="D18" s="187"/>
      <c r="E18" s="195"/>
      <c r="F18" s="195"/>
      <c r="G18" s="187"/>
      <c r="H18" s="187"/>
      <c r="I18" s="195"/>
      <c r="J18" s="195"/>
    </row>
    <row r="19" spans="2:10" x14ac:dyDescent="0.25">
      <c r="B19" s="187"/>
      <c r="C19" t="s">
        <v>162</v>
      </c>
      <c r="E19" s="196"/>
      <c r="F19" s="196"/>
      <c r="I19" s="196"/>
      <c r="J19" s="196"/>
    </row>
    <row r="20" spans="2:10" x14ac:dyDescent="0.25">
      <c r="B20" s="187"/>
      <c r="C20" s="192" t="s">
        <v>25</v>
      </c>
      <c r="D20" s="187">
        <v>8400</v>
      </c>
      <c r="E20" s="195" t="s">
        <v>155</v>
      </c>
      <c r="F20" s="195" t="s">
        <v>164</v>
      </c>
      <c r="G20" s="192" t="s">
        <v>25</v>
      </c>
      <c r="H20" s="187">
        <f>D20</f>
        <v>8400</v>
      </c>
      <c r="I20" s="195" t="s">
        <v>155</v>
      </c>
      <c r="J20" s="195" t="s">
        <v>165</v>
      </c>
    </row>
    <row r="21" spans="2:10" x14ac:dyDescent="0.25">
      <c r="B21" s="187"/>
      <c r="C21" s="192" t="s">
        <v>5</v>
      </c>
      <c r="D21" s="187">
        <v>3.2</v>
      </c>
      <c r="E21" s="195" t="s">
        <v>156</v>
      </c>
      <c r="F21" s="195" t="s">
        <v>164</v>
      </c>
      <c r="G21" s="192" t="s">
        <v>5</v>
      </c>
      <c r="H21" s="187">
        <f>D21</f>
        <v>3.2</v>
      </c>
      <c r="I21" s="195" t="s">
        <v>156</v>
      </c>
      <c r="J21" s="195" t="s">
        <v>165</v>
      </c>
    </row>
    <row r="22" spans="2:10" x14ac:dyDescent="0.25">
      <c r="B22" s="187"/>
      <c r="C22" s="192" t="s">
        <v>4</v>
      </c>
      <c r="D22" s="187">
        <v>3.4</v>
      </c>
      <c r="E22" s="195" t="s">
        <v>156</v>
      </c>
      <c r="F22" s="195" t="s">
        <v>164</v>
      </c>
      <c r="G22" s="192" t="s">
        <v>4</v>
      </c>
      <c r="H22" s="187">
        <f>D22</f>
        <v>3.4</v>
      </c>
      <c r="I22" s="195" t="s">
        <v>156</v>
      </c>
      <c r="J22" s="195" t="s">
        <v>165</v>
      </c>
    </row>
    <row r="23" spans="2:10" x14ac:dyDescent="0.25">
      <c r="B23" s="187"/>
      <c r="C23" s="192" t="s">
        <v>23</v>
      </c>
      <c r="D23" s="187" t="s">
        <v>160</v>
      </c>
      <c r="E23" s="195" t="s">
        <v>157</v>
      </c>
      <c r="F23" s="195" t="s">
        <v>158</v>
      </c>
      <c r="G23" s="192" t="s">
        <v>23</v>
      </c>
      <c r="H23" s="187" t="s">
        <v>160</v>
      </c>
      <c r="I23" s="195" t="s">
        <v>157</v>
      </c>
      <c r="J23" s="195" t="s">
        <v>165</v>
      </c>
    </row>
    <row r="24" spans="2:10" x14ac:dyDescent="0.25">
      <c r="B24" s="187"/>
      <c r="C24" s="192" t="s">
        <v>3</v>
      </c>
      <c r="D24" s="201">
        <v>19</v>
      </c>
      <c r="E24" s="195" t="s">
        <v>190</v>
      </c>
      <c r="F24" s="195"/>
      <c r="G24" s="192" t="s">
        <v>3</v>
      </c>
      <c r="H24" s="201">
        <v>18.5</v>
      </c>
      <c r="I24" s="195" t="s">
        <v>190</v>
      </c>
      <c r="J24" s="195"/>
    </row>
    <row r="25" spans="2:10" x14ac:dyDescent="0.25">
      <c r="B25" s="187"/>
      <c r="C25" s="192" t="s">
        <v>189</v>
      </c>
      <c r="D25" s="202">
        <f>D24*(D21/3*0.5+D22/3.4*0.5)*1.1</f>
        <v>21.596666666666668</v>
      </c>
      <c r="E25" s="195" t="s">
        <v>191</v>
      </c>
      <c r="F25" s="195"/>
      <c r="G25" s="192" t="s">
        <v>189</v>
      </c>
      <c r="H25" s="202">
        <f>H24*(H21/3*0.6+H22/3.4*0.4)*1.1</f>
        <v>21.164000000000005</v>
      </c>
      <c r="I25" s="195" t="s">
        <v>191</v>
      </c>
      <c r="J25" s="195"/>
    </row>
    <row r="26" spans="2:10" x14ac:dyDescent="0.25">
      <c r="B26" s="187"/>
      <c r="C26" s="192" t="s">
        <v>174</v>
      </c>
      <c r="D26" s="202">
        <f>D25*D20</f>
        <v>181412</v>
      </c>
      <c r="E26" s="195" t="s">
        <v>135</v>
      </c>
      <c r="F26" s="195"/>
      <c r="G26" s="192" t="s">
        <v>174</v>
      </c>
      <c r="H26" s="202">
        <f>H25*H20</f>
        <v>177777.60000000003</v>
      </c>
      <c r="I26" s="195" t="s">
        <v>135</v>
      </c>
      <c r="J26" s="195"/>
    </row>
    <row r="27" spans="2:10" x14ac:dyDescent="0.25">
      <c r="B27" s="187"/>
      <c r="C27" s="192" t="s">
        <v>1</v>
      </c>
      <c r="D27" s="202">
        <f>D26*0.1</f>
        <v>18141.2</v>
      </c>
      <c r="E27" s="195" t="s">
        <v>198</v>
      </c>
      <c r="F27" s="195"/>
      <c r="G27" s="192" t="s">
        <v>1</v>
      </c>
      <c r="H27" s="202">
        <f>H26*0.1</f>
        <v>17777.760000000006</v>
      </c>
      <c r="I27" s="195" t="s">
        <v>198</v>
      </c>
      <c r="J27" s="195"/>
    </row>
    <row r="28" spans="2:10" x14ac:dyDescent="0.25">
      <c r="B28" s="187"/>
      <c r="C28" s="192" t="s">
        <v>175</v>
      </c>
      <c r="D28" s="202">
        <f>D26+D27</f>
        <v>199553.2</v>
      </c>
      <c r="E28" s="195" t="s">
        <v>135</v>
      </c>
      <c r="F28" s="195"/>
      <c r="G28" s="192" t="s">
        <v>175</v>
      </c>
      <c r="H28" s="202">
        <f>H26+H27</f>
        <v>195555.36000000004</v>
      </c>
      <c r="I28" s="195" t="s">
        <v>135</v>
      </c>
      <c r="J28" s="195"/>
    </row>
    <row r="29" spans="2:10" x14ac:dyDescent="0.25">
      <c r="B29" s="187"/>
      <c r="C29" s="187"/>
      <c r="D29" s="187"/>
      <c r="F29" s="190"/>
      <c r="G29" s="187"/>
      <c r="H29" s="187"/>
      <c r="J29" s="190"/>
    </row>
    <row r="30" spans="2:10" x14ac:dyDescent="0.25">
      <c r="B30" s="187"/>
      <c r="C30" s="193" t="s">
        <v>163</v>
      </c>
      <c r="D30" s="187"/>
      <c r="E30" s="190"/>
      <c r="F30" s="190"/>
      <c r="G30" s="193"/>
      <c r="H30" s="187"/>
      <c r="I30" s="190"/>
      <c r="J30" s="190"/>
    </row>
    <row r="31" spans="2:10" x14ac:dyDescent="0.25">
      <c r="B31" s="187"/>
      <c r="D31" s="187"/>
      <c r="E31" s="190"/>
      <c r="F31" s="190"/>
      <c r="H31" s="187"/>
      <c r="I31" s="190"/>
      <c r="J31" s="190"/>
    </row>
    <row r="32" spans="2:10" x14ac:dyDescent="0.25">
      <c r="B32" s="187"/>
      <c r="C32" t="s">
        <v>29</v>
      </c>
      <c r="D32" s="187"/>
      <c r="E32" s="190"/>
      <c r="F32" s="190"/>
      <c r="G32" t="s">
        <v>29</v>
      </c>
      <c r="H32" s="187"/>
      <c r="I32" s="190"/>
      <c r="J32" s="190"/>
    </row>
    <row r="33" spans="2:10" x14ac:dyDescent="0.25">
      <c r="B33" s="187"/>
      <c r="C33" s="192" t="s">
        <v>174</v>
      </c>
      <c r="D33" s="202">
        <f>D15+D26</f>
        <v>299968.27450980392</v>
      </c>
      <c r="E33" s="195" t="s">
        <v>199</v>
      </c>
      <c r="F33" s="190"/>
      <c r="G33" s="192" t="s">
        <v>174</v>
      </c>
      <c r="H33" s="202">
        <f>H15+H26</f>
        <v>293257.86470588238</v>
      </c>
      <c r="I33" s="195" t="s">
        <v>199</v>
      </c>
      <c r="J33" s="190"/>
    </row>
    <row r="34" spans="2:10" x14ac:dyDescent="0.25">
      <c r="B34" s="187"/>
      <c r="C34" s="192" t="s">
        <v>1</v>
      </c>
      <c r="D34" s="202">
        <f>D33*0.1</f>
        <v>29996.827450980392</v>
      </c>
      <c r="E34" s="195" t="s">
        <v>199</v>
      </c>
      <c r="F34" s="190"/>
      <c r="G34" s="192" t="s">
        <v>1</v>
      </c>
      <c r="H34" s="202">
        <f>H33*0.1</f>
        <v>29325.786470588238</v>
      </c>
      <c r="I34" s="195" t="s">
        <v>199</v>
      </c>
      <c r="J34" s="190"/>
    </row>
    <row r="35" spans="2:10" x14ac:dyDescent="0.25">
      <c r="B35" s="187"/>
      <c r="C35" s="192" t="s">
        <v>175</v>
      </c>
      <c r="D35" s="202">
        <f>D33+D34</f>
        <v>329965.10196078429</v>
      </c>
      <c r="E35" s="195" t="s">
        <v>199</v>
      </c>
      <c r="F35" s="190"/>
      <c r="G35" s="192" t="s">
        <v>175</v>
      </c>
      <c r="H35" s="202">
        <f>H33+H34</f>
        <v>322583.65117647062</v>
      </c>
      <c r="I35" s="195" t="s">
        <v>199</v>
      </c>
      <c r="J35" s="190"/>
    </row>
    <row r="36" spans="2:10" x14ac:dyDescent="0.25">
      <c r="B36" s="187"/>
      <c r="D36" s="187"/>
      <c r="E36" s="190"/>
      <c r="F36" s="190"/>
      <c r="H36" s="187"/>
      <c r="I36" s="190"/>
      <c r="J36" s="190"/>
    </row>
    <row r="37" spans="2:10" x14ac:dyDescent="0.25">
      <c r="B37" s="187"/>
      <c r="D37" s="187"/>
      <c r="E37" s="190"/>
      <c r="F37" s="190"/>
      <c r="H37" s="187"/>
      <c r="I37" s="190"/>
      <c r="J37" s="190"/>
    </row>
    <row r="38" spans="2:10" x14ac:dyDescent="0.25">
      <c r="B38" s="187"/>
      <c r="D38" s="187"/>
      <c r="E38" s="190"/>
      <c r="F38" s="190"/>
      <c r="H38" s="187"/>
      <c r="I38" s="190"/>
      <c r="J38" s="190"/>
    </row>
    <row r="39" spans="2:10" x14ac:dyDescent="0.25">
      <c r="B39" s="187"/>
      <c r="D39" s="187"/>
      <c r="E39" s="190"/>
      <c r="F39" s="190"/>
      <c r="H39" s="187"/>
      <c r="I39" s="190"/>
      <c r="J39" s="190"/>
    </row>
    <row r="40" spans="2:10" x14ac:dyDescent="0.25">
      <c r="B40" s="187"/>
      <c r="D40" s="187"/>
      <c r="E40" s="190"/>
      <c r="F40" s="190"/>
      <c r="H40" s="187"/>
      <c r="I40" s="190"/>
      <c r="J40" s="190"/>
    </row>
    <row r="41" spans="2:10" x14ac:dyDescent="0.25">
      <c r="B41" s="187"/>
      <c r="C41" s="192" t="s">
        <v>170</v>
      </c>
      <c r="D41" s="187" t="s">
        <v>166</v>
      </c>
      <c r="E41" s="195" t="s">
        <v>169</v>
      </c>
      <c r="F41" s="190"/>
      <c r="H41" s="187"/>
      <c r="I41" s="190"/>
      <c r="J41" s="190"/>
    </row>
    <row r="42" spans="2:10" x14ac:dyDescent="0.25">
      <c r="B42" s="187"/>
      <c r="C42" s="192" t="s">
        <v>171</v>
      </c>
      <c r="D42" s="187" t="s">
        <v>151</v>
      </c>
      <c r="E42" s="195" t="s">
        <v>184</v>
      </c>
      <c r="F42" s="190"/>
      <c r="G42" s="187"/>
      <c r="H42" s="187"/>
      <c r="I42" s="190"/>
      <c r="J42" s="190"/>
    </row>
    <row r="43" spans="2:10" x14ac:dyDescent="0.25">
      <c r="B43" s="187"/>
      <c r="C43" s="199" t="s">
        <v>177</v>
      </c>
      <c r="D43" s="187"/>
      <c r="E43" s="190"/>
      <c r="F43" s="190"/>
      <c r="G43" s="187"/>
      <c r="H43" s="187"/>
      <c r="I43" s="190"/>
      <c r="J43" s="190"/>
    </row>
    <row r="44" spans="2:10" x14ac:dyDescent="0.25">
      <c r="B44" s="187"/>
      <c r="C44" s="199" t="s">
        <v>180</v>
      </c>
      <c r="D44" s="187"/>
      <c r="E44" s="190"/>
      <c r="F44" s="190"/>
      <c r="G44" s="187"/>
      <c r="H44" s="187"/>
      <c r="I44" s="190"/>
      <c r="J44" s="190"/>
    </row>
    <row r="45" spans="2:10" x14ac:dyDescent="0.25">
      <c r="B45" s="187"/>
      <c r="C45" s="199" t="s">
        <v>181</v>
      </c>
      <c r="D45" s="187"/>
      <c r="E45" s="190"/>
      <c r="F45" s="190"/>
      <c r="G45" s="187"/>
      <c r="H45" s="187"/>
      <c r="I45" s="190"/>
      <c r="J45" s="190"/>
    </row>
    <row r="46" spans="2:10" x14ac:dyDescent="0.25">
      <c r="B46" s="187"/>
      <c r="C46" s="187"/>
      <c r="D46" s="187"/>
      <c r="E46" s="190"/>
      <c r="F46" s="190"/>
      <c r="G46" s="187"/>
      <c r="H46" s="187"/>
      <c r="I46" s="190"/>
      <c r="J46" s="190"/>
    </row>
    <row r="47" spans="2:10" x14ac:dyDescent="0.25">
      <c r="B47" s="187"/>
      <c r="D47" s="192" t="s">
        <v>167</v>
      </c>
      <c r="E47" s="194" t="s">
        <v>27</v>
      </c>
      <c r="F47" s="194" t="s">
        <v>152</v>
      </c>
      <c r="G47" s="187"/>
      <c r="H47" s="192" t="s">
        <v>176</v>
      </c>
      <c r="I47" s="194" t="s">
        <v>27</v>
      </c>
      <c r="J47" s="194" t="s">
        <v>152</v>
      </c>
    </row>
    <row r="48" spans="2:10" x14ac:dyDescent="0.25">
      <c r="B48" s="187"/>
      <c r="C48" s="192" t="s">
        <v>178</v>
      </c>
      <c r="D48" s="187" t="s">
        <v>130</v>
      </c>
      <c r="E48" s="195" t="s">
        <v>179</v>
      </c>
      <c r="F48" s="195"/>
      <c r="G48" s="187" t="s">
        <v>178</v>
      </c>
      <c r="H48" s="187" t="s">
        <v>130</v>
      </c>
      <c r="I48" s="195" t="s">
        <v>185</v>
      </c>
      <c r="J48" s="195"/>
    </row>
    <row r="49" spans="2:10" x14ac:dyDescent="0.25">
      <c r="B49" s="187"/>
      <c r="C49" s="192" t="s">
        <v>171</v>
      </c>
      <c r="D49" s="187" t="s">
        <v>126</v>
      </c>
      <c r="E49" s="195" t="s">
        <v>182</v>
      </c>
      <c r="F49" s="195"/>
      <c r="G49" s="192" t="s">
        <v>171</v>
      </c>
      <c r="H49" s="187" t="str">
        <f>D42</f>
        <v>ИП Сергеев</v>
      </c>
      <c r="I49" s="195" t="s">
        <v>186</v>
      </c>
      <c r="J49" s="195"/>
    </row>
    <row r="50" spans="2:10" x14ac:dyDescent="0.25">
      <c r="B50" s="101"/>
      <c r="C50" s="192" t="s">
        <v>168</v>
      </c>
      <c r="D50" s="101" t="s">
        <v>148</v>
      </c>
      <c r="E50" s="195" t="s">
        <v>183</v>
      </c>
      <c r="F50" s="195"/>
      <c r="G50" s="192" t="s">
        <v>168</v>
      </c>
      <c r="H50" s="101" t="s">
        <v>148</v>
      </c>
      <c r="I50" s="195" t="s">
        <v>183</v>
      </c>
      <c r="J50" s="195"/>
    </row>
    <row r="51" spans="2:10" x14ac:dyDescent="0.25">
      <c r="B51" s="101"/>
      <c r="C51" s="192" t="s">
        <v>149</v>
      </c>
      <c r="D51" s="7">
        <v>35</v>
      </c>
      <c r="E51" s="195" t="s">
        <v>183</v>
      </c>
      <c r="F51" s="195"/>
      <c r="G51" s="192" t="s">
        <v>149</v>
      </c>
      <c r="H51" s="7">
        <v>32</v>
      </c>
      <c r="I51" s="195" t="s">
        <v>183</v>
      </c>
      <c r="J51" s="195"/>
    </row>
    <row r="52" spans="2:10" x14ac:dyDescent="0.25">
      <c r="B52" s="101"/>
      <c r="C52" s="192" t="s">
        <v>173</v>
      </c>
      <c r="D52" s="7">
        <v>1200</v>
      </c>
      <c r="E52" s="195" t="s">
        <v>155</v>
      </c>
      <c r="F52" s="195"/>
      <c r="G52" s="192" t="s">
        <v>173</v>
      </c>
      <c r="H52" s="7">
        <v>1200</v>
      </c>
      <c r="I52" s="195" t="s">
        <v>155</v>
      </c>
      <c r="J52" s="195" t="s">
        <v>187</v>
      </c>
    </row>
    <row r="53" spans="2:10" x14ac:dyDescent="0.25">
      <c r="C53" s="192" t="s">
        <v>174</v>
      </c>
      <c r="D53" s="3">
        <f>D51*D52</f>
        <v>42000</v>
      </c>
      <c r="E53" s="198" t="s">
        <v>135</v>
      </c>
      <c r="F53" s="198"/>
      <c r="G53" s="192" t="s">
        <v>174</v>
      </c>
      <c r="H53" s="3">
        <f>H51*H52</f>
        <v>38400</v>
      </c>
      <c r="I53" s="198" t="s">
        <v>135</v>
      </c>
      <c r="J53" s="198"/>
    </row>
    <row r="54" spans="2:10" x14ac:dyDescent="0.25">
      <c r="C54" s="192" t="s">
        <v>1</v>
      </c>
      <c r="D54" s="3">
        <f>D53*0.18</f>
        <v>7560</v>
      </c>
      <c r="E54" s="198" t="s">
        <v>135</v>
      </c>
      <c r="F54" s="198"/>
      <c r="G54" s="192" t="s">
        <v>1</v>
      </c>
      <c r="H54" s="3">
        <f>H53*0.18</f>
        <v>6912</v>
      </c>
      <c r="I54" s="198" t="s">
        <v>135</v>
      </c>
      <c r="J54" s="198"/>
    </row>
    <row r="55" spans="2:10" x14ac:dyDescent="0.25">
      <c r="C55" s="192" t="s">
        <v>175</v>
      </c>
      <c r="D55" s="3">
        <f>D53+D54</f>
        <v>49560</v>
      </c>
      <c r="E55" s="198" t="s">
        <v>135</v>
      </c>
      <c r="F55" s="198"/>
      <c r="G55" s="192" t="s">
        <v>175</v>
      </c>
      <c r="H55" s="3">
        <f>H53+H54</f>
        <v>45312</v>
      </c>
      <c r="I55" s="198" t="s">
        <v>135</v>
      </c>
    </row>
    <row r="59" spans="2:10" x14ac:dyDescent="0.25">
      <c r="G59" s="200" t="s">
        <v>188</v>
      </c>
    </row>
    <row r="60" spans="2:10" x14ac:dyDescent="0.25">
      <c r="G60" t="s">
        <v>192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Сделки_2015</vt:lpstr>
      <vt:lpstr>Отчет1</vt:lpstr>
      <vt:lpstr>Справочник контрагентов</vt:lpstr>
      <vt:lpstr>Справочник цен на молоко</vt:lpstr>
      <vt:lpstr>Справочник цен за доставку</vt:lpstr>
      <vt:lpstr>Сделки</vt:lpstr>
      <vt:lpstr>Оплаты</vt:lpstr>
      <vt:lpstr>Форма ввода сделок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 Khairullin</dc:creator>
  <cp:lastModifiedBy>Адель</cp:lastModifiedBy>
  <cp:lastPrinted>2015-09-02T10:27:01Z</cp:lastPrinted>
  <dcterms:created xsi:type="dcterms:W3CDTF">2014-06-05T12:48:37Z</dcterms:created>
  <dcterms:modified xsi:type="dcterms:W3CDTF">2015-09-08T09:10:50Z</dcterms:modified>
</cp:coreProperties>
</file>