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-15" yWindow="225" windowWidth="7440" windowHeight="8100" activeTab="1"/>
  </bookViews>
  <sheets>
    <sheet name="КОНТРОЛЬНЫЕ_МЕРОПРИЯТИЯ" sheetId="1" r:id="rId1"/>
    <sheet name="ОБЩИЙ ОТЧЕТ" sheetId="2" r:id="rId2"/>
  </sheets>
  <definedNames>
    <definedName name="_xlnm._FilterDatabase" localSheetId="0" hidden="1">КОНТРОЛЬНЫЕ_МЕРОПРИЯТИЯ!$A$4:$I$78</definedName>
    <definedName name="_xlnm._FilterDatabase" localSheetId="1" hidden="1">'ОБЩИЙ ОТЧЕТ'!$A$7:$AG$34</definedName>
    <definedName name="Дата">OFFSET(КОНТРОЛЬНЫЕ_МЕРОПРИЯТИЯ!$A$5,0,0,COUNTA(КОНТРОЛЬНЫЕ_МЕРОПРИЯТИЯ!$A$5:$A$65523),1)</definedName>
    <definedName name="Кол_просроч">OFFSET(КОНТРОЛЬНЫЕ_МЕРОПРИЯТИЯ!$G$5,0,0,COUNTA(КОНТРОЛЬНЫЕ_МЕРОПРИЯТИЯ!$G$5:$G$65523),1)</definedName>
    <definedName name="Подразд">OFFSET(КОНТРОЛЬНЫЕ_МЕРОПРИЯТИЯ!$C$5:$C$14,0,0,COUNTA(КОНТРОЛЬНЫЕ_МЕРОПРИЯТИЯ!$C$5:$C$14:'КОНТРОЛЬНЫЕ_МЕРОПРИЯТИЯ'!$C$65494),1)</definedName>
    <definedName name="Результат_выполнен">OFFSET(КОНТРОЛЬНЫЕ_МЕРОПРИЯТИЯ!$I$5:$I$14,0,0,COUNTA(КОНТРОЛЬНЫЕ_МЕРОПРИЯТИЯ!$I$5:$I$14:'КОНТРОЛЬНЫЕ_МЕРОПРИЯТИЯ'!$I$65494),1)</definedName>
    <definedName name="Хавуляк">КОНТРОЛЬНЫЕ_МЕРОПРИЯТИЯ!$C$6:$C$14</definedName>
  </definedNames>
  <calcPr calcId="145621"/>
  <fileRecoveryPr repairLoad="1"/>
</workbook>
</file>

<file path=xl/calcChain.xml><?xml version="1.0" encoding="utf-8"?>
<calcChain xmlns="http://schemas.openxmlformats.org/spreadsheetml/2006/main">
  <c r="F8" i="2" l="1" a="1"/>
  <c r="F8" i="2" s="1"/>
  <c r="H8" i="2" a="1"/>
  <c r="H8" i="2" s="1"/>
  <c r="G8" i="2" a="1"/>
  <c r="G8" i="2" s="1"/>
  <c r="H14" i="2" l="1"/>
  <c r="G14" i="2"/>
  <c r="F14" i="2"/>
  <c r="H13" i="2"/>
  <c r="G13" i="2"/>
  <c r="F13" i="2"/>
  <c r="E13" i="2" s="1"/>
  <c r="G12" i="2"/>
  <c r="F12" i="2"/>
  <c r="H12" i="2"/>
  <c r="G11" i="2"/>
  <c r="D11" i="2"/>
  <c r="H11" i="2"/>
  <c r="F11" i="2"/>
  <c r="E11" i="2" s="1"/>
  <c r="H10" i="2"/>
  <c r="G10" i="2"/>
  <c r="F10" i="2"/>
  <c r="H9" i="2"/>
  <c r="G9" i="2"/>
  <c r="F9" i="2"/>
  <c r="J10" i="2" a="1"/>
  <c r="J10" i="2" s="1"/>
  <c r="L8" i="2"/>
  <c r="D8" i="2"/>
  <c r="V11" i="2" a="1"/>
  <c r="V11" i="2" s="1"/>
  <c r="X8" i="2" a="1"/>
  <c r="X8" i="2" s="1"/>
  <c r="Y8" i="2" a="1"/>
  <c r="Y8" i="2" s="1"/>
  <c r="Z8" i="2" a="1"/>
  <c r="Z8" i="2" s="1"/>
  <c r="AD8" i="2" a="1"/>
  <c r="AD8" i="2" s="1"/>
  <c r="AE8" i="2" a="1"/>
  <c r="AE8" i="2" s="1"/>
  <c r="AF8" i="2" a="1"/>
  <c r="AF8" i="2" s="1"/>
  <c r="V9" i="2" a="1"/>
  <c r="V9" i="2" s="1"/>
  <c r="X9" i="2" a="1"/>
  <c r="X9" i="2" s="1"/>
  <c r="Y9" i="2" a="1"/>
  <c r="Y9" i="2" s="1"/>
  <c r="Z9" i="2" a="1"/>
  <c r="Z9" i="2" s="1"/>
  <c r="AB9" i="2" a="1"/>
  <c r="AB9" i="2" s="1"/>
  <c r="AD9" i="2" a="1"/>
  <c r="AD9" i="2" s="1"/>
  <c r="AE9" i="2" a="1"/>
  <c r="AE9" i="2" s="1"/>
  <c r="AF9" i="2" a="1"/>
  <c r="AF9" i="2" s="1"/>
  <c r="V10" i="2" a="1"/>
  <c r="V10" i="2" s="1"/>
  <c r="X10" i="2" a="1"/>
  <c r="X10" i="2" s="1"/>
  <c r="Y10" i="2" a="1"/>
  <c r="Y10" i="2" s="1"/>
  <c r="Z10" i="2" a="1"/>
  <c r="Z10" i="2" s="1"/>
  <c r="AB10" i="2" a="1"/>
  <c r="AB10" i="2" s="1"/>
  <c r="AD10" i="2" a="1"/>
  <c r="AD10" i="2" s="1"/>
  <c r="AE10" i="2" a="1"/>
  <c r="AE10" i="2" s="1"/>
  <c r="AF10" i="2" a="1"/>
  <c r="AF10" i="2" s="1"/>
  <c r="X11" i="2" a="1"/>
  <c r="X11" i="2" s="1"/>
  <c r="Y11" i="2" a="1"/>
  <c r="Y11" i="2" s="1"/>
  <c r="Z11" i="2" a="1"/>
  <c r="Z11" i="2" s="1"/>
  <c r="AB11" i="2" a="1"/>
  <c r="AB11" i="2" s="1"/>
  <c r="AD11" i="2" a="1"/>
  <c r="AD11" i="2" s="1"/>
  <c r="AE11" i="2" a="1"/>
  <c r="AE11" i="2" s="1"/>
  <c r="AF11" i="2" a="1"/>
  <c r="AF11" i="2" s="1"/>
  <c r="V12" i="2" a="1"/>
  <c r="V12" i="2" s="1"/>
  <c r="X12" i="2" a="1"/>
  <c r="X12" i="2" s="1"/>
  <c r="Y12" i="2" a="1"/>
  <c r="Y12" i="2" s="1"/>
  <c r="Z12" i="2" a="1"/>
  <c r="Z12" i="2" s="1"/>
  <c r="AB12" i="2" a="1"/>
  <c r="AB12" i="2" s="1"/>
  <c r="AD12" i="2" a="1"/>
  <c r="AD12" i="2" s="1"/>
  <c r="AE12" i="2" a="1"/>
  <c r="AE12" i="2" s="1"/>
  <c r="AF12" i="2" a="1"/>
  <c r="AF12" i="2" s="1"/>
  <c r="V13" i="2" a="1"/>
  <c r="V13" i="2" s="1"/>
  <c r="X13" i="2" a="1"/>
  <c r="X13" i="2" s="1"/>
  <c r="Y13" i="2" a="1"/>
  <c r="Y13" i="2" s="1"/>
  <c r="Z13" i="2" a="1"/>
  <c r="Z13" i="2" s="1"/>
  <c r="AB13" i="2" a="1"/>
  <c r="AB13" i="2" s="1"/>
  <c r="AD13" i="2" a="1"/>
  <c r="AD13" i="2" s="1"/>
  <c r="AE13" i="2" a="1"/>
  <c r="AE13" i="2" s="1"/>
  <c r="AF13" i="2" a="1"/>
  <c r="AF13" i="2" s="1"/>
  <c r="V14" i="2" a="1"/>
  <c r="V14" i="2" s="1"/>
  <c r="X14" i="2" a="1"/>
  <c r="X14" i="2" s="1"/>
  <c r="Y14" i="2" a="1"/>
  <c r="Y14" i="2" s="1"/>
  <c r="Z14" i="2" a="1"/>
  <c r="Z14" i="2" s="1"/>
  <c r="AB14" i="2" a="1"/>
  <c r="AB14" i="2" s="1"/>
  <c r="AD14" i="2" a="1"/>
  <c r="AD14" i="2" s="1"/>
  <c r="AE14" i="2" a="1"/>
  <c r="AE14" i="2" s="1"/>
  <c r="AF14" i="2" a="1"/>
  <c r="AF14" i="2" s="1"/>
  <c r="V15" i="2" a="1"/>
  <c r="V15" i="2" s="1"/>
  <c r="X15" i="2" a="1"/>
  <c r="X15" i="2" s="1"/>
  <c r="Y15" i="2" a="1"/>
  <c r="Y15" i="2" s="1"/>
  <c r="Z15" i="2" a="1"/>
  <c r="Z15" i="2" s="1"/>
  <c r="AB15" i="2" a="1"/>
  <c r="AB15" i="2" s="1"/>
  <c r="AD15" i="2" a="1"/>
  <c r="AD15" i="2" s="1"/>
  <c r="AE15" i="2" a="1"/>
  <c r="AE15" i="2" s="1"/>
  <c r="AF15" i="2" a="1"/>
  <c r="AF15" i="2" s="1"/>
  <c r="V16" i="2" a="1"/>
  <c r="V16" i="2" s="1"/>
  <c r="X16" i="2" a="1"/>
  <c r="X16" i="2" s="1"/>
  <c r="Y16" i="2" a="1"/>
  <c r="Y16" i="2" s="1"/>
  <c r="Z16" i="2" a="1"/>
  <c r="Z16" i="2" s="1"/>
  <c r="AB16" i="2" a="1"/>
  <c r="AB16" i="2" s="1"/>
  <c r="AD16" i="2" a="1"/>
  <c r="AD16" i="2" s="1"/>
  <c r="AE16" i="2" a="1"/>
  <c r="AE16" i="2" s="1"/>
  <c r="AF16" i="2" a="1"/>
  <c r="AF16" i="2" s="1"/>
  <c r="V17" i="2" a="1"/>
  <c r="V17" i="2" s="1"/>
  <c r="X17" i="2" a="1"/>
  <c r="X17" i="2" s="1"/>
  <c r="Y17" i="2" a="1"/>
  <c r="Y17" i="2" s="1"/>
  <c r="Z17" i="2" a="1"/>
  <c r="Z17" i="2" s="1"/>
  <c r="AB17" i="2" a="1"/>
  <c r="AB17" i="2" s="1"/>
  <c r="AD17" i="2" a="1"/>
  <c r="AD17" i="2" s="1"/>
  <c r="AE17" i="2" a="1"/>
  <c r="AE17" i="2" s="1"/>
  <c r="AF17" i="2" a="1"/>
  <c r="AF17" i="2" s="1"/>
  <c r="V18" i="2" a="1"/>
  <c r="V18" i="2" s="1"/>
  <c r="X18" i="2" a="1"/>
  <c r="X18" i="2" s="1"/>
  <c r="Y18" i="2" a="1"/>
  <c r="Y18" i="2" s="1"/>
  <c r="Z18" i="2" a="1"/>
  <c r="Z18" i="2" s="1"/>
  <c r="AB18" i="2" a="1"/>
  <c r="AB18" i="2" s="1"/>
  <c r="AD18" i="2" a="1"/>
  <c r="AD18" i="2" s="1"/>
  <c r="AE18" i="2" a="1"/>
  <c r="AE18" i="2" s="1"/>
  <c r="AF18" i="2" a="1"/>
  <c r="AF18" i="2" s="1"/>
  <c r="V19" i="2" a="1"/>
  <c r="V19" i="2" s="1"/>
  <c r="X19" i="2" a="1"/>
  <c r="X19" i="2" s="1"/>
  <c r="Y19" i="2" a="1"/>
  <c r="Y19" i="2" s="1"/>
  <c r="Z19" i="2" a="1"/>
  <c r="Z19" i="2" s="1"/>
  <c r="AB19" i="2" a="1"/>
  <c r="AB19" i="2" s="1"/>
  <c r="AD19" i="2" a="1"/>
  <c r="AD19" i="2" s="1"/>
  <c r="AE19" i="2" a="1"/>
  <c r="AE19" i="2" s="1"/>
  <c r="AF19" i="2" a="1"/>
  <c r="AF19" i="2" s="1"/>
  <c r="V20" i="2" a="1"/>
  <c r="V20" i="2" s="1"/>
  <c r="X20" i="2" a="1"/>
  <c r="X20" i="2" s="1"/>
  <c r="Y20" i="2" a="1"/>
  <c r="Y20" i="2" s="1"/>
  <c r="Z20" i="2" a="1"/>
  <c r="Z20" i="2" s="1"/>
  <c r="AB20" i="2" a="1"/>
  <c r="AB20" i="2" s="1"/>
  <c r="AD20" i="2" a="1"/>
  <c r="AD20" i="2" s="1"/>
  <c r="AE20" i="2" a="1"/>
  <c r="AE20" i="2" s="1"/>
  <c r="AF20" i="2" a="1"/>
  <c r="AF20" i="2" s="1"/>
  <c r="V21" i="2" a="1"/>
  <c r="V21" i="2" s="1"/>
  <c r="X21" i="2" a="1"/>
  <c r="X21" i="2" s="1"/>
  <c r="Y21" i="2" a="1"/>
  <c r="Y21" i="2" s="1"/>
  <c r="Z21" i="2" a="1"/>
  <c r="Z21" i="2" s="1"/>
  <c r="AB21" i="2" a="1"/>
  <c r="AB21" i="2" s="1"/>
  <c r="AD21" i="2" a="1"/>
  <c r="AD21" i="2" s="1"/>
  <c r="AE21" i="2" a="1"/>
  <c r="AE21" i="2" s="1"/>
  <c r="AF21" i="2" a="1"/>
  <c r="AF21" i="2" s="1"/>
  <c r="V22" i="2" a="1"/>
  <c r="V22" i="2" s="1"/>
  <c r="X22" i="2" a="1"/>
  <c r="X22" i="2" s="1"/>
  <c r="Y22" i="2" a="1"/>
  <c r="Y22" i="2" s="1"/>
  <c r="Z22" i="2" a="1"/>
  <c r="Z22" i="2" s="1"/>
  <c r="AB22" i="2" a="1"/>
  <c r="AB22" i="2" s="1"/>
  <c r="AD22" i="2" a="1"/>
  <c r="AD22" i="2" s="1"/>
  <c r="AE22" i="2" a="1"/>
  <c r="AE22" i="2" s="1"/>
  <c r="AF22" i="2" a="1"/>
  <c r="AF22" i="2" s="1"/>
  <c r="V23" i="2" a="1"/>
  <c r="V23" i="2" s="1"/>
  <c r="X23" i="2" a="1"/>
  <c r="X23" i="2" s="1"/>
  <c r="Y23" i="2" a="1"/>
  <c r="Y23" i="2" s="1"/>
  <c r="Z23" i="2" a="1"/>
  <c r="Z23" i="2" s="1"/>
  <c r="AB23" i="2" a="1"/>
  <c r="AB23" i="2" s="1"/>
  <c r="AD23" i="2" a="1"/>
  <c r="AD23" i="2" s="1"/>
  <c r="AE23" i="2" a="1"/>
  <c r="AE23" i="2" s="1"/>
  <c r="AF23" i="2" a="1"/>
  <c r="AF23" i="2" s="1"/>
  <c r="V24" i="2" a="1"/>
  <c r="V24" i="2" s="1"/>
  <c r="X24" i="2" a="1"/>
  <c r="X24" i="2" s="1"/>
  <c r="Y24" i="2" a="1"/>
  <c r="Y24" i="2" s="1"/>
  <c r="Z24" i="2" a="1"/>
  <c r="Z24" i="2" s="1"/>
  <c r="AB24" i="2" a="1"/>
  <c r="AB24" i="2" s="1"/>
  <c r="AD24" i="2" a="1"/>
  <c r="AD24" i="2" s="1"/>
  <c r="AE24" i="2" a="1"/>
  <c r="AE24" i="2" s="1"/>
  <c r="AF24" i="2" a="1"/>
  <c r="AF24" i="2" s="1"/>
  <c r="V25" i="2" a="1"/>
  <c r="V25" i="2" s="1"/>
  <c r="X25" i="2" a="1"/>
  <c r="X25" i="2" s="1"/>
  <c r="Y25" i="2" a="1"/>
  <c r="Y25" i="2" s="1"/>
  <c r="Z25" i="2" a="1"/>
  <c r="Z25" i="2" s="1"/>
  <c r="AB25" i="2" a="1"/>
  <c r="AB25" i="2" s="1"/>
  <c r="AD25" i="2" a="1"/>
  <c r="AD25" i="2" s="1"/>
  <c r="AE25" i="2" a="1"/>
  <c r="AE25" i="2" s="1"/>
  <c r="AF25" i="2" a="1"/>
  <c r="AF25" i="2" s="1"/>
  <c r="V26" i="2" a="1"/>
  <c r="V26" i="2" s="1"/>
  <c r="X26" i="2" a="1"/>
  <c r="X26" i="2" s="1"/>
  <c r="Y26" i="2" a="1"/>
  <c r="Y26" i="2" s="1"/>
  <c r="Z26" i="2" a="1"/>
  <c r="Z26" i="2" s="1"/>
  <c r="AB26" i="2" a="1"/>
  <c r="AB26" i="2" s="1"/>
  <c r="AD26" i="2" a="1"/>
  <c r="AD26" i="2" s="1"/>
  <c r="AE26" i="2" a="1"/>
  <c r="AE26" i="2" s="1"/>
  <c r="AF26" i="2" a="1"/>
  <c r="AF26" i="2" s="1"/>
  <c r="V27" i="2" a="1"/>
  <c r="V27" i="2" s="1"/>
  <c r="X27" i="2" a="1"/>
  <c r="X27" i="2" s="1"/>
  <c r="Y27" i="2" a="1"/>
  <c r="Y27" i="2" s="1"/>
  <c r="Z27" i="2" a="1"/>
  <c r="Z27" i="2" s="1"/>
  <c r="AB27" i="2" a="1"/>
  <c r="AB27" i="2" s="1"/>
  <c r="AD27" i="2" a="1"/>
  <c r="AD27" i="2" s="1"/>
  <c r="AE27" i="2" a="1"/>
  <c r="AE27" i="2" s="1"/>
  <c r="AF27" i="2" a="1"/>
  <c r="AF27" i="2" s="1"/>
  <c r="V28" i="2" a="1"/>
  <c r="V28" i="2" s="1"/>
  <c r="X28" i="2" a="1"/>
  <c r="X28" i="2" s="1"/>
  <c r="Y28" i="2" a="1"/>
  <c r="Y28" i="2" s="1"/>
  <c r="Z28" i="2" a="1"/>
  <c r="Z28" i="2" s="1"/>
  <c r="AB28" i="2" a="1"/>
  <c r="AB28" i="2" s="1"/>
  <c r="AD28" i="2" a="1"/>
  <c r="AD28" i="2" s="1"/>
  <c r="AE28" i="2" a="1"/>
  <c r="AE28" i="2" s="1"/>
  <c r="AF28" i="2" a="1"/>
  <c r="AF28" i="2" s="1"/>
  <c r="AB29" i="2" a="1"/>
  <c r="AB29" i="2" s="1"/>
  <c r="AD29" i="2" a="1"/>
  <c r="AD29" i="2" s="1"/>
  <c r="AE29" i="2" a="1"/>
  <c r="AE29" i="2" s="1"/>
  <c r="AF29" i="2" a="1"/>
  <c r="AF29" i="2" s="1"/>
  <c r="D14" i="2"/>
  <c r="D13" i="2"/>
  <c r="D12" i="2"/>
  <c r="D10" i="2"/>
  <c r="D9" i="2"/>
  <c r="J8" i="2"/>
  <c r="P10" i="2" a="1"/>
  <c r="P10" i="2" s="1"/>
  <c r="P11" i="2" a="1"/>
  <c r="P11" i="2" s="1"/>
  <c r="G78" i="1"/>
  <c r="F77" i="1" a="1"/>
  <c r="F77" i="1" s="1"/>
  <c r="G77" i="1" s="1"/>
  <c r="F76" i="1" a="1"/>
  <c r="F76" i="1" s="1"/>
  <c r="G76" i="1" s="1"/>
  <c r="F75" i="1" a="1"/>
  <c r="F75" i="1" s="1"/>
  <c r="G75" i="1" s="1"/>
  <c r="S14" i="2"/>
  <c r="R13" i="2"/>
  <c r="T27" i="2" a="1"/>
  <c r="T27" i="2" s="1"/>
  <c r="S27" i="2" a="1"/>
  <c r="S27" i="2" s="1"/>
  <c r="R27" i="2" a="1"/>
  <c r="R27" i="2" s="1"/>
  <c r="P27" i="2" a="1"/>
  <c r="P27" i="2" s="1"/>
  <c r="T26" i="2" a="1"/>
  <c r="T26" i="2" s="1"/>
  <c r="S26" i="2" a="1"/>
  <c r="S26" i="2" s="1"/>
  <c r="R26" i="2" a="1"/>
  <c r="R26" i="2" s="1"/>
  <c r="P26" i="2" a="1"/>
  <c r="P26" i="2" s="1"/>
  <c r="F73" i="1" a="1"/>
  <c r="F73" i="1" s="1"/>
  <c r="G73" i="1" s="1"/>
  <c r="F72" i="1" a="1"/>
  <c r="F72" i="1" s="1"/>
  <c r="G72" i="1" s="1"/>
  <c r="F71" i="1" a="1"/>
  <c r="F71" i="1" s="1"/>
  <c r="G71" i="1" s="1"/>
  <c r="F70" i="1" a="1"/>
  <c r="F70" i="1" s="1"/>
  <c r="G70" i="1" s="1"/>
  <c r="F69" i="1" a="1"/>
  <c r="F69" i="1" s="1"/>
  <c r="G69" i="1" s="1"/>
  <c r="F64" i="1" a="1"/>
  <c r="F64" i="1" s="1"/>
  <c r="G64" i="1" s="1"/>
  <c r="F63" i="1" a="1"/>
  <c r="F63" i="1" s="1"/>
  <c r="G63" i="1" s="1"/>
  <c r="F60" i="1" a="1"/>
  <c r="F60" i="1" s="1"/>
  <c r="G60" i="1" s="1"/>
  <c r="G74" i="1"/>
  <c r="G68" i="1"/>
  <c r="G67" i="1"/>
  <c r="G66" i="1"/>
  <c r="G65" i="1"/>
  <c r="G62" i="1"/>
  <c r="G61" i="1"/>
  <c r="P9" i="2" a="1"/>
  <c r="P9" i="2" s="1"/>
  <c r="P20" i="2" a="1"/>
  <c r="P20" i="2" s="1"/>
  <c r="T25" i="2" a="1"/>
  <c r="T25" i="2" s="1"/>
  <c r="S25" i="2" a="1"/>
  <c r="S25" i="2" s="1"/>
  <c r="R25" i="2" a="1"/>
  <c r="R25" i="2" s="1"/>
  <c r="P25" i="2" a="1"/>
  <c r="P25" i="2" s="1"/>
  <c r="T24" i="2" a="1"/>
  <c r="T24" i="2" s="1"/>
  <c r="S24" i="2" a="1"/>
  <c r="S24" i="2" s="1"/>
  <c r="R24" i="2" a="1"/>
  <c r="R24" i="2" s="1"/>
  <c r="P24" i="2" a="1"/>
  <c r="P24" i="2" s="1"/>
  <c r="T23" i="2" a="1"/>
  <c r="T23" i="2" s="1"/>
  <c r="S23" i="2" a="1"/>
  <c r="S23" i="2" s="1"/>
  <c r="R23" i="2" a="1"/>
  <c r="R23" i="2" s="1"/>
  <c r="P23" i="2" a="1"/>
  <c r="P23" i="2" s="1"/>
  <c r="T22" i="2" a="1"/>
  <c r="T22" i="2" s="1"/>
  <c r="S22" i="2" a="1"/>
  <c r="S22" i="2" s="1"/>
  <c r="R22" i="2" a="1"/>
  <c r="R22" i="2" s="1"/>
  <c r="P22" i="2" a="1"/>
  <c r="P22" i="2" s="1"/>
  <c r="T21" i="2" a="1"/>
  <c r="T21" i="2" s="1"/>
  <c r="S21" i="2" a="1"/>
  <c r="S21" i="2" s="1"/>
  <c r="R21" i="2" a="1"/>
  <c r="R21" i="2" s="1"/>
  <c r="P21" i="2" a="1"/>
  <c r="P21" i="2" s="1"/>
  <c r="T20" i="2" a="1"/>
  <c r="T20" i="2" s="1"/>
  <c r="S20" i="2" a="1"/>
  <c r="S20" i="2" s="1"/>
  <c r="R20" i="2" a="1"/>
  <c r="R20" i="2" s="1"/>
  <c r="T19" i="2" a="1"/>
  <c r="T19" i="2" s="1"/>
  <c r="S19" i="2" a="1"/>
  <c r="S19" i="2" s="1"/>
  <c r="R19" i="2" a="1"/>
  <c r="R19" i="2" s="1"/>
  <c r="P19" i="2" a="1"/>
  <c r="P19" i="2" s="1"/>
  <c r="T18" i="2" a="1"/>
  <c r="T18" i="2" s="1"/>
  <c r="S18" i="2" a="1"/>
  <c r="S18" i="2" s="1"/>
  <c r="R18" i="2" a="1"/>
  <c r="R18" i="2" s="1"/>
  <c r="P18" i="2" a="1"/>
  <c r="P18" i="2" s="1"/>
  <c r="T17" i="2" a="1"/>
  <c r="T17" i="2" s="1"/>
  <c r="S17" i="2" a="1"/>
  <c r="S17" i="2" s="1"/>
  <c r="R17" i="2" a="1"/>
  <c r="R17" i="2" s="1"/>
  <c r="P17" i="2" a="1"/>
  <c r="P17" i="2" s="1"/>
  <c r="T16" i="2" a="1"/>
  <c r="T16" i="2" s="1"/>
  <c r="S16" i="2" a="1"/>
  <c r="S16" i="2" s="1"/>
  <c r="R16" i="2" a="1"/>
  <c r="R16" i="2" s="1"/>
  <c r="P16" i="2" a="1"/>
  <c r="P16" i="2" s="1"/>
  <c r="T15" i="2" a="1"/>
  <c r="T15" i="2" s="1"/>
  <c r="S15" i="2" a="1"/>
  <c r="S15" i="2" s="1"/>
  <c r="R15" i="2" a="1"/>
  <c r="R15" i="2" s="1"/>
  <c r="P15" i="2" a="1"/>
  <c r="P15" i="2" s="1"/>
  <c r="T14" i="2" a="1"/>
  <c r="T14" i="2" s="1"/>
  <c r="R14" i="2" a="1"/>
  <c r="R14" i="2" s="1"/>
  <c r="P14" i="2" a="1"/>
  <c r="P14" i="2" s="1"/>
  <c r="T13" i="2" a="1"/>
  <c r="T13" i="2" s="1"/>
  <c r="S13" i="2" a="1"/>
  <c r="S13" i="2" s="1"/>
  <c r="P13" i="2" a="1"/>
  <c r="P13" i="2" s="1"/>
  <c r="T12" i="2" a="1"/>
  <c r="T12" i="2" s="1"/>
  <c r="S12" i="2" a="1"/>
  <c r="S12" i="2" s="1"/>
  <c r="R12" i="2" a="1"/>
  <c r="R12" i="2" s="1"/>
  <c r="P12" i="2" a="1"/>
  <c r="P12" i="2" s="1"/>
  <c r="T11" i="2" a="1"/>
  <c r="T11" i="2" s="1"/>
  <c r="S11" i="2" a="1"/>
  <c r="S11" i="2" s="1"/>
  <c r="R11" i="2" a="1"/>
  <c r="R11" i="2" s="1"/>
  <c r="T10" i="2" a="1"/>
  <c r="T10" i="2" s="1"/>
  <c r="S10" i="2" a="1"/>
  <c r="S10" i="2" s="1"/>
  <c r="R10" i="2" a="1"/>
  <c r="R10" i="2" s="1"/>
  <c r="T9" i="2" a="1"/>
  <c r="T9" i="2" s="1"/>
  <c r="S9" i="2" a="1"/>
  <c r="S9" i="2" s="1"/>
  <c r="R9" i="2" a="1"/>
  <c r="R9" i="2" s="1"/>
  <c r="T8" i="2" a="1"/>
  <c r="T8" i="2" s="1"/>
  <c r="S8" i="2" a="1"/>
  <c r="S8" i="2" s="1"/>
  <c r="R8" i="2" a="1"/>
  <c r="R8" i="2" s="1"/>
  <c r="G47" i="1"/>
  <c r="G49" i="1"/>
  <c r="G50" i="1"/>
  <c r="G51" i="1"/>
  <c r="G53" i="1"/>
  <c r="G55" i="1"/>
  <c r="G58" i="1"/>
  <c r="G59" i="1"/>
  <c r="F57" i="1" a="1"/>
  <c r="F57" i="1" s="1"/>
  <c r="G57" i="1" s="1"/>
  <c r="F56" i="1" a="1"/>
  <c r="F56" i="1" s="1"/>
  <c r="G56" i="1" s="1"/>
  <c r="F54" i="1" a="1"/>
  <c r="F54" i="1" s="1"/>
  <c r="G54" i="1" s="1"/>
  <c r="F52" i="1" a="1"/>
  <c r="F52" i="1" s="1"/>
  <c r="G52" i="1" s="1"/>
  <c r="F48" i="1" a="1"/>
  <c r="F48" i="1" s="1"/>
  <c r="G48" i="1" s="1"/>
  <c r="F46" i="1" a="1"/>
  <c r="F46" i="1" s="1"/>
  <c r="G46" i="1" s="1"/>
  <c r="F45" i="1" a="1"/>
  <c r="F45" i="1" s="1"/>
  <c r="G45" i="1" s="1"/>
  <c r="F44" i="1" a="1"/>
  <c r="F44" i="1" s="1"/>
  <c r="G44" i="1" s="1"/>
  <c r="G42" i="1"/>
  <c r="P8" i="2"/>
  <c r="M25" i="2" a="1"/>
  <c r="M25" i="2" s="1"/>
  <c r="L25" i="2" a="1"/>
  <c r="L25" i="2" s="1"/>
  <c r="N25" i="2" a="1"/>
  <c r="N25" i="2" s="1"/>
  <c r="J25" i="2" a="1"/>
  <c r="J25" i="2" s="1"/>
  <c r="M24" i="2" a="1"/>
  <c r="M24" i="2" s="1"/>
  <c r="N24" i="2" a="1"/>
  <c r="N24" i="2" s="1"/>
  <c r="L24" i="2" a="1"/>
  <c r="L24" i="2" s="1"/>
  <c r="J24" i="2" a="1"/>
  <c r="J24" i="2" s="1"/>
  <c r="M23" i="2" a="1"/>
  <c r="M23" i="2" s="1"/>
  <c r="N23" i="2" a="1"/>
  <c r="N23" i="2" s="1"/>
  <c r="L23" i="2" a="1"/>
  <c r="L23" i="2" s="1"/>
  <c r="J23" i="2" a="1"/>
  <c r="J23" i="2" s="1"/>
  <c r="M22" i="2" a="1"/>
  <c r="M22" i="2" s="1"/>
  <c r="N22" i="2" a="1"/>
  <c r="N22" i="2" s="1"/>
  <c r="L22" i="2" a="1"/>
  <c r="L22" i="2" s="1"/>
  <c r="J22" i="2" a="1"/>
  <c r="J22" i="2" s="1"/>
  <c r="M21" i="2" a="1"/>
  <c r="M21" i="2" s="1"/>
  <c r="N21" i="2" a="1"/>
  <c r="N21" i="2" s="1"/>
  <c r="L21" i="2" a="1"/>
  <c r="L21" i="2" s="1"/>
  <c r="J21" i="2" a="1"/>
  <c r="J21" i="2" s="1"/>
  <c r="M20" i="2" a="1"/>
  <c r="M20" i="2" s="1"/>
  <c r="N20" i="2" a="1"/>
  <c r="N20" i="2" s="1"/>
  <c r="L20" i="2" a="1"/>
  <c r="L20" i="2" s="1"/>
  <c r="J20" i="2" a="1"/>
  <c r="J20" i="2" s="1"/>
  <c r="M19" i="2" a="1"/>
  <c r="M19" i="2" s="1"/>
  <c r="N19" i="2" a="1"/>
  <c r="N19" i="2" s="1"/>
  <c r="L19" i="2" a="1"/>
  <c r="L19" i="2" s="1"/>
  <c r="J19" i="2" a="1"/>
  <c r="J19" i="2" s="1"/>
  <c r="M18" i="2" a="1"/>
  <c r="M18" i="2" s="1"/>
  <c r="N18" i="2" a="1"/>
  <c r="N18" i="2" s="1"/>
  <c r="L18" i="2" a="1"/>
  <c r="L18" i="2" s="1"/>
  <c r="J18" i="2" a="1"/>
  <c r="J18" i="2" s="1"/>
  <c r="M17" i="2" a="1"/>
  <c r="M17" i="2" s="1"/>
  <c r="N17" i="2" a="1"/>
  <c r="N17" i="2" s="1"/>
  <c r="L17" i="2" a="1"/>
  <c r="L17" i="2" s="1"/>
  <c r="J17" i="2" a="1"/>
  <c r="J17" i="2" s="1"/>
  <c r="M16" i="2" a="1"/>
  <c r="M16" i="2" s="1"/>
  <c r="N16" i="2" a="1"/>
  <c r="N16" i="2" s="1"/>
  <c r="L16" i="2" a="1"/>
  <c r="L16" i="2" s="1"/>
  <c r="J16" i="2" a="1"/>
  <c r="J16" i="2" s="1"/>
  <c r="M15" i="2" a="1"/>
  <c r="M15" i="2" s="1"/>
  <c r="L15" i="2" a="1"/>
  <c r="L15" i="2" s="1"/>
  <c r="K15" i="2" s="1"/>
  <c r="N15" i="2" a="1"/>
  <c r="N15" i="2" s="1"/>
  <c r="J15" i="2" a="1"/>
  <c r="J15" i="2" s="1"/>
  <c r="M14" i="2" a="1"/>
  <c r="M14" i="2" s="1"/>
  <c r="N14" i="2" a="1"/>
  <c r="N14" i="2" s="1"/>
  <c r="L14" i="2" a="1"/>
  <c r="L14" i="2" s="1"/>
  <c r="J14" i="2" a="1"/>
  <c r="J14" i="2" s="1"/>
  <c r="M13" i="2" a="1"/>
  <c r="M13" i="2" s="1"/>
  <c r="N13" i="2" a="1"/>
  <c r="N13" i="2" s="1"/>
  <c r="L13" i="2" a="1"/>
  <c r="L13" i="2" s="1"/>
  <c r="J13" i="2" a="1"/>
  <c r="J13" i="2" s="1"/>
  <c r="M12" i="2" a="1"/>
  <c r="M12" i="2" s="1"/>
  <c r="N12" i="2" a="1"/>
  <c r="N12" i="2" s="1"/>
  <c r="L12" i="2" a="1"/>
  <c r="L12" i="2" s="1"/>
  <c r="J12" i="2" a="1"/>
  <c r="J12" i="2" s="1"/>
  <c r="M11" i="2" a="1"/>
  <c r="M11" i="2" s="1"/>
  <c r="N11" i="2" a="1"/>
  <c r="N11" i="2" s="1"/>
  <c r="L11" i="2" a="1"/>
  <c r="L11" i="2" s="1"/>
  <c r="J11" i="2" a="1"/>
  <c r="J11" i="2" s="1"/>
  <c r="M10" i="2" a="1"/>
  <c r="M10" i="2" s="1"/>
  <c r="N10" i="2" a="1"/>
  <c r="N10" i="2" s="1"/>
  <c r="L10" i="2" a="1"/>
  <c r="L10" i="2" s="1"/>
  <c r="M9" i="2" a="1"/>
  <c r="M9" i="2" s="1"/>
  <c r="N9" i="2" a="1"/>
  <c r="N9" i="2" s="1"/>
  <c r="L9" i="2" a="1"/>
  <c r="L9" i="2" s="1"/>
  <c r="J9" i="2" a="1"/>
  <c r="J9" i="2" s="1"/>
  <c r="M8" i="2" a="1"/>
  <c r="M8" i="2" s="1"/>
  <c r="K8" i="2" s="1"/>
  <c r="N8" i="2" a="1"/>
  <c r="N8" i="2" s="1"/>
  <c r="V8" i="2" s="1"/>
  <c r="E14" i="2"/>
  <c r="E12" i="2"/>
  <c r="E10" i="2"/>
  <c r="D30" i="2"/>
  <c r="G43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6" i="1"/>
  <c r="F28" i="1"/>
  <c r="G28" i="1" s="1"/>
  <c r="G15" i="1"/>
  <c r="F11" i="1"/>
  <c r="G11" i="1" s="1"/>
  <c r="F9" i="1"/>
  <c r="G9" i="1" s="1"/>
  <c r="G8" i="1"/>
  <c r="G10" i="1"/>
  <c r="G13" i="1"/>
  <c r="G14" i="1"/>
  <c r="G7" i="1"/>
  <c r="G6" i="1"/>
  <c r="G5" i="1"/>
  <c r="Q16" i="2" l="1"/>
  <c r="Q20" i="2"/>
  <c r="Q21" i="2"/>
  <c r="Q22" i="2"/>
  <c r="Q23" i="2"/>
  <c r="Q24" i="2"/>
  <c r="Q25" i="2"/>
  <c r="Q12" i="2"/>
  <c r="Q13" i="2"/>
  <c r="K11" i="2"/>
  <c r="K12" i="2"/>
  <c r="K13" i="2"/>
  <c r="K14" i="2"/>
  <c r="K16" i="2"/>
  <c r="K17" i="2"/>
  <c r="K18" i="2"/>
  <c r="K19" i="2"/>
  <c r="K20" i="2"/>
  <c r="K21" i="2"/>
  <c r="K22" i="2"/>
  <c r="K23" i="2"/>
  <c r="K24" i="2"/>
  <c r="Q17" i="2"/>
  <c r="Q27" i="2"/>
  <c r="Q14" i="2"/>
  <c r="W21" i="2"/>
  <c r="AC10" i="2"/>
  <c r="K9" i="2"/>
  <c r="W23" i="2"/>
  <c r="AC23" i="2"/>
  <c r="W19" i="2"/>
  <c r="AC18" i="2"/>
  <c r="W18" i="2"/>
  <c r="AC17" i="2"/>
  <c r="W17" i="2"/>
  <c r="AC16" i="2"/>
  <c r="W16" i="2"/>
  <c r="AC15" i="2"/>
  <c r="W15" i="2"/>
  <c r="AC14" i="2"/>
  <c r="W14" i="2"/>
  <c r="AC13" i="2"/>
  <c r="W10" i="2"/>
  <c r="AC9" i="2"/>
  <c r="W9" i="2"/>
  <c r="AC8" i="2"/>
  <c r="AC21" i="2"/>
  <c r="AG19" i="2" a="1"/>
  <c r="AG19" i="2" s="1"/>
  <c r="P30" i="2"/>
  <c r="W13" i="2"/>
  <c r="W12" i="2"/>
  <c r="W11" i="2"/>
  <c r="V30" i="2"/>
  <c r="V32" i="2" s="1"/>
  <c r="AC29" i="2"/>
  <c r="X30" i="2"/>
  <c r="W27" i="2"/>
  <c r="W26" i="2"/>
  <c r="W25" i="2"/>
  <c r="AC22" i="2"/>
  <c r="AC20" i="2"/>
  <c r="AC12" i="2"/>
  <c r="AC11" i="2"/>
  <c r="AE30" i="2"/>
  <c r="Y30" i="2"/>
  <c r="V33" i="2" s="1"/>
  <c r="AF30" i="2"/>
  <c r="AC28" i="2"/>
  <c r="AC27" i="2"/>
  <c r="AC26" i="2"/>
  <c r="AC25" i="2"/>
  <c r="AC24" i="2"/>
  <c r="AD30" i="2"/>
  <c r="W24" i="2"/>
  <c r="W22" i="2"/>
  <c r="Z30" i="2"/>
  <c r="W20" i="2"/>
  <c r="T30" i="2"/>
  <c r="P34" i="2" s="1"/>
  <c r="AB8" i="2"/>
  <c r="AB30" i="2" s="1"/>
  <c r="AG28" i="2" a="1"/>
  <c r="AG28" i="2" s="1"/>
  <c r="W28" i="2"/>
  <c r="AG27" i="2" a="1"/>
  <c r="AG27" i="2" s="1"/>
  <c r="AG26" i="2" a="1"/>
  <c r="AG26" i="2" s="1"/>
  <c r="AG25" i="2" a="1"/>
  <c r="AG25" i="2" s="1"/>
  <c r="AG24" i="2" a="1"/>
  <c r="AG24" i="2" s="1"/>
  <c r="AG23" i="2" a="1"/>
  <c r="AG23" i="2" s="1"/>
  <c r="AG22" i="2" a="1"/>
  <c r="AG22" i="2" s="1"/>
  <c r="AG21" i="2" a="1"/>
  <c r="AG21" i="2" s="1"/>
  <c r="AG20" i="2" a="1"/>
  <c r="AG20" i="2" s="1"/>
  <c r="AC19" i="2"/>
  <c r="AA8" i="2" a="1"/>
  <c r="AA8" i="2" s="1"/>
  <c r="AG8" i="2" a="1"/>
  <c r="AG8" i="2" s="1"/>
  <c r="AG9" i="2" a="1"/>
  <c r="AG9" i="2" s="1"/>
  <c r="AG10" i="2" a="1"/>
  <c r="AG10" i="2" s="1"/>
  <c r="AG11" i="2" a="1"/>
  <c r="AG11" i="2" s="1"/>
  <c r="AG12" i="2" a="1"/>
  <c r="AG12" i="2" s="1"/>
  <c r="AG13" i="2" a="1"/>
  <c r="AG13" i="2" s="1"/>
  <c r="AG14" i="2" a="1"/>
  <c r="AG14" i="2" s="1"/>
  <c r="AG15" i="2" a="1"/>
  <c r="AG15" i="2" s="1"/>
  <c r="AG16" i="2" a="1"/>
  <c r="AG16" i="2" s="1"/>
  <c r="AG17" i="2" a="1"/>
  <c r="AG17" i="2" s="1"/>
  <c r="AG18" i="2" a="1"/>
  <c r="AG18" i="2" s="1"/>
  <c r="AA9" i="2" a="1"/>
  <c r="AA9" i="2" s="1"/>
  <c r="AA10" i="2" a="1"/>
  <c r="AA10" i="2" s="1"/>
  <c r="AA11" i="2" a="1"/>
  <c r="AA11" i="2" s="1"/>
  <c r="AA12" i="2" a="1"/>
  <c r="AA12" i="2" s="1"/>
  <c r="AA13" i="2" a="1"/>
  <c r="AA13" i="2" s="1"/>
  <c r="AA14" i="2" a="1"/>
  <c r="AA14" i="2" s="1"/>
  <c r="AA15" i="2" a="1"/>
  <c r="AA15" i="2" s="1"/>
  <c r="AA16" i="2" a="1"/>
  <c r="AA16" i="2" s="1"/>
  <c r="AA17" i="2" a="1"/>
  <c r="AA17" i="2" s="1"/>
  <c r="AA18" i="2" a="1"/>
  <c r="AA18" i="2" s="1"/>
  <c r="AA19" i="2" a="1"/>
  <c r="AA19" i="2" s="1"/>
  <c r="AG29" i="2" a="1"/>
  <c r="AG29" i="2" s="1"/>
  <c r="AA28" i="2" a="1"/>
  <c r="AA28" i="2" s="1"/>
  <c r="AA27" i="2" a="1"/>
  <c r="AA27" i="2" s="1"/>
  <c r="AA26" i="2" a="1"/>
  <c r="AA26" i="2" s="1"/>
  <c r="AA25" i="2" a="1"/>
  <c r="AA25" i="2" s="1"/>
  <c r="AA24" i="2" a="1"/>
  <c r="AA24" i="2" s="1"/>
  <c r="AA23" i="2" a="1"/>
  <c r="AA23" i="2" s="1"/>
  <c r="AA22" i="2" a="1"/>
  <c r="AA22" i="2" s="1"/>
  <c r="AA21" i="2" a="1"/>
  <c r="AA21" i="2" s="1"/>
  <c r="AA20" i="2" a="1"/>
  <c r="AA20" i="2" s="1"/>
  <c r="W8" i="2"/>
  <c r="Q8" i="2"/>
  <c r="R30" i="2"/>
  <c r="O14" i="2" a="1"/>
  <c r="O14" i="2" s="1"/>
  <c r="G30" i="2"/>
  <c r="D33" i="2" s="1"/>
  <c r="K25" i="2"/>
  <c r="Q10" i="2"/>
  <c r="O20" i="2" a="1"/>
  <c r="O20" i="2" s="1"/>
  <c r="O8" i="2" a="1"/>
  <c r="O8" i="2" s="1"/>
  <c r="I9" i="2" a="1"/>
  <c r="I9" i="2" s="1"/>
  <c r="O12" i="2" a="1"/>
  <c r="O12" i="2" s="1"/>
  <c r="O11" i="2" a="1"/>
  <c r="O11" i="2" s="1"/>
  <c r="K10" i="2"/>
  <c r="L30" i="2"/>
  <c r="P32" i="2"/>
  <c r="N30" i="2"/>
  <c r="J30" i="2"/>
  <c r="M30" i="2"/>
  <c r="I8" i="2" a="1"/>
  <c r="I8" i="2" s="1"/>
  <c r="O9" i="2" a="1"/>
  <c r="O9" i="2" s="1"/>
  <c r="O17" i="2" a="1"/>
  <c r="O17" i="2" s="1"/>
  <c r="O13" i="2" a="1"/>
  <c r="O13" i="2" s="1"/>
  <c r="I10" i="2" a="1"/>
  <c r="I10" i="2" s="1"/>
  <c r="O22" i="2" a="1"/>
  <c r="O22" i="2" s="1"/>
  <c r="U26" i="2" a="1"/>
  <c r="U26" i="2" s="1"/>
  <c r="U27" i="2" a="1"/>
  <c r="U27" i="2" s="1"/>
  <c r="U25" i="2" a="1"/>
  <c r="U25" i="2" s="1"/>
  <c r="O21" i="2" a="1"/>
  <c r="O21" i="2" s="1"/>
  <c r="I11" i="2" a="1"/>
  <c r="I11" i="2" s="1"/>
  <c r="U14" i="2" a="1"/>
  <c r="U14" i="2" s="1"/>
  <c r="O19" i="2" a="1"/>
  <c r="O19" i="2" s="1"/>
  <c r="U21" i="2" a="1"/>
  <c r="U21" i="2" s="1"/>
  <c r="U16" i="2" a="1"/>
  <c r="U16" i="2" s="1"/>
  <c r="U12" i="2" a="1"/>
  <c r="U12" i="2" s="1"/>
  <c r="U10" i="2" a="1"/>
  <c r="U10" i="2" s="1"/>
  <c r="O24" i="2" a="1"/>
  <c r="O24" i="2" s="1"/>
  <c r="O15" i="2" a="1"/>
  <c r="O15" i="2" s="1"/>
  <c r="I14" i="2" a="1"/>
  <c r="I14" i="2" s="1"/>
  <c r="I13" i="2" a="1"/>
  <c r="I13" i="2" s="1"/>
  <c r="O23" i="2" a="1"/>
  <c r="O23" i="2" s="1"/>
  <c r="O16" i="2" a="1"/>
  <c r="O16" i="2" s="1"/>
  <c r="O18" i="2" a="1"/>
  <c r="O18" i="2" s="1"/>
  <c r="O10" i="2" a="1"/>
  <c r="O10" i="2" s="1"/>
  <c r="I12" i="2" a="1"/>
  <c r="I12" i="2" s="1"/>
  <c r="U24" i="2" a="1"/>
  <c r="U24" i="2" s="1"/>
  <c r="U20" i="2" a="1"/>
  <c r="U20" i="2" s="1"/>
  <c r="U17" i="2" a="1"/>
  <c r="U17" i="2" s="1"/>
  <c r="U13" i="2" a="1"/>
  <c r="U13" i="2" s="1"/>
  <c r="U9" i="2" a="1"/>
  <c r="U9" i="2" s="1"/>
  <c r="O25" i="2" a="1"/>
  <c r="O25" i="2" s="1"/>
  <c r="U8" i="2" a="1"/>
  <c r="U8" i="2" s="1"/>
  <c r="U18" i="2" a="1"/>
  <c r="U18" i="2" s="1"/>
  <c r="U23" i="2" a="1"/>
  <c r="U23" i="2" s="1"/>
  <c r="U11" i="2" a="1"/>
  <c r="U11" i="2" s="1"/>
  <c r="U15" i="2" a="1"/>
  <c r="U15" i="2" s="1"/>
  <c r="U19" i="2" a="1"/>
  <c r="U19" i="2" s="1"/>
  <c r="U22" i="2" a="1"/>
  <c r="U22" i="2" s="1"/>
  <c r="E9" i="2"/>
  <c r="H30" i="2"/>
  <c r="D34" i="2" s="1"/>
  <c r="S30" i="2"/>
  <c r="Q9" i="2"/>
  <c r="Q11" i="2"/>
  <c r="Q15" i="2"/>
  <c r="Q18" i="2"/>
  <c r="Q19" i="2"/>
  <c r="Q26" i="2"/>
  <c r="K30" i="2" l="1" a="1"/>
  <c r="K30" i="2" s="1"/>
  <c r="J31" i="2" s="1"/>
  <c r="W30" i="2"/>
  <c r="V31" i="2" s="1"/>
  <c r="V34" i="2"/>
  <c r="AC30" i="2"/>
  <c r="AB31" i="2" s="1" a="1"/>
  <c r="AB31" i="2" s="1"/>
  <c r="P33" i="2"/>
  <c r="J33" i="2"/>
  <c r="J34" i="2"/>
  <c r="J32" i="2"/>
  <c r="AB32" i="2"/>
  <c r="AB34" i="2"/>
  <c r="AB33" i="2"/>
  <c r="Q30" i="2"/>
  <c r="P31" i="2" s="1"/>
  <c r="E8" i="2"/>
  <c r="F30" i="2"/>
  <c r="D32" i="2" s="1"/>
  <c r="E30" i="2" l="1"/>
  <c r="D31" i="2" s="1"/>
</calcChain>
</file>

<file path=xl/comments1.xml><?xml version="1.0" encoding="utf-8"?>
<comments xmlns="http://schemas.openxmlformats.org/spreadsheetml/2006/main">
  <authors>
    <author>val_124</author>
  </authors>
  <commentList>
    <comment ref="I4" authorId="0">
      <text>
        <r>
          <rPr>
            <b/>
            <sz val="8"/>
            <color indexed="81"/>
            <rFont val="Tahoma"/>
            <family val="2"/>
            <charset val="204"/>
          </rPr>
          <t>val_124:</t>
        </r>
        <r>
          <rPr>
            <sz val="8"/>
            <color indexed="81"/>
            <rFont val="Tahoma"/>
            <family val="2"/>
            <charset val="204"/>
          </rPr>
          <t xml:space="preserve">
val_124:
выполнено, в срок - 0;
выполнено, просрочено - 1;
не выполнено - -1</t>
        </r>
      </text>
    </comment>
  </commentList>
</comments>
</file>

<file path=xl/sharedStrings.xml><?xml version="1.0" encoding="utf-8"?>
<sst xmlns="http://schemas.openxmlformats.org/spreadsheetml/2006/main" count="399" uniqueCount="148">
  <si>
    <t>NN п/п</t>
  </si>
  <si>
    <t>Документы на контроле</t>
  </si>
  <si>
    <t>всего</t>
  </si>
  <si>
    <t>ВСЕГО</t>
  </si>
  <si>
    <t>из них</t>
  </si>
  <si>
    <t>просроченные</t>
  </si>
  <si>
    <t>Наименование структурных подразделений</t>
  </si>
  <si>
    <t>Индекс подразделения</t>
  </si>
  <si>
    <t>Журнал контроля документов, подлежащих исполнению</t>
  </si>
  <si>
    <t>Результат выполнения</t>
  </si>
  <si>
    <t>Исполнители</t>
  </si>
  <si>
    <t>Подразделение</t>
  </si>
  <si>
    <t>Краткое содержание</t>
  </si>
  <si>
    <t>Срок исполнения</t>
  </si>
  <si>
    <t>Фактический срок исполнения</t>
  </si>
  <si>
    <t>Ход выполнения (промежуточный контроль)</t>
  </si>
  <si>
    <t>Количество просроченных дней</t>
  </si>
  <si>
    <t>выполненные в срок</t>
  </si>
  <si>
    <t xml:space="preserve">выполненные </t>
  </si>
  <si>
    <t>Дата создания</t>
  </si>
  <si>
    <t>Анатолий Хавуляк</t>
  </si>
  <si>
    <t>Артем Фатуев</t>
  </si>
  <si>
    <t>Вадим Казимко</t>
  </si>
  <si>
    <t>Юрий Ермаков</t>
  </si>
  <si>
    <t>Главному инженеру Хавуляк А.В. предоставить срок закрытия вопроса по ремонту 1-ой колонки на заправке (БРСМ-Нафта): Киев, ул. Жуковского 22</t>
  </si>
  <si>
    <t>Утвердить график установки стелл до завтра 13.08.2015 до 15-00. Ответственный за выполнение задачи Шпиг В.П.</t>
  </si>
  <si>
    <t>Определить места для установки до пятницы. Ответственный за выполнение задачи Шпиг В.П.</t>
  </si>
  <si>
    <t>Подготовить резюме по выбору программы для системы электронного документооборота с обоснованием.</t>
  </si>
  <si>
    <t>г.Житомир подготовить паспорта на газовый сосуд, провести освидетельствование сосуда в Госгорпромнадзоре, акты испытаний, акты скрытых работ и остальную исполнительную документацию, экспертиза ЭТЦ, форму-Ю</t>
  </si>
  <si>
    <t>г.Житомире вопрос сноса зеленых насаждений</t>
  </si>
  <si>
    <t>г.Житомир подготовить акт готовности к эксплуатации, получение сертификата и регистрация права собственности. Отв. Дмитрий Парило</t>
  </si>
  <si>
    <t>Подготовить все приказы, медицински книжки, обучения, журналы проверок</t>
  </si>
  <si>
    <t>До 20.08.2015р. надати підтвердження усунення зазначених порушень по НБ Козятин</t>
  </si>
  <si>
    <t>Определить балансовую стоимость объекта что вводится в эксплуатацию.</t>
  </si>
  <si>
    <t>Дмитрий Парыло</t>
  </si>
  <si>
    <t>Хавуляк</t>
  </si>
  <si>
    <t>Шпиг</t>
  </si>
  <si>
    <t>Фатуев</t>
  </si>
  <si>
    <t>Парыло</t>
  </si>
  <si>
    <t>Казимко</t>
  </si>
  <si>
    <t>Ермаков</t>
  </si>
  <si>
    <t>Завершена</t>
  </si>
  <si>
    <t>Ждет выполнения</t>
  </si>
  <si>
    <t>Просрочена</t>
  </si>
  <si>
    <t>Валерий Шпиг</t>
  </si>
  <si>
    <t>Итого</t>
  </si>
  <si>
    <t>ПРОЦЕНТ ВЫПОЛНЕННЫХ В СРОК ЗАДАЧ</t>
  </si>
  <si>
    <t xml:space="preserve">ПРОЦЕНТ ПРОСРОЧЕННЫХ ЗАДАЧ </t>
  </si>
  <si>
    <t>Всего кол-во просроченных дней</t>
  </si>
  <si>
    <t>Андрей Томчишин</t>
  </si>
  <si>
    <t>Томчишин</t>
  </si>
  <si>
    <t>Получить от Томчишина А. полную таблицу (включая информацию от Ополонец) по решениям налоговой</t>
  </si>
  <si>
    <t>Александр Коротецкий</t>
  </si>
  <si>
    <t>Андрей Нарышков</t>
  </si>
  <si>
    <t>Анна Шокало</t>
  </si>
  <si>
    <t>Виктория Гаврилова</t>
  </si>
  <si>
    <t>Елена Буслова</t>
  </si>
  <si>
    <t>Ірина Ополонець</t>
  </si>
  <si>
    <t>Лариса Полонец</t>
  </si>
  <si>
    <t>Никополь №1, Никополь 2, Днепродзержинск,Украинка, Днепр №3, Днепр Журналистов, Днепр №2 устранение замечаний!</t>
  </si>
  <si>
    <t>Получить 25.08.2015 таблицу по заключенным контрактам с подрядчиками по всей сети (с изменениями относительно прошлой недели - сколько контрактов заключено)</t>
  </si>
  <si>
    <t>Предоставить покрытие всеми подрядчиками по всем АЗС (газ, бензин, мелкие ремонты, электрика)</t>
  </si>
  <si>
    <t>Предоставить сроки реализации проекта по упорядочиванию проводки</t>
  </si>
  <si>
    <t>Разобраться кто ответственен и в какие сроки должен устранить брак по протеканию кровли АЗК Одессы</t>
  </si>
  <si>
    <t>1-на газовая бочка</t>
  </si>
  <si>
    <t>Проверки объектов 21.08.2015</t>
  </si>
  <si>
    <t>Днепр №3, Днепр Журналистов, Днепр №2 устранение замечаний! Отв. Кузьмич С.</t>
  </si>
  <si>
    <t>Получить от региональных директоров таблицу по переподписанным контрактам по коммерческой аренде (объекты на территории наших АЗС, которые мы сдаем в аренду). Переподписываем контракты ввиду увеличения арендной платы) - срок до завтра. Все контракты должн</t>
  </si>
  <si>
    <t>Предоставить отчет об устранении замечаний по АЗС Бровары 2 (Чкалова), Бровары 1. Отв. Красновский А.</t>
  </si>
  <si>
    <t>Предоставить отчет об устранении замечаний по АЗС Борисполь 1 (Нестеровка). Отв. Дуда А.</t>
  </si>
  <si>
    <t>Ответ от Урайкина Е. о результате переговоров с рук-и маршруток</t>
  </si>
  <si>
    <t>Отделу фин мониторинга разработать и вести накопительную таблицу результатов ежемесячных переучётов по месячно</t>
  </si>
  <si>
    <t>Подготовить резюме по каждому из пунктов - кто будет возмещать ущерб</t>
  </si>
  <si>
    <t>СБ совместно с директором сети магазинов , разработать годовой план инвентаризаций , при этом магазины " повышенных рисков" ( список составить совместно ) проверять не реже 1 раз в 2 месяца</t>
  </si>
  <si>
    <t>Директору сети магазинов подать данные о нарушении кураторами приказа от проведении переучётов Фф</t>
  </si>
  <si>
    <t>Подготовить таблицу (накопление) по штрафам за июль в разрезе сотрудников АЗС.</t>
  </si>
  <si>
    <t>Обучение по блоку контроля за выполнением строительных работ</t>
  </si>
  <si>
    <t>Презентация материала</t>
  </si>
  <si>
    <t>Проведение обучения</t>
  </si>
  <si>
    <t>Итоги совещания 26.08.2015</t>
  </si>
  <si>
    <t>Предоставить анализ ЗП по Василькову, ЧШ в сравнении с прошлым годом (июль/июль)</t>
  </si>
  <si>
    <t>Провести анализ градации ЗП по Киеву и обл. (различие в ставке персонала), подать свои предложения по пересмотру</t>
  </si>
  <si>
    <t>Составить распоряжение о механизме подачи заявки на подбор персонала от директоров и закрытии вакансии</t>
  </si>
  <si>
    <t>Составить реестр , всех контрактов Эксплуатации</t>
  </si>
  <si>
    <t>Организовать рассылку наших типовых договоров ответственным исполнителям</t>
  </si>
  <si>
    <t>Составить краткую справку с в теле письма по результатам инвентаризации по складу Ермакова (бухгалтерский)</t>
  </si>
  <si>
    <t>Коротецкий</t>
  </si>
  <si>
    <t>Нарышков</t>
  </si>
  <si>
    <t>Кузьмич</t>
  </si>
  <si>
    <t>Шокало</t>
  </si>
  <si>
    <t>Красновский</t>
  </si>
  <si>
    <t>Дуда</t>
  </si>
  <si>
    <t>Урайкин</t>
  </si>
  <si>
    <t>Гаврилова</t>
  </si>
  <si>
    <t>Буслова</t>
  </si>
  <si>
    <t>Ополонец</t>
  </si>
  <si>
    <t>Полонец</t>
  </si>
  <si>
    <t>Кузьмич Сергей</t>
  </si>
  <si>
    <t>Красновский Александр</t>
  </si>
  <si>
    <t>Дуда Андрей</t>
  </si>
  <si>
    <t>Урайкин Евгений</t>
  </si>
  <si>
    <t>Наталья Блаут</t>
  </si>
  <si>
    <t>Харьков: получить паспорта на емкостя</t>
  </si>
  <si>
    <t>Предложение варианта "газона" (с камнем)</t>
  </si>
  <si>
    <t>АЗК Ходосеевка упал подвесной потолок, в кабинете нет света. Установить ответственных и сроки исполнения.</t>
  </si>
  <si>
    <t>Предоставить информацию обо всех подрядчиках в Киевском регионе</t>
  </si>
  <si>
    <t>Березань. Площадь торгового зала на территории АЗС больше 50 кв.м. Получить от департамента МЧС согласование вопроса по устройству магазина больше 50 м.кв. На тот момент, когда АЗК вводилась в эксплуатацию, данный вопрос был закрыт в экспертизе. Отв. Па</t>
  </si>
  <si>
    <t>Необходимо предоставить список к увольнению или уменьшению количества подконтрольных им объектов. (Отв. РД, Кураторы)</t>
  </si>
  <si>
    <t>Подготовить письмо о принятых мерах, направленных на предупреждение НС, соблюдение стандарта ВБН В2.2-58.1.94 "Проектирование складов....", и на ООО "Побутрембытматериалы"</t>
  </si>
  <si>
    <t>Харьков: подготовить приказы по охране труда, о назначении ответственных по газу.</t>
  </si>
  <si>
    <t>Провести аттестацию старших смены по Западной Украины</t>
  </si>
  <si>
    <t>Подготовить структуру с кратким описанием должности (кто чем занимается и к кому обращаться)</t>
  </si>
  <si>
    <t>Провести аттестацию старших смены Харьков, Днепропетровск</t>
  </si>
  <si>
    <t>Согласовать общим бюджетом ЗП (кол-во планируемых старших смен, сумма увеличения ФОТ и % увеличения от ФОТ)</t>
  </si>
  <si>
    <t>Проанализировать должность "Менеджер проекта" в структуре БРСМ Нафта</t>
  </si>
  <si>
    <t>Предоставить отчет по анализу ЗП конкурентов персонала АЗС</t>
  </si>
  <si>
    <t>Предоставить исчерпывающую информацию в целом по товароведам сети. С учетом нагрузки, ЗП, формата АЗК, региона</t>
  </si>
  <si>
    <t>Согласовать сводную информацию, численность и ФОТ Старших смены.</t>
  </si>
  <si>
    <t>Региональные директора</t>
  </si>
  <si>
    <t>РД</t>
  </si>
  <si>
    <t>Блаут</t>
  </si>
  <si>
    <t>Людмила Машкіна</t>
  </si>
  <si>
    <t>Предоставить информацию по оклейке технологии АГЗП стрелкамидать информацию по оклейке технологии АГЗП стрелками, согласно ПРИКАЗУ Правила эксплуатация газового оборудования</t>
  </si>
  <si>
    <t>Предоставить паспорта на изделий для создания банка паспортов Отв. Канайкина А. Хавуляк А.В.</t>
  </si>
  <si>
    <t>Определить модель, производителя термоденсиметра и заказать по 1 му на регион</t>
  </si>
  <si>
    <t>Согласовать на тех совете СО реально необходимый контент в задании для тех паспорта на Стеллы, передать на доработку производителю. Время ограничено. Ставить выполнимые задачи и с реально необходимым контентом. Обозначьте сроки подачи по контенту паспорт</t>
  </si>
  <si>
    <t>Сформировать еженедельный отчет по исполнительной дисциплине</t>
  </si>
  <si>
    <t>Троицкому совместно с РД предоставить до завтра до 12-00 согласованный чек-лист согласно ПРИКАЗУ Правила эксплуатация газового оборудования</t>
  </si>
  <si>
    <t>Сл. записка рейтинг директоров за август (отв. Дервянко А.Б.)</t>
  </si>
  <si>
    <t>Пересмотерть планы по топливу для директоров</t>
  </si>
  <si>
    <t>Предоставить список сотрудников на премию. Каждого 4го числа текущего месяца</t>
  </si>
  <si>
    <t>Предоставить отчет по учету рабочего времени (ежемесячно до 10 числа)</t>
  </si>
  <si>
    <t>Закрыть всю аттестацию по проекту "Старший смены"</t>
  </si>
  <si>
    <t>Закрыть проект "Старший смены"</t>
  </si>
  <si>
    <t>Cогласовать с механику начисления премий за выполнение и перевыполнение планов</t>
  </si>
  <si>
    <t>Проработать формы юридических претензийора с целью получения компенсации, прботатьны и вызов и действия которые будут приняты другой стороной ( возможно остановка маших специалиста на место, сопровождение машины обратно на базу и тд) документально протоко</t>
  </si>
  <si>
    <t>Деревянко</t>
  </si>
  <si>
    <t>Виталий Деревянко</t>
  </si>
  <si>
    <t>Машкина</t>
  </si>
  <si>
    <t>Людмила Машкина</t>
  </si>
  <si>
    <t>Ввод в эксплуатацию АЗК в г. Житомир, ул.Ватутина, 95 (Отв. Парыло Д.)</t>
  </si>
  <si>
    <t>Разрешение на начало работ Госгорпромнадзора по АЗК в г. Житомир, Новоград-Волынский, Радомышле - декабрь 2015 года (Отв. Парыло Д.)</t>
  </si>
  <si>
    <t>Изменение системы начисления бонусов сотрудникам АЗС по результатам проверок (отв. Жуков А.)</t>
  </si>
  <si>
    <t>Комплектация документов АЗС г. Чернигов</t>
  </si>
  <si>
    <t>Антон Жуков</t>
  </si>
  <si>
    <t>Жуков</t>
  </si>
  <si>
    <t>ПРОЦЕНТ  ЗАДАЧ ЖДУЩИХ ВЫПОЛНЕНИЯ</t>
  </si>
  <si>
    <t>ПРОЦЕНТ ВЫПОЛНЕННЫХ ЗАДАЧ:
из них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</si>
</sst>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24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9"/>
      <name val="Arial Cyr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onsolas"/>
      <family val="3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1" fontId="0" fillId="0" borderId="3" xfId="0" applyNumberFormat="1" applyBorder="1"/>
    <xf numFmtId="0" fontId="1" fillId="2" borderId="1" xfId="0" applyFont="1" applyFill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10" fontId="6" fillId="0" borderId="1" xfId="0" applyNumberFormat="1" applyFont="1" applyBorder="1" applyAlignment="1">
      <alignment horizontal="center" wrapText="1"/>
    </xf>
    <xf numFmtId="0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10" fontId="7" fillId="0" borderId="1" xfId="0" applyNumberFormat="1" applyFont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textRotation="90" wrapText="1"/>
    </xf>
    <xf numFmtId="0" fontId="9" fillId="0" borderId="0" xfId="0" applyFont="1"/>
    <xf numFmtId="0" fontId="0" fillId="0" borderId="3" xfId="0" applyBorder="1" applyAlignment="1">
      <alignment horizontal="center" wrapText="1"/>
    </xf>
    <xf numFmtId="1" fontId="0" fillId="0" borderId="3" xfId="0" applyNumberFormat="1" applyBorder="1" applyAlignment="1">
      <alignment wrapText="1"/>
    </xf>
    <xf numFmtId="14" fontId="12" fillId="0" borderId="17" xfId="0" applyNumberFormat="1" applyFont="1" applyBorder="1" applyAlignment="1">
      <alignment wrapText="1"/>
    </xf>
    <xf numFmtId="14" fontId="12" fillId="4" borderId="17" xfId="0" applyNumberFormat="1" applyFont="1" applyFill="1" applyBorder="1" applyAlignment="1">
      <alignment wrapText="1"/>
    </xf>
    <xf numFmtId="0" fontId="12" fillId="0" borderId="17" xfId="0" applyFont="1" applyBorder="1" applyAlignment="1">
      <alignment wrapText="1"/>
    </xf>
    <xf numFmtId="0" fontId="12" fillId="4" borderId="17" xfId="0" applyFont="1" applyFill="1" applyBorder="1" applyAlignment="1">
      <alignment wrapText="1"/>
    </xf>
    <xf numFmtId="0" fontId="0" fillId="4" borderId="3" xfId="0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14" fontId="0" fillId="4" borderId="17" xfId="0" applyNumberFormat="1" applyFill="1" applyBorder="1" applyAlignment="1">
      <alignment wrapText="1"/>
    </xf>
    <xf numFmtId="0" fontId="13" fillId="0" borderId="17" xfId="0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13" fillId="4" borderId="17" xfId="0" applyFont="1" applyFill="1" applyBorder="1" applyAlignment="1">
      <alignment wrapText="1"/>
    </xf>
    <xf numFmtId="14" fontId="12" fillId="0" borderId="18" xfId="0" applyNumberFormat="1" applyFont="1" applyBorder="1" applyAlignment="1">
      <alignment wrapText="1"/>
    </xf>
    <xf numFmtId="0" fontId="12" fillId="0" borderId="18" xfId="0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1" fontId="0" fillId="0" borderId="5" xfId="0" applyNumberFormat="1" applyBorder="1"/>
    <xf numFmtId="14" fontId="12" fillId="0" borderId="3" xfId="0" applyNumberFormat="1" applyFont="1" applyBorder="1" applyAlignment="1">
      <alignment wrapText="1"/>
    </xf>
    <xf numFmtId="0" fontId="12" fillId="0" borderId="3" xfId="0" applyFont="1" applyBorder="1" applyAlignment="1">
      <alignment wrapText="1"/>
    </xf>
    <xf numFmtId="14" fontId="0" fillId="0" borderId="3" xfId="0" applyNumberFormat="1" applyBorder="1" applyAlignment="1">
      <alignment wrapText="1"/>
    </xf>
    <xf numFmtId="14" fontId="0" fillId="0" borderId="0" xfId="0" applyNumberFormat="1"/>
    <xf numFmtId="0" fontId="1" fillId="0" borderId="0" xfId="0" applyFont="1" applyBorder="1" applyAlignment="1">
      <alignment horizontal="center" wrapText="1"/>
    </xf>
    <xf numFmtId="0" fontId="8" fillId="0" borderId="6" xfId="0" applyNumberFormat="1" applyFont="1" applyBorder="1" applyAlignment="1">
      <alignment horizontal="center" wrapText="1"/>
    </xf>
    <xf numFmtId="0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0" borderId="12" xfId="0" applyFont="1" applyBorder="1" applyAlignment="1">
      <alignment horizontal="center" wrapText="1"/>
    </xf>
    <xf numFmtId="0" fontId="1" fillId="5" borderId="4" xfId="0" applyFont="1" applyFill="1" applyBorder="1" applyAlignment="1">
      <alignment wrapText="1"/>
    </xf>
    <xf numFmtId="0" fontId="1" fillId="5" borderId="13" xfId="0" applyFont="1" applyFill="1" applyBorder="1" applyAlignment="1">
      <alignment wrapText="1"/>
    </xf>
    <xf numFmtId="0" fontId="1" fillId="5" borderId="2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  <xf numFmtId="0" fontId="9" fillId="5" borderId="0" xfId="0" applyFont="1" applyFill="1"/>
    <xf numFmtId="0" fontId="1" fillId="5" borderId="14" xfId="0" applyFont="1" applyFill="1" applyBorder="1" applyAlignment="1">
      <alignment wrapText="1"/>
    </xf>
    <xf numFmtId="0" fontId="0" fillId="5" borderId="0" xfId="0" applyFill="1"/>
    <xf numFmtId="0" fontId="1" fillId="0" borderId="1" xfId="0" applyFont="1" applyBorder="1" applyAlignment="1">
      <alignment horizontal="right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wrapText="1"/>
    </xf>
    <xf numFmtId="0" fontId="14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</cellXfs>
  <cellStyles count="1">
    <cellStyle name="Обычный" xfId="0" builtinId="0"/>
  </cellStyles>
  <dxfs count="1"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900"/>
              <a:t>Состоянием на 21.08.2015</a:t>
            </a:r>
          </a:p>
        </c:rich>
      </c:tx>
      <c:layout>
        <c:manualLayout>
          <c:xMode val="edge"/>
          <c:yMode val="edge"/>
          <c:x val="0.36348374261436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8919072615923014E-2"/>
          <c:y val="5.1400554097404488E-2"/>
          <c:w val="0.79229929987967651"/>
          <c:h val="0.59469524642752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'ОБЩИЙ ОТЧЕТ'!$D$7</c:f>
              <c:strCache>
                <c:ptCount val="1"/>
                <c:pt idx="0">
                  <c:v>всего</c:v>
                </c:pt>
              </c:strCache>
            </c:strRef>
          </c:tx>
          <c:invertIfNegative val="0"/>
          <c:cat>
            <c:strRef>
              <c:f>'ОБЩИЙ ОТЧЕТ'!$C$8:$C$14</c:f>
              <c:strCache>
                <c:ptCount val="7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</c:strCache>
            </c:strRef>
          </c:cat>
          <c:val>
            <c:numRef>
              <c:f>'ОБЩИЙ ОТЧЕТ'!$D$8:$D$14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'ОБЩИЙ ОТЧЕТ'!$E$7</c:f>
              <c:strCache>
                <c:ptCount val="1"/>
                <c:pt idx="0">
                  <c:v>выполненные 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'ОБЩИЙ ОТЧЕТ'!$C$8:$C$14</c:f>
              <c:strCache>
                <c:ptCount val="7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</c:strCache>
            </c:strRef>
          </c:cat>
          <c:val>
            <c:numRef>
              <c:f>'ОБЩИЙ ОТЧЕТ'!$E$8:$E$14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'ОБЩИЙ ОТЧЕТ'!$F$7</c:f>
              <c:strCache>
                <c:ptCount val="1"/>
                <c:pt idx="0">
                  <c:v>Завершена</c:v>
                </c:pt>
              </c:strCache>
            </c:strRef>
          </c:tx>
          <c:spPr>
            <a:solidFill>
              <a:srgbClr val="5CE43C"/>
            </a:solidFill>
          </c:spPr>
          <c:invertIfNegative val="0"/>
          <c:cat>
            <c:strRef>
              <c:f>'ОБЩИЙ ОТЧЕТ'!$C$8:$C$14</c:f>
              <c:strCache>
                <c:ptCount val="7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</c:strCache>
            </c:strRef>
          </c:cat>
          <c:val>
            <c:numRef>
              <c:f>'ОБЩИЙ ОТЧЕТ'!$F$8:$F$14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ser>
          <c:idx val="4"/>
          <c:order val="3"/>
          <c:tx>
            <c:strRef>
              <c:f>'ОБЩИЙ ОТЧЕТ'!$G$7</c:f>
              <c:strCache>
                <c:ptCount val="1"/>
                <c:pt idx="0">
                  <c:v>Просрочена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'ОБЩИЙ ОТЧЕТ'!$C$8:$C$14</c:f>
              <c:strCache>
                <c:ptCount val="7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</c:strCache>
            </c:strRef>
          </c:cat>
          <c:val>
            <c:numRef>
              <c:f>'ОБЩИЙ ОТЧЕТ'!$G$8:$G$14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62592"/>
        <c:axId val="47310528"/>
      </c:barChart>
      <c:catAx>
        <c:axId val="18046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310528"/>
        <c:crosses val="autoZero"/>
        <c:auto val="1"/>
        <c:lblAlgn val="ctr"/>
        <c:lblOffset val="100"/>
        <c:noMultiLvlLbl val="0"/>
      </c:catAx>
      <c:valAx>
        <c:axId val="47310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04625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900"/>
              <a:t>Состоянием на 31.08.2015</a:t>
            </a:r>
          </a:p>
        </c:rich>
      </c:tx>
      <c:layout>
        <c:manualLayout>
          <c:xMode val="edge"/>
          <c:yMode val="edge"/>
          <c:x val="0.3247292045225116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8919072615923014E-2"/>
          <c:y val="5.1400554097404488E-2"/>
          <c:w val="0.79229929987967651"/>
          <c:h val="0.59469524642752991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'ОБЩИЙ ОТЧЕТ'!$J$7</c:f>
              <c:strCache>
                <c:ptCount val="1"/>
                <c:pt idx="0">
                  <c:v>всего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'ОБЩИЙ ОТЧЕТ'!$C$8:$C$25</c:f>
              <c:strCache>
                <c:ptCount val="18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</c:strCache>
            </c:strRef>
          </c:cat>
          <c:val>
            <c:numRef>
              <c:f>'ОБЩИЙ ОТЧЕТ'!$J$8:$J$25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7"/>
          <c:order val="1"/>
          <c:tx>
            <c:strRef>
              <c:f>'ОБЩИЙ ОТЧЕТ'!$K$7</c:f>
              <c:strCache>
                <c:ptCount val="1"/>
                <c:pt idx="0">
                  <c:v>выполненные 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'ОБЩИЙ ОТЧЕТ'!$C$8:$C$25</c:f>
              <c:strCache>
                <c:ptCount val="18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</c:strCache>
            </c:strRef>
          </c:cat>
          <c:val>
            <c:numRef>
              <c:f>'ОБЩИЙ ОТЧЕТ'!$K$8:$K$25</c:f>
              <c:numCache>
                <c:formatCode>General</c:formatCode>
                <c:ptCount val="18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8"/>
          <c:order val="2"/>
          <c:tx>
            <c:strRef>
              <c:f>'ОБЩИЙ ОТЧЕТ'!$L$7</c:f>
              <c:strCache>
                <c:ptCount val="1"/>
                <c:pt idx="0">
                  <c:v>выполненные в срок</c:v>
                </c:pt>
              </c:strCache>
            </c:strRef>
          </c:tx>
          <c:spPr>
            <a:solidFill>
              <a:srgbClr val="5CE43C"/>
            </a:solidFill>
          </c:spPr>
          <c:invertIfNegative val="0"/>
          <c:cat>
            <c:strRef>
              <c:f>'ОБЩИЙ ОТЧЕТ'!$C$8:$C$25</c:f>
              <c:strCache>
                <c:ptCount val="18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</c:strCache>
            </c:strRef>
          </c:cat>
          <c:val>
            <c:numRef>
              <c:f>'ОБЩИЙ ОТЧЕТ'!$L$8:$L$25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9"/>
          <c:order val="3"/>
          <c:tx>
            <c:strRef>
              <c:f>'ОБЩИЙ ОТЧЕТ'!$M$7</c:f>
              <c:strCache>
                <c:ptCount val="1"/>
                <c:pt idx="0">
                  <c:v>просроченные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'ОБЩИЙ ОТЧЕТ'!$C$8:$C$25</c:f>
              <c:strCache>
                <c:ptCount val="18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</c:strCache>
            </c:strRef>
          </c:cat>
          <c:val>
            <c:numRef>
              <c:f>'ОБЩИЙ ОТЧЕТ'!$M$8:$M$25</c:f>
              <c:numCache>
                <c:formatCode>General</c:formatCode>
                <c:ptCount val="18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64128"/>
        <c:axId val="47312832"/>
      </c:barChart>
      <c:catAx>
        <c:axId val="18046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312832"/>
        <c:crosses val="autoZero"/>
        <c:auto val="1"/>
        <c:lblAlgn val="ctr"/>
        <c:lblOffset val="100"/>
        <c:noMultiLvlLbl val="0"/>
      </c:catAx>
      <c:valAx>
        <c:axId val="47312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04641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900"/>
              <a:t>Состоянием на 06.09.2015</a:t>
            </a:r>
          </a:p>
        </c:rich>
      </c:tx>
      <c:layout>
        <c:manualLayout>
          <c:xMode val="edge"/>
          <c:yMode val="edge"/>
          <c:x val="0.31869182651728006"/>
          <c:y val="4.140149148023164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8919072615923014E-2"/>
          <c:y val="5.1400554097404488E-2"/>
          <c:w val="0.79229929987967651"/>
          <c:h val="0.59469524642752991"/>
        </c:manualLayout>
      </c:layout>
      <c:barChart>
        <c:barDir val="col"/>
        <c:grouping val="clustered"/>
        <c:varyColors val="0"/>
        <c:ser>
          <c:idx val="12"/>
          <c:order val="0"/>
          <c:tx>
            <c:strRef>
              <c:f>'ОБЩИЙ ОТЧЕТ'!$P$7</c:f>
              <c:strCache>
                <c:ptCount val="1"/>
                <c:pt idx="0">
                  <c:v>всего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'ОБЩИЙ ОТЧЕТ'!$C$8:$C$27</c:f>
              <c:strCache>
                <c:ptCount val="20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</c:strCache>
            </c:strRef>
          </c:cat>
          <c:val>
            <c:numRef>
              <c:f>'ОБЩИЙ ОТЧЕТ'!$P$8:$P$27</c:f>
              <c:numCache>
                <c:formatCode>General</c:formatCode>
                <c:ptCount val="20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15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ser>
          <c:idx val="13"/>
          <c:order val="1"/>
          <c:tx>
            <c:strRef>
              <c:f>'ОБЩИЙ ОТЧЕТ'!$Q$7</c:f>
              <c:strCache>
                <c:ptCount val="1"/>
                <c:pt idx="0">
                  <c:v>выполненные 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'ОБЩИЙ ОТЧЕТ'!$C$8:$C$27</c:f>
              <c:strCache>
                <c:ptCount val="20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</c:strCache>
            </c:strRef>
          </c:cat>
          <c:val>
            <c:numRef>
              <c:f>'ОБЩИЙ ОТЧЕТ'!$Q$8:$Q$27</c:f>
              <c:numCache>
                <c:formatCode>General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ser>
          <c:idx val="14"/>
          <c:order val="2"/>
          <c:tx>
            <c:strRef>
              <c:f>'ОБЩИЙ ОТЧЕТ'!$R$7</c:f>
              <c:strCache>
                <c:ptCount val="1"/>
                <c:pt idx="0">
                  <c:v>выполненные в срок</c:v>
                </c:pt>
              </c:strCache>
            </c:strRef>
          </c:tx>
          <c:spPr>
            <a:solidFill>
              <a:srgbClr val="5CE43C"/>
            </a:solidFill>
          </c:spPr>
          <c:invertIfNegative val="0"/>
          <c:cat>
            <c:strRef>
              <c:f>'ОБЩИЙ ОТЧЕТ'!$C$8:$C$27</c:f>
              <c:strCache>
                <c:ptCount val="20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</c:strCache>
            </c:strRef>
          </c:cat>
          <c:val>
            <c:numRef>
              <c:f>'ОБЩИЙ ОТЧЕТ'!$R$8:$R$27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ser>
          <c:idx val="15"/>
          <c:order val="3"/>
          <c:tx>
            <c:strRef>
              <c:f>'ОБЩИЙ ОТЧЕТ'!$S$7</c:f>
              <c:strCache>
                <c:ptCount val="1"/>
                <c:pt idx="0">
                  <c:v>просроченные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'ОБЩИЙ ОТЧЕТ'!$C$8:$C$27</c:f>
              <c:strCache>
                <c:ptCount val="20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</c:strCache>
            </c:strRef>
          </c:cat>
          <c:val>
            <c:numRef>
              <c:f>'ОБЩИЙ ОТЧЕТ'!$S$8:$S$27</c:f>
              <c:numCache>
                <c:formatCode>General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65152"/>
        <c:axId val="47315136"/>
      </c:barChart>
      <c:catAx>
        <c:axId val="18046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315136"/>
        <c:crosses val="autoZero"/>
        <c:auto val="1"/>
        <c:lblAlgn val="ctr"/>
        <c:lblOffset val="100"/>
        <c:noMultiLvlLbl val="0"/>
      </c:catAx>
      <c:valAx>
        <c:axId val="47315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04651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900"/>
              <a:t>Состоянием</a:t>
            </a:r>
            <a:r>
              <a:rPr lang="ru-RU" sz="900" baseline="0"/>
              <a:t> на 13.09.2015</a:t>
            </a:r>
            <a:endParaRPr lang="ru-RU" sz="900"/>
          </a:p>
        </c:rich>
      </c:tx>
      <c:layout>
        <c:manualLayout>
          <c:xMode val="edge"/>
          <c:yMode val="edge"/>
          <c:x val="0.3364465109964702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8919072615923014E-2"/>
          <c:y val="5.1400554097404488E-2"/>
          <c:w val="0.79229929987967651"/>
          <c:h val="0.59469524642752991"/>
        </c:manualLayout>
      </c:layout>
      <c:barChart>
        <c:barDir val="col"/>
        <c:grouping val="clustered"/>
        <c:varyColors val="0"/>
        <c:ser>
          <c:idx val="18"/>
          <c:order val="0"/>
          <c:tx>
            <c:strRef>
              <c:f>'ОБЩИЙ ОТЧЕТ'!$V$7</c:f>
              <c:strCache>
                <c:ptCount val="1"/>
                <c:pt idx="0">
                  <c:v>всего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'ОБЩИЙ ОТЧЕТ'!$C$8:$C$28</c:f>
              <c:strCache>
                <c:ptCount val="21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</c:strCache>
            </c:strRef>
          </c:cat>
          <c:val>
            <c:numRef>
              <c:f>'ОБЩИЙ ОТЧЕТ'!$V$8:$V$28</c:f>
              <c:numCache>
                <c:formatCode>General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15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</c:ser>
        <c:ser>
          <c:idx val="19"/>
          <c:order val="1"/>
          <c:tx>
            <c:strRef>
              <c:f>'ОБЩИЙ ОТЧЕТ'!$W$7</c:f>
              <c:strCache>
                <c:ptCount val="1"/>
                <c:pt idx="0">
                  <c:v>выполненные 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'ОБЩИЙ ОТЧЕТ'!$C$8:$C$28</c:f>
              <c:strCache>
                <c:ptCount val="21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</c:strCache>
            </c:strRef>
          </c:cat>
          <c:val>
            <c:numRef>
              <c:f>'ОБЩИЙ ОТЧЕТ'!$W$8:$W$28</c:f>
              <c:numCache>
                <c:formatCode>General</c:formatCode>
                <c:ptCount val="21"/>
                <c:pt idx="0">
                  <c:v>2</c:v>
                </c:pt>
                <c:pt idx="1">
                  <c:v>3</c:v>
                </c:pt>
                <c:pt idx="2">
                  <c:v>11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</c:ser>
        <c:ser>
          <c:idx val="20"/>
          <c:order val="2"/>
          <c:tx>
            <c:strRef>
              <c:f>'ОБЩИЙ ОТЧЕТ'!$X$7</c:f>
              <c:strCache>
                <c:ptCount val="1"/>
                <c:pt idx="0">
                  <c:v>выполненные в срок</c:v>
                </c:pt>
              </c:strCache>
            </c:strRef>
          </c:tx>
          <c:spPr>
            <a:solidFill>
              <a:srgbClr val="5CE43C"/>
            </a:solidFill>
          </c:spPr>
          <c:invertIfNegative val="0"/>
          <c:cat>
            <c:strRef>
              <c:f>'ОБЩИЙ ОТЧЕТ'!$C$8:$C$28</c:f>
              <c:strCache>
                <c:ptCount val="21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</c:strCache>
            </c:strRef>
          </c:cat>
          <c:val>
            <c:numRef>
              <c:f>'ОБЩИЙ ОТЧЕТ'!$X$8:$X$28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</c:ser>
        <c:ser>
          <c:idx val="21"/>
          <c:order val="3"/>
          <c:tx>
            <c:strRef>
              <c:f>'ОБЩИЙ ОТЧЕТ'!$Y$7</c:f>
              <c:strCache>
                <c:ptCount val="1"/>
                <c:pt idx="0">
                  <c:v>просроченные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'ОБЩИЙ ОТЧЕТ'!$C$8:$C$28</c:f>
              <c:strCache>
                <c:ptCount val="21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</c:strCache>
            </c:strRef>
          </c:cat>
          <c:val>
            <c:numRef>
              <c:f>'ОБЩИЙ ОТЧЕТ'!$Y$8:$Y$28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986368"/>
        <c:axId val="65720256"/>
      </c:barChart>
      <c:catAx>
        <c:axId val="244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720256"/>
        <c:crosses val="autoZero"/>
        <c:auto val="1"/>
        <c:lblAlgn val="ctr"/>
        <c:lblOffset val="100"/>
        <c:noMultiLvlLbl val="0"/>
      </c:catAx>
      <c:valAx>
        <c:axId val="65720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9863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900"/>
              <a:t>Состоянием</a:t>
            </a:r>
            <a:r>
              <a:rPr lang="ru-RU" sz="900" baseline="0"/>
              <a:t> на 20.09.2015</a:t>
            </a:r>
            <a:endParaRPr lang="ru-RU" sz="900"/>
          </a:p>
        </c:rich>
      </c:tx>
      <c:layout>
        <c:manualLayout>
          <c:xMode val="edge"/>
          <c:yMode val="edge"/>
          <c:x val="0.336446622104642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8919072615923014E-2"/>
          <c:y val="5.1400554097404488E-2"/>
          <c:w val="0.79229929987967651"/>
          <c:h val="0.59469524642752991"/>
        </c:manualLayout>
      </c:layout>
      <c:barChart>
        <c:barDir val="col"/>
        <c:grouping val="clustered"/>
        <c:varyColors val="0"/>
        <c:ser>
          <c:idx val="24"/>
          <c:order val="0"/>
          <c:tx>
            <c:strRef>
              <c:f>'ОБЩИЙ ОТЧЕТ'!$AB$7</c:f>
              <c:strCache>
                <c:ptCount val="1"/>
                <c:pt idx="0">
                  <c:v>всего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'ОБЩИЙ ОТЧЕТ'!$C$8:$C$29</c:f>
              <c:strCache>
                <c:ptCount val="22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  <c:pt idx="21">
                  <c:v>Жуков</c:v>
                </c:pt>
              </c:strCache>
            </c:strRef>
          </c:cat>
          <c:val>
            <c:numRef>
              <c:f>'ОБЩИЙ ОТЧЕТ'!$AB$8:$AB$29</c:f>
              <c:numCache>
                <c:formatCode>General</c:formatCode>
                <c:ptCount val="22"/>
                <c:pt idx="0">
                  <c:v>0</c:v>
                </c:pt>
                <c:pt idx="1">
                  <c:v>3</c:v>
                </c:pt>
                <c:pt idx="2">
                  <c:v>15</c:v>
                </c:pt>
                <c:pt idx="3">
                  <c:v>5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</c:ser>
        <c:ser>
          <c:idx val="25"/>
          <c:order val="1"/>
          <c:tx>
            <c:strRef>
              <c:f>'ОБЩИЙ ОТЧЕТ'!$AC$7</c:f>
              <c:strCache>
                <c:ptCount val="1"/>
                <c:pt idx="0">
                  <c:v>выполненные 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'ОБЩИЙ ОТЧЕТ'!$C$8:$C$29</c:f>
              <c:strCache>
                <c:ptCount val="22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  <c:pt idx="21">
                  <c:v>Жуков</c:v>
                </c:pt>
              </c:strCache>
            </c:strRef>
          </c:cat>
          <c:val>
            <c:numRef>
              <c:f>'ОБЩИЙ ОТЧЕТ'!$AC$8:$AC$29</c:f>
              <c:numCache>
                <c:formatCode>General</c:formatCode>
                <c:ptCount val="22"/>
                <c:pt idx="0">
                  <c:v>2</c:v>
                </c:pt>
                <c:pt idx="1">
                  <c:v>3</c:v>
                </c:pt>
                <c:pt idx="2">
                  <c:v>11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</c:ser>
        <c:ser>
          <c:idx val="26"/>
          <c:order val="2"/>
          <c:tx>
            <c:strRef>
              <c:f>'ОБЩИЙ ОТЧЕТ'!$AD$7</c:f>
              <c:strCache>
                <c:ptCount val="1"/>
                <c:pt idx="0">
                  <c:v>выполненные в срок</c:v>
                </c:pt>
              </c:strCache>
            </c:strRef>
          </c:tx>
          <c:spPr>
            <a:solidFill>
              <a:srgbClr val="5CE43C"/>
            </a:solidFill>
          </c:spPr>
          <c:invertIfNegative val="0"/>
          <c:cat>
            <c:strRef>
              <c:f>'ОБЩИЙ ОТЧЕТ'!$C$8:$C$29</c:f>
              <c:strCache>
                <c:ptCount val="22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  <c:pt idx="21">
                  <c:v>Жуков</c:v>
                </c:pt>
              </c:strCache>
            </c:strRef>
          </c:cat>
          <c:val>
            <c:numRef>
              <c:f>'ОБЩИЙ ОТЧЕТ'!$AD$8:$AD$29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</c:ser>
        <c:ser>
          <c:idx val="27"/>
          <c:order val="3"/>
          <c:tx>
            <c:strRef>
              <c:f>'ОБЩИЙ ОТЧЕТ'!$AE$7</c:f>
              <c:strCache>
                <c:ptCount val="1"/>
                <c:pt idx="0">
                  <c:v>просроченные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'ОБЩИЙ ОТЧЕТ'!$C$8:$C$29</c:f>
              <c:strCache>
                <c:ptCount val="22"/>
                <c:pt idx="0">
                  <c:v>Шпиг</c:v>
                </c:pt>
                <c:pt idx="1">
                  <c:v>Фатуев</c:v>
                </c:pt>
                <c:pt idx="2">
                  <c:v>Хавуляк</c:v>
                </c:pt>
                <c:pt idx="3">
                  <c:v>Парыло</c:v>
                </c:pt>
                <c:pt idx="4">
                  <c:v>Казимко</c:v>
                </c:pt>
                <c:pt idx="5">
                  <c:v>Ермаков</c:v>
                </c:pt>
                <c:pt idx="6">
                  <c:v>Томчишин</c:v>
                </c:pt>
                <c:pt idx="7">
                  <c:v>Гаврилова</c:v>
                </c:pt>
                <c:pt idx="8">
                  <c:v>Буслова</c:v>
                </c:pt>
                <c:pt idx="9">
                  <c:v>Ополонец</c:v>
                </c:pt>
                <c:pt idx="10">
                  <c:v>Полонец</c:v>
                </c:pt>
                <c:pt idx="11">
                  <c:v>Коротецкий</c:v>
                </c:pt>
                <c:pt idx="12">
                  <c:v>Нарышков</c:v>
                </c:pt>
                <c:pt idx="13">
                  <c:v>Кузьмич</c:v>
                </c:pt>
                <c:pt idx="14">
                  <c:v>Шокало</c:v>
                </c:pt>
                <c:pt idx="15">
                  <c:v>Красновский</c:v>
                </c:pt>
                <c:pt idx="16">
                  <c:v>Дуда</c:v>
                </c:pt>
                <c:pt idx="17">
                  <c:v>Урайкин</c:v>
                </c:pt>
                <c:pt idx="18">
                  <c:v>РД</c:v>
                </c:pt>
                <c:pt idx="19">
                  <c:v>Блаут</c:v>
                </c:pt>
                <c:pt idx="20">
                  <c:v>Машкина</c:v>
                </c:pt>
                <c:pt idx="21">
                  <c:v>Жуков</c:v>
                </c:pt>
              </c:strCache>
            </c:strRef>
          </c:cat>
          <c:val>
            <c:numRef>
              <c:f>'ОБЩИЙ ОТЧЕТ'!$AE$8:$AE$29</c:f>
              <c:numCache>
                <c:formatCode>General</c:formatCode>
                <c:ptCount val="22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987392"/>
        <c:axId val="246778688"/>
      </c:barChart>
      <c:catAx>
        <c:axId val="24498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6778688"/>
        <c:crosses val="autoZero"/>
        <c:auto val="1"/>
        <c:lblAlgn val="ctr"/>
        <c:lblOffset val="100"/>
        <c:noMultiLvlLbl val="0"/>
      </c:catAx>
      <c:valAx>
        <c:axId val="246778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9873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Процент выполнения задач</a:t>
            </a:r>
          </a:p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состоянием на 21.08.2015</a:t>
            </a:r>
          </a:p>
        </c:rich>
      </c:tx>
      <c:layout>
        <c:manualLayout>
          <c:xMode val="edge"/>
          <c:yMode val="edge"/>
          <c:x val="0.33484216936948591"/>
          <c:y val="3.017241379310345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rotY val="3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01233740505063"/>
          <c:y val="0.38793103448275862"/>
          <c:w val="0.57164488423372306"/>
          <c:h val="0.45043103448275829"/>
        </c:manualLayout>
      </c:layout>
      <c:pie3DChart>
        <c:varyColors val="1"/>
        <c:ser>
          <c:idx val="2"/>
          <c:order val="0"/>
          <c:explosion val="25"/>
          <c:dPt>
            <c:idx val="0"/>
            <c:bubble3D val="0"/>
            <c:spPr>
              <a:solidFill>
                <a:srgbClr val="5CE43C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'ОБЩИЙ ОТЧЕТ'!$B$32:$B$34</c:f>
              <c:strCache>
                <c:ptCount val="3"/>
                <c:pt idx="0">
                  <c:v>ПРОЦЕНТ ВЫПОЛНЕННЫХ В СРОК ЗАДАЧ</c:v>
                </c:pt>
                <c:pt idx="1">
                  <c:v>ПРОЦЕНТ ПРОСРОЧЕННЫХ ЗАДАЧ </c:v>
                </c:pt>
                <c:pt idx="2">
                  <c:v>ПРОЦЕНТ  ЗАДАЧ ЖДУЩИХ ВЫПОЛНЕНИЯ</c:v>
                </c:pt>
              </c:strCache>
            </c:strRef>
          </c:cat>
          <c:val>
            <c:numRef>
              <c:f>'ОБЩИЙ ОТЧЕТ'!$D$32:$D$34</c:f>
              <c:numCache>
                <c:formatCode>0.00%</c:formatCode>
                <c:ptCount val="3"/>
                <c:pt idx="0">
                  <c:v>0.27272727272727271</c:v>
                </c:pt>
                <c:pt idx="1">
                  <c:v>0.54545454545454541</c:v>
                </c:pt>
                <c:pt idx="2">
                  <c:v>0.18181818181818182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65716503096247"/>
          <c:y val="0.12478753733369535"/>
          <c:w val="0.24434283496903753"/>
          <c:h val="0.215744863788578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25" b="1" i="0" u="none" strike="noStrike" baseline="0">
              <a:solidFill>
                <a:srgbClr val="000000"/>
              </a:solidFill>
              <a:latin typeface="RomanT"/>
              <a:ea typeface="RomanT"/>
              <a:cs typeface="RomanT"/>
            </a:defRPr>
          </a:pPr>
          <a:endParaRPr lang="ru-RU"/>
        </a:p>
      </c:txPr>
    </c:legend>
    <c:plotVisOnly val="1"/>
    <c:dispBlanksAs val="zero"/>
    <c:showDLblsOverMax val="0"/>
  </c:chart>
  <c:spPr>
    <a:pattFill prst="pct25">
      <a:fgClr>
        <a:srgbClr val="FFCC99"/>
      </a:fgClr>
      <a:bgClr>
        <a:srgbClr val="FFFFFF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RomanT"/>
          <a:ea typeface="RomanT"/>
          <a:cs typeface="RomanT"/>
        </a:defRPr>
      </a:pPr>
      <a:endParaRPr lang="ru-RU"/>
    </a:p>
  </c:txPr>
  <c:printSettings>
    <c:headerFooter alignWithMargins="0"/>
    <c:pageMargins b="1" l="0.75000000000000133" r="0.75000000000000133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Процент выполнения задач</a:t>
            </a:r>
          </a:p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состоянием на 31.08.2015</a:t>
            </a:r>
          </a:p>
        </c:rich>
      </c:tx>
      <c:layout>
        <c:manualLayout>
          <c:xMode val="edge"/>
          <c:yMode val="edge"/>
          <c:x val="0.10416366658324189"/>
          <c:y val="1.2383021087881257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rotY val="3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01233740505063"/>
          <c:y val="0.38793103448275862"/>
          <c:w val="0.57164488423372306"/>
          <c:h val="0.45043103448275829"/>
        </c:manualLayout>
      </c:layout>
      <c:pie3DChart>
        <c:varyColors val="1"/>
        <c:ser>
          <c:idx val="2"/>
          <c:order val="0"/>
          <c:explosion val="25"/>
          <c:dPt>
            <c:idx val="0"/>
            <c:bubble3D val="0"/>
            <c:spPr>
              <a:solidFill>
                <a:srgbClr val="5CE43C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'ОБЩИЙ ОТЧЕТ'!$B$32:$B$34</c:f>
              <c:strCache>
                <c:ptCount val="3"/>
                <c:pt idx="0">
                  <c:v>ПРОЦЕНТ ВЫПОЛНЕННЫХ В СРОК ЗАДАЧ</c:v>
                </c:pt>
                <c:pt idx="1">
                  <c:v>ПРОЦЕНТ ПРОСРОЧЕННЫХ ЗАДАЧ </c:v>
                </c:pt>
                <c:pt idx="2">
                  <c:v>ПРОЦЕНТ  ЗАДАЧ ЖДУЩИХ ВЫПОЛНЕНИЯ</c:v>
                </c:pt>
              </c:strCache>
            </c:strRef>
          </c:cat>
          <c:val>
            <c:numRef>
              <c:f>'ОБЩИЙ ОТЧЕТ'!$J$32:$J$34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0.66666666666666663</c:v>
                </c:pt>
                <c:pt idx="2">
                  <c:v>0.22222222222222221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730640638135389"/>
          <c:y val="0.12478753733369535"/>
          <c:w val="0.42269359361864611"/>
          <c:h val="0.242428952846411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25" b="1" i="0" u="none" strike="noStrike" baseline="0">
              <a:solidFill>
                <a:srgbClr val="000000"/>
              </a:solidFill>
              <a:latin typeface="RomanT"/>
              <a:ea typeface="RomanT"/>
              <a:cs typeface="RomanT"/>
            </a:defRPr>
          </a:pPr>
          <a:endParaRPr lang="ru-RU"/>
        </a:p>
      </c:txPr>
    </c:legend>
    <c:plotVisOnly val="1"/>
    <c:dispBlanksAs val="zero"/>
    <c:showDLblsOverMax val="0"/>
  </c:chart>
  <c:spPr>
    <a:pattFill prst="pct25">
      <a:fgClr>
        <a:srgbClr val="FFCC99"/>
      </a:fgClr>
      <a:bgClr>
        <a:srgbClr val="FFFFFF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RomanT"/>
          <a:ea typeface="RomanT"/>
          <a:cs typeface="RomanT"/>
        </a:defRPr>
      </a:pPr>
      <a:endParaRPr lang="ru-RU"/>
    </a:p>
  </c:txPr>
  <c:printSettings>
    <c:headerFooter alignWithMargins="0"/>
    <c:pageMargins b="1" l="0.75000000000000133" r="0.75000000000000133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Процент выполнения задач</a:t>
            </a:r>
          </a:p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состоянием на </a:t>
            </a:r>
            <a:r>
              <a:rPr lang="en-US"/>
              <a:t>06</a:t>
            </a:r>
            <a:r>
              <a:rPr lang="ru-RU"/>
              <a:t>.0</a:t>
            </a:r>
            <a:r>
              <a:rPr lang="en-US"/>
              <a:t>9</a:t>
            </a:r>
            <a:r>
              <a:rPr lang="ru-RU"/>
              <a:t>.2015</a:t>
            </a:r>
          </a:p>
        </c:rich>
      </c:tx>
      <c:layout>
        <c:manualLayout>
          <c:xMode val="edge"/>
          <c:yMode val="edge"/>
          <c:x val="0.10750680812785725"/>
          <c:y val="9.4180468820707752E-3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rotY val="3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01233740505063"/>
          <c:y val="0.38793103448275862"/>
          <c:w val="0.57164488423372306"/>
          <c:h val="0.45043103448275829"/>
        </c:manualLayout>
      </c:layout>
      <c:pie3DChart>
        <c:varyColors val="1"/>
        <c:ser>
          <c:idx val="2"/>
          <c:order val="0"/>
          <c:explosion val="25"/>
          <c:dPt>
            <c:idx val="0"/>
            <c:bubble3D val="0"/>
            <c:spPr>
              <a:solidFill>
                <a:srgbClr val="5CE43C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'ОБЩИЙ ОТЧЕТ'!$B$32:$B$34</c:f>
              <c:strCache>
                <c:ptCount val="3"/>
                <c:pt idx="0">
                  <c:v>ПРОЦЕНТ ВЫПОЛНЕННЫХ В СРОК ЗАДАЧ</c:v>
                </c:pt>
                <c:pt idx="1">
                  <c:v>ПРОЦЕНТ ПРОСРОЧЕННЫХ ЗАДАЧ </c:v>
                </c:pt>
                <c:pt idx="2">
                  <c:v>ПРОЦЕНТ  ЗАДАЧ ЖДУЩИХ ВЫПОЛНЕНИЯ</c:v>
                </c:pt>
              </c:strCache>
            </c:strRef>
          </c:cat>
          <c:val>
            <c:numRef>
              <c:f>'ОБЩИЙ ОТЧЕТ'!$P$32:$P$34</c:f>
              <c:numCache>
                <c:formatCode>0.00%</c:formatCode>
                <c:ptCount val="3"/>
                <c:pt idx="0">
                  <c:v>0.55319148936170215</c:v>
                </c:pt>
                <c:pt idx="1">
                  <c:v>0.42553191489361702</c:v>
                </c:pt>
                <c:pt idx="2">
                  <c:v>0.19148936170212766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730632262516479"/>
          <c:y val="0.12478753733369535"/>
          <c:w val="0.42269367737483521"/>
          <c:h val="0.242428952846411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25" b="1" i="0" u="none" strike="noStrike" baseline="0">
              <a:solidFill>
                <a:srgbClr val="000000"/>
              </a:solidFill>
              <a:latin typeface="RomanT"/>
              <a:ea typeface="RomanT"/>
              <a:cs typeface="RomanT"/>
            </a:defRPr>
          </a:pPr>
          <a:endParaRPr lang="ru-RU"/>
        </a:p>
      </c:txPr>
    </c:legend>
    <c:plotVisOnly val="1"/>
    <c:dispBlanksAs val="zero"/>
    <c:showDLblsOverMax val="0"/>
  </c:chart>
  <c:spPr>
    <a:pattFill prst="pct25">
      <a:fgClr>
        <a:srgbClr val="FFCC99"/>
      </a:fgClr>
      <a:bgClr>
        <a:srgbClr val="FFFFFF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RomanT"/>
          <a:ea typeface="RomanT"/>
          <a:cs typeface="RomanT"/>
        </a:defRPr>
      </a:pPr>
      <a:endParaRPr lang="ru-RU"/>
    </a:p>
  </c:txPr>
  <c:printSettings>
    <c:headerFooter alignWithMargins="0"/>
    <c:pageMargins b="1" l="0.75000000000000133" r="0.75000000000000133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Процент выполнения задач</a:t>
            </a:r>
          </a:p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состоянием на </a:t>
            </a:r>
            <a:r>
              <a:rPr lang="en-US"/>
              <a:t>13</a:t>
            </a:r>
            <a:r>
              <a:rPr lang="ru-RU"/>
              <a:t>.0</a:t>
            </a:r>
            <a:r>
              <a:rPr lang="en-US"/>
              <a:t>9</a:t>
            </a:r>
            <a:r>
              <a:rPr lang="ru-RU"/>
              <a:t>.2015</a:t>
            </a:r>
          </a:p>
        </c:rich>
      </c:tx>
      <c:layout>
        <c:manualLayout>
          <c:xMode val="edge"/>
          <c:yMode val="edge"/>
          <c:x val="0.10750679707637442"/>
          <c:y val="9.4180468820707752E-3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rotY val="3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01233740505063"/>
          <c:y val="0.38793103448275862"/>
          <c:w val="0.57164488423372306"/>
          <c:h val="0.45043103448275829"/>
        </c:manualLayout>
      </c:layout>
      <c:pie3DChart>
        <c:varyColors val="1"/>
        <c:ser>
          <c:idx val="2"/>
          <c:order val="0"/>
          <c:explosion val="25"/>
          <c:dPt>
            <c:idx val="0"/>
            <c:bubble3D val="0"/>
            <c:spPr>
              <a:solidFill>
                <a:srgbClr val="5CE43C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'ОБЩИЙ ОТЧЕТ'!$B$32:$B$34</c:f>
              <c:strCache>
                <c:ptCount val="3"/>
                <c:pt idx="0">
                  <c:v>ПРОЦЕНТ ВЫПОЛНЕННЫХ В СРОК ЗАДАЧ</c:v>
                </c:pt>
                <c:pt idx="1">
                  <c:v>ПРОЦЕНТ ПРОСРОЧЕННЫХ ЗАДАЧ </c:v>
                </c:pt>
                <c:pt idx="2">
                  <c:v>ПРОЦЕНТ  ЗАДАЧ ЖДУЩИХ ВЫПОЛНЕНИЯ</c:v>
                </c:pt>
              </c:strCache>
            </c:strRef>
          </c:cat>
          <c:val>
            <c:numRef>
              <c:f>'ОБЩИЙ ОТЧЕТ'!$V$32:$V$34</c:f>
              <c:numCache>
                <c:formatCode>0.00%</c:formatCode>
                <c:ptCount val="3"/>
                <c:pt idx="0">
                  <c:v>0.48484848484848486</c:v>
                </c:pt>
                <c:pt idx="1">
                  <c:v>0.33333333333333331</c:v>
                </c:pt>
                <c:pt idx="2">
                  <c:v>0.22727272727272727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730635688476162"/>
          <c:y val="0.12478753733369535"/>
          <c:w val="0.42269364311523838"/>
          <c:h val="0.242428952846411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25" b="1" i="0" u="none" strike="noStrike" baseline="0">
              <a:solidFill>
                <a:srgbClr val="000000"/>
              </a:solidFill>
              <a:latin typeface="RomanT"/>
              <a:ea typeface="RomanT"/>
              <a:cs typeface="RomanT"/>
            </a:defRPr>
          </a:pPr>
          <a:endParaRPr lang="ru-RU"/>
        </a:p>
      </c:txPr>
    </c:legend>
    <c:plotVisOnly val="1"/>
    <c:dispBlanksAs val="zero"/>
    <c:showDLblsOverMax val="0"/>
  </c:chart>
  <c:spPr>
    <a:pattFill prst="pct25">
      <a:fgClr>
        <a:srgbClr val="FFCC99"/>
      </a:fgClr>
      <a:bgClr>
        <a:srgbClr val="FFFFFF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RomanT"/>
          <a:ea typeface="RomanT"/>
          <a:cs typeface="RomanT"/>
        </a:defRPr>
      </a:pPr>
      <a:endParaRPr lang="ru-RU"/>
    </a:p>
  </c:txPr>
  <c:printSettings>
    <c:headerFooter alignWithMargins="0"/>
    <c:pageMargins b="1" l="0.75000000000000133" r="0.75000000000000133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Процент выполнения задач</a:t>
            </a:r>
          </a:p>
          <a:p>
            <a:pPr>
              <a:defRPr sz="1175" b="1" i="0" u="none" strike="noStrike" baseline="0">
                <a:solidFill>
                  <a:srgbClr val="000000"/>
                </a:solidFill>
                <a:latin typeface="RomanT"/>
                <a:ea typeface="RomanT"/>
                <a:cs typeface="RomanT"/>
              </a:defRPr>
            </a:pPr>
            <a:r>
              <a:rPr lang="ru-RU"/>
              <a:t>состоянием на </a:t>
            </a:r>
            <a:r>
              <a:rPr lang="en-US"/>
              <a:t>20</a:t>
            </a:r>
            <a:r>
              <a:rPr lang="ru-RU"/>
              <a:t>.0</a:t>
            </a:r>
            <a:r>
              <a:rPr lang="en-US"/>
              <a:t>9</a:t>
            </a:r>
            <a:r>
              <a:rPr lang="ru-RU"/>
              <a:t>.2015</a:t>
            </a:r>
          </a:p>
        </c:rich>
      </c:tx>
      <c:layout>
        <c:manualLayout>
          <c:xMode val="edge"/>
          <c:yMode val="edge"/>
          <c:x val="0.10750680870773506"/>
          <c:y val="9.4180468820707752E-3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rotY val="3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01233740505063"/>
          <c:y val="0.38793103448275862"/>
          <c:w val="0.57164488423372306"/>
          <c:h val="0.45043103448275829"/>
        </c:manualLayout>
      </c:layout>
      <c:pie3DChart>
        <c:varyColors val="1"/>
        <c:ser>
          <c:idx val="2"/>
          <c:order val="0"/>
          <c:explosion val="25"/>
          <c:dPt>
            <c:idx val="0"/>
            <c:bubble3D val="0"/>
            <c:spPr>
              <a:solidFill>
                <a:srgbClr val="5CE43C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'ОБЩИЙ ОТЧЕТ'!$B$32:$B$34</c:f>
              <c:strCache>
                <c:ptCount val="3"/>
                <c:pt idx="0">
                  <c:v>ПРОЦЕНТ ВЫПОЛНЕННЫХ В СРОК ЗАДАЧ</c:v>
                </c:pt>
                <c:pt idx="1">
                  <c:v>ПРОЦЕНТ ПРОСРОЧЕННЫХ ЗАДАЧ </c:v>
                </c:pt>
                <c:pt idx="2">
                  <c:v>ПРОЦЕНТ  ЗАДАЧ ЖДУЩИХ ВЫПОЛНЕНИЯ</c:v>
                </c:pt>
              </c:strCache>
            </c:strRef>
          </c:cat>
          <c:val>
            <c:numRef>
              <c:f>'ОБЩИЙ ОТЧЕТ'!$AB$32:$AB$34</c:f>
              <c:numCache>
                <c:formatCode>0.00%</c:formatCode>
                <c:ptCount val="3"/>
                <c:pt idx="0">
                  <c:v>0.45714285714285713</c:v>
                </c:pt>
                <c:pt idx="1">
                  <c:v>0.32857142857142857</c:v>
                </c:pt>
                <c:pt idx="2">
                  <c:v>0.24285714285714285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73062837733518"/>
          <c:y val="0.12478753733369535"/>
          <c:w val="0.4226937162266482"/>
          <c:h val="0.242428952846411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825" b="1" i="0" u="none" strike="noStrike" baseline="0">
              <a:solidFill>
                <a:srgbClr val="000000"/>
              </a:solidFill>
              <a:latin typeface="RomanT"/>
              <a:ea typeface="RomanT"/>
              <a:cs typeface="RomanT"/>
            </a:defRPr>
          </a:pPr>
          <a:endParaRPr lang="ru-RU"/>
        </a:p>
      </c:txPr>
    </c:legend>
    <c:plotVisOnly val="1"/>
    <c:dispBlanksAs val="zero"/>
    <c:showDLblsOverMax val="0"/>
  </c:chart>
  <c:spPr>
    <a:pattFill prst="pct25">
      <a:fgClr>
        <a:srgbClr val="FFCC99"/>
      </a:fgClr>
      <a:bgClr>
        <a:srgbClr val="FFFFFF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RomanT"/>
          <a:ea typeface="RomanT"/>
          <a:cs typeface="RomanT"/>
        </a:defRPr>
      </a:pPr>
      <a:endParaRPr lang="ru-RU"/>
    </a:p>
  </c:txPr>
  <c:printSettings>
    <c:headerFooter alignWithMargins="0"/>
    <c:pageMargins b="1" l="0.75000000000000133" r="0.75000000000000133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35</xdr:row>
      <xdr:rowOff>9525</xdr:rowOff>
    </xdr:from>
    <xdr:to>
      <xdr:col>7</xdr:col>
      <xdr:colOff>1171575</xdr:colOff>
      <xdr:row>53</xdr:row>
      <xdr:rowOff>95250</xdr:rowOff>
    </xdr:to>
    <xdr:graphicFrame macro="">
      <xdr:nvGraphicFramePr>
        <xdr:cNvPr id="23718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409575</xdr:colOff>
      <xdr:row>35</xdr:row>
      <xdr:rowOff>9525</xdr:rowOff>
    </xdr:from>
    <xdr:to>
      <xdr:col>14</xdr:col>
      <xdr:colOff>438150</xdr:colOff>
      <xdr:row>53</xdr:row>
      <xdr:rowOff>95250</xdr:rowOff>
    </xdr:to>
    <xdr:graphicFrame macro="">
      <xdr:nvGraphicFramePr>
        <xdr:cNvPr id="23719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609600</xdr:colOff>
      <xdr:row>35</xdr:row>
      <xdr:rowOff>0</xdr:rowOff>
    </xdr:from>
    <xdr:to>
      <xdr:col>21</xdr:col>
      <xdr:colOff>161925</xdr:colOff>
      <xdr:row>53</xdr:row>
      <xdr:rowOff>85725</xdr:rowOff>
    </xdr:to>
    <xdr:graphicFrame macro="">
      <xdr:nvGraphicFramePr>
        <xdr:cNvPr id="23720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19050</xdr:colOff>
      <xdr:row>34</xdr:row>
      <xdr:rowOff>142875</xdr:rowOff>
    </xdr:from>
    <xdr:to>
      <xdr:col>27</xdr:col>
      <xdr:colOff>438150</xdr:colOff>
      <xdr:row>53</xdr:row>
      <xdr:rowOff>66675</xdr:rowOff>
    </xdr:to>
    <xdr:graphicFrame macro="">
      <xdr:nvGraphicFramePr>
        <xdr:cNvPr id="23721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35</xdr:row>
      <xdr:rowOff>0</xdr:rowOff>
    </xdr:from>
    <xdr:to>
      <xdr:col>33</xdr:col>
      <xdr:colOff>457200</xdr:colOff>
      <xdr:row>53</xdr:row>
      <xdr:rowOff>85725</xdr:rowOff>
    </xdr:to>
    <xdr:graphicFrame macro="">
      <xdr:nvGraphicFramePr>
        <xdr:cNvPr id="23722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56</xdr:row>
      <xdr:rowOff>0</xdr:rowOff>
    </xdr:from>
    <xdr:to>
      <xdr:col>8</xdr:col>
      <xdr:colOff>85725</xdr:colOff>
      <xdr:row>83</xdr:row>
      <xdr:rowOff>47625</xdr:rowOff>
    </xdr:to>
    <xdr:graphicFrame macro="">
      <xdr:nvGraphicFramePr>
        <xdr:cNvPr id="237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419100</xdr:colOff>
      <xdr:row>56</xdr:row>
      <xdr:rowOff>0</xdr:rowOff>
    </xdr:from>
    <xdr:to>
      <xdr:col>14</xdr:col>
      <xdr:colOff>381000</xdr:colOff>
      <xdr:row>83</xdr:row>
      <xdr:rowOff>47625</xdr:rowOff>
    </xdr:to>
    <xdr:graphicFrame macro="">
      <xdr:nvGraphicFramePr>
        <xdr:cNvPr id="2372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56</xdr:row>
      <xdr:rowOff>0</xdr:rowOff>
    </xdr:from>
    <xdr:to>
      <xdr:col>20</xdr:col>
      <xdr:colOff>695325</xdr:colOff>
      <xdr:row>83</xdr:row>
      <xdr:rowOff>47625</xdr:rowOff>
    </xdr:to>
    <xdr:graphicFrame macro="">
      <xdr:nvGraphicFramePr>
        <xdr:cNvPr id="2372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56</xdr:row>
      <xdr:rowOff>0</xdr:rowOff>
    </xdr:from>
    <xdr:to>
      <xdr:col>27</xdr:col>
      <xdr:colOff>247650</xdr:colOff>
      <xdr:row>83</xdr:row>
      <xdr:rowOff>47625</xdr:rowOff>
    </xdr:to>
    <xdr:graphicFrame macro="">
      <xdr:nvGraphicFramePr>
        <xdr:cNvPr id="237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533400</xdr:colOff>
      <xdr:row>56</xdr:row>
      <xdr:rowOff>38100</xdr:rowOff>
    </xdr:from>
    <xdr:to>
      <xdr:col>32</xdr:col>
      <xdr:colOff>304800</xdr:colOff>
      <xdr:row>83</xdr:row>
      <xdr:rowOff>85725</xdr:rowOff>
    </xdr:to>
    <xdr:graphicFrame macro="">
      <xdr:nvGraphicFramePr>
        <xdr:cNvPr id="2372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 enableFormatConditionsCalculation="0">
    <tabColor indexed="12"/>
  </sheetPr>
  <dimension ref="A1:I78"/>
  <sheetViews>
    <sheetView view="pageBreakPreview" zoomScale="80" zoomScaleNormal="75" zoomScaleSheetLayoutView="80" workbookViewId="0">
      <pane ySplit="4" topLeftCell="A5" activePane="bottomLeft" state="frozen"/>
      <selection activeCell="J1" sqref="J1"/>
      <selection pane="bottomLeft" activeCell="H24" sqref="H24"/>
    </sheetView>
  </sheetViews>
  <sheetFormatPr defaultRowHeight="12.75" outlineLevelCol="1" x14ac:dyDescent="0.2"/>
  <cols>
    <col min="1" max="1" width="16.5703125" style="1" customWidth="1"/>
    <col min="2" max="2" width="15.7109375" style="1" customWidth="1"/>
    <col min="3" max="3" width="17.7109375" style="1" customWidth="1"/>
    <col min="4" max="4" width="41.140625" style="1" customWidth="1"/>
    <col min="5" max="5" width="19.85546875" style="1" customWidth="1" outlineLevel="1"/>
    <col min="6" max="6" width="20.5703125" style="1" customWidth="1" outlineLevel="1"/>
    <col min="7" max="7" width="21.5703125" style="1" customWidth="1"/>
    <col min="8" max="8" width="16.85546875" style="1" customWidth="1"/>
    <col min="9" max="9" width="14.5703125" style="1" customWidth="1"/>
    <col min="10" max="16384" width="9.140625" style="1"/>
  </cols>
  <sheetData>
    <row r="1" spans="1:9" x14ac:dyDescent="0.2">
      <c r="G1" s="1">
        <v>1</v>
      </c>
      <c r="H1" s="1">
        <v>0</v>
      </c>
      <c r="I1" s="1">
        <v>-1</v>
      </c>
    </row>
    <row r="2" spans="1:9" ht="38.25" customHeight="1" x14ac:dyDescent="0.4">
      <c r="B2" s="63" t="s">
        <v>8</v>
      </c>
      <c r="C2" s="64"/>
      <c r="D2" s="64"/>
      <c r="E2" s="64"/>
      <c r="F2" s="64"/>
      <c r="G2" s="64"/>
      <c r="H2" s="64"/>
    </row>
    <row r="4" spans="1:9" ht="87" customHeight="1" x14ac:dyDescent="0.2">
      <c r="A4" s="12" t="s">
        <v>19</v>
      </c>
      <c r="B4" s="12" t="s">
        <v>10</v>
      </c>
      <c r="C4" s="12" t="s">
        <v>11</v>
      </c>
      <c r="D4" s="12" t="s">
        <v>12</v>
      </c>
      <c r="E4" s="12" t="s">
        <v>13</v>
      </c>
      <c r="F4" s="12" t="s">
        <v>14</v>
      </c>
      <c r="G4" s="13" t="s">
        <v>16</v>
      </c>
      <c r="H4" s="12" t="s">
        <v>15</v>
      </c>
      <c r="I4" s="13" t="s">
        <v>9</v>
      </c>
    </row>
    <row r="5" spans="1:9" ht="51" x14ac:dyDescent="0.2">
      <c r="A5" s="17">
        <v>42228</v>
      </c>
      <c r="B5" s="19" t="s">
        <v>20</v>
      </c>
      <c r="C5" s="15" t="s">
        <v>35</v>
      </c>
      <c r="D5" s="19" t="s">
        <v>24</v>
      </c>
      <c r="E5" s="17">
        <v>42234</v>
      </c>
      <c r="F5" s="17">
        <v>42241</v>
      </c>
      <c r="G5" s="15">
        <f>SUM(F5,-E5)</f>
        <v>7</v>
      </c>
      <c r="H5" s="19" t="s">
        <v>43</v>
      </c>
      <c r="I5" s="16">
        <v>1</v>
      </c>
    </row>
    <row r="6" spans="1:9" ht="38.25" x14ac:dyDescent="0.2">
      <c r="A6" s="17">
        <v>42228</v>
      </c>
      <c r="B6" s="19" t="s">
        <v>44</v>
      </c>
      <c r="C6" s="15" t="s">
        <v>36</v>
      </c>
      <c r="D6" s="19" t="s">
        <v>25</v>
      </c>
      <c r="E6" s="17">
        <v>42233</v>
      </c>
      <c r="F6" s="17">
        <v>42241</v>
      </c>
      <c r="G6" s="7">
        <f>SUM(F6,-E6)</f>
        <v>8</v>
      </c>
      <c r="H6" s="19" t="s">
        <v>43</v>
      </c>
      <c r="I6" s="4">
        <v>1</v>
      </c>
    </row>
    <row r="7" spans="1:9" ht="25.5" x14ac:dyDescent="0.2">
      <c r="A7" s="18">
        <v>42228</v>
      </c>
      <c r="B7" s="20" t="s">
        <v>44</v>
      </c>
      <c r="C7" s="15" t="s">
        <v>36</v>
      </c>
      <c r="D7" s="20" t="s">
        <v>26</v>
      </c>
      <c r="E7" s="18">
        <v>42230</v>
      </c>
      <c r="F7" s="18">
        <v>42241</v>
      </c>
      <c r="G7" s="22">
        <f>SUM(F7,-E7)</f>
        <v>11</v>
      </c>
      <c r="H7" s="20" t="s">
        <v>43</v>
      </c>
      <c r="I7" s="4">
        <v>1</v>
      </c>
    </row>
    <row r="8" spans="1:9" ht="38.25" x14ac:dyDescent="0.2">
      <c r="A8" s="18">
        <v>42228</v>
      </c>
      <c r="B8" s="20" t="s">
        <v>21</v>
      </c>
      <c r="C8" s="21" t="s">
        <v>37</v>
      </c>
      <c r="D8" s="20" t="s">
        <v>27</v>
      </c>
      <c r="E8" s="23">
        <v>42235</v>
      </c>
      <c r="F8" s="18">
        <v>42258</v>
      </c>
      <c r="G8" s="22">
        <f t="shared" ref="G8:G14" si="0">SUM(F8,-E8)</f>
        <v>23</v>
      </c>
      <c r="H8" s="20" t="s">
        <v>43</v>
      </c>
      <c r="I8" s="4">
        <v>1</v>
      </c>
    </row>
    <row r="9" spans="1:9" ht="63.75" x14ac:dyDescent="0.2">
      <c r="A9" s="18">
        <v>42234</v>
      </c>
      <c r="B9" s="20" t="s">
        <v>20</v>
      </c>
      <c r="C9" s="21" t="s">
        <v>35</v>
      </c>
      <c r="D9" s="20" t="s">
        <v>28</v>
      </c>
      <c r="E9" s="18">
        <v>42285</v>
      </c>
      <c r="F9" s="23">
        <f ca="1">TODAY()</f>
        <v>42271</v>
      </c>
      <c r="G9" s="22">
        <f t="shared" ca="1" si="0"/>
        <v>-14</v>
      </c>
      <c r="H9" s="20" t="s">
        <v>42</v>
      </c>
      <c r="I9" s="4">
        <v>-1</v>
      </c>
    </row>
    <row r="10" spans="1:9" x14ac:dyDescent="0.2">
      <c r="A10" s="18">
        <v>42234</v>
      </c>
      <c r="B10" s="20" t="s">
        <v>34</v>
      </c>
      <c r="C10" s="21" t="s">
        <v>38</v>
      </c>
      <c r="D10" s="20" t="s">
        <v>29</v>
      </c>
      <c r="E10" s="23">
        <v>42241</v>
      </c>
      <c r="F10" s="18">
        <v>42255</v>
      </c>
      <c r="G10" s="22">
        <f t="shared" si="0"/>
        <v>14</v>
      </c>
      <c r="H10" s="20" t="s">
        <v>43</v>
      </c>
      <c r="I10" s="4">
        <v>1</v>
      </c>
    </row>
    <row r="11" spans="1:9" ht="51" x14ac:dyDescent="0.2">
      <c r="A11" s="18">
        <v>42234</v>
      </c>
      <c r="B11" s="20" t="s">
        <v>34</v>
      </c>
      <c r="C11" s="21" t="s">
        <v>38</v>
      </c>
      <c r="D11" s="20" t="s">
        <v>30</v>
      </c>
      <c r="E11" s="18">
        <v>42282</v>
      </c>
      <c r="F11" s="23">
        <f ca="1">TODAY()</f>
        <v>42271</v>
      </c>
      <c r="G11" s="22">
        <f t="shared" ca="1" si="0"/>
        <v>-11</v>
      </c>
      <c r="H11" s="20" t="s">
        <v>42</v>
      </c>
      <c r="I11" s="4">
        <v>-1</v>
      </c>
    </row>
    <row r="12" spans="1:9" ht="25.5" x14ac:dyDescent="0.2">
      <c r="A12" s="18">
        <v>42234</v>
      </c>
      <c r="B12" s="20" t="s">
        <v>22</v>
      </c>
      <c r="C12" s="21" t="s">
        <v>39</v>
      </c>
      <c r="D12" s="20" t="s">
        <v>31</v>
      </c>
      <c r="E12" s="23">
        <v>42241</v>
      </c>
      <c r="F12" s="18">
        <v>42235</v>
      </c>
      <c r="G12" s="22">
        <v>0</v>
      </c>
      <c r="H12" s="20" t="s">
        <v>41</v>
      </c>
      <c r="I12" s="4">
        <v>0</v>
      </c>
    </row>
    <row r="13" spans="1:9" ht="25.5" x14ac:dyDescent="0.2">
      <c r="A13" s="17">
        <v>42234</v>
      </c>
      <c r="B13" s="19" t="s">
        <v>22</v>
      </c>
      <c r="C13" s="15" t="s">
        <v>39</v>
      </c>
      <c r="D13" s="19" t="s">
        <v>32</v>
      </c>
      <c r="E13" s="17">
        <v>42235</v>
      </c>
      <c r="F13" s="17">
        <v>42235</v>
      </c>
      <c r="G13" s="7">
        <f t="shared" si="0"/>
        <v>0</v>
      </c>
      <c r="H13" s="19" t="s">
        <v>41</v>
      </c>
      <c r="I13" s="4">
        <v>0</v>
      </c>
    </row>
    <row r="14" spans="1:9" ht="25.5" x14ac:dyDescent="0.2">
      <c r="A14" s="27">
        <v>42234</v>
      </c>
      <c r="B14" s="28" t="s">
        <v>23</v>
      </c>
      <c r="C14" s="29" t="s">
        <v>40</v>
      </c>
      <c r="D14" s="28" t="s">
        <v>33</v>
      </c>
      <c r="E14" s="27">
        <v>42237</v>
      </c>
      <c r="F14" s="27">
        <v>42248</v>
      </c>
      <c r="G14" s="30">
        <f t="shared" si="0"/>
        <v>11</v>
      </c>
      <c r="H14" s="28" t="s">
        <v>43</v>
      </c>
      <c r="I14" s="31">
        <v>1</v>
      </c>
    </row>
    <row r="15" spans="1:9" ht="38.25" x14ac:dyDescent="0.2">
      <c r="A15" s="32">
        <v>42236</v>
      </c>
      <c r="B15" s="33" t="s">
        <v>49</v>
      </c>
      <c r="C15" s="15" t="s">
        <v>50</v>
      </c>
      <c r="D15" s="33" t="s">
        <v>51</v>
      </c>
      <c r="E15" s="32">
        <v>42242</v>
      </c>
      <c r="F15" s="34">
        <v>42241</v>
      </c>
      <c r="G15" s="7">
        <f t="shared" ref="G15:G78" si="1">SUM(F15,-E15)</f>
        <v>-1</v>
      </c>
      <c r="H15" s="33" t="s">
        <v>41</v>
      </c>
      <c r="I15" s="4">
        <v>0</v>
      </c>
    </row>
    <row r="16" spans="1:9" ht="51" x14ac:dyDescent="0.2">
      <c r="A16" s="32">
        <v>42241</v>
      </c>
      <c r="B16" s="33" t="s">
        <v>52</v>
      </c>
      <c r="C16" s="15" t="s">
        <v>86</v>
      </c>
      <c r="D16" s="33" t="s">
        <v>59</v>
      </c>
      <c r="E16" s="32">
        <v>42241</v>
      </c>
      <c r="F16" s="34">
        <v>42242</v>
      </c>
      <c r="G16" s="7">
        <f t="shared" si="1"/>
        <v>1</v>
      </c>
      <c r="H16" s="33" t="s">
        <v>41</v>
      </c>
      <c r="I16" s="4">
        <v>0</v>
      </c>
    </row>
    <row r="17" spans="1:9" ht="51" x14ac:dyDescent="0.2">
      <c r="A17" s="32">
        <v>42241</v>
      </c>
      <c r="B17" s="33" t="s">
        <v>20</v>
      </c>
      <c r="C17" s="15" t="s">
        <v>35</v>
      </c>
      <c r="D17" s="33" t="s">
        <v>60</v>
      </c>
      <c r="E17" s="32">
        <v>42241</v>
      </c>
      <c r="F17" s="34">
        <v>42242</v>
      </c>
      <c r="G17" s="7">
        <f t="shared" si="1"/>
        <v>1</v>
      </c>
      <c r="H17" s="33" t="s">
        <v>41</v>
      </c>
      <c r="I17" s="4">
        <v>0</v>
      </c>
    </row>
    <row r="18" spans="1:9" ht="38.25" x14ac:dyDescent="0.2">
      <c r="A18" s="32">
        <v>42241</v>
      </c>
      <c r="B18" s="33" t="s">
        <v>20</v>
      </c>
      <c r="C18" s="15" t="s">
        <v>35</v>
      </c>
      <c r="D18" s="33" t="s">
        <v>61</v>
      </c>
      <c r="E18" s="32">
        <v>42243</v>
      </c>
      <c r="F18" s="34">
        <v>42243</v>
      </c>
      <c r="G18" s="7">
        <f t="shared" si="1"/>
        <v>0</v>
      </c>
      <c r="H18" s="33" t="s">
        <v>41</v>
      </c>
      <c r="I18" s="4">
        <v>0</v>
      </c>
    </row>
    <row r="19" spans="1:9" ht="25.5" x14ac:dyDescent="0.2">
      <c r="A19" s="32">
        <v>42241</v>
      </c>
      <c r="B19" s="33" t="s">
        <v>20</v>
      </c>
      <c r="C19" s="15" t="s">
        <v>35</v>
      </c>
      <c r="D19" s="33" t="s">
        <v>62</v>
      </c>
      <c r="E19" s="32">
        <v>42241</v>
      </c>
      <c r="F19" s="34">
        <v>42242</v>
      </c>
      <c r="G19" s="7">
        <f t="shared" si="1"/>
        <v>1</v>
      </c>
      <c r="H19" s="33" t="s">
        <v>41</v>
      </c>
      <c r="I19" s="4">
        <v>0</v>
      </c>
    </row>
    <row r="20" spans="1:9" ht="38.25" x14ac:dyDescent="0.2">
      <c r="A20" s="32">
        <v>42242</v>
      </c>
      <c r="B20" s="33" t="s">
        <v>20</v>
      </c>
      <c r="C20" s="15" t="s">
        <v>35</v>
      </c>
      <c r="D20" s="33" t="s">
        <v>63</v>
      </c>
      <c r="E20" s="32">
        <v>42257</v>
      </c>
      <c r="F20" s="34">
        <v>42255</v>
      </c>
      <c r="G20" s="7">
        <f t="shared" si="1"/>
        <v>-2</v>
      </c>
      <c r="H20" s="33" t="s">
        <v>41</v>
      </c>
      <c r="I20" s="4">
        <v>0</v>
      </c>
    </row>
    <row r="21" spans="1:9" ht="25.5" x14ac:dyDescent="0.2">
      <c r="A21" s="32">
        <v>42241</v>
      </c>
      <c r="B21" s="33" t="s">
        <v>53</v>
      </c>
      <c r="C21" s="15" t="s">
        <v>87</v>
      </c>
      <c r="D21" s="33" t="s">
        <v>64</v>
      </c>
      <c r="E21" s="32">
        <v>42257</v>
      </c>
      <c r="F21" s="34">
        <v>42264</v>
      </c>
      <c r="G21" s="7">
        <f t="shared" si="1"/>
        <v>7</v>
      </c>
      <c r="H21" s="33" t="s">
        <v>43</v>
      </c>
      <c r="I21" s="4">
        <v>1</v>
      </c>
    </row>
    <row r="22" spans="1:9" ht="25.5" x14ac:dyDescent="0.2">
      <c r="A22" s="32">
        <v>42241</v>
      </c>
      <c r="B22" s="33" t="s">
        <v>53</v>
      </c>
      <c r="C22" s="15" t="s">
        <v>87</v>
      </c>
      <c r="D22" s="33" t="s">
        <v>64</v>
      </c>
      <c r="E22" s="32">
        <v>42265</v>
      </c>
      <c r="F22" s="34">
        <v>42265</v>
      </c>
      <c r="G22" s="7">
        <f t="shared" si="1"/>
        <v>0</v>
      </c>
      <c r="H22" s="33" t="s">
        <v>41</v>
      </c>
      <c r="I22" s="4">
        <v>0</v>
      </c>
    </row>
    <row r="23" spans="1:9" x14ac:dyDescent="0.2">
      <c r="A23" s="32">
        <v>42241</v>
      </c>
      <c r="B23" s="33" t="s">
        <v>54</v>
      </c>
      <c r="C23" s="15" t="s">
        <v>86</v>
      </c>
      <c r="D23" s="33" t="s">
        <v>65</v>
      </c>
      <c r="E23" s="32">
        <v>42248</v>
      </c>
      <c r="F23" s="34">
        <v>42242</v>
      </c>
      <c r="G23" s="7">
        <f t="shared" si="1"/>
        <v>-6</v>
      </c>
      <c r="H23" s="33" t="s">
        <v>41</v>
      </c>
      <c r="I23" s="4">
        <v>0</v>
      </c>
    </row>
    <row r="24" spans="1:9" ht="25.5" x14ac:dyDescent="0.2">
      <c r="A24" s="32">
        <v>42241</v>
      </c>
      <c r="B24" s="33" t="s">
        <v>54</v>
      </c>
      <c r="C24" s="15" t="s">
        <v>88</v>
      </c>
      <c r="D24" s="33" t="s">
        <v>66</v>
      </c>
      <c r="E24" s="32">
        <v>42248</v>
      </c>
      <c r="F24" s="34">
        <v>42241</v>
      </c>
      <c r="G24" s="7">
        <f t="shared" si="1"/>
        <v>-7</v>
      </c>
      <c r="H24" s="33" t="s">
        <v>41</v>
      </c>
      <c r="I24" s="4">
        <v>0</v>
      </c>
    </row>
    <row r="25" spans="1:9" ht="89.25" x14ac:dyDescent="0.2">
      <c r="A25" s="32">
        <v>42241</v>
      </c>
      <c r="B25" s="33" t="s">
        <v>54</v>
      </c>
      <c r="C25" s="15" t="s">
        <v>89</v>
      </c>
      <c r="D25" s="33" t="s">
        <v>67</v>
      </c>
      <c r="E25" s="32">
        <v>42242</v>
      </c>
      <c r="F25" s="34">
        <v>42243</v>
      </c>
      <c r="G25" s="7">
        <f t="shared" si="1"/>
        <v>1</v>
      </c>
      <c r="H25" s="33" t="s">
        <v>41</v>
      </c>
      <c r="I25" s="4">
        <v>0</v>
      </c>
    </row>
    <row r="26" spans="1:9" ht="38.25" x14ac:dyDescent="0.2">
      <c r="A26" s="32">
        <v>42242</v>
      </c>
      <c r="B26" s="33" t="s">
        <v>54</v>
      </c>
      <c r="C26" s="15" t="s">
        <v>90</v>
      </c>
      <c r="D26" s="33" t="s">
        <v>68</v>
      </c>
      <c r="E26" s="32">
        <v>42245</v>
      </c>
      <c r="F26" s="34">
        <v>42247</v>
      </c>
      <c r="G26" s="7">
        <f t="shared" si="1"/>
        <v>2</v>
      </c>
      <c r="H26" s="33" t="s">
        <v>43</v>
      </c>
      <c r="I26" s="4">
        <v>1</v>
      </c>
    </row>
    <row r="27" spans="1:9" ht="25.5" x14ac:dyDescent="0.2">
      <c r="A27" s="32">
        <v>42242</v>
      </c>
      <c r="B27" s="33" t="s">
        <v>54</v>
      </c>
      <c r="C27" s="15" t="s">
        <v>91</v>
      </c>
      <c r="D27" s="33" t="s">
        <v>69</v>
      </c>
      <c r="E27" s="32">
        <v>42245</v>
      </c>
      <c r="F27" s="34">
        <v>42247</v>
      </c>
      <c r="G27" s="7">
        <f t="shared" si="1"/>
        <v>2</v>
      </c>
      <c r="H27" s="33" t="s">
        <v>43</v>
      </c>
      <c r="I27" s="4">
        <v>1</v>
      </c>
    </row>
    <row r="28" spans="1:9" ht="25.5" x14ac:dyDescent="0.2">
      <c r="A28" s="32">
        <v>42247</v>
      </c>
      <c r="B28" s="33" t="s">
        <v>54</v>
      </c>
      <c r="C28" s="15" t="s">
        <v>92</v>
      </c>
      <c r="D28" s="33" t="s">
        <v>70</v>
      </c>
      <c r="E28" s="32">
        <v>42248</v>
      </c>
      <c r="F28" s="34">
        <f ca="1">TODAY()</f>
        <v>42271</v>
      </c>
      <c r="G28" s="7">
        <f t="shared" ca="1" si="1"/>
        <v>23</v>
      </c>
      <c r="H28" s="33" t="s">
        <v>43</v>
      </c>
      <c r="I28" s="4">
        <v>1</v>
      </c>
    </row>
    <row r="29" spans="1:9" ht="38.25" x14ac:dyDescent="0.2">
      <c r="A29" s="32">
        <v>42247</v>
      </c>
      <c r="B29" s="33" t="s">
        <v>21</v>
      </c>
      <c r="C29" s="15" t="s">
        <v>37</v>
      </c>
      <c r="D29" s="33" t="s">
        <v>71</v>
      </c>
      <c r="E29" s="32">
        <v>42254</v>
      </c>
      <c r="F29" s="34">
        <v>42256</v>
      </c>
      <c r="G29" s="7">
        <f t="shared" si="1"/>
        <v>2</v>
      </c>
      <c r="H29" s="33" t="s">
        <v>43</v>
      </c>
      <c r="I29" s="4">
        <v>1</v>
      </c>
    </row>
    <row r="30" spans="1:9" ht="25.5" x14ac:dyDescent="0.2">
      <c r="A30" s="32">
        <v>42241</v>
      </c>
      <c r="B30" s="33" t="s">
        <v>55</v>
      </c>
      <c r="C30" s="15" t="s">
        <v>93</v>
      </c>
      <c r="D30" s="33" t="s">
        <v>72</v>
      </c>
      <c r="E30" s="32">
        <v>42244</v>
      </c>
      <c r="F30" s="34">
        <v>42248</v>
      </c>
      <c r="G30" s="7">
        <f t="shared" si="1"/>
        <v>4</v>
      </c>
      <c r="H30" s="33" t="s">
        <v>43</v>
      </c>
      <c r="I30" s="4">
        <v>1</v>
      </c>
    </row>
    <row r="31" spans="1:9" ht="63.75" x14ac:dyDescent="0.2">
      <c r="A31" s="32">
        <v>42247</v>
      </c>
      <c r="B31" s="33" t="s">
        <v>55</v>
      </c>
      <c r="C31" s="15" t="s">
        <v>93</v>
      </c>
      <c r="D31" s="33" t="s">
        <v>73</v>
      </c>
      <c r="E31" s="32">
        <v>42254</v>
      </c>
      <c r="F31" s="34">
        <v>42254</v>
      </c>
      <c r="G31" s="7">
        <f t="shared" si="1"/>
        <v>0</v>
      </c>
      <c r="H31" s="33" t="s">
        <v>41</v>
      </c>
      <c r="I31" s="4">
        <v>0</v>
      </c>
    </row>
    <row r="32" spans="1:9" ht="38.25" x14ac:dyDescent="0.2">
      <c r="A32" s="32">
        <v>42247</v>
      </c>
      <c r="B32" s="33" t="s">
        <v>55</v>
      </c>
      <c r="C32" s="15" t="s">
        <v>93</v>
      </c>
      <c r="D32" s="33" t="s">
        <v>74</v>
      </c>
      <c r="E32" s="32">
        <v>42251</v>
      </c>
      <c r="F32" s="34">
        <v>42255</v>
      </c>
      <c r="G32" s="7">
        <f t="shared" si="1"/>
        <v>4</v>
      </c>
      <c r="H32" s="33" t="s">
        <v>43</v>
      </c>
      <c r="I32" s="4">
        <v>1</v>
      </c>
    </row>
    <row r="33" spans="1:9" ht="25.5" x14ac:dyDescent="0.2">
      <c r="A33" s="32">
        <v>42241</v>
      </c>
      <c r="B33" s="33" t="s">
        <v>56</v>
      </c>
      <c r="C33" s="15" t="s">
        <v>94</v>
      </c>
      <c r="D33" s="33" t="s">
        <v>75</v>
      </c>
      <c r="E33" s="32">
        <v>42244</v>
      </c>
      <c r="F33" s="34">
        <v>42247</v>
      </c>
      <c r="G33" s="7">
        <f t="shared" si="1"/>
        <v>3</v>
      </c>
      <c r="H33" s="33" t="s">
        <v>43</v>
      </c>
      <c r="I33" s="4">
        <v>1</v>
      </c>
    </row>
    <row r="34" spans="1:9" ht="25.5" x14ac:dyDescent="0.2">
      <c r="A34" s="32">
        <v>42241</v>
      </c>
      <c r="B34" s="33" t="s">
        <v>56</v>
      </c>
      <c r="C34" s="15" t="s">
        <v>94</v>
      </c>
      <c r="D34" s="33" t="s">
        <v>76</v>
      </c>
      <c r="E34" s="32">
        <v>42258</v>
      </c>
      <c r="F34" s="34">
        <v>42258</v>
      </c>
      <c r="G34" s="7">
        <f t="shared" si="1"/>
        <v>0</v>
      </c>
      <c r="H34" s="33" t="s">
        <v>41</v>
      </c>
      <c r="I34" s="4">
        <v>0</v>
      </c>
    </row>
    <row r="35" spans="1:9" x14ac:dyDescent="0.2">
      <c r="A35" s="32">
        <v>42241</v>
      </c>
      <c r="B35" s="33" t="s">
        <v>56</v>
      </c>
      <c r="C35" s="15" t="s">
        <v>94</v>
      </c>
      <c r="D35" s="33" t="s">
        <v>77</v>
      </c>
      <c r="E35" s="32">
        <v>42248</v>
      </c>
      <c r="F35" s="34">
        <v>42249</v>
      </c>
      <c r="G35" s="7">
        <f t="shared" si="1"/>
        <v>1</v>
      </c>
      <c r="H35" s="33" t="s">
        <v>41</v>
      </c>
      <c r="I35" s="4">
        <v>0</v>
      </c>
    </row>
    <row r="36" spans="1:9" x14ac:dyDescent="0.2">
      <c r="A36" s="32">
        <v>42241</v>
      </c>
      <c r="B36" s="33" t="s">
        <v>56</v>
      </c>
      <c r="C36" s="15" t="s">
        <v>94</v>
      </c>
      <c r="D36" s="33" t="s">
        <v>78</v>
      </c>
      <c r="E36" s="32">
        <v>42258</v>
      </c>
      <c r="F36" s="34">
        <v>42258</v>
      </c>
      <c r="G36" s="7">
        <f t="shared" si="1"/>
        <v>0</v>
      </c>
      <c r="H36" s="33" t="s">
        <v>41</v>
      </c>
      <c r="I36" s="4">
        <v>0</v>
      </c>
    </row>
    <row r="37" spans="1:9" x14ac:dyDescent="0.2">
      <c r="A37" s="32">
        <v>42242</v>
      </c>
      <c r="B37" s="33" t="s">
        <v>56</v>
      </c>
      <c r="C37" s="15" t="s">
        <v>94</v>
      </c>
      <c r="D37" s="33" t="s">
        <v>79</v>
      </c>
      <c r="E37" s="32">
        <v>42244</v>
      </c>
      <c r="F37" s="34">
        <v>42247</v>
      </c>
      <c r="G37" s="7">
        <f t="shared" si="1"/>
        <v>3</v>
      </c>
      <c r="H37" s="33" t="s">
        <v>43</v>
      </c>
      <c r="I37" s="4">
        <v>1</v>
      </c>
    </row>
    <row r="38" spans="1:9" ht="25.5" x14ac:dyDescent="0.2">
      <c r="A38" s="32">
        <v>42242</v>
      </c>
      <c r="B38" s="33" t="s">
        <v>56</v>
      </c>
      <c r="C38" s="15" t="s">
        <v>94</v>
      </c>
      <c r="D38" s="33" t="s">
        <v>80</v>
      </c>
      <c r="E38" s="32">
        <v>42244</v>
      </c>
      <c r="F38" s="34">
        <v>42247</v>
      </c>
      <c r="G38" s="7">
        <f t="shared" si="1"/>
        <v>3</v>
      </c>
      <c r="H38" s="33" t="s">
        <v>43</v>
      </c>
      <c r="I38" s="4">
        <v>1</v>
      </c>
    </row>
    <row r="39" spans="1:9" ht="38.25" x14ac:dyDescent="0.2">
      <c r="A39" s="32">
        <v>42242</v>
      </c>
      <c r="B39" s="33" t="s">
        <v>56</v>
      </c>
      <c r="C39" s="15" t="s">
        <v>94</v>
      </c>
      <c r="D39" s="33" t="s">
        <v>81</v>
      </c>
      <c r="E39" s="32">
        <v>42244</v>
      </c>
      <c r="F39" s="34">
        <v>42247</v>
      </c>
      <c r="G39" s="7">
        <f t="shared" si="1"/>
        <v>3</v>
      </c>
      <c r="H39" s="33" t="s">
        <v>43</v>
      </c>
      <c r="I39" s="4">
        <v>1</v>
      </c>
    </row>
    <row r="40" spans="1:9" ht="38.25" x14ac:dyDescent="0.2">
      <c r="A40" s="32">
        <v>42242</v>
      </c>
      <c r="B40" s="33" t="s">
        <v>56</v>
      </c>
      <c r="C40" s="15" t="s">
        <v>94</v>
      </c>
      <c r="D40" s="33" t="s">
        <v>82</v>
      </c>
      <c r="E40" s="32">
        <v>42244</v>
      </c>
      <c r="F40" s="34">
        <v>42247</v>
      </c>
      <c r="G40" s="7">
        <f t="shared" si="1"/>
        <v>3</v>
      </c>
      <c r="H40" s="33" t="s">
        <v>43</v>
      </c>
      <c r="I40" s="4">
        <v>1</v>
      </c>
    </row>
    <row r="41" spans="1:9" ht="25.5" x14ac:dyDescent="0.2">
      <c r="A41" s="32">
        <v>42242</v>
      </c>
      <c r="B41" s="33" t="s">
        <v>57</v>
      </c>
      <c r="C41" s="15" t="s">
        <v>95</v>
      </c>
      <c r="D41" s="33" t="s">
        <v>83</v>
      </c>
      <c r="E41" s="32">
        <v>42249</v>
      </c>
      <c r="F41" s="34">
        <v>42249</v>
      </c>
      <c r="G41" s="7">
        <f t="shared" si="1"/>
        <v>0</v>
      </c>
      <c r="H41" s="33" t="s">
        <v>41</v>
      </c>
      <c r="I41" s="4">
        <v>0</v>
      </c>
    </row>
    <row r="42" spans="1:9" ht="25.5" x14ac:dyDescent="0.2">
      <c r="A42" s="32">
        <v>42242</v>
      </c>
      <c r="B42" s="33" t="s">
        <v>57</v>
      </c>
      <c r="C42" s="15" t="s">
        <v>95</v>
      </c>
      <c r="D42" s="33" t="s">
        <v>84</v>
      </c>
      <c r="E42" s="32">
        <v>42265</v>
      </c>
      <c r="F42" s="34">
        <v>42265</v>
      </c>
      <c r="G42" s="7">
        <f t="shared" si="1"/>
        <v>0</v>
      </c>
      <c r="H42" s="33" t="s">
        <v>41</v>
      </c>
      <c r="I42" s="4">
        <v>0</v>
      </c>
    </row>
    <row r="43" spans="1:9" ht="38.25" x14ac:dyDescent="0.2">
      <c r="A43" s="32">
        <v>42241</v>
      </c>
      <c r="B43" s="33" t="s">
        <v>58</v>
      </c>
      <c r="C43" s="15" t="s">
        <v>96</v>
      </c>
      <c r="D43" s="33" t="s">
        <v>85</v>
      </c>
      <c r="E43" s="32">
        <v>42261</v>
      </c>
      <c r="F43" s="34">
        <v>42264</v>
      </c>
      <c r="G43" s="7">
        <f t="shared" si="1"/>
        <v>3</v>
      </c>
      <c r="H43" s="33" t="s">
        <v>41</v>
      </c>
      <c r="I43" s="4">
        <v>1</v>
      </c>
    </row>
    <row r="44" spans="1:9" x14ac:dyDescent="0.2">
      <c r="A44" s="32">
        <v>42250</v>
      </c>
      <c r="B44" s="33" t="s">
        <v>20</v>
      </c>
      <c r="C44" s="57" t="s">
        <v>35</v>
      </c>
      <c r="D44" s="33" t="s">
        <v>102</v>
      </c>
      <c r="E44" s="32">
        <v>42272</v>
      </c>
      <c r="F44" s="34">
        <f t="array" aca="1" ref="F44" ca="1">TODAY()</f>
        <v>42271</v>
      </c>
      <c r="G44" s="7">
        <f t="shared" ca="1" si="1"/>
        <v>-1</v>
      </c>
      <c r="H44" s="57" t="s">
        <v>42</v>
      </c>
      <c r="I44" s="57">
        <v>-1</v>
      </c>
    </row>
    <row r="45" spans="1:9" x14ac:dyDescent="0.2">
      <c r="A45" s="32">
        <v>42250</v>
      </c>
      <c r="B45" s="33" t="s">
        <v>20</v>
      </c>
      <c r="C45" s="57" t="s">
        <v>35</v>
      </c>
      <c r="D45" s="33" t="s">
        <v>103</v>
      </c>
      <c r="E45" s="32">
        <v>42269</v>
      </c>
      <c r="F45" s="34">
        <f t="array" aca="1" ref="F45" ca="1">TODAY()</f>
        <v>42271</v>
      </c>
      <c r="G45" s="7">
        <f t="shared" ca="1" si="1"/>
        <v>2</v>
      </c>
      <c r="H45" s="57" t="s">
        <v>42</v>
      </c>
      <c r="I45" s="57">
        <v>-1</v>
      </c>
    </row>
    <row r="46" spans="1:9" ht="38.25" x14ac:dyDescent="0.2">
      <c r="A46" s="32">
        <v>42251</v>
      </c>
      <c r="B46" s="33" t="s">
        <v>20</v>
      </c>
      <c r="C46" s="57" t="s">
        <v>35</v>
      </c>
      <c r="D46" s="33" t="s">
        <v>104</v>
      </c>
      <c r="E46" s="32">
        <v>42258</v>
      </c>
      <c r="F46" s="34">
        <f t="array" aca="1" ref="F46" ca="1">TODAY()</f>
        <v>42271</v>
      </c>
      <c r="G46" s="7">
        <f t="shared" ca="1" si="1"/>
        <v>13</v>
      </c>
      <c r="H46" s="57" t="s">
        <v>43</v>
      </c>
      <c r="I46" s="57">
        <v>1</v>
      </c>
    </row>
    <row r="47" spans="1:9" ht="25.5" x14ac:dyDescent="0.2">
      <c r="A47" s="32">
        <v>42251</v>
      </c>
      <c r="B47" s="33" t="s">
        <v>20</v>
      </c>
      <c r="C47" s="57" t="s">
        <v>35</v>
      </c>
      <c r="D47" s="33" t="s">
        <v>105</v>
      </c>
      <c r="E47" s="32">
        <v>42254</v>
      </c>
      <c r="F47" s="32">
        <v>42254</v>
      </c>
      <c r="G47" s="7">
        <f t="shared" si="1"/>
        <v>0</v>
      </c>
      <c r="H47" s="57" t="s">
        <v>41</v>
      </c>
      <c r="I47" s="57">
        <v>0</v>
      </c>
    </row>
    <row r="48" spans="1:9" ht="89.25" x14ac:dyDescent="0.2">
      <c r="A48" s="32">
        <v>42249</v>
      </c>
      <c r="B48" s="33" t="s">
        <v>34</v>
      </c>
      <c r="C48" s="57" t="s">
        <v>38</v>
      </c>
      <c r="D48" s="33" t="s">
        <v>106</v>
      </c>
      <c r="E48" s="32">
        <v>42279</v>
      </c>
      <c r="F48" s="34">
        <f t="array" aca="1" ref="F48" ca="1">TODAY()</f>
        <v>42271</v>
      </c>
      <c r="G48" s="7">
        <f t="shared" ca="1" si="1"/>
        <v>-8</v>
      </c>
      <c r="H48" s="57" t="s">
        <v>42</v>
      </c>
      <c r="I48" s="57">
        <v>-1</v>
      </c>
    </row>
    <row r="49" spans="1:9" ht="38.25" x14ac:dyDescent="0.2">
      <c r="A49" s="32">
        <v>42251</v>
      </c>
      <c r="B49" s="33" t="s">
        <v>118</v>
      </c>
      <c r="C49" s="57" t="s">
        <v>119</v>
      </c>
      <c r="D49" s="33" t="s">
        <v>107</v>
      </c>
      <c r="E49" s="32">
        <v>42254</v>
      </c>
      <c r="F49" s="32">
        <v>42255</v>
      </c>
      <c r="G49" s="7">
        <f t="shared" si="1"/>
        <v>1</v>
      </c>
      <c r="H49" s="57" t="s">
        <v>41</v>
      </c>
      <c r="I49" s="57">
        <v>0</v>
      </c>
    </row>
    <row r="50" spans="1:9" ht="63.75" x14ac:dyDescent="0.2">
      <c r="A50" s="32">
        <v>42250</v>
      </c>
      <c r="B50" s="33" t="s">
        <v>22</v>
      </c>
      <c r="C50" s="57" t="s">
        <v>39</v>
      </c>
      <c r="D50" s="33" t="s">
        <v>108</v>
      </c>
      <c r="E50" s="32">
        <v>42251</v>
      </c>
      <c r="F50" s="32">
        <v>42251</v>
      </c>
      <c r="G50" s="7">
        <f t="shared" si="1"/>
        <v>0</v>
      </c>
      <c r="H50" s="57" t="s">
        <v>41</v>
      </c>
      <c r="I50" s="57">
        <v>0</v>
      </c>
    </row>
    <row r="51" spans="1:9" ht="25.5" x14ac:dyDescent="0.2">
      <c r="A51" s="32">
        <v>42250</v>
      </c>
      <c r="B51" s="33" t="s">
        <v>22</v>
      </c>
      <c r="C51" s="57" t="s">
        <v>39</v>
      </c>
      <c r="D51" s="33" t="s">
        <v>109</v>
      </c>
      <c r="E51" s="32">
        <v>42285</v>
      </c>
      <c r="F51" s="32">
        <v>42255</v>
      </c>
      <c r="G51" s="7">
        <f t="shared" si="1"/>
        <v>-30</v>
      </c>
      <c r="H51" s="57" t="s">
        <v>41</v>
      </c>
      <c r="I51" s="57">
        <v>0</v>
      </c>
    </row>
    <row r="52" spans="1:9" ht="25.5" x14ac:dyDescent="0.2">
      <c r="A52" s="32">
        <v>42248</v>
      </c>
      <c r="B52" s="33" t="s">
        <v>56</v>
      </c>
      <c r="C52" s="57" t="s">
        <v>94</v>
      </c>
      <c r="D52" s="33" t="s">
        <v>110</v>
      </c>
      <c r="E52" s="32">
        <v>42278</v>
      </c>
      <c r="F52" s="34">
        <f t="array" aca="1" ref="F52" ca="1">TODAY()</f>
        <v>42271</v>
      </c>
      <c r="G52" s="7">
        <f t="shared" ca="1" si="1"/>
        <v>-7</v>
      </c>
      <c r="H52" s="57" t="s">
        <v>42</v>
      </c>
      <c r="I52" s="57">
        <v>-1</v>
      </c>
    </row>
    <row r="53" spans="1:9" ht="38.25" x14ac:dyDescent="0.2">
      <c r="A53" s="32">
        <v>42248</v>
      </c>
      <c r="B53" s="33" t="s">
        <v>56</v>
      </c>
      <c r="C53" s="57" t="s">
        <v>94</v>
      </c>
      <c r="D53" s="33" t="s">
        <v>111</v>
      </c>
      <c r="E53" s="32">
        <v>42250</v>
      </c>
      <c r="F53" s="32">
        <v>42250</v>
      </c>
      <c r="G53" s="7">
        <f t="shared" si="1"/>
        <v>0</v>
      </c>
      <c r="H53" s="57" t="s">
        <v>41</v>
      </c>
      <c r="I53" s="57">
        <v>0</v>
      </c>
    </row>
    <row r="54" spans="1:9" ht="25.5" x14ac:dyDescent="0.2">
      <c r="A54" s="32">
        <v>42248</v>
      </c>
      <c r="B54" s="33" t="s">
        <v>56</v>
      </c>
      <c r="C54" s="57" t="s">
        <v>94</v>
      </c>
      <c r="D54" s="33" t="s">
        <v>112</v>
      </c>
      <c r="E54" s="32">
        <v>42338</v>
      </c>
      <c r="F54" s="34">
        <f t="array" aca="1" ref="F54" ca="1">TODAY()</f>
        <v>42271</v>
      </c>
      <c r="G54" s="7">
        <f t="shared" ca="1" si="1"/>
        <v>-67</v>
      </c>
      <c r="H54" s="57" t="s">
        <v>42</v>
      </c>
      <c r="I54" s="57">
        <v>-1</v>
      </c>
    </row>
    <row r="55" spans="1:9" ht="38.25" x14ac:dyDescent="0.2">
      <c r="A55" s="32">
        <v>42248</v>
      </c>
      <c r="B55" s="33" t="s">
        <v>56</v>
      </c>
      <c r="C55" s="57" t="s">
        <v>94</v>
      </c>
      <c r="D55" s="33" t="s">
        <v>113</v>
      </c>
      <c r="E55" s="32">
        <v>42249</v>
      </c>
      <c r="F55" s="32">
        <v>42250</v>
      </c>
      <c r="G55" s="7">
        <f t="shared" si="1"/>
        <v>1</v>
      </c>
      <c r="H55" s="57" t="s">
        <v>41</v>
      </c>
      <c r="I55" s="57">
        <v>0</v>
      </c>
    </row>
    <row r="56" spans="1:9" ht="25.5" x14ac:dyDescent="0.2">
      <c r="A56" s="32">
        <v>42249</v>
      </c>
      <c r="B56" s="33" t="s">
        <v>56</v>
      </c>
      <c r="C56" s="57" t="s">
        <v>94</v>
      </c>
      <c r="D56" s="33" t="s">
        <v>114</v>
      </c>
      <c r="E56" s="32">
        <v>42272</v>
      </c>
      <c r="F56" s="34">
        <f t="array" aca="1" ref="F56" ca="1">TODAY()</f>
        <v>42271</v>
      </c>
      <c r="G56" s="7">
        <f t="shared" ca="1" si="1"/>
        <v>-1</v>
      </c>
      <c r="H56" s="57" t="s">
        <v>42</v>
      </c>
      <c r="I56" s="57">
        <v>-1</v>
      </c>
    </row>
    <row r="57" spans="1:9" ht="25.5" x14ac:dyDescent="0.2">
      <c r="A57" s="32">
        <v>42250</v>
      </c>
      <c r="B57" s="33" t="s">
        <v>56</v>
      </c>
      <c r="C57" s="57" t="s">
        <v>94</v>
      </c>
      <c r="D57" s="33" t="s">
        <v>115</v>
      </c>
      <c r="E57" s="32">
        <v>42310</v>
      </c>
      <c r="F57" s="34">
        <f t="array" aca="1" ref="F57" ca="1">TODAY()</f>
        <v>42271</v>
      </c>
      <c r="G57" s="7">
        <f t="shared" ca="1" si="1"/>
        <v>-39</v>
      </c>
      <c r="H57" s="57" t="s">
        <v>42</v>
      </c>
      <c r="I57" s="57">
        <v>-1</v>
      </c>
    </row>
    <row r="58" spans="1:9" ht="38.25" x14ac:dyDescent="0.2">
      <c r="A58" s="32">
        <v>42251</v>
      </c>
      <c r="B58" s="33" t="s">
        <v>56</v>
      </c>
      <c r="C58" s="57" t="s">
        <v>94</v>
      </c>
      <c r="D58" s="33" t="s">
        <v>116</v>
      </c>
      <c r="E58" s="32">
        <v>42254</v>
      </c>
      <c r="F58" s="32">
        <v>42254</v>
      </c>
      <c r="G58" s="7">
        <f t="shared" si="1"/>
        <v>0</v>
      </c>
      <c r="H58" s="57" t="s">
        <v>41</v>
      </c>
      <c r="I58" s="57">
        <v>0</v>
      </c>
    </row>
    <row r="59" spans="1:9" ht="25.5" x14ac:dyDescent="0.2">
      <c r="A59" s="32">
        <v>42250</v>
      </c>
      <c r="B59" s="33" t="s">
        <v>101</v>
      </c>
      <c r="C59" s="57" t="s">
        <v>120</v>
      </c>
      <c r="D59" s="33" t="s">
        <v>117</v>
      </c>
      <c r="E59" s="32">
        <v>42254</v>
      </c>
      <c r="F59" s="32">
        <v>42254</v>
      </c>
      <c r="G59" s="7">
        <f t="shared" si="1"/>
        <v>0</v>
      </c>
      <c r="H59" s="57" t="s">
        <v>41</v>
      </c>
      <c r="I59" s="57">
        <v>0</v>
      </c>
    </row>
    <row r="60" spans="1:9" ht="63.75" x14ac:dyDescent="0.2">
      <c r="A60" s="32">
        <v>42255</v>
      </c>
      <c r="B60" s="33" t="s">
        <v>20</v>
      </c>
      <c r="C60" s="57" t="s">
        <v>35</v>
      </c>
      <c r="D60" s="33" t="s">
        <v>122</v>
      </c>
      <c r="E60" s="32">
        <v>42279</v>
      </c>
      <c r="F60" s="34">
        <f t="array" aca="1" ref="F60" ca="1">TODAY()</f>
        <v>42271</v>
      </c>
      <c r="G60" s="7">
        <f t="shared" ca="1" si="1"/>
        <v>-8</v>
      </c>
      <c r="H60" s="57" t="s">
        <v>42</v>
      </c>
      <c r="I60" s="57">
        <v>-1</v>
      </c>
    </row>
    <row r="61" spans="1:9" ht="38.25" x14ac:dyDescent="0.2">
      <c r="A61" s="32">
        <v>42255</v>
      </c>
      <c r="B61" s="33" t="s">
        <v>20</v>
      </c>
      <c r="C61" s="57" t="s">
        <v>35</v>
      </c>
      <c r="D61" s="33" t="s">
        <v>123</v>
      </c>
      <c r="E61" s="32">
        <v>42256</v>
      </c>
      <c r="F61" s="32">
        <v>42256</v>
      </c>
      <c r="G61" s="7">
        <f t="shared" si="1"/>
        <v>0</v>
      </c>
      <c r="H61" s="57" t="s">
        <v>41</v>
      </c>
      <c r="I61" s="57">
        <v>0</v>
      </c>
    </row>
    <row r="62" spans="1:9" ht="38.25" x14ac:dyDescent="0.2">
      <c r="A62" s="32">
        <v>42255</v>
      </c>
      <c r="B62" s="33" t="s">
        <v>20</v>
      </c>
      <c r="C62" s="57" t="s">
        <v>35</v>
      </c>
      <c r="D62" s="33" t="s">
        <v>123</v>
      </c>
      <c r="E62" s="32">
        <v>42256</v>
      </c>
      <c r="F62" s="32">
        <v>42256</v>
      </c>
      <c r="G62" s="7">
        <f t="shared" si="1"/>
        <v>0</v>
      </c>
      <c r="H62" s="57" t="s">
        <v>41</v>
      </c>
      <c r="I62" s="57">
        <v>0</v>
      </c>
    </row>
    <row r="63" spans="1:9" ht="25.5" x14ac:dyDescent="0.2">
      <c r="A63" s="32">
        <v>42256</v>
      </c>
      <c r="B63" s="33" t="s">
        <v>20</v>
      </c>
      <c r="C63" s="57" t="s">
        <v>35</v>
      </c>
      <c r="D63" s="33" t="s">
        <v>124</v>
      </c>
      <c r="E63" s="32">
        <v>42258</v>
      </c>
      <c r="F63" s="34">
        <f t="array" aca="1" ref="F63" ca="1">TODAY()</f>
        <v>42271</v>
      </c>
      <c r="G63" s="7">
        <f t="shared" ca="1" si="1"/>
        <v>13</v>
      </c>
      <c r="H63" s="57" t="s">
        <v>43</v>
      </c>
      <c r="I63" s="57">
        <v>1</v>
      </c>
    </row>
    <row r="64" spans="1:9" ht="89.25" x14ac:dyDescent="0.2">
      <c r="A64" s="32">
        <v>42256</v>
      </c>
      <c r="B64" s="33" t="s">
        <v>20</v>
      </c>
      <c r="C64" s="57" t="s">
        <v>35</v>
      </c>
      <c r="D64" s="33" t="s">
        <v>125</v>
      </c>
      <c r="E64" s="32">
        <v>42264</v>
      </c>
      <c r="F64" s="34">
        <f t="array" aca="1" ref="F64" ca="1">TODAY()</f>
        <v>42271</v>
      </c>
      <c r="G64" s="7">
        <f t="shared" ca="1" si="1"/>
        <v>7</v>
      </c>
      <c r="H64" s="57" t="s">
        <v>43</v>
      </c>
      <c r="I64" s="57">
        <v>1</v>
      </c>
    </row>
    <row r="65" spans="1:9" ht="25.5" x14ac:dyDescent="0.2">
      <c r="A65" s="32">
        <v>42254</v>
      </c>
      <c r="B65" s="33" t="s">
        <v>54</v>
      </c>
      <c r="C65" s="57" t="s">
        <v>89</v>
      </c>
      <c r="D65" s="33" t="s">
        <v>126</v>
      </c>
      <c r="E65" s="32">
        <v>42258</v>
      </c>
      <c r="F65" s="32">
        <v>42258</v>
      </c>
      <c r="G65" s="7">
        <f t="shared" si="1"/>
        <v>0</v>
      </c>
      <c r="H65" s="57" t="s">
        <v>41</v>
      </c>
      <c r="I65" s="57">
        <v>0</v>
      </c>
    </row>
    <row r="66" spans="1:9" ht="51" x14ac:dyDescent="0.2">
      <c r="A66" s="32">
        <v>42255</v>
      </c>
      <c r="B66" s="33" t="s">
        <v>118</v>
      </c>
      <c r="C66" s="57" t="s">
        <v>119</v>
      </c>
      <c r="D66" s="33" t="s">
        <v>127</v>
      </c>
      <c r="E66" s="32">
        <v>42256</v>
      </c>
      <c r="F66" s="32">
        <v>42256</v>
      </c>
      <c r="G66" s="7">
        <f t="shared" si="1"/>
        <v>0</v>
      </c>
      <c r="H66" s="57" t="s">
        <v>41</v>
      </c>
      <c r="I66" s="57">
        <v>0</v>
      </c>
    </row>
    <row r="67" spans="1:9" ht="25.5" x14ac:dyDescent="0.2">
      <c r="A67" s="32">
        <v>42257</v>
      </c>
      <c r="B67" s="33" t="s">
        <v>137</v>
      </c>
      <c r="C67" s="57" t="s">
        <v>136</v>
      </c>
      <c r="D67" s="33" t="s">
        <v>128</v>
      </c>
      <c r="E67" s="32">
        <v>42258</v>
      </c>
      <c r="F67" s="32">
        <v>42257</v>
      </c>
      <c r="G67" s="7">
        <f t="shared" si="1"/>
        <v>-1</v>
      </c>
      <c r="H67" s="57" t="s">
        <v>41</v>
      </c>
      <c r="I67" s="57">
        <v>0</v>
      </c>
    </row>
    <row r="68" spans="1:9" x14ac:dyDescent="0.2">
      <c r="A68" s="32">
        <v>42258</v>
      </c>
      <c r="B68" s="33" t="s">
        <v>21</v>
      </c>
      <c r="C68" s="57" t="s">
        <v>37</v>
      </c>
      <c r="D68" s="33" t="s">
        <v>129</v>
      </c>
      <c r="E68" s="32">
        <v>42268</v>
      </c>
      <c r="F68" s="32">
        <v>42268</v>
      </c>
      <c r="G68" s="7">
        <f t="shared" si="1"/>
        <v>0</v>
      </c>
      <c r="H68" s="57" t="s">
        <v>41</v>
      </c>
      <c r="I68" s="57">
        <v>0</v>
      </c>
    </row>
    <row r="69" spans="1:9" ht="25.5" x14ac:dyDescent="0.2">
      <c r="A69" s="32">
        <v>42254</v>
      </c>
      <c r="B69" s="33" t="s">
        <v>56</v>
      </c>
      <c r="C69" s="57" t="s">
        <v>94</v>
      </c>
      <c r="D69" s="33" t="s">
        <v>130</v>
      </c>
      <c r="E69" s="32">
        <v>42282</v>
      </c>
      <c r="F69" s="34">
        <f t="array" aca="1" ref="F69" ca="1">TODAY()</f>
        <v>42271</v>
      </c>
      <c r="G69" s="7">
        <f t="shared" ca="1" si="1"/>
        <v>-11</v>
      </c>
      <c r="H69" s="57" t="s">
        <v>42</v>
      </c>
      <c r="I69" s="57">
        <v>-1</v>
      </c>
    </row>
    <row r="70" spans="1:9" ht="25.5" x14ac:dyDescent="0.2">
      <c r="A70" s="32">
        <v>42254</v>
      </c>
      <c r="B70" s="33" t="s">
        <v>56</v>
      </c>
      <c r="C70" s="57" t="s">
        <v>94</v>
      </c>
      <c r="D70" s="33" t="s">
        <v>131</v>
      </c>
      <c r="E70" s="32">
        <v>42286</v>
      </c>
      <c r="F70" s="34">
        <f t="array" aca="1" ref="F70" ca="1">TODAY()</f>
        <v>42271</v>
      </c>
      <c r="G70" s="7">
        <f t="shared" ca="1" si="1"/>
        <v>-15</v>
      </c>
      <c r="H70" s="57" t="s">
        <v>42</v>
      </c>
      <c r="I70" s="57">
        <v>-1</v>
      </c>
    </row>
    <row r="71" spans="1:9" ht="25.5" x14ac:dyDescent="0.2">
      <c r="A71" s="32">
        <v>42254</v>
      </c>
      <c r="B71" s="33" t="s">
        <v>56</v>
      </c>
      <c r="C71" s="57" t="s">
        <v>94</v>
      </c>
      <c r="D71" s="33" t="s">
        <v>132</v>
      </c>
      <c r="E71" s="32">
        <v>42339</v>
      </c>
      <c r="F71" s="34">
        <f t="array" aca="1" ref="F71" ca="1">TODAY()</f>
        <v>42271</v>
      </c>
      <c r="G71" s="7">
        <f t="shared" ca="1" si="1"/>
        <v>-68</v>
      </c>
      <c r="H71" s="57" t="s">
        <v>42</v>
      </c>
      <c r="I71" s="57">
        <v>-1</v>
      </c>
    </row>
    <row r="72" spans="1:9" x14ac:dyDescent="0.2">
      <c r="A72" s="32">
        <v>42254</v>
      </c>
      <c r="B72" s="33" t="s">
        <v>56</v>
      </c>
      <c r="C72" s="57" t="s">
        <v>94</v>
      </c>
      <c r="D72" s="33" t="s">
        <v>133</v>
      </c>
      <c r="E72" s="32">
        <v>42373</v>
      </c>
      <c r="F72" s="34">
        <f t="array" aca="1" ref="F72" ca="1">TODAY()</f>
        <v>42271</v>
      </c>
      <c r="G72" s="7">
        <f t="shared" ca="1" si="1"/>
        <v>-102</v>
      </c>
      <c r="H72" s="57" t="s">
        <v>42</v>
      </c>
      <c r="I72" s="57">
        <v>-1</v>
      </c>
    </row>
    <row r="73" spans="1:9" ht="25.5" x14ac:dyDescent="0.2">
      <c r="A73" s="32">
        <v>42258</v>
      </c>
      <c r="B73" s="33" t="s">
        <v>56</v>
      </c>
      <c r="C73" s="57" t="s">
        <v>94</v>
      </c>
      <c r="D73" s="33" t="s">
        <v>134</v>
      </c>
      <c r="E73" s="32">
        <v>42261</v>
      </c>
      <c r="F73" s="34">
        <f t="array" aca="1" ref="F73" ca="1">TODAY()</f>
        <v>42271</v>
      </c>
      <c r="G73" s="7">
        <f t="shared" ca="1" si="1"/>
        <v>10</v>
      </c>
      <c r="H73" s="57" t="s">
        <v>42</v>
      </c>
      <c r="I73" s="57">
        <v>-1</v>
      </c>
    </row>
    <row r="74" spans="1:9" ht="89.25" x14ac:dyDescent="0.2">
      <c r="A74" s="32">
        <v>42256</v>
      </c>
      <c r="B74" s="33" t="s">
        <v>121</v>
      </c>
      <c r="C74" s="57" t="s">
        <v>138</v>
      </c>
      <c r="D74" s="33" t="s">
        <v>135</v>
      </c>
      <c r="E74" s="32">
        <v>42257</v>
      </c>
      <c r="F74" s="32">
        <v>42258</v>
      </c>
      <c r="G74" s="7">
        <f t="shared" si="1"/>
        <v>1</v>
      </c>
      <c r="H74" s="57" t="s">
        <v>41</v>
      </c>
      <c r="I74" s="57">
        <v>0</v>
      </c>
    </row>
    <row r="75" spans="1:9" ht="25.5" x14ac:dyDescent="0.2">
      <c r="A75" s="32">
        <v>42265</v>
      </c>
      <c r="B75" s="33" t="s">
        <v>34</v>
      </c>
      <c r="C75" s="57" t="s">
        <v>38</v>
      </c>
      <c r="D75" s="33" t="s">
        <v>140</v>
      </c>
      <c r="E75" s="32">
        <v>42282</v>
      </c>
      <c r="F75" s="34">
        <f t="array" aca="1" ref="F75" ca="1">TODAY()</f>
        <v>42271</v>
      </c>
      <c r="G75" s="7">
        <f t="shared" ca="1" si="1"/>
        <v>-11</v>
      </c>
      <c r="H75" s="57" t="s">
        <v>42</v>
      </c>
      <c r="I75" s="57">
        <v>-1</v>
      </c>
    </row>
    <row r="76" spans="1:9" ht="51" x14ac:dyDescent="0.2">
      <c r="A76" s="32">
        <v>42265</v>
      </c>
      <c r="B76" s="33" t="s">
        <v>34</v>
      </c>
      <c r="C76" s="57" t="s">
        <v>38</v>
      </c>
      <c r="D76" s="33" t="s">
        <v>141</v>
      </c>
      <c r="E76" s="32">
        <v>42361</v>
      </c>
      <c r="F76" s="34">
        <f t="array" aca="1" ref="F76" ca="1">TODAY()</f>
        <v>42271</v>
      </c>
      <c r="G76" s="7">
        <f t="shared" ca="1" si="1"/>
        <v>-90</v>
      </c>
      <c r="H76" s="57" t="s">
        <v>42</v>
      </c>
      <c r="I76" s="57">
        <v>-1</v>
      </c>
    </row>
    <row r="77" spans="1:9" ht="38.25" x14ac:dyDescent="0.2">
      <c r="A77" s="32">
        <v>42265</v>
      </c>
      <c r="B77" s="33" t="s">
        <v>144</v>
      </c>
      <c r="C77" s="57" t="s">
        <v>145</v>
      </c>
      <c r="D77" s="33" t="s">
        <v>142</v>
      </c>
      <c r="E77" s="32">
        <v>42272</v>
      </c>
      <c r="F77" s="34">
        <f t="array" aca="1" ref="F77" ca="1">TODAY()</f>
        <v>42271</v>
      </c>
      <c r="G77" s="7">
        <f t="shared" ca="1" si="1"/>
        <v>-1</v>
      </c>
      <c r="H77" s="57" t="s">
        <v>42</v>
      </c>
      <c r="I77" s="57">
        <v>-1</v>
      </c>
    </row>
    <row r="78" spans="1:9" x14ac:dyDescent="0.2">
      <c r="A78" s="32">
        <v>42265</v>
      </c>
      <c r="B78" s="33" t="s">
        <v>22</v>
      </c>
      <c r="C78" s="57" t="s">
        <v>39</v>
      </c>
      <c r="D78" s="33" t="s">
        <v>143</v>
      </c>
      <c r="E78" s="32">
        <v>42265</v>
      </c>
      <c r="F78" s="32">
        <v>42270</v>
      </c>
      <c r="G78" s="7">
        <f t="shared" si="1"/>
        <v>5</v>
      </c>
      <c r="H78" s="57" t="s">
        <v>43</v>
      </c>
      <c r="I78" s="57">
        <v>1</v>
      </c>
    </row>
  </sheetData>
  <autoFilter ref="A4:I78"/>
  <mergeCells count="1">
    <mergeCell ref="B2:H2"/>
  </mergeCells>
  <phoneticPr fontId="0" type="noConversion"/>
  <conditionalFormatting sqref="E5:E7">
    <cfRule type="cellIs" dxfId="0" priority="108" stopIfTrue="1" operator="greaterThan">
      <formula>0</formula>
    </cfRule>
  </conditionalFormatting>
  <printOptions horizontalCentered="1"/>
  <pageMargins left="0.19685039370078741" right="0.19685039370078741" top="0.19685039370078741" bottom="0.19685039370078741" header="0.19685039370078741" footer="0.31496062992125984"/>
  <pageSetup paperSize="9" scale="50" orientation="landscape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tabColor indexed="11"/>
  </sheetPr>
  <dimension ref="A1:AG34"/>
  <sheetViews>
    <sheetView tabSelected="1" zoomScale="70" zoomScaleNormal="70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F8" sqref="F8"/>
    </sheetView>
  </sheetViews>
  <sheetFormatPr defaultRowHeight="12.75" x14ac:dyDescent="0.2"/>
  <cols>
    <col min="1" max="1" width="4.140625" customWidth="1"/>
    <col min="2" max="2" width="29" customWidth="1"/>
    <col min="3" max="3" width="13.5703125" customWidth="1"/>
    <col min="4" max="4" width="16.140625" customWidth="1"/>
    <col min="5" max="5" width="11.42578125" customWidth="1"/>
    <col min="6" max="6" width="10.85546875" customWidth="1"/>
    <col min="7" max="7" width="10.28515625" customWidth="1"/>
    <col min="8" max="8" width="11.140625" customWidth="1"/>
    <col min="9" max="9" width="9.28515625" style="14" bestFit="1" customWidth="1"/>
    <col min="10" max="10" width="12" customWidth="1"/>
    <col min="11" max="11" width="10.28515625" bestFit="1" customWidth="1"/>
    <col min="16" max="16" width="12.7109375" customWidth="1"/>
    <col min="17" max="17" width="10.28515625" bestFit="1" customWidth="1"/>
    <col min="21" max="21" width="12" customWidth="1"/>
    <col min="22" max="23" width="11.7109375" customWidth="1"/>
    <col min="28" max="28" width="11.7109375" customWidth="1"/>
    <col min="29" max="29" width="12.85546875" customWidth="1"/>
    <col min="30" max="30" width="14.5703125" customWidth="1"/>
    <col min="31" max="31" width="12.7109375" customWidth="1"/>
    <col min="32" max="32" width="12.28515625" customWidth="1"/>
    <col min="33" max="33" width="12.5703125" customWidth="1"/>
  </cols>
  <sheetData>
    <row r="1" spans="1:33" x14ac:dyDescent="0.2">
      <c r="D1">
        <v>1</v>
      </c>
      <c r="E1">
        <v>0</v>
      </c>
      <c r="F1">
        <v>-1</v>
      </c>
    </row>
    <row r="4" spans="1:33" x14ac:dyDescent="0.2">
      <c r="D4" s="35">
        <v>42228</v>
      </c>
      <c r="E4" s="35">
        <v>42237</v>
      </c>
      <c r="J4" s="35">
        <v>42238</v>
      </c>
      <c r="K4" s="35">
        <v>42247</v>
      </c>
      <c r="P4" s="35">
        <v>42253</v>
      </c>
      <c r="Q4" s="35">
        <v>42248</v>
      </c>
      <c r="V4" s="35">
        <v>42254</v>
      </c>
      <c r="W4" s="35">
        <v>42260</v>
      </c>
      <c r="AB4" s="35">
        <v>42261</v>
      </c>
      <c r="AC4" s="35">
        <v>42267</v>
      </c>
    </row>
    <row r="5" spans="1:33" ht="15.75" customHeight="1" x14ac:dyDescent="0.25">
      <c r="A5" s="61"/>
      <c r="B5" s="61"/>
      <c r="C5" s="42"/>
      <c r="D5" s="65" t="s">
        <v>1</v>
      </c>
      <c r="E5" s="66"/>
      <c r="F5" s="66"/>
      <c r="G5" s="66"/>
      <c r="H5" s="67"/>
      <c r="I5" s="47"/>
      <c r="J5" s="65" t="s">
        <v>1</v>
      </c>
      <c r="K5" s="66"/>
      <c r="L5" s="66"/>
      <c r="M5" s="66"/>
      <c r="N5" s="67"/>
      <c r="O5" s="48"/>
      <c r="P5" s="58" t="s">
        <v>1</v>
      </c>
      <c r="Q5" s="59"/>
      <c r="R5" s="59"/>
      <c r="S5" s="59"/>
      <c r="T5" s="60"/>
      <c r="U5" s="48"/>
      <c r="V5" s="65" t="s">
        <v>1</v>
      </c>
      <c r="W5" s="66"/>
      <c r="X5" s="66"/>
      <c r="Y5" s="66"/>
      <c r="Z5" s="67"/>
      <c r="AA5" s="48"/>
      <c r="AB5" s="65" t="s">
        <v>1</v>
      </c>
      <c r="AC5" s="66"/>
      <c r="AD5" s="66"/>
      <c r="AE5" s="66"/>
      <c r="AF5" s="67"/>
      <c r="AG5" s="48"/>
    </row>
    <row r="6" spans="1:33" ht="15.75" customHeight="1" x14ac:dyDescent="0.25">
      <c r="A6" s="61"/>
      <c r="B6" s="61"/>
      <c r="C6" s="42"/>
      <c r="D6" s="42"/>
      <c r="E6" s="42"/>
      <c r="F6" s="43" t="s">
        <v>4</v>
      </c>
      <c r="G6" s="44"/>
      <c r="H6" s="45"/>
      <c r="I6" s="47"/>
      <c r="J6" s="42"/>
      <c r="K6" s="42"/>
      <c r="L6" s="65" t="s">
        <v>4</v>
      </c>
      <c r="M6" s="66"/>
      <c r="N6" s="67"/>
      <c r="O6" s="52"/>
      <c r="P6" s="42"/>
      <c r="Q6" s="42"/>
      <c r="R6" s="58" t="s">
        <v>4</v>
      </c>
      <c r="S6" s="59"/>
      <c r="T6" s="60"/>
      <c r="U6" s="52"/>
      <c r="V6" s="42"/>
      <c r="W6" s="42"/>
      <c r="X6" s="65" t="s">
        <v>4</v>
      </c>
      <c r="Y6" s="66"/>
      <c r="Z6" s="67"/>
      <c r="AA6" s="52"/>
      <c r="AB6" s="42"/>
      <c r="AC6" s="42"/>
      <c r="AD6" s="65" t="s">
        <v>4</v>
      </c>
      <c r="AE6" s="66"/>
      <c r="AF6" s="67"/>
      <c r="AG6" s="52"/>
    </row>
    <row r="7" spans="1:33" ht="78.75" x14ac:dyDescent="0.25">
      <c r="A7" s="42" t="s">
        <v>0</v>
      </c>
      <c r="B7" s="42" t="s">
        <v>6</v>
      </c>
      <c r="C7" s="42" t="s">
        <v>7</v>
      </c>
      <c r="D7" s="42" t="s">
        <v>2</v>
      </c>
      <c r="E7" s="42" t="s">
        <v>18</v>
      </c>
      <c r="F7" s="33" t="s">
        <v>41</v>
      </c>
      <c r="G7" s="19" t="s">
        <v>43</v>
      </c>
      <c r="H7" s="20" t="s">
        <v>42</v>
      </c>
      <c r="I7" s="48" t="s">
        <v>48</v>
      </c>
      <c r="J7" s="42" t="s">
        <v>2</v>
      </c>
      <c r="K7" s="42" t="s">
        <v>18</v>
      </c>
      <c r="L7" s="5" t="s">
        <v>17</v>
      </c>
      <c r="M7" s="5" t="s">
        <v>5</v>
      </c>
      <c r="N7" s="5" t="s">
        <v>42</v>
      </c>
      <c r="O7" s="48" t="s">
        <v>48</v>
      </c>
      <c r="P7" s="42" t="s">
        <v>2</v>
      </c>
      <c r="Q7" s="42" t="s">
        <v>18</v>
      </c>
      <c r="R7" s="5" t="s">
        <v>17</v>
      </c>
      <c r="S7" s="5" t="s">
        <v>5</v>
      </c>
      <c r="T7" s="5" t="s">
        <v>42</v>
      </c>
      <c r="U7" s="48" t="s">
        <v>48</v>
      </c>
      <c r="V7" s="42" t="s">
        <v>2</v>
      </c>
      <c r="W7" s="42" t="s">
        <v>18</v>
      </c>
      <c r="X7" s="5" t="s">
        <v>17</v>
      </c>
      <c r="Y7" s="5" t="s">
        <v>5</v>
      </c>
      <c r="Z7" s="5" t="s">
        <v>42</v>
      </c>
      <c r="AA7" s="48" t="s">
        <v>48</v>
      </c>
      <c r="AB7" s="42" t="s">
        <v>2</v>
      </c>
      <c r="AC7" s="42" t="s">
        <v>18</v>
      </c>
      <c r="AD7" s="5" t="s">
        <v>17</v>
      </c>
      <c r="AE7" s="5" t="s">
        <v>5</v>
      </c>
      <c r="AF7" s="5" t="s">
        <v>42</v>
      </c>
      <c r="AG7" s="48" t="s">
        <v>48</v>
      </c>
    </row>
    <row r="8" spans="1:33" ht="19.5" customHeight="1" x14ac:dyDescent="0.25">
      <c r="A8" s="3">
        <v>1</v>
      </c>
      <c r="B8" s="24" t="s">
        <v>44</v>
      </c>
      <c r="C8" s="25" t="s">
        <v>36</v>
      </c>
      <c r="D8" s="62">
        <f>COUNTIFS(КОНТРОЛЬНЫЕ_МЕРОПРИЯТИЯ!$A$5:$A$43,"&gt;="&amp;$D$4,КОНТРОЛЬНЫЕ_МЕРОПРИЯТИЯ!$A$5:$A$43,"&lt;="&amp;$E$4,КОНТРОЛЬНЫЕ_МЕРОПРИЯТИЯ!$C$5:$C$43,$C$8)</f>
        <v>2</v>
      </c>
      <c r="E8" s="3">
        <f t="shared" ref="E8:E14" si="0">F8+G8</f>
        <v>2</v>
      </c>
      <c r="F8" s="62">
        <f t="array" ref="F8">SUM((КОНТРОЛЬНЫЕ_МЕРОПРИЯТИЯ!$A$5:$A$78&gt;='ОБЩИЙ ОТЧЕТ'!$D$4)*(КОНТРОЛЬНЫЕ_МЕРОПРИЯТИЯ!$A$5:$A$78&lt;='ОБЩИЙ ОТЧЕТ'!$E$4)*(КОНТРОЛЬНЫЕ_МЕРОПРИЯТИЯ!$C$5:$C$78='ОБЩИЙ ОТЧЕТ'!$C8)*(КОНТРОЛЬНЫЕ_МЕРОПРИЯТИЯ!$H$5:$H$78='ОБЩИЙ ОТЧЕТ'!F$7))</f>
        <v>0</v>
      </c>
      <c r="G8" s="62">
        <f t="array" ref="G8">SUM((КОНТРОЛЬНЫЕ_МЕРОПРИЯТИЯ!$A$5:$A$78&gt;='ОБЩИЙ ОТЧЕТ'!$D$4)*(КОНТРОЛЬНЫЕ_МЕРОПРИЯТИЯ!$A$5:$A$78&lt;='ОБЩИЙ ОТЧЕТ'!$E$4)*(КОНТРОЛЬНЫЕ_МЕРОПРИЯТИЯ!$C$5:$C$78='ОБЩИЙ ОТЧЕТ'!$C8)*(КОНТРОЛЬНЫЕ_МЕРОПРИЯТИЯ!$H$5:$H$78='ОБЩИЙ ОТЧЕТ'!G$7))</f>
        <v>2</v>
      </c>
      <c r="H8" s="62">
        <f t="array" ref="H8">SUM((КОНТРОЛЬНЫЕ_МЕРОПРИЯТИЯ!$A$5:$A$78&gt;='ОБЩИЙ ОТЧЕТ'!$D$4)*(КОНТРОЛЬНЫЕ_МЕРОПРИЯТИЯ!$A$5:$A$78&lt;='ОБЩИЙ ОТЧЕТ'!$E$4)*(КОНТРОЛЬНЫЕ_МЕРОПРИЯТИЯ!$C$5:$C$78='ОБЩИЙ ОТЧЕТ'!$C8)*(КОНТРОЛЬНЫЕ_МЕРОПРИЯТИЯ!$H$5:$H$78='ОБЩИЙ ОТЧЕТ'!H$7))</f>
        <v>0</v>
      </c>
      <c r="I8" s="49">
        <f t="array" aca="1" ref="I8" ca="1">SUM(IF(Дата&lt;=E4,IF(Результат_выполнен=1,IF(Подразд={"Шпиг"},1,0)*Кол_просроч)))</f>
        <v>19</v>
      </c>
      <c r="J8" s="62">
        <f>COUNTIFS(КОНТРОЛЬНЫЕ_МЕРОПРИЯТИЯ!$A$5:$A$43,"&gt;="&amp;$K$4,КОНТРОЛЬНЫЕ_МЕРОПРИЯТИЯ!$A$5:$A$43,"&lt;="&amp;$J$4,КОНТРОЛЬНЫЕ_МЕРОПРИЯТИЯ!$B$5:$B$43,B8)</f>
        <v>0</v>
      </c>
      <c r="K8" s="3">
        <f t="shared" ref="K8:K25" ca="1" si="1">L8+M8</f>
        <v>2</v>
      </c>
      <c r="L8" s="3">
        <f ca="1">SUM(IF(Дата&lt;=J4,AND(Дата&gt;=K4,IF(Результат_выполнен=0,IF(Подразд={"Шпиг"},1,0)))))</f>
        <v>0</v>
      </c>
      <c r="M8" s="3">
        <f t="array" aca="1" ref="M8" ca="1">SUM(IF(Дата&lt;=J4,IF(Результат_выполнен=1,IF(Подразд={"Шпиг"},1,0))))</f>
        <v>2</v>
      </c>
      <c r="N8" s="3">
        <f t="array" aca="1" ref="N8" ca="1">SUM(IF(Дата&lt;=J4,IF(Результат_выполнен=-1,IF(Подразд={"Шпиг"},1,0))))</f>
        <v>0</v>
      </c>
      <c r="O8" s="49">
        <f t="array" aca="1" ref="O8" ca="1">SUM(IF(Дата&lt;=J4,IF(Результат_выполнен=1,IF(Подразд={"Шпиг"},1,0)*Кол_просроч)))</f>
        <v>19</v>
      </c>
      <c r="P8" s="62">
        <f>COUNTIFS(КОНТРОЛЬНЫЕ_МЕРОПРИЯТИЯ!$A$5:$A$43,"&gt;="&amp;$Q$4,КОНТРОЛЬНЫЕ_МЕРОПРИЯТИЯ!$A$5:$A$43,"&lt;="&amp;$P$4,КОНТРОЛЬНЫЕ_МЕРОПРИЯТИЯ!$B$5:$B$43,H8)</f>
        <v>0</v>
      </c>
      <c r="Q8" s="3">
        <f t="shared" ref="Q8:Q27" ca="1" si="2">R8+S8</f>
        <v>2</v>
      </c>
      <c r="R8" s="3">
        <f t="array" aca="1" ref="R8" ca="1">SUM(IF(Дата&lt;=P4,IF(Результат_выполнен=0,IF(Подразд={"Шпиг"},1,0))))</f>
        <v>0</v>
      </c>
      <c r="S8" s="3">
        <f t="array" aca="1" ref="S8" ca="1">SUM(IF(Дата&lt;=P4,IF(Результат_выполнен=1,IF(Подразд={"Шпиг"},1,0))))</f>
        <v>2</v>
      </c>
      <c r="T8" s="3">
        <f t="array" aca="1" ref="T8" ca="1">SUM(IF(Дата&lt;=P4,IF(Результат_выполнен=-1,IF(Подразд={"Шпиг"},1,0))))</f>
        <v>0</v>
      </c>
      <c r="U8" s="49">
        <f t="array" aca="1" ref="U8" ca="1">SUM(IF(Дата&lt;=P4,IF(Результат_выполнен=1,IF(Подразд={"Шпиг"},1,0)*Кол_просроч)))</f>
        <v>19</v>
      </c>
      <c r="V8" s="62">
        <f ca="1">COUNTIFS(КОНТРОЛЬНЫЕ_МЕРОПРИЯТИЯ!$A$5:$A$43,"&gt;="&amp;$V$4,КОНТРОЛЬНЫЕ_МЕРОПРИЯТИЯ!$A$5:$A$43,"&lt;="&amp;$W$4,КОНТРОЛЬНЫЕ_МЕРОПРИЯТИЯ!$B$5:$B$43,N8)</f>
        <v>0</v>
      </c>
      <c r="W8" s="3">
        <f t="shared" ref="W8:W28" ca="1" si="3">X8+Y8</f>
        <v>2</v>
      </c>
      <c r="X8" s="3">
        <f t="array" aca="1" ref="X8" ca="1">SUM(IF(Дата&lt;=W4,IF(Результат_выполнен=0,IF(Подразд={"Шпиг"},1,0))))</f>
        <v>0</v>
      </c>
      <c r="Y8" s="3">
        <f t="array" aca="1" ref="Y8" ca="1">SUM(IF(Дата&lt;=W4,IF(Результат_выполнен=1,IF(Подразд={"Шпиг"},1,0))))</f>
        <v>2</v>
      </c>
      <c r="Z8" s="3">
        <f t="array" aca="1" ref="Z8" ca="1">SUM(IF(Дата&lt;=W4,IF(Результат_выполнен=-1,IF(Подразд={"Шпиг"},1,0))))</f>
        <v>0</v>
      </c>
      <c r="AA8" s="49">
        <f t="array" aca="1" ref="AA8" ca="1">SUM(IF(Дата&lt;=W4,IF(Результат_выполнен=1,IF(Подразд={"Шпиг"},1,0)*Кол_просроч)))</f>
        <v>19</v>
      </c>
      <c r="AB8" s="62">
        <f ca="1">COUNTIFS(КОНТРОЛЬНЫЕ_МЕРОПРИЯТИЯ!$A$5:$A$43,"&gt;="&amp;$AB$4,КОНТРОЛЬНЫЕ_МЕРОПРИЯТИЯ!$A$5:$A$43,"&lt;="&amp;$AC$4,КОНТРОЛЬНЫЕ_МЕРОПРИЯТИЯ!$B$5:$B$43,T8)</f>
        <v>0</v>
      </c>
      <c r="AC8" s="3">
        <f t="shared" ref="AC8:AC29" ca="1" si="4">AD8+AE8</f>
        <v>2</v>
      </c>
      <c r="AD8" s="3">
        <f t="array" aca="1" ref="AD8" ca="1">SUM(IF(Дата&lt;=AC4,IF(Результат_выполнен=0,IF(Подразд={"Шпиг"},1,0))))</f>
        <v>0</v>
      </c>
      <c r="AE8" s="3">
        <f t="array" aca="1" ref="AE8" ca="1">SUM(IF(Дата&lt;=AC4,IF(Результат_выполнен=1,IF(Подразд={"Шпиг"},1,0))))</f>
        <v>2</v>
      </c>
      <c r="AF8" s="3">
        <f t="array" aca="1" ref="AF8" ca="1">SUM(IF(Дата&lt;=AC4,IF(Результат_выполнен=-1,IF(Подразд={"Шпиг"},1,0))))</f>
        <v>0</v>
      </c>
      <c r="AG8" s="49">
        <f t="array" aca="1" ref="AG8" ca="1">SUM(IF(Дата&lt;=AC4,IF(Результат_выполнен=1,IF(Подразд={"Шпиг"},1,0)*Кол_просроч)))</f>
        <v>19</v>
      </c>
    </row>
    <row r="9" spans="1:33" ht="33" customHeight="1" x14ac:dyDescent="0.25">
      <c r="A9" s="3">
        <v>2</v>
      </c>
      <c r="B9" s="26" t="s">
        <v>21</v>
      </c>
      <c r="C9" s="25" t="s">
        <v>37</v>
      </c>
      <c r="D9" s="62">
        <f>COUNTIFS(КОНТРОЛЬНЫЕ_МЕРОПРИЯТИЯ!$A$5:$A$43,"&gt;="&amp;$D$4,КОНТРОЛЬНЫЕ_МЕРОПРИЯТИЯ!$A$5:$A$43,"&lt;="&amp;$E$4,КОНТРОЛЬНЫЕ_МЕРОПРИЯТИЯ!$C$5:$C$43,C9)</f>
        <v>1</v>
      </c>
      <c r="E9" s="3">
        <f t="shared" si="0"/>
        <v>1</v>
      </c>
      <c r="F9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H1,КОНТРОЛЬНЫЕ_МЕРОПРИЯТИЯ!$C$5:$C$43,C9)</f>
        <v>0</v>
      </c>
      <c r="G9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G1,КОНТРОЛЬНЫЕ_МЕРОПРИЯТИЯ!$C$5:$C$43,C9)</f>
        <v>1</v>
      </c>
      <c r="H9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I1,КОНТРОЛЬНЫЕ_МЕРОПРИЯТИЯ!$C$5:$C$43,C9)</f>
        <v>0</v>
      </c>
      <c r="I9" s="49">
        <f t="array" aca="1" ref="I9" ca="1">SUM(IF(Дата&lt;=E4,IF(Результат_выполнен=1,IF(Подразд={"Фатуев"},1,0)*Кол_просроч)))</f>
        <v>23</v>
      </c>
      <c r="J9" s="3">
        <f t="array" aca="1" ref="J9" ca="1">SUM(IF(Дата&lt;=J4,IF(Подразд={"Фатуев"},1,0)))</f>
        <v>1</v>
      </c>
      <c r="K9" s="3">
        <f t="shared" ca="1" si="1"/>
        <v>1</v>
      </c>
      <c r="L9" s="3">
        <f t="array" aca="1" ref="L9" ca="1">SUM(IF(Дата&lt;=J4,IF(Результат_выполнен=0,IF(Подразд={"Фатуев"},1,0))))</f>
        <v>0</v>
      </c>
      <c r="M9" s="3">
        <f t="array" aca="1" ref="M9" ca="1">SUM(IF(Дата&lt;=J4,IF(Результат_выполнен=1,IF(Подразд={"Фатуев"},1,0))))</f>
        <v>1</v>
      </c>
      <c r="N9" s="3">
        <f t="array" aca="1" ref="N9" ca="1">SUM(IF(Дата&lt;=J4,IF(Результат_выполнен=-1,IF(Подразд={"Фатуев"},1,0))))</f>
        <v>0</v>
      </c>
      <c r="O9" s="49">
        <f t="array" aca="1" ref="O9" ca="1">SUM(IF(Дата&lt;=J4,IF(Результат_выполнен=1,IF(Подразд={"Фатуев"},1,0)*Кол_просроч)))</f>
        <v>23</v>
      </c>
      <c r="P9" s="3">
        <f t="array" aca="1" ref="P9" ca="1">SUM(IF(Дата&lt;=P4,IF(Подразд={"Фатуев"},1,0)))</f>
        <v>2</v>
      </c>
      <c r="Q9" s="3">
        <f t="shared" ca="1" si="2"/>
        <v>2</v>
      </c>
      <c r="R9" s="3">
        <f t="array" aca="1" ref="R9" ca="1">SUM(IF(Дата&lt;=P4,IF(Результат_выполнен=0,IF(Подразд={"Фатуев"},1,0))))</f>
        <v>0</v>
      </c>
      <c r="S9" s="3">
        <f t="array" aca="1" ref="S9" ca="1">SUM(IF(Дата&lt;=P4,IF(Результат_выполнен=1,IF(Подразд={"Фатуев"},1,0))))</f>
        <v>2</v>
      </c>
      <c r="T9" s="3">
        <f t="array" aca="1" ref="T9" ca="1">SUM(IF(Дата&lt;=P4,IF(Результат_выполнен=-1,IF(Подразд={"Фатуев"},1,0))))</f>
        <v>0</v>
      </c>
      <c r="U9" s="49">
        <f t="array" aca="1" ref="U9" ca="1">SUM(IF(Дата&lt;=P4,IF(Результат_выполнен=1,IF(Подразд={"Фатуев"},1,0)*Кол_просроч)))</f>
        <v>25</v>
      </c>
      <c r="V9" s="3">
        <f t="array" aca="1" ref="V9" ca="1">SUM(IF(Дата&lt;=W4,IF(Подразд={"Фатуев"},1,0)))</f>
        <v>3</v>
      </c>
      <c r="W9" s="3">
        <f t="shared" ca="1" si="3"/>
        <v>3</v>
      </c>
      <c r="X9" s="3">
        <f t="array" aca="1" ref="X9" ca="1">SUM(IF(Дата&lt;=W4,IF(Результат_выполнен=0,IF(Подразд={"Фатуев"},1,0))))</f>
        <v>1</v>
      </c>
      <c r="Y9" s="3">
        <f t="array" aca="1" ref="Y9" ca="1">SUM(IF(Дата&lt;=W4,IF(Результат_выполнен=1,IF(Подразд={"Фатуев"},1,0))))</f>
        <v>2</v>
      </c>
      <c r="Z9" s="3">
        <f t="array" aca="1" ref="Z9" ca="1">SUM(IF(Дата&lt;=W4,IF(Результат_выполнен=-1,IF(Подразд={"Фатуев"},1,0))))</f>
        <v>0</v>
      </c>
      <c r="AA9" s="49">
        <f t="array" aca="1" ref="AA9" ca="1">SUM(IF(Дата&lt;=W4,IF(Результат_выполнен=1,IF(Подразд={"Фатуев"},1,0)*Кол_просроч)))</f>
        <v>25</v>
      </c>
      <c r="AB9" s="3">
        <f t="array" aca="1" ref="AB9" ca="1">SUM(IF(Дата&lt;=AC4,IF(Подразд={"Фатуев"},1,0)))</f>
        <v>3</v>
      </c>
      <c r="AC9" s="3">
        <f t="shared" ca="1" si="4"/>
        <v>3</v>
      </c>
      <c r="AD9" s="3">
        <f t="array" aca="1" ref="AD9" ca="1">SUM(IF(Дата&lt;=AC4,IF(Результат_выполнен=0,IF(Подразд={"Фатуев"},1,0))))</f>
        <v>1</v>
      </c>
      <c r="AE9" s="3">
        <f t="array" aca="1" ref="AE9" ca="1">SUM(IF(Дата&lt;=AC4,IF(Результат_выполнен=1,IF(Подразд={"Фатуев"},1,0))))</f>
        <v>2</v>
      </c>
      <c r="AF9" s="3">
        <f t="array" aca="1" ref="AF9" ca="1">SUM(IF(Дата&lt;=AC4,IF(Результат_выполнен=-1,IF(Подразд={"Фатуев"},1,0))))</f>
        <v>0</v>
      </c>
      <c r="AG9" s="49">
        <f t="array" aca="1" ref="AG9" ca="1">SUM(IF(Дата&lt;=AC4,IF(Результат_выполнен=1,IF(Подразд={"Фатуев"},1,0)*Кол_просроч)))</f>
        <v>25</v>
      </c>
    </row>
    <row r="10" spans="1:33" ht="37.5" customHeight="1" x14ac:dyDescent="0.25">
      <c r="A10" s="3">
        <v>3</v>
      </c>
      <c r="B10" s="26" t="s">
        <v>20</v>
      </c>
      <c r="C10" s="25" t="s">
        <v>35</v>
      </c>
      <c r="D10" s="62">
        <f>COUNTIFS(КОНТРОЛЬНЫЕ_МЕРОПРИЯТИЯ!$A$5:$A$43,"&gt;="&amp;$D$4,КОНТРОЛЬНЫЕ_МЕРОПРИЯТИЯ!$A$5:$A$43,"&lt;="&amp;$E$4,КОНТРОЛЬНЫЕ_МЕРОПРИЯТИЯ!$C$5:$C$43,C10)</f>
        <v>2</v>
      </c>
      <c r="E10" s="3">
        <f t="shared" si="0"/>
        <v>1</v>
      </c>
      <c r="F10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H1,КОНТРОЛЬНЫЕ_МЕРОПРИЯТИЯ!$C$5:$C$43,C10)</f>
        <v>0</v>
      </c>
      <c r="G10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G1,КОНТРОЛЬНЫЕ_МЕРОПРИЯТИЯ!$C$5:$C$43,C10)</f>
        <v>1</v>
      </c>
      <c r="H10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I1,КОНТРОЛЬНЫЕ_МЕРОПРИЯТИЯ!$C$5:$C$43,C10)</f>
        <v>1</v>
      </c>
      <c r="I10" s="49">
        <f t="array" aca="1" ref="I10" ca="1">SUM(IF(Дата&lt;=E4,IF(Результат_выполнен=1,IF(Подразд={"Хавуляк"},1,0)*Кол_просроч)))</f>
        <v>7</v>
      </c>
      <c r="J10" s="3">
        <f t="array" aca="1" ref="J10" ca="1">SUM(IF(Дата&gt;=J4,Дата&lt;=K4,IF(Подразд={"Хавуляк"},1,0)))</f>
        <v>2</v>
      </c>
      <c r="K10" s="3">
        <f t="shared" ca="1" si="1"/>
        <v>1</v>
      </c>
      <c r="L10" s="3">
        <f t="array" aca="1" ref="L10" ca="1">SUM(IF(Дата&lt;=J4,IF(Результат_выполнен=0,IF(Подразд={"Хавуляк"},1,0))))</f>
        <v>0</v>
      </c>
      <c r="M10" s="3">
        <f t="array" aca="1" ref="M10" ca="1">SUM(IF(Дата&lt;=J4,IF(Результат_выполнен=1,IF(Подразд={"Хавуляк"},1,0))))</f>
        <v>1</v>
      </c>
      <c r="N10" s="3">
        <f t="array" aca="1" ref="N10" ca="1">SUM(IF(Дата&lt;=J4,IF(Результат_выполнен=-1,IF(Подразд={"Хавуляк"},1,0))))</f>
        <v>1</v>
      </c>
      <c r="O10" s="49">
        <f t="array" aca="1" ref="O10" ca="1">SUM(IF(Дата&lt;=J4,IF(Результат_выполнен=1,IF(Подразд={"Хавуляк"},1,0)*Кол_просроч)))</f>
        <v>7</v>
      </c>
      <c r="P10" s="3">
        <f t="array" aca="1" ref="P10" ca="1">SUM(IF(Дата&lt;=P4,Дата&gt;=Q4,IF(Подразд={"Хавуляк"},1,0)))</f>
        <v>5</v>
      </c>
      <c r="Q10" s="3">
        <f t="shared" ca="1" si="2"/>
        <v>7</v>
      </c>
      <c r="R10" s="3">
        <f t="array" aca="1" ref="R10" ca="1">SUM(IF(Дата&lt;=P4,IF(Результат_выполнен=0,IF(Подразд={"Хавуляк"},1,0))))</f>
        <v>5</v>
      </c>
      <c r="S10" s="3">
        <f t="array" aca="1" ref="S10" ca="1">SUM(IF(Дата&lt;=P4,IF(Результат_выполнен=1,IF(Подразд={"Хавуляк"},1,0))))</f>
        <v>2</v>
      </c>
      <c r="T10" s="3">
        <f t="array" aca="1" ref="T10" ca="1">SUM(IF(Дата&lt;=P4,IF(Результат_выполнен=-1,IF(Подразд={"Хавуляк"},1,0))))</f>
        <v>3</v>
      </c>
      <c r="U10" s="49">
        <f t="array" aca="1" ref="U10" ca="1">SUM(IF(Дата&lt;=P4,IF(Результат_выполнен=1,IF(Подразд={"Хавуляк"},1,0)*Кол_просроч)))</f>
        <v>20</v>
      </c>
      <c r="V10" s="3">
        <f t="array" aca="1" ref="V10" ca="1">SUM(IF(Дата&lt;=W4,IF(Подразд={"Хавуляк"},1,0)))</f>
        <v>15</v>
      </c>
      <c r="W10" s="3">
        <f t="shared" ca="1" si="3"/>
        <v>11</v>
      </c>
      <c r="X10" s="3">
        <f t="array" aca="1" ref="X10" ca="1">SUM(IF(Дата&lt;=W4,IF(Результат_выполнен=0,IF(Подразд={"Хавуляк"},1,0))))</f>
        <v>7</v>
      </c>
      <c r="Y10" s="3">
        <f t="array" aca="1" ref="Y10" ca="1">SUM(IF(Дата&lt;=W4,IF(Результат_выполнен=1,IF(Подразд={"Хавуляк"},1,0))))</f>
        <v>4</v>
      </c>
      <c r="Z10" s="3">
        <f t="array" aca="1" ref="Z10" ca="1">SUM(IF(Дата&lt;=W4,IF(Результат_выполнен=-1,IF(Подразд={"Хавуляк"},1,0))))</f>
        <v>4</v>
      </c>
      <c r="AA10" s="49">
        <f t="array" aca="1" ref="AA10" ca="1">SUM(IF(Дата&lt;=W4,IF(Результат_выполнен=1,IF(Подразд={"Хавуляк"},1,0)*Кол_просроч)))</f>
        <v>40</v>
      </c>
      <c r="AB10" s="3">
        <f t="array" aca="1" ref="AB10" ca="1">SUM(IF(Дата&lt;=AC4,IF(Подразд={"Хавуляк"},1,0)))</f>
        <v>15</v>
      </c>
      <c r="AC10" s="3">
        <f t="shared" ca="1" si="4"/>
        <v>11</v>
      </c>
      <c r="AD10" s="3">
        <f t="array" aca="1" ref="AD10" ca="1">SUM(IF(Дата&lt;=AC4,IF(Результат_выполнен=0,IF(Подразд={"Хавуляк"},1,0))))</f>
        <v>7</v>
      </c>
      <c r="AE10" s="3">
        <f t="array" aca="1" ref="AE10" ca="1">SUM(IF(Дата&lt;=AC4,IF(Результат_выполнен=1,IF(Подразд={"Хавуляк"},1,0))))</f>
        <v>4</v>
      </c>
      <c r="AF10" s="3">
        <f t="array" aca="1" ref="AF10" ca="1">SUM(IF(Дата&lt;=AC4,IF(Результат_выполнен=-1,IF(Подразд={"Хавуляк"},1,0))))</f>
        <v>4</v>
      </c>
      <c r="AG10" s="49">
        <f t="array" aca="1" ref="AG10" ca="1">SUM(IF(Дата&lt;=AC4,IF(Результат_выполнен=1,IF(Подразд={"Хавуляк"},1,0)*Кол_просроч)))</f>
        <v>40</v>
      </c>
    </row>
    <row r="11" spans="1:33" ht="37.5" customHeight="1" x14ac:dyDescent="0.25">
      <c r="A11" s="3">
        <v>4</v>
      </c>
      <c r="B11" s="26" t="s">
        <v>34</v>
      </c>
      <c r="C11" s="25" t="s">
        <v>38</v>
      </c>
      <c r="D11" s="62">
        <f>COUNTIFS(КОНТРОЛЬНЫЕ_МЕРОПРИЯТИЯ!$A$5:$A$43,"&gt;="&amp;$D$4,КОНТРОЛЬНЫЕ_МЕРОПРИЯТИЯ!$A$5:$A$43,"&lt;="&amp;$E$4,КОНТРОЛЬНЫЕ_МЕРОПРИЯТИЯ!$C$5:$C$43,C11)</f>
        <v>2</v>
      </c>
      <c r="E11" s="3">
        <f>F11+G11</f>
        <v>1</v>
      </c>
      <c r="F11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H1,КОНТРОЛЬНЫЕ_МЕРОПРИЯТИЯ!$C$5:$C$43,C11)</f>
        <v>0</v>
      </c>
      <c r="G11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G1,КОНТРОЛЬНЫЕ_МЕРОПРИЯТИЯ!$C$5:$C$43,C11)</f>
        <v>1</v>
      </c>
      <c r="H11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I1,КОНТРОЛЬНЫЕ_МЕРОПРИЯТИЯ!$C$5:$C$43,C11)</f>
        <v>1</v>
      </c>
      <c r="I11" s="49">
        <f t="array" aca="1" ref="I11" ca="1">SUM(IF(Дата&lt;=E4,IF(Результат_выполнен=1,IF(Подразд={"Парыло"},1,0)*Кол_просроч)))</f>
        <v>14</v>
      </c>
      <c r="J11" s="3">
        <f t="array" aca="1" ref="J11" ca="1">SUM(IF(Дата&lt;=J4,IF(Подразд={"Парыло"},1,0)))</f>
        <v>2</v>
      </c>
      <c r="K11" s="3">
        <f t="shared" ca="1" si="1"/>
        <v>1</v>
      </c>
      <c r="L11" s="3">
        <f t="array" aca="1" ref="L11" ca="1">SUM(IF(Дата&lt;=J4,IF(Результат_выполнен=0,IF(Подразд={"Парыло"},1,0))))</f>
        <v>0</v>
      </c>
      <c r="M11" s="3">
        <f t="array" aca="1" ref="M11" ca="1">SUM(IF(Дата&lt;=J4,IF(Результат_выполнен=1,IF(Подразд={"Парыло"},1,0))))</f>
        <v>1</v>
      </c>
      <c r="N11" s="3">
        <f t="array" aca="1" ref="N11" ca="1">SUM(IF(Дата&lt;=J4,IF(Результат_выполнен=-1,IF(Подразд={"Парыло"},1,0))))</f>
        <v>1</v>
      </c>
      <c r="O11" s="49">
        <f t="array" aca="1" ref="O11" ca="1">SUM(IF(Дата&lt;=J4,IF(Результат_выполнен=1,IF(Подразд={"Парыло"},1,0)*Кол_просроч)))</f>
        <v>14</v>
      </c>
      <c r="P11" s="3">
        <f t="array" aca="1" ref="P11" ca="1">SUM(IF(Дата&lt;=P4,Дата&gt;=Q4,IF(Подразд={"Парыло"},1,0)))</f>
        <v>2</v>
      </c>
      <c r="Q11" s="3">
        <f t="shared" ca="1" si="2"/>
        <v>1</v>
      </c>
      <c r="R11" s="3">
        <f t="array" aca="1" ref="R11" ca="1">SUM(IF(Дата&lt;=P4,IF(Результат_выполнен=0,IF(Подразд={"Парыло"},1,0))))</f>
        <v>0</v>
      </c>
      <c r="S11" s="3">
        <f t="array" aca="1" ref="S11" ca="1">SUM(IF(Дата&lt;=P4,IF(Результат_выполнен=1,IF(Подразд={"Парыло"},1,0))))</f>
        <v>1</v>
      </c>
      <c r="T11" s="3">
        <f t="array" aca="1" ref="T11" ca="1">SUM(IF(Дата&lt;=P4,IF(Результат_выполнен=-1,IF(Подразд={"Парыло"},1,0))))</f>
        <v>2</v>
      </c>
      <c r="U11" s="49">
        <f t="array" aca="1" ref="U11" ca="1">SUM(IF(Дата&lt;=P4,IF(Результат_выполнен=1,IF(Подразд={"Парыло"},1,0)*Кол_просроч)))</f>
        <v>14</v>
      </c>
      <c r="V11" s="3">
        <f t="array" aca="1" ref="V11" ca="1">SUM(IF(Дата&lt;=W4,Дата&gt;=V4,IF(Подразд={"Парыло"},1,0)))</f>
        <v>2</v>
      </c>
      <c r="W11" s="3">
        <f t="shared" ca="1" si="3"/>
        <v>1</v>
      </c>
      <c r="X11" s="3">
        <f t="array" aca="1" ref="X11" ca="1">SUM(IF(Дата&lt;=W4,IF(Результат_выполнен=0,IF(Подразд={"Парыло"},1,0))))</f>
        <v>0</v>
      </c>
      <c r="Y11" s="3">
        <f t="array" aca="1" ref="Y11" ca="1">SUM(IF(Дата&lt;=W4,IF(Результат_выполнен=1,IF(Подразд={"Парыло"},1,0))))</f>
        <v>1</v>
      </c>
      <c r="Z11" s="3">
        <f t="array" aca="1" ref="Z11" ca="1">SUM(IF(Дата&lt;=W4,IF(Результат_выполнен=-1,IF(Подразд={"Парыло"},1,0))))</f>
        <v>2</v>
      </c>
      <c r="AA11" s="49">
        <f t="array" aca="1" ref="AA11" ca="1">SUM(IF(Дата&lt;=W4,IF(Результат_выполнен=1,IF(Подразд={"Парыло"},1,0)*Кол_просроч)))</f>
        <v>14</v>
      </c>
      <c r="AB11" s="3">
        <f t="array" aca="1" ref="AB11" ca="1">SUM(IF(Дата&lt;=AC4,IF(Подразд={"Парыло"},1,0)))</f>
        <v>5</v>
      </c>
      <c r="AC11" s="3">
        <f t="shared" ca="1" si="4"/>
        <v>1</v>
      </c>
      <c r="AD11" s="3">
        <f t="array" aca="1" ref="AD11" ca="1">SUM(IF(Дата&lt;=AC4,IF(Результат_выполнен=0,IF(Подразд={"Парыло"},1,0))))</f>
        <v>0</v>
      </c>
      <c r="AE11" s="3">
        <f t="array" aca="1" ref="AE11" ca="1">SUM(IF(Дата&lt;=AC4,IF(Результат_выполнен=1,IF(Подразд={"Парыло"},1,0))))</f>
        <v>1</v>
      </c>
      <c r="AF11" s="3">
        <f t="array" aca="1" ref="AF11" ca="1">SUM(IF(Дата&lt;=AC4,IF(Результат_выполнен=-1,IF(Подразд={"Парыло"},1,0))))</f>
        <v>4</v>
      </c>
      <c r="AG11" s="49">
        <f t="array" aca="1" ref="AG11" ca="1">SUM(IF(Дата&lt;=AC4,IF(Результат_выполнен=1,IF(Подразд={"Парыло"},1,0)*Кол_просроч)))</f>
        <v>14</v>
      </c>
    </row>
    <row r="12" spans="1:33" ht="51" customHeight="1" x14ac:dyDescent="0.25">
      <c r="A12" s="3">
        <v>5</v>
      </c>
      <c r="B12" s="24" t="s">
        <v>22</v>
      </c>
      <c r="C12" s="25" t="s">
        <v>39</v>
      </c>
      <c r="D12" s="62">
        <f>COUNTIFS(КОНТРОЛЬНЫЕ_МЕРОПРИЯТИЯ!$A$5:$A$43,"&gt;="&amp;$D$4,КОНТРОЛЬНЫЕ_МЕРОПРИЯТИЯ!$A$5:$A$43,"&lt;="&amp;$E$4,КОНТРОЛЬНЫЕ_МЕРОПРИЯТИЯ!$C$5:$C$43,C12)</f>
        <v>2</v>
      </c>
      <c r="E12" s="3">
        <f t="shared" si="0"/>
        <v>2</v>
      </c>
      <c r="F12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H2,КОНТРОЛЬНЫЕ_МЕРОПРИЯТИЯ!$C$5:$C$43,C12)</f>
        <v>2</v>
      </c>
      <c r="G12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G1,КОНТРОЛЬНЫЕ_МЕРОПРИЯТИЯ!$C$5:$C$43,C12)</f>
        <v>0</v>
      </c>
      <c r="H12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I1,КОНТРОЛЬНЫЕ_МЕРОПРИЯТИЯ!$C$5:$C$43,C12)</f>
        <v>0</v>
      </c>
      <c r="I12" s="49">
        <f t="array" aca="1" ref="I12" ca="1">SUM(IF(Дата&lt;=E4,IF(Результат_выполнен=1,IF(Подразд={"Казимко"},1,0)*Кол_просроч)))</f>
        <v>0</v>
      </c>
      <c r="J12" s="3">
        <f t="array" aca="1" ref="J12" ca="1">SUM(IF(Дата&lt;=J4,IF(Подразд={"Казимко"},1,0)))</f>
        <v>2</v>
      </c>
      <c r="K12" s="3">
        <f t="shared" ca="1" si="1"/>
        <v>2</v>
      </c>
      <c r="L12" s="3">
        <f t="array" aca="1" ref="L12" ca="1">SUM(IF(Дата&lt;=J4,IF(Результат_выполнен=0,IF(Подразд={"Казимко"},1,0))))</f>
        <v>2</v>
      </c>
      <c r="M12" s="3">
        <f t="array" aca="1" ref="M12" ca="1">SUM(IF(Дата&lt;=J4,IF(Результат_выполнен=1,IF(Подразд={"Казимко"},1,0))))</f>
        <v>0</v>
      </c>
      <c r="N12" s="3">
        <f t="array" aca="1" ref="N12" ca="1">SUM(IF(Дата&lt;=J4,IF(Результат_выполнен=-1,IF(Подразд={"Казимко"},1,0))))</f>
        <v>0</v>
      </c>
      <c r="O12" s="49">
        <f t="array" aca="1" ref="O12" ca="1">SUM(IF(Дата&lt;=J4,IF(Результат_выполнен=1,IF(Подразд={"Казимко"},1,0)*Кол_просроч)))</f>
        <v>0</v>
      </c>
      <c r="P12" s="3">
        <f t="array" aca="1" ref="P12" ca="1">SUM(IF(Дата&lt;=P4,IF(Подразд={"Казимко"},1,0)))</f>
        <v>4</v>
      </c>
      <c r="Q12" s="3">
        <f t="shared" ca="1" si="2"/>
        <v>4</v>
      </c>
      <c r="R12" s="3">
        <f t="array" aca="1" ref="R12" ca="1">SUM(IF(Дата&lt;=P4,IF(Результат_выполнен=0,IF(Подразд={"Казимко"},1,0))))</f>
        <v>4</v>
      </c>
      <c r="S12" s="3">
        <f t="array" aca="1" ref="S12" ca="1">SUM(IF(Дата&lt;=P4,IF(Результат_выполнен=1,IF(Подразд={"Казимко"},1,0))))</f>
        <v>0</v>
      </c>
      <c r="T12" s="3">
        <f t="array" aca="1" ref="T12" ca="1">SUM(IF(Дата&lt;=P4,IF(Результат_выполнен=-1,IF(Подразд={"Казимко"},1,0))))</f>
        <v>0</v>
      </c>
      <c r="U12" s="49">
        <f t="array" aca="1" ref="U12" ca="1">SUM(IF(Дата&lt;=P4,IF(Результат_выполнен=1,IF(Подразд={"Казимко"},1,0)*Кол_просроч)))</f>
        <v>0</v>
      </c>
      <c r="V12" s="3">
        <f t="array" aca="1" ref="V12" ca="1">SUM(IF(Дата&lt;=W4,IF(Подразд={"Казимко"},1,0)))</f>
        <v>4</v>
      </c>
      <c r="W12" s="3">
        <f t="shared" ca="1" si="3"/>
        <v>4</v>
      </c>
      <c r="X12" s="3">
        <f t="array" aca="1" ref="X12" ca="1">SUM(IF(Дата&lt;=W4,IF(Результат_выполнен=0,IF(Подразд={"Казимко"},1,0))))</f>
        <v>4</v>
      </c>
      <c r="Y12" s="3">
        <f t="array" aca="1" ref="Y12" ca="1">SUM(IF(Дата&lt;=W4,IF(Результат_выполнен=1,IF(Подразд={"Казимко"},1,0))))</f>
        <v>0</v>
      </c>
      <c r="Z12" s="3">
        <f t="array" aca="1" ref="Z12" ca="1">SUM(IF(Дата&lt;=W4,IF(Результат_выполнен=-1,IF(Подразд={"Казимко"},1,0))))</f>
        <v>0</v>
      </c>
      <c r="AA12" s="49">
        <f t="array" aca="1" ref="AA12" ca="1">SUM(IF(Дата&lt;=W4,IF(Результат_выполнен=1,IF(Подразд={"Казимко"},1,0)*Кол_просроч)))</f>
        <v>0</v>
      </c>
      <c r="AB12" s="3">
        <f t="array" aca="1" ref="AB12" ca="1">SUM(IF(Дата&lt;=AC4,IF(Подразд={"Казимко"},1,0)))</f>
        <v>5</v>
      </c>
      <c r="AC12" s="3">
        <f t="shared" ca="1" si="4"/>
        <v>5</v>
      </c>
      <c r="AD12" s="3">
        <f t="array" aca="1" ref="AD12" ca="1">SUM(IF(Дата&lt;=AC4,IF(Результат_выполнен=0,IF(Подразд={"Казимко"},1,0))))</f>
        <v>4</v>
      </c>
      <c r="AE12" s="3">
        <f t="array" aca="1" ref="AE12" ca="1">SUM(IF(Дата&lt;=AC4,IF(Результат_выполнен=1,IF(Подразд={"Казимко"},1,0))))</f>
        <v>1</v>
      </c>
      <c r="AF12" s="3">
        <f t="array" aca="1" ref="AF12" ca="1">SUM(IF(Дата&lt;=AC4,IF(Результат_выполнен=-1,IF(Подразд={"Казимко"},1,0))))</f>
        <v>0</v>
      </c>
      <c r="AG12" s="49">
        <f t="array" aca="1" ref="AG12" ca="1">SUM(IF(Дата&lt;=AC4,IF(Результат_выполнен=1,IF(Подразд={"Казимко"},1,0)*Кол_просроч)))</f>
        <v>5</v>
      </c>
    </row>
    <row r="13" spans="1:33" ht="26.25" customHeight="1" x14ac:dyDescent="0.25">
      <c r="A13" s="3">
        <v>6</v>
      </c>
      <c r="B13" s="24" t="s">
        <v>23</v>
      </c>
      <c r="C13" s="25" t="s">
        <v>40</v>
      </c>
      <c r="D13" s="62">
        <f>COUNTIFS(КОНТРОЛЬНЫЕ_МЕРОПРИЯТИЯ!$A$5:$A$43,"&gt;="&amp;$D$4,КОНТРОЛЬНЫЕ_МЕРОПРИЯТИЯ!$A$5:$A$43,"&lt;="&amp;$E$4,КОНТРОЛЬНЫЕ_МЕРОПРИЯТИЯ!$C$5:$C$43,C13)</f>
        <v>1</v>
      </c>
      <c r="E13" s="3">
        <f t="shared" si="0"/>
        <v>1</v>
      </c>
      <c r="F13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H3,КОНТРОЛЬНЫЕ_МЕРОПРИЯТИЯ!$C$5:$C$43,C13)</f>
        <v>0</v>
      </c>
      <c r="G13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G1,КОНТРОЛЬНЫЕ_МЕРОПРИЯТИЯ!$C$5:$C$43,C13)</f>
        <v>1</v>
      </c>
      <c r="H13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I1,КОНТРОЛЬНЫЕ_МЕРОПРИЯТИЯ!$C$5:$C$43,C13)</f>
        <v>0</v>
      </c>
      <c r="I13" s="49">
        <f t="array" aca="1" ref="I13" ca="1">SUM(IF(Дата&lt;=E4,IF(Результат_выполнен=1,IF(Подразд={"Ермаков"},1,0)*Кол_просроч)))</f>
        <v>11</v>
      </c>
      <c r="J13" s="3">
        <f t="array" aca="1" ref="J13" ca="1">SUM(IF(Дата&lt;=J4,IF(Подразд={"Ермаков"},1,0)))</f>
        <v>1</v>
      </c>
      <c r="K13" s="3">
        <f t="shared" ca="1" si="1"/>
        <v>1</v>
      </c>
      <c r="L13" s="3">
        <f t="array" aca="1" ref="L13" ca="1">SUM(IF(Дата&lt;=J4,IF(Результат_выполнен=0,IF(Подразд={"Ермаков"},1,0))))</f>
        <v>0</v>
      </c>
      <c r="M13" s="3">
        <f t="array" aca="1" ref="M13" ca="1">SUM(IF(Дата&lt;=J4,IF(Результат_выполнен=1,IF(Подразд={"Ермаков"},1,0))))</f>
        <v>1</v>
      </c>
      <c r="N13" s="3">
        <f t="array" aca="1" ref="N13" ca="1">SUM(IF(Дата&lt;=J4,IF(Результат_выполнен=-1,IF(Подразд={"Ермаков"},1,0))))</f>
        <v>0</v>
      </c>
      <c r="O13" s="49">
        <f t="array" aca="1" ref="O13" ca="1">SUM(IF(Дата&lt;=J4,IF(Результат_выполнен=1,IF(Подразд={"Ермаков"},1,0)*Кол_просроч)))</f>
        <v>11</v>
      </c>
      <c r="P13" s="3">
        <f t="array" aca="1" ref="P13" ca="1">SUM(IF(Дата&lt;=P4,IF(Подразд={"Ермаков"},1,0)))</f>
        <v>1</v>
      </c>
      <c r="Q13" s="3">
        <f t="shared" ca="1" si="2"/>
        <v>1</v>
      </c>
      <c r="R13" s="3">
        <f ca="1">SUM(IF(Дата&lt;=P4,IF(Результат_выполнен=0,IF(Подразд={"Ермаков"},1,0))))</f>
        <v>0</v>
      </c>
      <c r="S13" s="3">
        <f t="array" aca="1" ref="S13" ca="1">SUM(IF(Дата&lt;=P4,IF(Результат_выполнен=1,IF(Подразд={"Ермаков"},1,0))))</f>
        <v>1</v>
      </c>
      <c r="T13" s="3">
        <f t="array" aca="1" ref="T13" ca="1">SUM(IF(Дата&lt;=P4,IF(Результат_выполнен=-1,IF(Подразд={"Ермаков"},1,0))))</f>
        <v>0</v>
      </c>
      <c r="U13" s="49">
        <f t="array" aca="1" ref="U13" ca="1">SUM(IF(Дата&lt;=P4,IF(Результат_выполнен=1,IF(Подразд={"Ермаков"},1,0)*Кол_просроч)))</f>
        <v>11</v>
      </c>
      <c r="V13" s="3">
        <f t="array" aca="1" ref="V13" ca="1">SUM(IF(Дата&lt;=W4,IF(Подразд={"Ермаков"},1,0)))</f>
        <v>1</v>
      </c>
      <c r="W13" s="3">
        <f t="shared" ca="1" si="3"/>
        <v>1</v>
      </c>
      <c r="X13" s="3">
        <f t="array" aca="1" ref="X13" ca="1">SUM(IF(Дата&lt;=W4,IF(Результат_выполнен=0,IF(Подразд={"Ермаков"},1,0))))</f>
        <v>0</v>
      </c>
      <c r="Y13" s="3">
        <f t="array" aca="1" ref="Y13" ca="1">SUM(IF(Дата&lt;=W4,IF(Результат_выполнен=1,IF(Подразд={"Ермаков"},1,0))))</f>
        <v>1</v>
      </c>
      <c r="Z13" s="3">
        <f t="array" aca="1" ref="Z13" ca="1">SUM(IF(Дата&lt;=W4,IF(Результат_выполнен=-1,IF(Подразд={"Ермаков"},1,0))))</f>
        <v>0</v>
      </c>
      <c r="AA13" s="49">
        <f t="array" aca="1" ref="AA13" ca="1">SUM(IF(Дата&lt;=W4,IF(Результат_выполнен=1,IF(Подразд={"Ермаков"},1,0)*Кол_просроч)))</f>
        <v>11</v>
      </c>
      <c r="AB13" s="3">
        <f t="array" aca="1" ref="AB13" ca="1">SUM(IF(Дата&lt;=AC4,IF(Подразд={"Ермаков"},1,0)))</f>
        <v>1</v>
      </c>
      <c r="AC13" s="3">
        <f t="shared" ca="1" si="4"/>
        <v>1</v>
      </c>
      <c r="AD13" s="3">
        <f t="array" aca="1" ref="AD13" ca="1">SUM(IF(Дата&lt;=AC4,IF(Результат_выполнен=0,IF(Подразд={"Ермаков"},1,0))))</f>
        <v>0</v>
      </c>
      <c r="AE13" s="3">
        <f t="array" aca="1" ref="AE13" ca="1">SUM(IF(Дата&lt;=AC4,IF(Результат_выполнен=1,IF(Подразд={"Ермаков"},1,0))))</f>
        <v>1</v>
      </c>
      <c r="AF13" s="3">
        <f t="array" aca="1" ref="AF13" ca="1">SUM(IF(Дата&lt;=AC4,IF(Результат_выполнен=-1,IF(Подразд={"Ермаков"},1,0))))</f>
        <v>0</v>
      </c>
      <c r="AG13" s="49">
        <f t="array" aca="1" ref="AG13" ca="1">SUM(IF(Дата&lt;=AC4,IF(Результат_выполнен=1,IF(Подразд={"Ермаков"},1,0)*Кол_просроч)))</f>
        <v>11</v>
      </c>
    </row>
    <row r="14" spans="1:33" ht="26.25" customHeight="1" x14ac:dyDescent="0.25">
      <c r="A14" s="3">
        <v>7</v>
      </c>
      <c r="B14" s="24" t="s">
        <v>49</v>
      </c>
      <c r="C14" s="25" t="s">
        <v>50</v>
      </c>
      <c r="D14" s="62">
        <f>COUNTIFS(КОНТРОЛЬНЫЕ_МЕРОПРИЯТИЯ!$A$5:$A$43,"&gt;="&amp;$D$4,КОНТРОЛЬНЫЕ_МЕРОПРИЯТИЯ!$A$5:$A$43,"&lt;="&amp;$E$4,КОНТРОЛЬНЫЕ_МЕРОПРИЯТИЯ!$C$5:$C$43,C14)</f>
        <v>1</v>
      </c>
      <c r="E14" s="3">
        <f t="shared" si="0"/>
        <v>1</v>
      </c>
      <c r="F14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H1,КОНТРОЛЬНЫЕ_МЕРОПРИЯТИЯ!$C$5:$C$43,C14)</f>
        <v>1</v>
      </c>
      <c r="G14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G1,КОНТРОЛЬНЫЕ_МЕРОПРИЯТИЯ!$C$5:$C$43,C14)</f>
        <v>0</v>
      </c>
      <c r="H14" s="62">
        <f>COUNTIFS(КОНТРОЛЬНЫЕ_МЕРОПРИЯТИЯ!$A$5:$A$43,"&gt;="&amp;$D$4,КОНТРОЛЬНЫЕ_МЕРОПРИЯТИЯ!$A$5:$A$43,"&lt;="&amp;$E$4,КОНТРОЛЬНЫЕ_МЕРОПРИЯТИЯ!$I$5:$I$43,КОНТРОЛЬНЫЕ_МЕРОПРИЯТИЯ!I1,КОНТРОЛЬНЫЕ_МЕРОПРИЯТИЯ!$C$5:$C$43,C14)</f>
        <v>0</v>
      </c>
      <c r="I14" s="49">
        <f t="array" aca="1" ref="I14" ca="1">SUM(IF(Дата&lt;=E4,IF(Результат_выполнен=1,IF(Подразд={"Томчишин"},1,0)*Кол_просроч)))</f>
        <v>0</v>
      </c>
      <c r="J14" s="3">
        <f t="array" aca="1" ref="J14" ca="1">SUM(IF(Дата&lt;=J4,IF(Подразд={"Томчишин"},1,0)))</f>
        <v>1</v>
      </c>
      <c r="K14" s="3">
        <f t="shared" ca="1" si="1"/>
        <v>1</v>
      </c>
      <c r="L14" s="3">
        <f t="array" aca="1" ref="L14" ca="1">SUM(IF(Дата&lt;=J4,IF(Результат_выполнен=0,IF(Подразд={"Томчишин"},1,0))))</f>
        <v>1</v>
      </c>
      <c r="M14" s="3">
        <f t="array" aca="1" ref="M14" ca="1">SUM(IF(Дата&lt;=J4,IF(Результат_выполнен=1,IF(Подразд={"Томчишин"},1,0))))</f>
        <v>0</v>
      </c>
      <c r="N14" s="3">
        <f t="array" aca="1" ref="N14" ca="1">SUM(IF(Дата&lt;=J4,IF(Результат_выполнен=-1,IF(Подразд={"Томчишин"},1,0))))</f>
        <v>0</v>
      </c>
      <c r="O14" s="49">
        <f t="array" aca="1" ref="O14" ca="1">SUM(IF(Дата&lt;=J4,IF(Результат_выполнен=1,IF(Подразд={"Томчишин"},1,0)*Кол_просроч)))</f>
        <v>0</v>
      </c>
      <c r="P14" s="3">
        <f t="array" aca="1" ref="P14" ca="1">SUM(IF(Дата&lt;=P4,IF(Подразд={"Томчишин"},1,0)))</f>
        <v>1</v>
      </c>
      <c r="Q14" s="3">
        <f t="shared" ca="1" si="2"/>
        <v>1</v>
      </c>
      <c r="R14" s="3">
        <f t="array" aca="1" ref="R14" ca="1">SUM(IF(Дата&lt;=P4,IF(Результат_выполнен=0,IF(Подразд={"Томчишин"},1,0))))</f>
        <v>1</v>
      </c>
      <c r="S14" s="3">
        <f ca="1">SUM(IF(Дата&lt;=P4,IF(Результат_выполнен=1,IF(Подразд={"Томчишин"},1,0))))</f>
        <v>0</v>
      </c>
      <c r="T14" s="3">
        <f t="array" aca="1" ref="T14" ca="1">SUM(IF(Дата&lt;=P4,IF(Результат_выполнен=-1,IF(Подразд={"Томчишин"},1,0))))</f>
        <v>0</v>
      </c>
      <c r="U14" s="49">
        <f t="array" aca="1" ref="U14" ca="1">SUM(IF(Дата&lt;=P4,IF(Результат_выполнен=1,IF(Подразд={"Томчишин"},1,0)*Кол_просроч)))</f>
        <v>0</v>
      </c>
      <c r="V14" s="3">
        <f t="array" aca="1" ref="V14" ca="1">SUM(IF(Дата&lt;=W4,IF(Подразд={"Томчишин"},1,0)))</f>
        <v>1</v>
      </c>
      <c r="W14" s="3">
        <f t="shared" ca="1" si="3"/>
        <v>1</v>
      </c>
      <c r="X14" s="3">
        <f t="array" aca="1" ref="X14" ca="1">SUM(IF(Дата&lt;=W4,IF(Результат_выполнен=0,IF(Подразд={"Томчишин"},1,0))))</f>
        <v>1</v>
      </c>
      <c r="Y14" s="3">
        <f t="array" aca="1" ref="Y14" ca="1">SUM(IF(Дата&lt;=W4,IF(Результат_выполнен=1,IF(Подразд={"Томчишин"},1,0))))</f>
        <v>0</v>
      </c>
      <c r="Z14" s="3">
        <f t="array" aca="1" ref="Z14" ca="1">SUM(IF(Дата&lt;=W4,IF(Результат_выполнен=-1,IF(Подразд={"Томчишин"},1,0))))</f>
        <v>0</v>
      </c>
      <c r="AA14" s="49">
        <f t="array" aca="1" ref="AA14" ca="1">SUM(IF(Дата&lt;=W4,IF(Результат_выполнен=1,IF(Подразд={"Томчишин"},1,0)*Кол_просроч)))</f>
        <v>0</v>
      </c>
      <c r="AB14" s="3">
        <f t="array" aca="1" ref="AB14" ca="1">SUM(IF(Дата&lt;=AC4,IF(Подразд={"Томчишин"},1,0)))</f>
        <v>1</v>
      </c>
      <c r="AC14" s="3">
        <f t="shared" ca="1" si="4"/>
        <v>1</v>
      </c>
      <c r="AD14" s="3">
        <f t="array" aca="1" ref="AD14" ca="1">SUM(IF(Дата&lt;=AC4,IF(Результат_выполнен=0,IF(Подразд={"Томчишин"},1,0))))</f>
        <v>1</v>
      </c>
      <c r="AE14" s="3">
        <f t="array" aca="1" ref="AE14" ca="1">SUM(IF(Дата&lt;=AC4,IF(Результат_выполнен=1,IF(Подразд={"Томчишин"},1,0))))</f>
        <v>0</v>
      </c>
      <c r="AF14" s="3">
        <f t="array" aca="1" ref="AF14" ca="1">SUM(IF(Дата&lt;=AC4,IF(Результат_выполнен=-1,IF(Подразд={"Томчишин"},1,0))))</f>
        <v>0</v>
      </c>
      <c r="AG14" s="49">
        <f t="array" aca="1" ref="AG14" ca="1">SUM(IF(Дата&lt;=AC4,IF(Результат_выполнен=1,IF(Подразд={"Томчишин"},1,0)*Кол_просроч)))</f>
        <v>0</v>
      </c>
    </row>
    <row r="15" spans="1:33" ht="26.25" customHeight="1" x14ac:dyDescent="0.25">
      <c r="A15" s="3">
        <v>8</v>
      </c>
      <c r="B15" s="24" t="s">
        <v>55</v>
      </c>
      <c r="C15" s="25" t="s">
        <v>93</v>
      </c>
      <c r="D15" s="3"/>
      <c r="E15" s="3"/>
      <c r="F15" s="3"/>
      <c r="G15" s="3"/>
      <c r="H15" s="3"/>
      <c r="I15" s="50"/>
      <c r="J15" s="3">
        <f t="array" aca="1" ref="J15" ca="1">SUM(IF(Дата&lt;=J4,IF(Подразд={"Гаврилова"},1,0)))</f>
        <v>0</v>
      </c>
      <c r="K15" s="3">
        <f t="shared" ca="1" si="1"/>
        <v>0</v>
      </c>
      <c r="L15" s="3">
        <f t="array" aca="1" ref="L15" ca="1">SUM(IF(Дата&lt;=J4,IF(Результат_выполнен=0,IF(Подразд={"Гаврилова"},1,0))))</f>
        <v>0</v>
      </c>
      <c r="M15" s="3">
        <f t="array" aca="1" ref="M15" ca="1">SUM(IF(Дата&lt;=J4,IF(Результат_выполнен=1,IF(Подразд={"Гаврилова"},1,0))))</f>
        <v>0</v>
      </c>
      <c r="N15" s="3">
        <f t="array" aca="1" ref="N15" ca="1">SUM(IF(Дата&lt;=J4,IF(Результат_выполнен=-1,IF(Подразд={"Гаврилова"},1,0))))</f>
        <v>0</v>
      </c>
      <c r="O15" s="49">
        <f t="array" aca="1" ref="O15" ca="1">SUM(IF(Дата&lt;=J4,IF(Результат_выполнен=1,IF(Подразд={"Гаврилова"},1,0)*Кол_просроч)))</f>
        <v>0</v>
      </c>
      <c r="P15" s="3">
        <f t="array" aca="1" ref="P15" ca="1">SUM(IF(Дата&lt;=P4,IF(Подразд={"Гаврилова"},1,0)))</f>
        <v>3</v>
      </c>
      <c r="Q15" s="3">
        <f t="shared" ca="1" si="2"/>
        <v>3</v>
      </c>
      <c r="R15" s="3">
        <f t="array" aca="1" ref="R15" ca="1">SUM(IF(Дата&lt;=P4,IF(Результат_выполнен=0,IF(Подразд={"Гаврилова"},1,0))))</f>
        <v>1</v>
      </c>
      <c r="S15" s="3">
        <f t="array" aca="1" ref="S15" ca="1">SUM(IF(Дата&lt;=P4,IF(Результат_выполнен=1,IF(Подразд={"Гаврилова"},1,0))))</f>
        <v>2</v>
      </c>
      <c r="T15" s="3">
        <f t="array" aca="1" ref="T15" ca="1">SUM(IF(Дата&lt;=P4,IF(Результат_выполнен=-1,IF(Подразд={"Гаврилова"},1,0))))</f>
        <v>0</v>
      </c>
      <c r="U15" s="49">
        <f t="array" aca="1" ref="U15" ca="1">SUM(IF(Дата&lt;=P4,IF(Результат_выполнен=1,IF(Подразд={"Гаврилова"},1,0)*Кол_просроч)))</f>
        <v>8</v>
      </c>
      <c r="V15" s="3">
        <f t="array" aca="1" ref="V15" ca="1">SUM(IF(Дата&lt;=W4,IF(Подразд={"Гаврилова"},1,0)))</f>
        <v>3</v>
      </c>
      <c r="W15" s="3">
        <f t="shared" ca="1" si="3"/>
        <v>3</v>
      </c>
      <c r="X15" s="3">
        <f t="array" aca="1" ref="X15" ca="1">SUM(IF(Дата&lt;=W4,IF(Результат_выполнен=0,IF(Подразд={"Гаврилова"},1,0))))</f>
        <v>1</v>
      </c>
      <c r="Y15" s="3">
        <f t="array" aca="1" ref="Y15" ca="1">SUM(IF(Дата&lt;=W4,IF(Результат_выполнен=1,IF(Подразд={"Гаврилова"},1,0))))</f>
        <v>2</v>
      </c>
      <c r="Z15" s="3">
        <f t="array" aca="1" ref="Z15" ca="1">SUM(IF(Дата&lt;=W4,IF(Результат_выполнен=-1,IF(Подразд={"Гаврилова"},1,0))))</f>
        <v>0</v>
      </c>
      <c r="AA15" s="49">
        <f t="array" aca="1" ref="AA15" ca="1">SUM(IF(Дата&lt;=W4,IF(Результат_выполнен=1,IF(Подразд={"Гаврилова"},1,0)*Кол_просроч)))</f>
        <v>8</v>
      </c>
      <c r="AB15" s="3">
        <f t="array" aca="1" ref="AB15" ca="1">SUM(IF(Дата&lt;=AC4,IF(Подразд={"Гаврилова"},1,0)))</f>
        <v>3</v>
      </c>
      <c r="AC15" s="3">
        <f t="shared" ca="1" si="4"/>
        <v>3</v>
      </c>
      <c r="AD15" s="3">
        <f t="array" aca="1" ref="AD15" ca="1">SUM(IF(Дата&lt;=AC4,IF(Результат_выполнен=0,IF(Подразд={"Гаврилова"},1,0))))</f>
        <v>1</v>
      </c>
      <c r="AE15" s="3">
        <f t="array" aca="1" ref="AE15" ca="1">SUM(IF(Дата&lt;=AC4,IF(Результат_выполнен=1,IF(Подразд={"Гаврилова"},1,0))))</f>
        <v>2</v>
      </c>
      <c r="AF15" s="3">
        <f t="array" aca="1" ref="AF15" ca="1">SUM(IF(Дата&lt;=AC4,IF(Результат_выполнен=-1,IF(Подразд={"Гаврилова"},1,0))))</f>
        <v>0</v>
      </c>
      <c r="AG15" s="49">
        <f t="array" aca="1" ref="AG15" ca="1">SUM(IF(Дата&lt;=AC4,IF(Результат_выполнен=1,IF(Подразд={"Гаврилова"},1,0)*Кол_просроч)))</f>
        <v>8</v>
      </c>
    </row>
    <row r="16" spans="1:33" ht="26.25" customHeight="1" x14ac:dyDescent="0.25">
      <c r="A16" s="3">
        <v>9</v>
      </c>
      <c r="B16" s="24" t="s">
        <v>56</v>
      </c>
      <c r="C16" s="25" t="s">
        <v>94</v>
      </c>
      <c r="D16" s="3"/>
      <c r="E16" s="3"/>
      <c r="F16" s="3"/>
      <c r="G16" s="3"/>
      <c r="H16" s="3"/>
      <c r="I16" s="50"/>
      <c r="J16" s="3">
        <f t="array" aca="1" ref="J16" ca="1">SUM(IF(Дата&lt;=J4,IF(Подразд={"Буслова"},1,0)))</f>
        <v>0</v>
      </c>
      <c r="K16" s="3">
        <f t="shared" ca="1" si="1"/>
        <v>0</v>
      </c>
      <c r="L16" s="3">
        <f t="array" aca="1" ref="L16" ca="1">SUM(IF(Дата&lt;=J4,IF(Результат_выполнен=0,IF(Подразд={"Буслова"},1,0))))</f>
        <v>0</v>
      </c>
      <c r="M16" s="3">
        <f t="array" aca="1" ref="M16" ca="1">SUM(IF(Дата&lt;=J4,IF(Результат_выполнен=1,IF(Подразд={"Буслова"},1,0))))</f>
        <v>0</v>
      </c>
      <c r="N16" s="3">
        <f t="array" aca="1" ref="N16" ca="1">SUM(IF(Дата&lt;=J4,IF(Результат_выполнен=-1,IF(Подразд={"Буслова"},1,0))))</f>
        <v>0</v>
      </c>
      <c r="O16" s="49">
        <f t="array" aca="1" ref="O16" ca="1">SUM(IF(Дата&lt;=J4,IF(Результат_выполнен=1,IF(Подразд={"Буслова"},1,0)*Кол_просроч)))</f>
        <v>0</v>
      </c>
      <c r="P16" s="3">
        <f t="array" aca="1" ref="P16" ca="1">SUM(IF(Дата&lt;=P4,IF(Подразд={"Буслова"},1,0)))</f>
        <v>15</v>
      </c>
      <c r="Q16" s="3">
        <f t="shared" ca="1" si="2"/>
        <v>11</v>
      </c>
      <c r="R16" s="3">
        <f t="array" aca="1" ref="R16" ca="1">SUM(IF(Дата&lt;=P4,IF(Результат_выполнен=0,IF(Подразд={"Буслова"},1,0))))</f>
        <v>6</v>
      </c>
      <c r="S16" s="3">
        <f t="array" aca="1" ref="S16" ca="1">SUM(IF(Дата&lt;=P4,IF(Результат_выполнен=1,IF(Подразд={"Буслова"},1,0))))</f>
        <v>5</v>
      </c>
      <c r="T16" s="3">
        <f t="array" aca="1" ref="T16" ca="1">SUM(IF(Дата&lt;=P4,IF(Результат_выполнен=-1,IF(Подразд={"Буслова"},1,0))))</f>
        <v>4</v>
      </c>
      <c r="U16" s="49">
        <f t="array" aca="1" ref="U16" ca="1">SUM(IF(Дата&lt;=P4,IF(Результат_выполнен=1,IF(Подразд={"Буслова"},1,0)*Кол_просроч)))</f>
        <v>15</v>
      </c>
      <c r="V16" s="3">
        <f t="array" aca="1" ref="V16" ca="1">SUM(IF(Дата&lt;=W4,IF(Подразд={"Буслова"},1,0)))</f>
        <v>20</v>
      </c>
      <c r="W16" s="3">
        <f t="shared" ca="1" si="3"/>
        <v>11</v>
      </c>
      <c r="X16" s="3">
        <f t="array" aca="1" ref="X16" ca="1">SUM(IF(Дата&lt;=W4,IF(Результат_выполнен=0,IF(Подразд={"Буслова"},1,0))))</f>
        <v>6</v>
      </c>
      <c r="Y16" s="3">
        <f t="array" aca="1" ref="Y16" ca="1">SUM(IF(Дата&lt;=W4,IF(Результат_выполнен=1,IF(Подразд={"Буслова"},1,0))))</f>
        <v>5</v>
      </c>
      <c r="Z16" s="3">
        <f t="array" aca="1" ref="Z16" ca="1">SUM(IF(Дата&lt;=W4,IF(Результат_выполнен=-1,IF(Подразд={"Буслова"},1,0))))</f>
        <v>9</v>
      </c>
      <c r="AA16" s="49">
        <f t="array" aca="1" ref="AA16" ca="1">SUM(IF(Дата&lt;=W4,IF(Результат_выполнен=1,IF(Подразд={"Буслова"},1,0)*Кол_просроч)))</f>
        <v>15</v>
      </c>
      <c r="AB16" s="3">
        <f t="array" aca="1" ref="AB16" ca="1">SUM(IF(Дата&lt;=AC4,IF(Подразд={"Буслова"},1,0)))</f>
        <v>20</v>
      </c>
      <c r="AC16" s="3">
        <f t="shared" ca="1" si="4"/>
        <v>11</v>
      </c>
      <c r="AD16" s="3">
        <f t="array" aca="1" ref="AD16" ca="1">SUM(IF(Дата&lt;=AC4,IF(Результат_выполнен=0,IF(Подразд={"Буслова"},1,0))))</f>
        <v>6</v>
      </c>
      <c r="AE16" s="3">
        <f t="array" aca="1" ref="AE16" ca="1">SUM(IF(Дата&lt;=AC4,IF(Результат_выполнен=1,IF(Подразд={"Буслова"},1,0))))</f>
        <v>5</v>
      </c>
      <c r="AF16" s="3">
        <f t="array" aca="1" ref="AF16" ca="1">SUM(IF(Дата&lt;=AC4,IF(Результат_выполнен=-1,IF(Подразд={"Буслова"},1,0))))</f>
        <v>9</v>
      </c>
      <c r="AG16" s="49">
        <f t="array" aca="1" ref="AG16" ca="1">SUM(IF(Дата&lt;=AC4,IF(Результат_выполнен=1,IF(Подразд={"Буслова"},1,0)*Кол_просроч)))</f>
        <v>15</v>
      </c>
    </row>
    <row r="17" spans="1:33" ht="26.25" customHeight="1" x14ac:dyDescent="0.25">
      <c r="A17" s="3">
        <v>10</v>
      </c>
      <c r="B17" s="24" t="s">
        <v>57</v>
      </c>
      <c r="C17" s="25" t="s">
        <v>95</v>
      </c>
      <c r="D17" s="3"/>
      <c r="E17" s="3"/>
      <c r="F17" s="3"/>
      <c r="G17" s="3"/>
      <c r="H17" s="3"/>
      <c r="I17" s="50"/>
      <c r="J17" s="3">
        <f t="array" aca="1" ref="J17" ca="1">SUM(IF(Дата&lt;=J4,IF(Подразд={"Ополонец"},1,0)))</f>
        <v>0</v>
      </c>
      <c r="K17" s="3">
        <f t="shared" ca="1" si="1"/>
        <v>0</v>
      </c>
      <c r="L17" s="3">
        <f t="array" aca="1" ref="L17" ca="1">SUM(IF(Дата&lt;=J4,IF(Результат_выполнен=0,IF(Подразд={"Ополонец"},1,0))))</f>
        <v>0</v>
      </c>
      <c r="M17" s="3">
        <f t="array" aca="1" ref="M17" ca="1">SUM(IF(Дата&lt;=J4,IF(Результат_выполнен=1,IF(Подразд={"Ополонец"},1,0))))</f>
        <v>0</v>
      </c>
      <c r="N17" s="3">
        <f t="array" aca="1" ref="N17" ca="1">SUM(IF(Дата&lt;=J4,IF(Результат_выполнен=-1,IF(Подразд={"Ополонец"},1,0))))</f>
        <v>0</v>
      </c>
      <c r="O17" s="49">
        <f t="array" aca="1" ref="O17" ca="1">SUM(IF(Дата&lt;=J4,IF(Результат_выполнен=1,IF(Подразд={"Ополонец"},1,0)*Кол_просроч)))</f>
        <v>0</v>
      </c>
      <c r="P17" s="3">
        <f t="array" aca="1" ref="P17" ca="1">SUM(IF(Дата&lt;=P4,IF(Подразд={"Ополонец"},1,0)))</f>
        <v>2</v>
      </c>
      <c r="Q17" s="3">
        <f t="shared" ca="1" si="2"/>
        <v>2</v>
      </c>
      <c r="R17" s="3">
        <f t="array" aca="1" ref="R17" ca="1">SUM(IF(Дата&lt;=P4,IF(Результат_выполнен=0,IF(Подразд={"Ополонец"},1,0))))</f>
        <v>2</v>
      </c>
      <c r="S17" s="3">
        <f t="array" aca="1" ref="S17" ca="1">SUM(IF(Дата&lt;=P4,IF(Результат_выполнен=1,IF(Подразд={"Ополонец"},1,0))))</f>
        <v>0</v>
      </c>
      <c r="T17" s="3">
        <f t="array" aca="1" ref="T17" ca="1">SUM(IF(Дата&lt;=P4,IF(Результат_выполнен=-1,IF(Подразд={"Ополонец"},1,0))))</f>
        <v>0</v>
      </c>
      <c r="U17" s="49">
        <f t="array" aca="1" ref="U17" ca="1">SUM(IF(Дата&lt;=P4,IF(Результат_выполнен=1,IF(Подразд={"Ополонец"},1,0)*Кол_просроч)))</f>
        <v>0</v>
      </c>
      <c r="V17" s="3">
        <f t="array" aca="1" ref="V17" ca="1">SUM(IF(Дата&lt;=W4,IF(Подразд={"Ополонец"},1,0)))</f>
        <v>2</v>
      </c>
      <c r="W17" s="3">
        <f t="shared" ca="1" si="3"/>
        <v>2</v>
      </c>
      <c r="X17" s="3">
        <f t="array" aca="1" ref="X17" ca="1">SUM(IF(Дата&lt;=W4,IF(Результат_выполнен=0,IF(Подразд={"Ополонец"},1,0))))</f>
        <v>2</v>
      </c>
      <c r="Y17" s="3">
        <f t="array" aca="1" ref="Y17" ca="1">SUM(IF(Дата&lt;=W4,IF(Результат_выполнен=1,IF(Подразд={"Ополонец"},1,0))))</f>
        <v>0</v>
      </c>
      <c r="Z17" s="3">
        <f t="array" aca="1" ref="Z17" ca="1">SUM(IF(Дата&lt;=W4,IF(Результат_выполнен=-1,IF(Подразд={"Ополонец"},1,0))))</f>
        <v>0</v>
      </c>
      <c r="AA17" s="49">
        <f t="array" aca="1" ref="AA17" ca="1">SUM(IF(Дата&lt;=W4,IF(Результат_выполнен=1,IF(Подразд={"Ополонец"},1,0)*Кол_просроч)))</f>
        <v>0</v>
      </c>
      <c r="AB17" s="3">
        <f t="array" aca="1" ref="AB17" ca="1">SUM(IF(Дата&lt;=AC4,IF(Подразд={"Ополонец"},1,0)))</f>
        <v>2</v>
      </c>
      <c r="AC17" s="3">
        <f t="shared" ca="1" si="4"/>
        <v>2</v>
      </c>
      <c r="AD17" s="3">
        <f t="array" aca="1" ref="AD17" ca="1">SUM(IF(Дата&lt;=AC4,IF(Результат_выполнен=0,IF(Подразд={"Ополонец"},1,0))))</f>
        <v>2</v>
      </c>
      <c r="AE17" s="3">
        <f t="array" aca="1" ref="AE17" ca="1">SUM(IF(Дата&lt;=AC4,IF(Результат_выполнен=1,IF(Подразд={"Ополонец"},1,0))))</f>
        <v>0</v>
      </c>
      <c r="AF17" s="3">
        <f t="array" aca="1" ref="AF17" ca="1">SUM(IF(Дата&lt;=AC4,IF(Результат_выполнен=-1,IF(Подразд={"Ополонец"},1,0))))</f>
        <v>0</v>
      </c>
      <c r="AG17" s="49">
        <f t="array" aca="1" ref="AG17" ca="1">SUM(IF(Дата&lt;=AC4,IF(Результат_выполнен=1,IF(Подразд={"Ополонец"},1,0)*Кол_просроч)))</f>
        <v>0</v>
      </c>
    </row>
    <row r="18" spans="1:33" ht="26.25" customHeight="1" x14ac:dyDescent="0.25">
      <c r="A18" s="3">
        <v>11</v>
      </c>
      <c r="B18" s="24" t="s">
        <v>58</v>
      </c>
      <c r="C18" s="25" t="s">
        <v>96</v>
      </c>
      <c r="D18" s="3"/>
      <c r="E18" s="3"/>
      <c r="F18" s="3"/>
      <c r="G18" s="3"/>
      <c r="H18" s="3"/>
      <c r="I18" s="50"/>
      <c r="J18" s="3">
        <f t="array" aca="1" ref="J18" ca="1">SUM(IF(Дата&lt;=J4,IF(Подразд={"Полонец"},1,0)))</f>
        <v>0</v>
      </c>
      <c r="K18" s="3">
        <f t="shared" ca="1" si="1"/>
        <v>0</v>
      </c>
      <c r="L18" s="3">
        <f t="array" aca="1" ref="L18" ca="1">SUM(IF(Дата&lt;=J4,IF(Результат_выполнен=0,IF(Подразд={"Полонец"},1,0))))</f>
        <v>0</v>
      </c>
      <c r="M18" s="3">
        <f t="array" aca="1" ref="M18" ca="1">SUM(IF(Дата&lt;=J4,IF(Результат_выполнен=1,IF(Подразд={"Полонец"},1,0))))</f>
        <v>0</v>
      </c>
      <c r="N18" s="3">
        <f t="array" aca="1" ref="N18" ca="1">SUM(IF(Дата&lt;=J4,IF(Результат_выполнен=-1,IF(Подразд={"Полонец"},1,0))))</f>
        <v>0</v>
      </c>
      <c r="O18" s="49">
        <f t="array" aca="1" ref="O18" ca="1">SUM(IF(Дата&lt;=J4,IF(Результат_выполнен=1,IF(Подразд={"Полонец"},1,0)*Кол_просроч)))</f>
        <v>0</v>
      </c>
      <c r="P18" s="3">
        <f t="array" aca="1" ref="P18" ca="1">SUM(IF(Дата&lt;=P4,IF(Подразд={"Полонец"},1,0)))</f>
        <v>1</v>
      </c>
      <c r="Q18" s="3">
        <f t="shared" ca="1" si="2"/>
        <v>1</v>
      </c>
      <c r="R18" s="3">
        <f t="array" aca="1" ref="R18" ca="1">SUM(IF(Дата&lt;=P4,IF(Результат_выполнен=0,IF(Подразд={"Полонец"},1,0))))</f>
        <v>0</v>
      </c>
      <c r="S18" s="3">
        <f t="array" aca="1" ref="S18" ca="1">SUM(IF(Дата&lt;=P4,IF(Результат_выполнен=1,IF(Подразд={"Полонец"},1,0))))</f>
        <v>1</v>
      </c>
      <c r="T18" s="3">
        <f t="array" aca="1" ref="T18" ca="1">SUM(IF(Дата&lt;=P4,IF(Результат_выполнен=-1,IF(Подразд={"Полонец"},1,0))))</f>
        <v>0</v>
      </c>
      <c r="U18" s="49">
        <f t="array" aca="1" ref="U18" ca="1">SUM(IF(Дата&lt;=P4,IF(Результат_выполнен=1,IF(Подразд={"Полонец"},1,0)*Кол_просроч)))</f>
        <v>3</v>
      </c>
      <c r="V18" s="3">
        <f t="array" aca="1" ref="V18" ca="1">SUM(IF(Дата&lt;=W4,IF(Подразд={"Полонец"},1,0)))</f>
        <v>1</v>
      </c>
      <c r="W18" s="3">
        <f t="shared" ca="1" si="3"/>
        <v>1</v>
      </c>
      <c r="X18" s="3">
        <f t="array" aca="1" ref="X18" ca="1">SUM(IF(Дата&lt;=W4,IF(Результат_выполнен=0,IF(Подразд={"Полонец"},1,0))))</f>
        <v>0</v>
      </c>
      <c r="Y18" s="3">
        <f t="array" aca="1" ref="Y18" ca="1">SUM(IF(Дата&lt;=W4,IF(Результат_выполнен=1,IF(Подразд={"Полонец"},1,0))))</f>
        <v>1</v>
      </c>
      <c r="Z18" s="3">
        <f t="array" aca="1" ref="Z18" ca="1">SUM(IF(Дата&lt;=W4,IF(Результат_выполнен=-1,IF(Подразд={"Полонец"},1,0))))</f>
        <v>0</v>
      </c>
      <c r="AA18" s="49">
        <f t="array" aca="1" ref="AA18" ca="1">SUM(IF(Дата&lt;=W4,IF(Результат_выполнен=1,IF(Подразд={"Полонец"},1,0)*Кол_просроч)))</f>
        <v>3</v>
      </c>
      <c r="AB18" s="3">
        <f t="array" aca="1" ref="AB18" ca="1">SUM(IF(Дата&lt;=AC4,IF(Подразд={"Полонец"},1,0)))</f>
        <v>1</v>
      </c>
      <c r="AC18" s="3">
        <f t="shared" ca="1" si="4"/>
        <v>1</v>
      </c>
      <c r="AD18" s="3">
        <f t="array" aca="1" ref="AD18" ca="1">SUM(IF(Дата&lt;=AC4,IF(Результат_выполнен=0,IF(Подразд={"Полонец"},1,0))))</f>
        <v>0</v>
      </c>
      <c r="AE18" s="3">
        <f t="array" aca="1" ref="AE18" ca="1">SUM(IF(Дата&lt;=AC4,IF(Результат_выполнен=1,IF(Подразд={"Полонец"},1,0))))</f>
        <v>1</v>
      </c>
      <c r="AF18" s="3">
        <f t="array" aca="1" ref="AF18" ca="1">SUM(IF(Дата&lt;=AC4,IF(Результат_выполнен=-1,IF(Подразд={"Полонец"},1,0))))</f>
        <v>0</v>
      </c>
      <c r="AG18" s="49">
        <f t="array" aca="1" ref="AG18" ca="1">SUM(IF(Дата&lt;=AC4,IF(Результат_выполнен=1,IF(Подразд={"Полонец"},1,0)*Кол_просроч)))</f>
        <v>3</v>
      </c>
    </row>
    <row r="19" spans="1:33" ht="26.25" customHeight="1" x14ac:dyDescent="0.25">
      <c r="A19" s="3">
        <v>12</v>
      </c>
      <c r="B19" s="24" t="s">
        <v>52</v>
      </c>
      <c r="C19" s="25" t="s">
        <v>86</v>
      </c>
      <c r="D19" s="3"/>
      <c r="E19" s="3"/>
      <c r="F19" s="3"/>
      <c r="G19" s="3"/>
      <c r="H19" s="3"/>
      <c r="I19" s="50"/>
      <c r="J19" s="3">
        <f t="array" aca="1" ref="J19" ca="1">SUM(IF(Дата&lt;=J4,IF(Подразд={"Коротецкий"},1,0)))</f>
        <v>0</v>
      </c>
      <c r="K19" s="3">
        <f t="shared" ca="1" si="1"/>
        <v>0</v>
      </c>
      <c r="L19" s="3">
        <f t="array" aca="1" ref="L19" ca="1">SUM(IF(Дата&lt;=J4,IF(Результат_выполнен=0,IF(Подразд={"Коротецкий"},1,0))))</f>
        <v>0</v>
      </c>
      <c r="M19" s="3">
        <f t="array" aca="1" ref="M19" ca="1">SUM(IF(Дата&lt;=J4,IF(Результат_выполнен=1,IF(Подразд={"Коротецкий"},1,0))))</f>
        <v>0</v>
      </c>
      <c r="N19" s="3">
        <f t="array" aca="1" ref="N19" ca="1">SUM(IF(Дата&lt;=J4,IF(Результат_выполнен=-1,IF(Подразд={"Коротецкий"},1,0))))</f>
        <v>0</v>
      </c>
      <c r="O19" s="49">
        <f t="array" aca="1" ref="O19" ca="1">SUM(IF(Дата&lt;=J4,IF(Результат_выполнен=1,IF(Подразд={"Коротецкий"},1,0)*Кол_просроч)))</f>
        <v>0</v>
      </c>
      <c r="P19" s="3">
        <f t="array" aca="1" ref="P19" ca="1">SUM(IF(Дата&lt;=P4,IF(Подразд={"Коротецкий"},1,0)))</f>
        <v>2</v>
      </c>
      <c r="Q19" s="3">
        <f t="shared" ca="1" si="2"/>
        <v>2</v>
      </c>
      <c r="R19" s="3">
        <f t="array" aca="1" ref="R19" ca="1">SUM(IF(Дата&lt;=P4,IF(Результат_выполнен=0,IF(Подразд={"Коротецкий"},1,0))))</f>
        <v>2</v>
      </c>
      <c r="S19" s="3">
        <f t="array" aca="1" ref="S19" ca="1">SUM(IF(Дата&lt;=P4,IF(Результат_выполнен=1,IF(Подразд={"Коротецкий"},1,0))))</f>
        <v>0</v>
      </c>
      <c r="T19" s="3">
        <f t="array" aca="1" ref="T19" ca="1">SUM(IF(Дата&lt;=P4,IF(Результат_выполнен=-1,IF(Подразд={"Коротецкий"},1,0))))</f>
        <v>0</v>
      </c>
      <c r="U19" s="49">
        <f t="array" aca="1" ref="U19" ca="1">SUM(IF(Дата&lt;=P4,IF(Результат_выполнен=1,IF(Подразд={"Коротецкий"},1,0)*Кол_просроч)))</f>
        <v>0</v>
      </c>
      <c r="V19" s="3">
        <f t="array" aca="1" ref="V19" ca="1">SUM(IF(Дата&lt;=W4,IF(Подразд={"Коротецкий"},1,0)))</f>
        <v>2</v>
      </c>
      <c r="W19" s="3">
        <f t="shared" ca="1" si="3"/>
        <v>2</v>
      </c>
      <c r="X19" s="3">
        <f t="array" aca="1" ref="X19" ca="1">SUM(IF(Дата&lt;=W4,IF(Результат_выполнен=0,IF(Подразд={"Коротецкий"},1,0))))</f>
        <v>2</v>
      </c>
      <c r="Y19" s="3">
        <f t="array" aca="1" ref="Y19" ca="1">SUM(IF(Дата&lt;=W4,IF(Результат_выполнен=1,IF(Подразд={"Коротецкий"},1,0))))</f>
        <v>0</v>
      </c>
      <c r="Z19" s="3">
        <f t="array" aca="1" ref="Z19" ca="1">SUM(IF(Дата&lt;=W4,IF(Результат_выполнен=-1,IF(Подразд={"Коротецкий"},1,0))))</f>
        <v>0</v>
      </c>
      <c r="AA19" s="49">
        <f t="array" aca="1" ref="AA19" ca="1">SUM(IF(Дата&lt;=W4,IF(Результат_выполнен=1,IF(Подразд={"Коротецкий"},1,0)*Кол_просроч)))</f>
        <v>0</v>
      </c>
      <c r="AB19" s="3">
        <f t="array" aca="1" ref="AB19" ca="1">SUM(IF(Дата&lt;=AC4,IF(Подразд={"Коротецкий"},1,0)))</f>
        <v>2</v>
      </c>
      <c r="AC19" s="3">
        <f t="shared" ca="1" si="4"/>
        <v>2</v>
      </c>
      <c r="AD19" s="3">
        <f t="array" aca="1" ref="AD19" ca="1">SUM(IF(Дата&lt;=AC4,IF(Результат_выполнен=0,IF(Подразд={"Коротецкий"},1,0))))</f>
        <v>2</v>
      </c>
      <c r="AE19" s="3">
        <f t="array" aca="1" ref="AE19" ca="1">SUM(IF(Дата&lt;=AC4,IF(Результат_выполнен=1,IF(Подразд={"Коротецкий"},1,0))))</f>
        <v>0</v>
      </c>
      <c r="AF19" s="3">
        <f t="array" aca="1" ref="AF19" ca="1">SUM(IF(Дата&lt;=AC4,IF(Результат_выполнен=-1,IF(Подразд={"Коротецкий"},1,0))))</f>
        <v>0</v>
      </c>
      <c r="AG19" s="49">
        <f t="array" aca="1" ref="AG19" ca="1">SUM(IF(Дата&lt;=AC4,IF(Результат_выполнен=1,IF(Подразд={"Коротецкий"},1,0)*Кол_просроч)))</f>
        <v>0</v>
      </c>
    </row>
    <row r="20" spans="1:33" ht="26.25" customHeight="1" x14ac:dyDescent="0.25">
      <c r="A20" s="3">
        <v>13</v>
      </c>
      <c r="B20" s="24" t="s">
        <v>53</v>
      </c>
      <c r="C20" s="25" t="s">
        <v>87</v>
      </c>
      <c r="D20" s="3"/>
      <c r="E20" s="3"/>
      <c r="F20" s="3"/>
      <c r="G20" s="3"/>
      <c r="H20" s="3"/>
      <c r="I20" s="50"/>
      <c r="J20" s="3">
        <f t="array" aca="1" ref="J20" ca="1">SUM(IF(Дата&lt;=J4,IF(Подразд={"Нарышков"},1,0)))</f>
        <v>0</v>
      </c>
      <c r="K20" s="3">
        <f t="shared" ca="1" si="1"/>
        <v>0</v>
      </c>
      <c r="L20" s="3">
        <f t="array" aca="1" ref="L20" ca="1">SUM(IF(Дата&lt;=J4,IF(Результат_выполнен=0,IF(Подразд={"Нарышков"},1,0))))</f>
        <v>0</v>
      </c>
      <c r="M20" s="3">
        <f t="array" aca="1" ref="M20" ca="1">SUM(IF(Дата&lt;=J4,IF(Результат_выполнен=1,IF(Подразд={"Нарышков"},1,0))))</f>
        <v>0</v>
      </c>
      <c r="N20" s="3">
        <f t="array" aca="1" ref="N20" ca="1">SUM(IF(Дата&lt;=J4,IF(Результат_выполнен=-1,IF(Подразд={"Шарышков"},1,0))))</f>
        <v>0</v>
      </c>
      <c r="O20" s="49">
        <f t="array" aca="1" ref="O20" ca="1">SUM(IF(Дата&lt;=J4,IF(Результат_выполнен=1,IF(Подразд={"Нарышков"},1,0)*Кол_просроч)))</f>
        <v>0</v>
      </c>
      <c r="P20" s="3">
        <f t="array" aca="1" ref="P20" ca="1">SUM(IF(Дата&lt;=P4,IF(Подразд={"Нарышков"},1,0)))</f>
        <v>2</v>
      </c>
      <c r="Q20" s="3">
        <f t="shared" ca="1" si="2"/>
        <v>2</v>
      </c>
      <c r="R20" s="3">
        <f t="array" aca="1" ref="R20" ca="1">SUM(IF(Дата&lt;=P4,IF(Результат_выполнен=0,IF(Подразд={"Нарышков"},1,0))))</f>
        <v>1</v>
      </c>
      <c r="S20" s="3">
        <f t="array" aca="1" ref="S20" ca="1">SUM(IF(Дата&lt;=P4,IF(Результат_выполнен=1,IF(Подразд={"Нарышков"},1,0))))</f>
        <v>1</v>
      </c>
      <c r="T20" s="3">
        <f t="array" aca="1" ref="T20" ca="1">SUM(IF(Дата&lt;=P4,IF(Результат_выполнен=-1,IF(Подразд={"Шарышков"},1,0))))</f>
        <v>0</v>
      </c>
      <c r="U20" s="49">
        <f t="array" aca="1" ref="U20" ca="1">SUM(IF(Дата&lt;=P4,IF(Результат_выполнен=1,IF(Подразд={"Нарышков"},1,0)*Кол_просроч)))</f>
        <v>7</v>
      </c>
      <c r="V20" s="3">
        <f t="array" aca="1" ref="V20" ca="1">SUM(IF(Дата&lt;=W4,IF(Подразд={"Нарышков"},1,0)))</f>
        <v>2</v>
      </c>
      <c r="W20" s="3">
        <f t="shared" ca="1" si="3"/>
        <v>2</v>
      </c>
      <c r="X20" s="3">
        <f t="array" aca="1" ref="X20" ca="1">SUM(IF(Дата&lt;=W4,IF(Результат_выполнен=0,IF(Подразд={"Нарышков"},1,0))))</f>
        <v>1</v>
      </c>
      <c r="Y20" s="3">
        <f t="array" aca="1" ref="Y20" ca="1">SUM(IF(Дата&lt;=W4,IF(Результат_выполнен=1,IF(Подразд={"Нарышков"},1,0))))</f>
        <v>1</v>
      </c>
      <c r="Z20" s="3">
        <f t="array" aca="1" ref="Z20" ca="1">SUM(IF(Дата&lt;=W4,IF(Результат_выполнен=-1,IF(Подразд={"Шарышков"},1,0))))</f>
        <v>0</v>
      </c>
      <c r="AA20" s="49">
        <f t="array" aca="1" ref="AA20" ca="1">SUM(IF(Дата&lt;=W4,IF(Результат_выполнен=1,IF(Подразд={"Нарышков"},1,0)*Кол_просроч)))</f>
        <v>7</v>
      </c>
      <c r="AB20" s="3">
        <f t="array" aca="1" ref="AB20" ca="1">SUM(IF(Дата&lt;=AC4,IF(Подразд={"Нарышков"},1,0)))</f>
        <v>2</v>
      </c>
      <c r="AC20" s="3">
        <f t="shared" ca="1" si="4"/>
        <v>2</v>
      </c>
      <c r="AD20" s="3">
        <f t="array" aca="1" ref="AD20" ca="1">SUM(IF(Дата&lt;=AC4,IF(Результат_выполнен=0,IF(Подразд={"Нарышков"},1,0))))</f>
        <v>1</v>
      </c>
      <c r="AE20" s="3">
        <f t="array" aca="1" ref="AE20" ca="1">SUM(IF(Дата&lt;=AC4,IF(Результат_выполнен=1,IF(Подразд={"Нарышков"},1,0))))</f>
        <v>1</v>
      </c>
      <c r="AF20" s="3">
        <f t="array" aca="1" ref="AF20" ca="1">SUM(IF(Дата&lt;=AC4,IF(Результат_выполнен=-1,IF(Подразд={"Шарышков"},1,0))))</f>
        <v>0</v>
      </c>
      <c r="AG20" s="49">
        <f t="array" aca="1" ref="AG20" ca="1">SUM(IF(Дата&lt;=AC4,IF(Результат_выполнен=1,IF(Подразд={"Нарышков"},1,0)*Кол_просроч)))</f>
        <v>7</v>
      </c>
    </row>
    <row r="21" spans="1:33" ht="26.25" customHeight="1" x14ac:dyDescent="0.25">
      <c r="A21" s="3">
        <v>14</v>
      </c>
      <c r="B21" s="24" t="s">
        <v>97</v>
      </c>
      <c r="C21" s="25" t="s">
        <v>88</v>
      </c>
      <c r="D21" s="3"/>
      <c r="E21" s="3"/>
      <c r="F21" s="3"/>
      <c r="G21" s="3"/>
      <c r="H21" s="3"/>
      <c r="I21" s="50"/>
      <c r="J21" s="3">
        <f t="array" aca="1" ref="J21" ca="1">SUM(IF(Дата&lt;=J4,IF(Подразд={"Кузьмич"},1,0)))</f>
        <v>0</v>
      </c>
      <c r="K21" s="3">
        <f t="shared" ca="1" si="1"/>
        <v>0</v>
      </c>
      <c r="L21" s="3">
        <f t="array" aca="1" ref="L21" ca="1">SUM(IF(Дата&lt;=J4,IF(Результат_выполнен=0,IF(Подразд={"Кузьмич"},1,0))))</f>
        <v>0</v>
      </c>
      <c r="M21" s="3">
        <f t="array" aca="1" ref="M21" ca="1">SUM(IF(Дата&lt;=J4,IF(Результат_выполнен=1,IF(Подразд={"Кузьмич"},1,0))))</f>
        <v>0</v>
      </c>
      <c r="N21" s="3">
        <f t="array" aca="1" ref="N21" ca="1">SUM(IF(Дата&lt;=J4,IF(Результат_выполнен=-1,IF(Подразд={"Кузьмич"},1,0))))</f>
        <v>0</v>
      </c>
      <c r="O21" s="49">
        <f t="array" aca="1" ref="O21" ca="1">SUM(IF(Дата&lt;=J4,IF(Результат_выполнен=1,IF(Подразд={"Кузьмич"},1,0)*Кол_просроч)))</f>
        <v>0</v>
      </c>
      <c r="P21" s="3">
        <f t="array" aca="1" ref="P21" ca="1">SUM(IF(Дата&lt;=P4,IF(Подразд={"Кузьмич"},1,0)))</f>
        <v>1</v>
      </c>
      <c r="Q21" s="3">
        <f t="shared" ca="1" si="2"/>
        <v>1</v>
      </c>
      <c r="R21" s="3">
        <f t="array" aca="1" ref="R21" ca="1">SUM(IF(Дата&lt;=P4,IF(Результат_выполнен=0,IF(Подразд={"Кузьмич"},1,0))))</f>
        <v>1</v>
      </c>
      <c r="S21" s="3">
        <f t="array" aca="1" ref="S21" ca="1">SUM(IF(Дата&lt;=P4,IF(Результат_выполнен=1,IF(Подразд={"Кузьмич"},1,0))))</f>
        <v>0</v>
      </c>
      <c r="T21" s="3">
        <f t="array" aca="1" ref="T21" ca="1">SUM(IF(Дата&lt;=P4,IF(Результат_выполнен=-1,IF(Подразд={"Кузьмич"},1,0))))</f>
        <v>0</v>
      </c>
      <c r="U21" s="49">
        <f t="array" aca="1" ref="U21" ca="1">SUM(IF(Дата&lt;=P4,IF(Результат_выполнен=1,IF(Подразд={"Кузьмич"},1,0)*Кол_просроч)))</f>
        <v>0</v>
      </c>
      <c r="V21" s="3">
        <f t="array" aca="1" ref="V21" ca="1">SUM(IF(Дата&lt;=W4,IF(Подразд={"Кузьмич"},1,0)))</f>
        <v>1</v>
      </c>
      <c r="W21" s="3">
        <f t="shared" ca="1" si="3"/>
        <v>1</v>
      </c>
      <c r="X21" s="3">
        <f t="array" aca="1" ref="X21" ca="1">SUM(IF(Дата&lt;=W4,IF(Результат_выполнен=0,IF(Подразд={"Кузьмич"},1,0))))</f>
        <v>1</v>
      </c>
      <c r="Y21" s="3">
        <f t="array" aca="1" ref="Y21" ca="1">SUM(IF(Дата&lt;=W4,IF(Результат_выполнен=1,IF(Подразд={"Кузьмич"},1,0))))</f>
        <v>0</v>
      </c>
      <c r="Z21" s="3">
        <f t="array" aca="1" ref="Z21" ca="1">SUM(IF(Дата&lt;=W4,IF(Результат_выполнен=-1,IF(Подразд={"Кузьмич"},1,0))))</f>
        <v>0</v>
      </c>
      <c r="AA21" s="49">
        <f t="array" aca="1" ref="AA21" ca="1">SUM(IF(Дата&lt;=W4,IF(Результат_выполнен=1,IF(Подразд={"Кузьмич"},1,0)*Кол_просроч)))</f>
        <v>0</v>
      </c>
      <c r="AB21" s="3">
        <f t="array" aca="1" ref="AB21" ca="1">SUM(IF(Дата&lt;=AC4,IF(Подразд={"Кузьмич"},1,0)))</f>
        <v>1</v>
      </c>
      <c r="AC21" s="3">
        <f t="shared" ca="1" si="4"/>
        <v>1</v>
      </c>
      <c r="AD21" s="3">
        <f t="array" aca="1" ref="AD21" ca="1">SUM(IF(Дата&lt;=AC4,IF(Результат_выполнен=0,IF(Подразд={"Кузьмич"},1,0))))</f>
        <v>1</v>
      </c>
      <c r="AE21" s="3">
        <f t="array" aca="1" ref="AE21" ca="1">SUM(IF(Дата&lt;=AC4,IF(Результат_выполнен=1,IF(Подразд={"Кузьмич"},1,0))))</f>
        <v>0</v>
      </c>
      <c r="AF21" s="3">
        <f t="array" aca="1" ref="AF21" ca="1">SUM(IF(Дата&lt;=AC4,IF(Результат_выполнен=-1,IF(Подразд={"Кузьмич"},1,0))))</f>
        <v>0</v>
      </c>
      <c r="AG21" s="49">
        <f t="array" aca="1" ref="AG21" ca="1">SUM(IF(Дата&lt;=AC4,IF(Результат_выполнен=1,IF(Подразд={"Кузьмич"},1,0)*Кол_просроч)))</f>
        <v>0</v>
      </c>
    </row>
    <row r="22" spans="1:33" ht="26.25" customHeight="1" x14ac:dyDescent="0.25">
      <c r="A22" s="3">
        <v>15</v>
      </c>
      <c r="B22" s="24" t="s">
        <v>54</v>
      </c>
      <c r="C22" s="25" t="s">
        <v>89</v>
      </c>
      <c r="D22" s="3"/>
      <c r="E22" s="3"/>
      <c r="F22" s="3"/>
      <c r="G22" s="3"/>
      <c r="H22" s="3"/>
      <c r="I22" s="50"/>
      <c r="J22" s="3">
        <f t="array" aca="1" ref="J22" ca="1">SUM(IF(Дата&lt;=J4,IF(Подразд={"Шокало"},1,0)))</f>
        <v>0</v>
      </c>
      <c r="K22" s="3">
        <f t="shared" ca="1" si="1"/>
        <v>0</v>
      </c>
      <c r="L22" s="3">
        <f t="array" aca="1" ref="L22" ca="1">SUM(IF(Дата&lt;=J4,IF(Результат_выполнен=0,IF(Подразд={"Шокало"},1,0))))</f>
        <v>0</v>
      </c>
      <c r="M22" s="3">
        <f t="array" aca="1" ref="M22" ca="1">SUM(IF(Дата&lt;=J4,IF(Результат_выполнен=1,IF(Подразд={"Шокало"},1,0))))</f>
        <v>0</v>
      </c>
      <c r="N22" s="3">
        <f t="array" aca="1" ref="N22" ca="1">SUM(IF(Дата&lt;=J4,IF(Результат_выполнен=-1,IF(Подразд={"Шокало"},1,0))))</f>
        <v>0</v>
      </c>
      <c r="O22" s="49">
        <f t="array" aca="1" ref="O22" ca="1">SUM(IF(Дата&lt;=J4,IF(Результат_выполнен=1,IF(Подразд={"Шокало"},1,0)*Кол_просроч)))</f>
        <v>0</v>
      </c>
      <c r="P22" s="3">
        <f t="array" aca="1" ref="P22" ca="1">SUM(IF(Дата&lt;=P4,IF(Подразд={"Шокало"},1,0)))</f>
        <v>1</v>
      </c>
      <c r="Q22" s="3">
        <f t="shared" ca="1" si="2"/>
        <v>1</v>
      </c>
      <c r="R22" s="3">
        <f t="array" aca="1" ref="R22" ca="1">SUM(IF(Дата&lt;=P4,IF(Результат_выполнен=0,IF(Подразд={"Шокало"},1,0))))</f>
        <v>1</v>
      </c>
      <c r="S22" s="3">
        <f t="array" aca="1" ref="S22" ca="1">SUM(IF(Дата&lt;=P4,IF(Результат_выполнен=1,IF(Подразд={"Шокало"},1,0))))</f>
        <v>0</v>
      </c>
      <c r="T22" s="3">
        <f t="array" aca="1" ref="T22" ca="1">SUM(IF(Дата&lt;=P4,IF(Результат_выполнен=-1,IF(Подразд={"Шокало"},1,0))))</f>
        <v>0</v>
      </c>
      <c r="U22" s="49">
        <f t="array" aca="1" ref="U22" ca="1">SUM(IF(Дата&lt;=P4,IF(Результат_выполнен=1,IF(Подразд={"Шокало"},1,0)*Кол_просроч)))</f>
        <v>0</v>
      </c>
      <c r="V22" s="3">
        <f t="array" aca="1" ref="V22" ca="1">SUM(IF(Дата&lt;=W4,IF(Подразд={"Шокало"},1,0)))</f>
        <v>2</v>
      </c>
      <c r="W22" s="3">
        <f t="shared" ca="1" si="3"/>
        <v>2</v>
      </c>
      <c r="X22" s="3">
        <f t="array" aca="1" ref="X22" ca="1">SUM(IF(Дата&lt;=W4,IF(Результат_выполнен=0,IF(Подразд={"Шокало"},1,0))))</f>
        <v>2</v>
      </c>
      <c r="Y22" s="3">
        <f t="array" aca="1" ref="Y22" ca="1">SUM(IF(Дата&lt;=W4,IF(Результат_выполнен=1,IF(Подразд={"Шокало"},1,0))))</f>
        <v>0</v>
      </c>
      <c r="Z22" s="3">
        <f t="array" aca="1" ref="Z22" ca="1">SUM(IF(Дата&lt;=W4,IF(Результат_выполнен=-1,IF(Подразд={"Шокало"},1,0))))</f>
        <v>0</v>
      </c>
      <c r="AA22" s="49">
        <f t="array" aca="1" ref="AA22" ca="1">SUM(IF(Дата&lt;=W4,IF(Результат_выполнен=1,IF(Подразд={"Шокало"},1,0)*Кол_просроч)))</f>
        <v>0</v>
      </c>
      <c r="AB22" s="3">
        <f t="array" aca="1" ref="AB22" ca="1">SUM(IF(Дата&lt;=AC4,IF(Подразд={"Шокало"},1,0)))</f>
        <v>2</v>
      </c>
      <c r="AC22" s="3">
        <f t="shared" ca="1" si="4"/>
        <v>2</v>
      </c>
      <c r="AD22" s="3">
        <f t="array" aca="1" ref="AD22" ca="1">SUM(IF(Дата&lt;=AC4,IF(Результат_выполнен=0,IF(Подразд={"Шокало"},1,0))))</f>
        <v>2</v>
      </c>
      <c r="AE22" s="3">
        <f t="array" aca="1" ref="AE22" ca="1">SUM(IF(Дата&lt;=AC4,IF(Результат_выполнен=1,IF(Подразд={"Шокало"},1,0))))</f>
        <v>0</v>
      </c>
      <c r="AF22" s="3">
        <f t="array" aca="1" ref="AF22" ca="1">SUM(IF(Дата&lt;=AC4,IF(Результат_выполнен=-1,IF(Подразд={"Шокало"},1,0))))</f>
        <v>0</v>
      </c>
      <c r="AG22" s="49">
        <f t="array" aca="1" ref="AG22" ca="1">SUM(IF(Дата&lt;=AC4,IF(Результат_выполнен=1,IF(Подразд={"Шокало"},1,0)*Кол_просроч)))</f>
        <v>0</v>
      </c>
    </row>
    <row r="23" spans="1:33" ht="26.25" customHeight="1" x14ac:dyDescent="0.25">
      <c r="A23" s="3">
        <v>16</v>
      </c>
      <c r="B23" s="24" t="s">
        <v>98</v>
      </c>
      <c r="C23" s="25" t="s">
        <v>90</v>
      </c>
      <c r="D23" s="3"/>
      <c r="E23" s="3"/>
      <c r="F23" s="3"/>
      <c r="G23" s="3"/>
      <c r="H23" s="3"/>
      <c r="I23" s="50"/>
      <c r="J23" s="3">
        <f t="array" aca="1" ref="J23" ca="1">SUM(IF(Дата&lt;=J4,IF(Подразд={"Красновский"},1,0)))</f>
        <v>0</v>
      </c>
      <c r="K23" s="3">
        <f t="shared" ca="1" si="1"/>
        <v>0</v>
      </c>
      <c r="L23" s="3">
        <f t="array" aca="1" ref="L23" ca="1">SUM(IF(Дата&lt;=J4,IF(Результат_выполнен=0,IF(Подразд={"Красновский"},1,0))))</f>
        <v>0</v>
      </c>
      <c r="M23" s="3">
        <f t="array" aca="1" ref="M23" ca="1">SUM(IF(Дата&lt;=J4,IF(Результат_выполнен=1,IF(Подразд={"Красновский"},1,0))))</f>
        <v>0</v>
      </c>
      <c r="N23" s="3">
        <f t="array" aca="1" ref="N23" ca="1">SUM(IF(Дата&lt;=J4,IF(Результат_выполнен=-1,IF(Подразд={"Красновский"},1,0))))</f>
        <v>0</v>
      </c>
      <c r="O23" s="49">
        <f t="array" aca="1" ref="O23" ca="1">SUM(IF(Дата&lt;=J4,IF(Результат_выполнен=1,IF(Подразд={"Красновский"},1,0)*Кол_просроч)))</f>
        <v>0</v>
      </c>
      <c r="P23" s="3">
        <f t="array" aca="1" ref="P23" ca="1">SUM(IF(Дата&lt;=P4,IF(Подразд={"Красновский"},1,0)))</f>
        <v>1</v>
      </c>
      <c r="Q23" s="3">
        <f t="shared" ca="1" si="2"/>
        <v>1</v>
      </c>
      <c r="R23" s="3">
        <f t="array" aca="1" ref="R23" ca="1">SUM(IF(Дата&lt;=P4,IF(Результат_выполнен=0,IF(Подразд={"Красновский"},1,0))))</f>
        <v>0</v>
      </c>
      <c r="S23" s="3">
        <f t="array" aca="1" ref="S23" ca="1">SUM(IF(Дата&lt;=P4,IF(Результат_выполнен=1,IF(Подразд={"Красновский"},1,0))))</f>
        <v>1</v>
      </c>
      <c r="T23" s="3">
        <f t="array" aca="1" ref="T23" ca="1">SUM(IF(Дата&lt;=P4,IF(Результат_выполнен=-1,IF(Подразд={"Красновский"},1,0))))</f>
        <v>0</v>
      </c>
      <c r="U23" s="49">
        <f t="array" aca="1" ref="U23" ca="1">SUM(IF(Дата&lt;=P4,IF(Результат_выполнен=1,IF(Подразд={"Красновский"},1,0)*Кол_просроч)))</f>
        <v>2</v>
      </c>
      <c r="V23" s="3">
        <f t="array" aca="1" ref="V23" ca="1">SUM(IF(Дата&lt;=W4,IF(Подразд={"Красновский"},1,0)))</f>
        <v>1</v>
      </c>
      <c r="W23" s="3">
        <f t="shared" ca="1" si="3"/>
        <v>1</v>
      </c>
      <c r="X23" s="3">
        <f t="array" aca="1" ref="X23" ca="1">SUM(IF(Дата&lt;=W4,IF(Результат_выполнен=0,IF(Подразд={"Красновский"},1,0))))</f>
        <v>0</v>
      </c>
      <c r="Y23" s="3">
        <f t="array" aca="1" ref="Y23" ca="1">SUM(IF(Дата&lt;=W4,IF(Результат_выполнен=1,IF(Подразд={"Красновский"},1,0))))</f>
        <v>1</v>
      </c>
      <c r="Z23" s="3">
        <f t="array" aca="1" ref="Z23" ca="1">SUM(IF(Дата&lt;=W4,IF(Результат_выполнен=-1,IF(Подразд={"Красновский"},1,0))))</f>
        <v>0</v>
      </c>
      <c r="AA23" s="49">
        <f t="array" aca="1" ref="AA23" ca="1">SUM(IF(Дата&lt;=W4,IF(Результат_выполнен=1,IF(Подразд={"Красновский"},1,0)*Кол_просроч)))</f>
        <v>2</v>
      </c>
      <c r="AB23" s="3">
        <f t="array" aca="1" ref="AB23" ca="1">SUM(IF(Дата&lt;=AC4,IF(Подразд={"Красновский"},1,0)))</f>
        <v>1</v>
      </c>
      <c r="AC23" s="3">
        <f t="shared" ca="1" si="4"/>
        <v>1</v>
      </c>
      <c r="AD23" s="3">
        <f t="array" aca="1" ref="AD23" ca="1">SUM(IF(Дата&lt;=AC4,IF(Результат_выполнен=0,IF(Подразд={"Красновский"},1,0))))</f>
        <v>0</v>
      </c>
      <c r="AE23" s="3">
        <f t="array" aca="1" ref="AE23" ca="1">SUM(IF(Дата&lt;=AC4,IF(Результат_выполнен=1,IF(Подразд={"Красновский"},1,0))))</f>
        <v>1</v>
      </c>
      <c r="AF23" s="3">
        <f t="array" aca="1" ref="AF23" ca="1">SUM(IF(Дата&lt;=AC4,IF(Результат_выполнен=-1,IF(Подразд={"Красновский"},1,0))))</f>
        <v>0</v>
      </c>
      <c r="AG23" s="49">
        <f t="array" aca="1" ref="AG23" ca="1">SUM(IF(Дата&lt;=AC4,IF(Результат_выполнен=1,IF(Подразд={"Красновский"},1,0)*Кол_просроч)))</f>
        <v>2</v>
      </c>
    </row>
    <row r="24" spans="1:33" ht="26.25" customHeight="1" x14ac:dyDescent="0.25">
      <c r="A24" s="3">
        <v>17</v>
      </c>
      <c r="B24" s="24" t="s">
        <v>99</v>
      </c>
      <c r="C24" s="25" t="s">
        <v>91</v>
      </c>
      <c r="D24" s="3"/>
      <c r="E24" s="3"/>
      <c r="F24" s="3"/>
      <c r="G24" s="3"/>
      <c r="H24" s="3"/>
      <c r="I24" s="50"/>
      <c r="J24" s="3">
        <f t="array" aca="1" ref="J24" ca="1">SUM(IF(Дата&lt;=J4,IF(Подразд={"Дуда"},1,0)))</f>
        <v>0</v>
      </c>
      <c r="K24" s="3">
        <f t="shared" ca="1" si="1"/>
        <v>0</v>
      </c>
      <c r="L24" s="3">
        <f t="array" aca="1" ref="L24" ca="1">SUM(IF(Дата&lt;=J4,IF(Результат_выполнен=0,IF(Подразд={"Дуда"},1,0))))</f>
        <v>0</v>
      </c>
      <c r="M24" s="3">
        <f t="array" aca="1" ref="M24" ca="1">SUM(IF(Дата&lt;=J4,IF(Результат_выполнен=1,IF(Подразд={"Дуда"},1,0))))</f>
        <v>0</v>
      </c>
      <c r="N24" s="3">
        <f t="array" aca="1" ref="N24" ca="1">SUM(IF(Дата&lt;=J4,IF(Результат_выполнен=-1,IF(Подразд={"Дуда"},1,0))))</f>
        <v>0</v>
      </c>
      <c r="O24" s="49">
        <f t="array" aca="1" ref="O24" ca="1">SUM(IF(Дата&lt;=J4,IF(Результат_выполнен=1,IF(Подразд={"Дуда"},1,0)*Кол_просроч)))</f>
        <v>0</v>
      </c>
      <c r="P24" s="3">
        <f t="array" aca="1" ref="P24" ca="1">SUM(IF(Дата&lt;=P4,IF(Подразд={"Дуда"},1,0)))</f>
        <v>1</v>
      </c>
      <c r="Q24" s="3">
        <f t="shared" ca="1" si="2"/>
        <v>1</v>
      </c>
      <c r="R24" s="3">
        <f t="array" aca="1" ref="R24" ca="1">SUM(IF(Дата&lt;=P4,IF(Результат_выполнен=0,IF(Подразд={"Дуда"},1,0))))</f>
        <v>0</v>
      </c>
      <c r="S24" s="3">
        <f t="array" aca="1" ref="S24" ca="1">SUM(IF(Дата&lt;=P4,IF(Результат_выполнен=1,IF(Подразд={"Дуда"},1,0))))</f>
        <v>1</v>
      </c>
      <c r="T24" s="3">
        <f t="array" aca="1" ref="T24" ca="1">SUM(IF(Дата&lt;=P4,IF(Результат_выполнен=-1,IF(Подразд={"Дуда"},1,0))))</f>
        <v>0</v>
      </c>
      <c r="U24" s="49">
        <f t="array" aca="1" ref="U24" ca="1">SUM(IF(Дата&lt;=P4,IF(Результат_выполнен=1,IF(Подразд={"Дуда"},1,0)*Кол_просроч)))</f>
        <v>2</v>
      </c>
      <c r="V24" s="3">
        <f t="array" aca="1" ref="V24" ca="1">SUM(IF(Дата&lt;=W4,IF(Подразд={"Дуда"},1,0)))</f>
        <v>1</v>
      </c>
      <c r="W24" s="3">
        <f t="shared" ca="1" si="3"/>
        <v>1</v>
      </c>
      <c r="X24" s="3">
        <f t="array" aca="1" ref="X24" ca="1">SUM(IF(Дата&lt;=W4,IF(Результат_выполнен=0,IF(Подразд={"Дуда"},1,0))))</f>
        <v>0</v>
      </c>
      <c r="Y24" s="3">
        <f t="array" aca="1" ref="Y24" ca="1">SUM(IF(Дата&lt;=W4,IF(Результат_выполнен=1,IF(Подразд={"Дуда"},1,0))))</f>
        <v>1</v>
      </c>
      <c r="Z24" s="3">
        <f t="array" aca="1" ref="Z24" ca="1">SUM(IF(Дата&lt;=W4,IF(Результат_выполнен=-1,IF(Подразд={"Дуда"},1,0))))</f>
        <v>0</v>
      </c>
      <c r="AA24" s="49">
        <f t="array" aca="1" ref="AA24" ca="1">SUM(IF(Дата&lt;=W4,IF(Результат_выполнен=1,IF(Подразд={"Дуда"},1,0)*Кол_просроч)))</f>
        <v>2</v>
      </c>
      <c r="AB24" s="3">
        <f t="array" aca="1" ref="AB24" ca="1">SUM(IF(Дата&lt;=AC4,IF(Подразд={"Дуда"},1,0)))</f>
        <v>1</v>
      </c>
      <c r="AC24" s="3">
        <f t="shared" ca="1" si="4"/>
        <v>1</v>
      </c>
      <c r="AD24" s="3">
        <f t="array" aca="1" ref="AD24" ca="1">SUM(IF(Дата&lt;=AC4,IF(Результат_выполнен=0,IF(Подразд={"Дуда"},1,0))))</f>
        <v>0</v>
      </c>
      <c r="AE24" s="3">
        <f t="array" aca="1" ref="AE24" ca="1">SUM(IF(Дата&lt;=AC4,IF(Результат_выполнен=1,IF(Подразд={"Дуда"},1,0))))</f>
        <v>1</v>
      </c>
      <c r="AF24" s="3">
        <f t="array" aca="1" ref="AF24" ca="1">SUM(IF(Дата&lt;=AC4,IF(Результат_выполнен=-1,IF(Подразд={"Дуда"},1,0))))</f>
        <v>0</v>
      </c>
      <c r="AG24" s="49">
        <f t="array" aca="1" ref="AG24" ca="1">SUM(IF(Дата&lt;=AC4,IF(Результат_выполнен=1,IF(Подразд={"Дуда"},1,0)*Кол_просроч)))</f>
        <v>2</v>
      </c>
    </row>
    <row r="25" spans="1:33" ht="26.25" customHeight="1" x14ac:dyDescent="0.25">
      <c r="A25" s="3">
        <v>18</v>
      </c>
      <c r="B25" s="24" t="s">
        <v>100</v>
      </c>
      <c r="C25" s="25" t="s">
        <v>92</v>
      </c>
      <c r="D25" s="3"/>
      <c r="E25" s="3"/>
      <c r="F25" s="3"/>
      <c r="G25" s="3"/>
      <c r="H25" s="3"/>
      <c r="I25" s="50"/>
      <c r="J25" s="3">
        <f t="array" aca="1" ref="J25" ca="1">SUM(IF(Дата&lt;=J4,IF(Подразд={"Урайкин"},1,0)))</f>
        <v>0</v>
      </c>
      <c r="K25" s="3">
        <f t="shared" ca="1" si="1"/>
        <v>0</v>
      </c>
      <c r="L25" s="3">
        <f t="array" aca="1" ref="L25" ca="1">SUM(IF(Дата&lt;=J4,IF(Результат_выполнен=0,IF(Подразд={"Урайкин"},1,0))))</f>
        <v>0</v>
      </c>
      <c r="M25" s="3">
        <f t="array" aca="1" ref="M25" ca="1">SUM(IF(Дата&lt;=J4,IF(Результат_выполнен=1,IF(Подразд={"Урайкин"},1,0))))</f>
        <v>0</v>
      </c>
      <c r="N25" s="3">
        <f t="array" aca="1" ref="N25" ca="1">SUM(IF(Дата&lt;=J4,IF(Результат_выполнен=-1,IF(Подразд={"Урайкин"},1,0))))</f>
        <v>0</v>
      </c>
      <c r="O25" s="49">
        <f t="array" aca="1" ref="O25" ca="1">SUM(IF(Дата&lt;=J4,IF(Результат_выполнен=1,IF(Подразд={"Дуда"},1,0)*Кол_просроч)))</f>
        <v>0</v>
      </c>
      <c r="P25" s="3">
        <f t="array" aca="1" ref="P25" ca="1">SUM(IF(Дата&lt;=P4,IF(Подразд={"Урайкин"},1,0)))</f>
        <v>1</v>
      </c>
      <c r="Q25" s="3">
        <f t="shared" ca="1" si="2"/>
        <v>1</v>
      </c>
      <c r="R25" s="3">
        <f t="array" aca="1" ref="R25" ca="1">SUM(IF(Дата&lt;=P4,IF(Результат_выполнен=0,IF(Подразд={"Урайкин"},1,0))))</f>
        <v>0</v>
      </c>
      <c r="S25" s="3">
        <f t="array" aca="1" ref="S25" ca="1">SUM(IF(Дата&lt;=P4,IF(Результат_выполнен=1,IF(Подразд={"Урайкин"},1,0))))</f>
        <v>1</v>
      </c>
      <c r="T25" s="3">
        <f t="array" aca="1" ref="T25" ca="1">SUM(IF(Дата&lt;=P4,IF(Результат_выполнен=-1,IF(Подразд={"Урайкин"},1,0))))</f>
        <v>0</v>
      </c>
      <c r="U25" s="49">
        <f t="array" aca="1" ref="U25" ca="1">SUM(IF(Дата&lt;=P4,IF(Результат_выполнен=1,IF(Подразд={"Урайкин"},1,0)*Кол_просроч)))</f>
        <v>23</v>
      </c>
      <c r="V25" s="3">
        <f t="array" aca="1" ref="V25" ca="1">SUM(IF(Дата&lt;=W4,IF(Подразд={"Урайкин"},1,0)))</f>
        <v>1</v>
      </c>
      <c r="W25" s="3">
        <f t="shared" ca="1" si="3"/>
        <v>1</v>
      </c>
      <c r="X25" s="3">
        <f t="array" aca="1" ref="X25" ca="1">SUM(IF(Дата&lt;=W4,IF(Результат_выполнен=0,IF(Подразд={"Урайкин"},1,0))))</f>
        <v>0</v>
      </c>
      <c r="Y25" s="3">
        <f t="array" aca="1" ref="Y25" ca="1">SUM(IF(Дата&lt;=W4,IF(Результат_выполнен=1,IF(Подразд={"Урайкин"},1,0))))</f>
        <v>1</v>
      </c>
      <c r="Z25" s="3">
        <f t="array" aca="1" ref="Z25" ca="1">SUM(IF(Дата&lt;=W4,IF(Результат_выполнен=-1,IF(Подразд={"Урайкин"},1,0))))</f>
        <v>0</v>
      </c>
      <c r="AA25" s="49">
        <f t="array" aca="1" ref="AA25" ca="1">SUM(IF(Дата&lt;=W4,IF(Результат_выполнен=1,IF(Подразд={"Урайкин"},1,0)*Кол_просроч)))</f>
        <v>23</v>
      </c>
      <c r="AB25" s="3">
        <f t="array" aca="1" ref="AB25" ca="1">SUM(IF(Дата&lt;=AC4,IF(Подразд={"Урайкин"},1,0)))</f>
        <v>1</v>
      </c>
      <c r="AC25" s="3">
        <f t="shared" ca="1" si="4"/>
        <v>1</v>
      </c>
      <c r="AD25" s="3">
        <f t="array" aca="1" ref="AD25" ca="1">SUM(IF(Дата&lt;=AC4,IF(Результат_выполнен=0,IF(Подразд={"Урайкин"},1,0))))</f>
        <v>0</v>
      </c>
      <c r="AE25" s="3">
        <f t="array" aca="1" ref="AE25" ca="1">SUM(IF(Дата&lt;=AC4,IF(Результат_выполнен=1,IF(Подразд={"Урайкин"},1,0))))</f>
        <v>1</v>
      </c>
      <c r="AF25" s="3">
        <f t="array" aca="1" ref="AF25" ca="1">SUM(IF(Дата&lt;=AC4,IF(Результат_выполнен=-1,IF(Подразд={"Урайкин"},1,0))))</f>
        <v>0</v>
      </c>
      <c r="AG25" s="49">
        <f t="array" aca="1" ref="AG25" ca="1">SUM(IF(Дата&lt;=AC4,IF(Результат_выполнен=1,IF(Подразд={"Урайкин"},1,0)*Кол_просроч)))</f>
        <v>23</v>
      </c>
    </row>
    <row r="26" spans="1:33" ht="26.25" customHeight="1" x14ac:dyDescent="0.25">
      <c r="A26" s="3">
        <v>19</v>
      </c>
      <c r="B26" s="24" t="s">
        <v>118</v>
      </c>
      <c r="C26" s="25" t="s">
        <v>119</v>
      </c>
      <c r="D26" s="46"/>
      <c r="E26" s="3"/>
      <c r="F26" s="3"/>
      <c r="G26" s="3"/>
      <c r="H26" s="3"/>
      <c r="I26" s="50"/>
      <c r="J26" s="3"/>
      <c r="K26" s="3"/>
      <c r="L26" s="3"/>
      <c r="M26" s="3"/>
      <c r="N26" s="3"/>
      <c r="O26" s="50"/>
      <c r="P26" s="3">
        <f t="array" aca="1" ref="P26" ca="1">SUM(IF(Дата&lt;=P4,IF(Подразд={"РД"},1,0)))</f>
        <v>1</v>
      </c>
      <c r="Q26" s="3">
        <f t="shared" ca="1" si="2"/>
        <v>1</v>
      </c>
      <c r="R26" s="3">
        <f t="array" aca="1" ref="R26" ca="1">SUM(IF(Дата&lt;=P4,IF(Результат_выполнен=0,IF(Подразд={"РД"},1,0))))</f>
        <v>1</v>
      </c>
      <c r="S26" s="3">
        <f t="array" aca="1" ref="S26" ca="1">SUM(IF(Дата&lt;=P4,IF(Результат_выполнен=1,IF(Подразд={"РД"},1,0))))</f>
        <v>0</v>
      </c>
      <c r="T26" s="3">
        <f t="array" aca="1" ref="T26" ca="1">SUM(IF(Дата&lt;=P4,IF(Результат_выполнен=-1,IF(Подразд={"РД"},1,0))))</f>
        <v>0</v>
      </c>
      <c r="U26" s="49">
        <f t="array" aca="1" ref="U26" ca="1">SUM(IF(Дата&lt;=P4,IF(Результат_выполнен=1,IF(Подразд={"РД"},1,0)*Кол_просроч)))</f>
        <v>0</v>
      </c>
      <c r="V26" s="3">
        <f t="array" aca="1" ref="V26" ca="1">SUM(IF(Дата&lt;=W4,IF(Подразд={"РД"},1,0)))</f>
        <v>2</v>
      </c>
      <c r="W26" s="3">
        <f t="shared" ca="1" si="3"/>
        <v>2</v>
      </c>
      <c r="X26" s="3">
        <f t="array" aca="1" ref="X26" ca="1">SUM(IF(Дата&lt;=W4,IF(Результат_выполнен=0,IF(Подразд={"РД"},1,0))))</f>
        <v>2</v>
      </c>
      <c r="Y26" s="3">
        <f t="array" aca="1" ref="Y26" ca="1">SUM(IF(Дата&lt;=W4,IF(Результат_выполнен=1,IF(Подразд={"РД"},1,0))))</f>
        <v>0</v>
      </c>
      <c r="Z26" s="3">
        <f t="array" aca="1" ref="Z26" ca="1">SUM(IF(Дата&lt;=W4,IF(Результат_выполнен=-1,IF(Подразд={"РД"},1,0))))</f>
        <v>0</v>
      </c>
      <c r="AA26" s="49">
        <f t="array" aca="1" ref="AA26" ca="1">SUM(IF(Дата&lt;=W4,IF(Результат_выполнен=1,IF(Подразд={"РД"},1,0)*Кол_просроч)))</f>
        <v>0</v>
      </c>
      <c r="AB26" s="3">
        <f t="array" aca="1" ref="AB26" ca="1">SUM(IF(Дата&lt;=AC4,IF(Подразд={"РД"},1,0)))</f>
        <v>2</v>
      </c>
      <c r="AC26" s="3">
        <f t="shared" ca="1" si="4"/>
        <v>2</v>
      </c>
      <c r="AD26" s="3">
        <f t="array" aca="1" ref="AD26" ca="1">SUM(IF(Дата&lt;=AC4,IF(Результат_выполнен=0,IF(Подразд={"РД"},1,0))))</f>
        <v>2</v>
      </c>
      <c r="AE26" s="3">
        <f t="array" aca="1" ref="AE26" ca="1">SUM(IF(Дата&lt;=AC4,IF(Результат_выполнен=1,IF(Подразд={"РД"},1,0))))</f>
        <v>0</v>
      </c>
      <c r="AF26" s="3">
        <f t="array" aca="1" ref="AF26" ca="1">SUM(IF(Дата&lt;=AC4,IF(Результат_выполнен=-1,IF(Подразд={"РД"},1,0))))</f>
        <v>0</v>
      </c>
      <c r="AG26" s="49">
        <f t="array" aca="1" ref="AG26" ca="1">SUM(IF(Дата&lt;=AC4,IF(Результат_выполнен=1,IF(Подразд={"РД"},1,0)*Кол_просроч)))</f>
        <v>0</v>
      </c>
    </row>
    <row r="27" spans="1:33" ht="26.25" customHeight="1" x14ac:dyDescent="0.25">
      <c r="A27" s="3">
        <v>20</v>
      </c>
      <c r="B27" s="24" t="s">
        <v>101</v>
      </c>
      <c r="C27" s="25" t="s">
        <v>120</v>
      </c>
      <c r="D27" s="46"/>
      <c r="E27" s="3"/>
      <c r="F27" s="3"/>
      <c r="G27" s="3"/>
      <c r="H27" s="3"/>
      <c r="I27" s="50"/>
      <c r="J27" s="3"/>
      <c r="K27" s="3"/>
      <c r="L27" s="3"/>
      <c r="M27" s="3"/>
      <c r="N27" s="3"/>
      <c r="O27" s="50"/>
      <c r="P27" s="3">
        <f t="array" aca="1" ref="P27" ca="1">SUM(IF(Дата&lt;=P4,IF(Подразд={"Блаут"},1,0)))</f>
        <v>1</v>
      </c>
      <c r="Q27" s="3">
        <f t="shared" ca="1" si="2"/>
        <v>1</v>
      </c>
      <c r="R27" s="3">
        <f t="array" aca="1" ref="R27" ca="1">SUM(IF(Дата&lt;=P4,IF(Результат_выполнен=0,IF(Подразд={"Блаут"},1,0))))</f>
        <v>1</v>
      </c>
      <c r="S27" s="3">
        <f t="array" aca="1" ref="S27" ca="1">SUM(IF(Дата&lt;=P4,IF(Результат_выполнен=1,IF(Подразд={"Блаут"},1,0))))</f>
        <v>0</v>
      </c>
      <c r="T27" s="3">
        <f t="array" aca="1" ref="T27" ca="1">SUM(IF(Дата&lt;=P4,IF(Результат_выполнен=-1,IF(Подразд={"Блаут"},1,0))))</f>
        <v>0</v>
      </c>
      <c r="U27" s="49">
        <f t="array" aca="1" ref="U27" ca="1">SUM(IF(Дата&lt;=P4,IF(Результат_выполнен=1,IF(Подразд={"Блаут"},1,0)*Кол_просроч)))</f>
        <v>0</v>
      </c>
      <c r="V27" s="3">
        <f t="array" aca="1" ref="V27" ca="1">SUM(IF(Дата&lt;=W4,IF(Подразд={"Блаут"},1,0)))</f>
        <v>1</v>
      </c>
      <c r="W27" s="3">
        <f t="shared" ca="1" si="3"/>
        <v>1</v>
      </c>
      <c r="X27" s="3">
        <f t="array" aca="1" ref="X27" ca="1">SUM(IF(Дата&lt;=W4,IF(Результат_выполнен=0,IF(Подразд={"Блаут"},1,0))))</f>
        <v>1</v>
      </c>
      <c r="Y27" s="3">
        <f t="array" aca="1" ref="Y27" ca="1">SUM(IF(Дата&lt;=W4,IF(Результат_выполнен=1,IF(Подразд={"Блаут"},1,0))))</f>
        <v>0</v>
      </c>
      <c r="Z27" s="3">
        <f t="array" aca="1" ref="Z27" ca="1">SUM(IF(Дата&lt;=W4,IF(Результат_выполнен=-1,IF(Подразд={"Блаут"},1,0))))</f>
        <v>0</v>
      </c>
      <c r="AA27" s="49">
        <f t="array" aca="1" ref="AA27" ca="1">SUM(IF(Дата&lt;=W4,IF(Результат_выполнен=1,IF(Подразд={"Блаут"},1,0)*Кол_просроч)))</f>
        <v>0</v>
      </c>
      <c r="AB27" s="3">
        <f t="array" aca="1" ref="AB27" ca="1">SUM(IF(Дата&lt;=AC4,IF(Подразд={"Блаут"},1,0)))</f>
        <v>1</v>
      </c>
      <c r="AC27" s="3">
        <f t="shared" ca="1" si="4"/>
        <v>1</v>
      </c>
      <c r="AD27" s="3">
        <f t="array" aca="1" ref="AD27" ca="1">SUM(IF(Дата&lt;=AC4,IF(Результат_выполнен=0,IF(Подразд={"Блаут"},1,0))))</f>
        <v>1</v>
      </c>
      <c r="AE27" s="3">
        <f t="array" aca="1" ref="AE27" ca="1">SUM(IF(Дата&lt;=AC4,IF(Результат_выполнен=1,IF(Подразд={"Блаут"},1,0))))</f>
        <v>0</v>
      </c>
      <c r="AF27" s="3">
        <f t="array" aca="1" ref="AF27" ca="1">SUM(IF(Дата&lt;=AC4,IF(Результат_выполнен=-1,IF(Подразд={"Блаут"},1,0))))</f>
        <v>0</v>
      </c>
      <c r="AG27" s="49">
        <f t="array" aca="1" ref="AG27" ca="1">SUM(IF(Дата&lt;=AC4,IF(Результат_выполнен=1,IF(Подразд={"Блаут"},1,0)*Кол_просроч)))</f>
        <v>0</v>
      </c>
    </row>
    <row r="28" spans="1:33" ht="26.25" customHeight="1" x14ac:dyDescent="0.25">
      <c r="A28" s="3">
        <v>21</v>
      </c>
      <c r="B28" s="24" t="s">
        <v>139</v>
      </c>
      <c r="C28" s="25" t="s">
        <v>138</v>
      </c>
      <c r="D28" s="46"/>
      <c r="E28" s="3"/>
      <c r="F28" s="3"/>
      <c r="G28" s="3"/>
      <c r="H28" s="3"/>
      <c r="I28" s="50"/>
      <c r="J28" s="3"/>
      <c r="K28" s="3"/>
      <c r="L28" s="3"/>
      <c r="M28" s="3"/>
      <c r="N28" s="3"/>
      <c r="O28" s="50"/>
      <c r="P28" s="3"/>
      <c r="Q28" s="3"/>
      <c r="R28" s="3"/>
      <c r="S28" s="3"/>
      <c r="T28" s="3"/>
      <c r="U28" s="50"/>
      <c r="V28" s="3">
        <f t="array" aca="1" ref="V28" ca="1">SUM(IF(Дата&lt;=W4,IF(Подразд={"Машкина"},1,0)))</f>
        <v>1</v>
      </c>
      <c r="W28" s="3">
        <f t="shared" ca="1" si="3"/>
        <v>1</v>
      </c>
      <c r="X28" s="3">
        <f t="array" aca="1" ref="X28" ca="1">SUM(IF(Дата&lt;=W4,IF(Результат_выполнен=0,IF(Подразд={"Машкина"},1,0))))</f>
        <v>1</v>
      </c>
      <c r="Y28" s="3">
        <f t="array" aca="1" ref="Y28" ca="1">SUM(IF(Дата&lt;=W4,IF(Результат_выполнен=1,IF(Подразд={"Машкина"},1,0))))</f>
        <v>0</v>
      </c>
      <c r="Z28" s="3">
        <f t="array" aca="1" ref="Z28" ca="1">SUM(IF(Дата&lt;=W4,IF(Результат_выполнен=-1,IF(Подразд={"Машкина"},1,0))))</f>
        <v>0</v>
      </c>
      <c r="AA28" s="49">
        <f t="array" aca="1" ref="AA28" ca="1">SUM(IF(Дата&lt;=V5,IF(Результат_выполнен=1,IF(Подразд={"Машкина"},1,0)*Кол_просроч)))</f>
        <v>0</v>
      </c>
      <c r="AB28" s="3">
        <f t="array" aca="1" ref="AB28" ca="1">SUM(IF(Дата&lt;=AC4,IF(Подразд={"Машкина"},1,0)))</f>
        <v>1</v>
      </c>
      <c r="AC28" s="3">
        <f t="shared" ca="1" si="4"/>
        <v>1</v>
      </c>
      <c r="AD28" s="3">
        <f t="array" aca="1" ref="AD28" ca="1">SUM(IF(Дата&lt;=AC4,IF(Результат_выполнен=0,IF(Подразд={"Машкина"},1,0))))</f>
        <v>1</v>
      </c>
      <c r="AE28" s="3">
        <f t="array" aca="1" ref="AE28" ca="1">SUM(IF(Дата&lt;=AC4,IF(Результат_выполнен=1,IF(Подразд={"Машкина"},1,0))))</f>
        <v>0</v>
      </c>
      <c r="AF28" s="3">
        <f t="array" aca="1" ref="AF28" ca="1">SUM(IF(Дата&lt;=AC4,IF(Результат_выполнен=-1,IF(Подразд={"Машкина"},1,0))))</f>
        <v>0</v>
      </c>
      <c r="AG28" s="49">
        <f t="array" aca="1" ref="AG28" ca="1">SUM(IF(Дата&lt;=AB5,IF(Результат_выполнен=1,IF(Подразд={"Машкина"},1,0)*Кол_просроч)))</f>
        <v>0</v>
      </c>
    </row>
    <row r="29" spans="1:33" ht="26.25" customHeight="1" x14ac:dyDescent="0.25">
      <c r="A29" s="3">
        <v>22</v>
      </c>
      <c r="B29" s="24" t="s">
        <v>144</v>
      </c>
      <c r="C29" s="25" t="s">
        <v>145</v>
      </c>
      <c r="D29" s="46"/>
      <c r="E29" s="3"/>
      <c r="F29" s="3"/>
      <c r="G29" s="3"/>
      <c r="H29" s="3"/>
      <c r="I29" s="50"/>
      <c r="J29" s="3"/>
      <c r="K29" s="3"/>
      <c r="L29" s="3"/>
      <c r="M29" s="3"/>
      <c r="N29" s="3"/>
      <c r="O29" s="50"/>
      <c r="P29" s="3"/>
      <c r="Q29" s="3"/>
      <c r="R29" s="3"/>
      <c r="S29" s="3"/>
      <c r="T29" s="3"/>
      <c r="U29" s="50"/>
      <c r="V29" s="3"/>
      <c r="W29" s="3"/>
      <c r="X29" s="3"/>
      <c r="Y29" s="3"/>
      <c r="Z29" s="3"/>
      <c r="AA29" s="50"/>
      <c r="AB29" s="3">
        <f t="array" aca="1" ref="AB29" ca="1">SUM(IF(Дата&lt;=AB5,IF(Подразд={"Жуков"},1,0)))</f>
        <v>1</v>
      </c>
      <c r="AC29" s="3">
        <f t="shared" ca="1" si="4"/>
        <v>0</v>
      </c>
      <c r="AD29" s="3">
        <f t="array" aca="1" ref="AD29" ca="1">SUM(IF(Дата&lt;=AC4,IF(Результат_выполнен=0,IF(Подразд={"Жуков"},1,0))))</f>
        <v>0</v>
      </c>
      <c r="AE29" s="3">
        <f t="array" aca="1" ref="AE29" ca="1">SUM(IF(Дата&lt;=AC4,IF(Результат_выполнен=1,IF(Подразд={"Жуков"},1,0))))</f>
        <v>0</v>
      </c>
      <c r="AF29" s="3">
        <f t="array" aca="1" ref="AF29" ca="1">SUM(IF(Дата&lt;=AC4,IF(Результат_выполнен=-1,IF(Подразд={"Жуков"},1,0))))</f>
        <v>1</v>
      </c>
      <c r="AG29" s="49">
        <f t="array" aca="1" ref="AG29" ca="1">SUM(IF(Дата&lt;=AC4,IF(Результат_выполнен=1,IF(Подразд={"Жуков"},1,0)*Кол_просроч)))</f>
        <v>0</v>
      </c>
    </row>
    <row r="30" spans="1:33" ht="29.25" customHeight="1" x14ac:dyDescent="0.3">
      <c r="A30" s="3">
        <v>23</v>
      </c>
      <c r="B30" s="55" t="s">
        <v>3</v>
      </c>
      <c r="C30" s="56" t="s">
        <v>45</v>
      </c>
      <c r="D30" s="6">
        <f>SUM(D8:D14)</f>
        <v>11</v>
      </c>
      <c r="E30" s="9">
        <f>SUM(E8:E14)</f>
        <v>9</v>
      </c>
      <c r="F30" s="9">
        <f>SUM(F8:F14)</f>
        <v>3</v>
      </c>
      <c r="G30" s="10">
        <f>SUM(G8:G14)</f>
        <v>6</v>
      </c>
      <c r="H30" s="9">
        <f>SUM(H8:H14)</f>
        <v>2</v>
      </c>
      <c r="I30" s="51"/>
      <c r="J30" s="6">
        <f ca="1">SUM(J8:J25)</f>
        <v>9</v>
      </c>
      <c r="K30" s="9">
        <f t="array" aca="1" ref="K30" ca="1">SUM(K8:K25)</f>
        <v>9</v>
      </c>
      <c r="L30" s="9">
        <f ca="1">SUM(L8:L25)</f>
        <v>3</v>
      </c>
      <c r="M30" s="10">
        <f ca="1">SUM(M8:M25)</f>
        <v>6</v>
      </c>
      <c r="N30" s="9">
        <f ca="1">SUM(N8:N25)</f>
        <v>2</v>
      </c>
      <c r="O30" s="53"/>
      <c r="P30" s="6">
        <f ca="1">SUM(P8:P27)</f>
        <v>47</v>
      </c>
      <c r="Q30" s="9">
        <f ca="1">SUM(Q8:Q27)</f>
        <v>46</v>
      </c>
      <c r="R30" s="9">
        <f ca="1">SUM(R8:R27)</f>
        <v>26</v>
      </c>
      <c r="S30" s="10">
        <f ca="1">SUM(S8:S27)</f>
        <v>20</v>
      </c>
      <c r="T30" s="9">
        <f ca="1">SUM(T8:T27)</f>
        <v>9</v>
      </c>
      <c r="U30" s="53"/>
      <c r="V30" s="6">
        <f ca="1">SUM(V8:V28)</f>
        <v>66</v>
      </c>
      <c r="W30" s="9">
        <f ca="1">SUM(W8:W28)</f>
        <v>54</v>
      </c>
      <c r="X30" s="9">
        <f ca="1">SUM(X8:X28)</f>
        <v>32</v>
      </c>
      <c r="Y30" s="10">
        <f ca="1">SUM(Y8:Y28)</f>
        <v>22</v>
      </c>
      <c r="Z30" s="9">
        <f ca="1">SUM(Z8:Z28)</f>
        <v>15</v>
      </c>
      <c r="AA30" s="53"/>
      <c r="AB30" s="6">
        <f ca="1">SUM(AB8:AB28)</f>
        <v>70</v>
      </c>
      <c r="AC30" s="9">
        <f ca="1">SUM(AC8:AC28)</f>
        <v>55</v>
      </c>
      <c r="AD30" s="9">
        <f ca="1">SUM(AD8:AD28)</f>
        <v>32</v>
      </c>
      <c r="AE30" s="10">
        <f ca="1">SUM(AE8:AE28)</f>
        <v>23</v>
      </c>
      <c r="AF30" s="9">
        <f ca="1">SUM(AF8:AF28)</f>
        <v>17</v>
      </c>
      <c r="AG30" s="53"/>
    </row>
    <row r="31" spans="1:33" ht="66.75" customHeight="1" x14ac:dyDescent="0.3">
      <c r="A31" s="3">
        <v>24</v>
      </c>
      <c r="B31" s="2" t="s">
        <v>147</v>
      </c>
      <c r="C31" s="3"/>
      <c r="D31" s="11">
        <f>E30/D30</f>
        <v>0.81818181818181823</v>
      </c>
      <c r="E31" s="37"/>
      <c r="F31" s="38"/>
      <c r="G31" s="38"/>
      <c r="H31" s="39"/>
      <c r="J31" s="11">
        <f ca="1">K30/J30</f>
        <v>1</v>
      </c>
      <c r="P31" s="11">
        <f ca="1">Q30/P30</f>
        <v>0.97872340425531912</v>
      </c>
      <c r="V31" s="11">
        <f ca="1">W30/V30</f>
        <v>0.81818181818181823</v>
      </c>
      <c r="AB31" s="11">
        <f t="array" aca="1" ref="AB31" ca="1">AC30/AB30</f>
        <v>0.7857142857142857</v>
      </c>
    </row>
    <row r="32" spans="1:33" ht="66" customHeight="1" x14ac:dyDescent="0.3">
      <c r="A32" s="3">
        <v>25</v>
      </c>
      <c r="B32" s="54" t="s">
        <v>46</v>
      </c>
      <c r="C32" s="3"/>
      <c r="D32" s="8">
        <f>F30/D30</f>
        <v>0.27272727272727271</v>
      </c>
      <c r="E32" s="40"/>
      <c r="F32" s="41"/>
      <c r="G32" s="41"/>
      <c r="H32" s="36"/>
      <c r="J32" s="8">
        <f ca="1">L30/J30</f>
        <v>0.33333333333333331</v>
      </c>
      <c r="P32" s="8">
        <f ca="1">R30/P30</f>
        <v>0.55319148936170215</v>
      </c>
      <c r="V32" s="8">
        <f ca="1">X30/V30</f>
        <v>0.48484848484848486</v>
      </c>
      <c r="AB32" s="8">
        <f ca="1">AD30/AB30</f>
        <v>0.45714285714285713</v>
      </c>
    </row>
    <row r="33" spans="1:28" ht="57" customHeight="1" x14ac:dyDescent="0.3">
      <c r="A33" s="3">
        <v>26</v>
      </c>
      <c r="B33" s="54" t="s">
        <v>47</v>
      </c>
      <c r="C33" s="3"/>
      <c r="D33" s="8">
        <f>G30/D30</f>
        <v>0.54545454545454541</v>
      </c>
      <c r="E33" s="40"/>
      <c r="F33" s="41"/>
      <c r="G33" s="41"/>
      <c r="H33" s="36"/>
      <c r="J33" s="8">
        <f ca="1">M30/J30</f>
        <v>0.66666666666666663</v>
      </c>
      <c r="P33" s="8">
        <f ca="1">S30/P30</f>
        <v>0.42553191489361702</v>
      </c>
      <c r="V33" s="8">
        <f ca="1">Y30/V30</f>
        <v>0.33333333333333331</v>
      </c>
      <c r="AB33" s="8">
        <f ca="1">AE30/AB30</f>
        <v>0.32857142857142857</v>
      </c>
    </row>
    <row r="34" spans="1:28" ht="32.25" x14ac:dyDescent="0.3">
      <c r="A34" s="3">
        <v>27</v>
      </c>
      <c r="B34" s="54" t="s">
        <v>146</v>
      </c>
      <c r="C34" s="3"/>
      <c r="D34" s="8">
        <f>H30/D30</f>
        <v>0.18181818181818182</v>
      </c>
      <c r="E34" s="40"/>
      <c r="F34" s="41"/>
      <c r="G34" s="41"/>
      <c r="H34" s="36"/>
      <c r="J34" s="8">
        <f ca="1">N30/J30</f>
        <v>0.22222222222222221</v>
      </c>
      <c r="P34" s="8">
        <f ca="1">T30/P30</f>
        <v>0.19148936170212766</v>
      </c>
      <c r="V34" s="8">
        <f ca="1">Z30/V30</f>
        <v>0.22727272727272727</v>
      </c>
      <c r="AB34" s="8">
        <f ca="1">AF30/AB30</f>
        <v>0.24285714285714285</v>
      </c>
    </row>
  </sheetData>
  <autoFilter ref="A7:AG34"/>
  <mergeCells count="7">
    <mergeCell ref="D5:H5"/>
    <mergeCell ref="J5:N5"/>
    <mergeCell ref="L6:N6"/>
    <mergeCell ref="AD6:AF6"/>
    <mergeCell ref="X6:Z6"/>
    <mergeCell ref="AB5:AF5"/>
    <mergeCell ref="V5:Z5"/>
  </mergeCells>
  <phoneticPr fontId="0" type="noConversion"/>
  <pageMargins left="0.39370078740157483" right="0.19685039370078741" top="0.19685039370078741" bottom="0.19685039370078741" header="0.31496062992125984" footer="0.31496062992125984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КОНТРОЛЬНЫЕ_МЕРОПРИЯТИЯ</vt:lpstr>
      <vt:lpstr>ОБЩИЙ ОТЧЕТ</vt:lpstr>
      <vt:lpstr>Хавуляк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val_124</dc:creator>
  <cp:lastModifiedBy>YouGreed</cp:lastModifiedBy>
  <cp:lastPrinted>2010-03-22T11:45:46Z</cp:lastPrinted>
  <dcterms:created xsi:type="dcterms:W3CDTF">2008-02-02T09:46:49Z</dcterms:created>
  <dcterms:modified xsi:type="dcterms:W3CDTF">2015-09-24T15:55:37Z</dcterms:modified>
</cp:coreProperties>
</file>