
<file path=[Content_Types].xml><?xml version="1.0" encoding="utf-8"?>
<Types xmlns="http://schemas.openxmlformats.org/package/2006/content-types"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300" windowWidth="14940" windowHeight="7875"/>
  </bookViews>
  <sheets>
    <sheet name="ПЕРЕВОЗКА" sheetId="1" r:id="rId1"/>
    <sheet name="ВСПОМОГАТЕЛЬНЫЕ ТАБЛИЦЫ" sheetId="4" r:id="rId2"/>
  </sheets>
  <calcPr calcId="125725"/>
</workbook>
</file>

<file path=xl/calcChain.xml><?xml version="1.0" encoding="utf-8"?>
<calcChain xmlns="http://schemas.openxmlformats.org/spreadsheetml/2006/main">
  <c r="O2" i="1"/>
  <c r="O3"/>
  <c r="O4"/>
  <c r="O5"/>
  <c r="O6"/>
  <c r="O7"/>
  <c r="O8"/>
  <c r="O9"/>
  <c r="O10"/>
  <c r="O11"/>
  <c r="J2"/>
  <c r="J3"/>
  <c r="J4"/>
  <c r="J5"/>
  <c r="J6"/>
  <c r="J7"/>
  <c r="J8"/>
  <c r="J9"/>
  <c r="J10"/>
  <c r="J11"/>
  <c r="N2"/>
  <c r="N3"/>
  <c r="N4"/>
  <c r="N5"/>
  <c r="N6"/>
  <c r="N7"/>
  <c r="N8"/>
  <c r="N9"/>
  <c r="N10"/>
  <c r="N11"/>
  <c r="M2"/>
  <c r="M3"/>
  <c r="M4"/>
  <c r="M5"/>
  <c r="M6"/>
  <c r="M7"/>
  <c r="M8"/>
  <c r="M9"/>
  <c r="M10"/>
  <c r="M11"/>
  <c r="L2" l="1"/>
  <c r="L3"/>
  <c r="L4"/>
  <c r="L5"/>
  <c r="L6"/>
  <c r="L7"/>
  <c r="L8"/>
  <c r="L9"/>
  <c r="L10"/>
  <c r="L11"/>
  <c r="I2"/>
  <c r="I3"/>
  <c r="I4"/>
  <c r="I5"/>
  <c r="I6"/>
  <c r="I7"/>
  <c r="I8"/>
  <c r="I9"/>
  <c r="I10"/>
  <c r="I11"/>
  <c r="F2"/>
  <c r="H2" s="1"/>
  <c r="F3"/>
  <c r="F4"/>
  <c r="F5"/>
  <c r="F6"/>
  <c r="H6" s="1"/>
  <c r="F7"/>
  <c r="F8"/>
  <c r="F9"/>
  <c r="F10"/>
  <c r="H10" s="1"/>
  <c r="F11"/>
  <c r="H3"/>
  <c r="H4"/>
  <c r="H5"/>
  <c r="H7"/>
  <c r="H8"/>
  <c r="H9"/>
  <c r="H11"/>
  <c r="G2"/>
  <c r="G3"/>
  <c r="G4"/>
  <c r="G5"/>
  <c r="G6"/>
  <c r="G7"/>
  <c r="G8"/>
  <c r="G9"/>
  <c r="G10"/>
  <c r="G11"/>
  <c r="E2"/>
  <c r="E3"/>
  <c r="E4"/>
  <c r="E5"/>
  <c r="E6"/>
  <c r="E7"/>
  <c r="E8"/>
  <c r="E9"/>
  <c r="E10"/>
  <c r="E11"/>
  <c r="D2"/>
  <c r="D3"/>
  <c r="D4"/>
  <c r="D5"/>
  <c r="D6"/>
  <c r="D7"/>
  <c r="D8"/>
  <c r="D9"/>
  <c r="D10"/>
  <c r="D11"/>
</calcChain>
</file>

<file path=xl/sharedStrings.xml><?xml version="1.0" encoding="utf-8"?>
<sst xmlns="http://schemas.openxmlformats.org/spreadsheetml/2006/main" count="90" uniqueCount="70">
  <si>
    <t>ТОВАР</t>
  </si>
  <si>
    <t>ГОРОД НАЗНАЧЕНИЯ</t>
  </si>
  <si>
    <t>ЦЕНА ТОПЛИВА</t>
  </si>
  <si>
    <t>лапша</t>
  </si>
  <si>
    <t>батарейки</t>
  </si>
  <si>
    <t>шоколадки</t>
  </si>
  <si>
    <t>телевизоры</t>
  </si>
  <si>
    <t>мягкие игрушки</t>
  </si>
  <si>
    <t>бытовая химия</t>
  </si>
  <si>
    <t>мука</t>
  </si>
  <si>
    <t>Ростов</t>
  </si>
  <si>
    <t>Суздаль</t>
  </si>
  <si>
    <t>Выборг</t>
  </si>
  <si>
    <t>Калининград</t>
  </si>
  <si>
    <t>Челябинск</t>
  </si>
  <si>
    <t>Тула</t>
  </si>
  <si>
    <t>Саратов</t>
  </si>
  <si>
    <t>МАРКА АВТО</t>
  </si>
  <si>
    <t>VOLVO</t>
  </si>
  <si>
    <t>КАМАЗ</t>
  </si>
  <si>
    <t>MERCEDES</t>
  </si>
  <si>
    <t>ГРУЗОПОДЪЕМНОСТЬ (ТОНН)</t>
  </si>
  <si>
    <t>ГОРОД</t>
  </si>
  <si>
    <t>РАССТОЯНИЕ ОТ СПБ (км)</t>
  </si>
  <si>
    <t>РАССТОЯНИЕ</t>
  </si>
  <si>
    <t>СРЕДНЯЯ СКОРОСТЬ ПЕРЕДВИЖЕНИЯ (КМ/Ч)</t>
  </si>
  <si>
    <t>ОБЩАЯ ОПЛАТА ВОДИТЕЛЮ</t>
  </si>
  <si>
    <t>ПОЧАСОВАЯ ОПЛАТА ВОДИТЕЛЯ (РУБ/ЧАС)</t>
  </si>
  <si>
    <t>СТОИМОСТЬ АРЕНДЫ В ЧАС</t>
  </si>
  <si>
    <t>МАРКА АВТОМОБИЛЯ</t>
  </si>
  <si>
    <t>ОБЩАЯ СТОИМОСТЬ АРЕНДЫ АВТОМОБИЛЯ</t>
  </si>
  <si>
    <t>НЕПРЕДВИДЕННЫЕ ОБСТОЯТЕЛЬСТВА ПО ВИНЕ ВОДИТЕЛЯ</t>
  </si>
  <si>
    <t>СКИДКИ/НЕУСТОЙКИ ЗА ОПОЗДАНИЕ</t>
  </si>
  <si>
    <t>ЗАДЕРЖКИ ПО ВИНЕ КЛИЕНТА</t>
  </si>
  <si>
    <t>НЕУСТОЙКИ</t>
  </si>
  <si>
    <t>овощи</t>
  </si>
  <si>
    <t>Через каждые 12 часов водителю требуется сон - 7 часов. Эти часы не оплачиваются, но прибавляются к общему времени в пути</t>
  </si>
  <si>
    <t>Элиста</t>
  </si>
  <si>
    <t>телефоны</t>
  </si>
  <si>
    <t>мебель</t>
  </si>
  <si>
    <t>дата выезда</t>
  </si>
  <si>
    <t>ожидаемая дата прибытия</t>
  </si>
  <si>
    <t>реальная дата прибытия</t>
  </si>
  <si>
    <t>31.04.2014</t>
  </si>
  <si>
    <t>ВРЕМЯ В ПУТИ (включая время на сон)</t>
  </si>
  <si>
    <t>Расход топлива (1 литр на кол-во км)</t>
  </si>
  <si>
    <t>стоимость топлива</t>
  </si>
  <si>
    <t>товар</t>
  </si>
  <si>
    <t>вес (тонн)</t>
  </si>
  <si>
    <t>УСЛОВИЯ:</t>
  </si>
  <si>
    <t>ВОДИТЕЛЬ</t>
  </si>
  <si>
    <t>СМИРНОВ</t>
  </si>
  <si>
    <t>ПЕТРОВ</t>
  </si>
  <si>
    <t>ИВАНОВ</t>
  </si>
  <si>
    <t>СЕМЕНОВ</t>
  </si>
  <si>
    <t>ГЛИНКИН</t>
  </si>
  <si>
    <t>КАРМАНОВ</t>
  </si>
  <si>
    <t>ЕРОФЕЕВ</t>
  </si>
  <si>
    <t>ТУКМАНОВ</t>
  </si>
  <si>
    <t>ГРУНИН</t>
  </si>
  <si>
    <t>САЧКОВ</t>
  </si>
  <si>
    <t>СМИРНОВ, ПЕТРОВ, ГЛИНКИН И ТУКМАНОВ ДОЕХАЛИ ДО ПУНКТА НАЗНАЧЕНИЯ В СРОК</t>
  </si>
  <si>
    <t>КЛИЕНТ ПЛАТИТ ЗАКАЗЧИКУ ШТРАФНУЮ СУММУ - 25%</t>
  </si>
  <si>
    <t>ЗАКАЗЧИК ПЛАТИТ КЛИЕНТУ ШТРАФНУЮ СУММУ - 20%</t>
  </si>
  <si>
    <t>ЧТО МЫ ВЕЗЕМ?! (использовать автомобиль максимально, его заполняя)</t>
  </si>
  <si>
    <t>ИВАНОВ, КАРМАНОВ И САЧКОВ ОПОЗДАЛИ ПО СВОЕЙ ВИНЕ НА 15 ЧАСОВ</t>
  </si>
  <si>
    <t>ГРУНИН, ЕРОФЕЕВ И СЕМЕНОВ ОПОЗДАЛИ ПО ВИНЕ ЗАКАЗЧИКА НА 7 ЧАСОВ</t>
  </si>
  <si>
    <t>Фирма перевозчик берет себе (р/км)</t>
  </si>
  <si>
    <t>фирма берет себе</t>
  </si>
  <si>
    <t>ОБЩАЯ СТОИМОСТЬ ПЕРЕВОЗКИ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</si>
</sst>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_-* #,##0.00[$р.-419]_-;\-* #,##0.00[$р.-419]_-;_-* &quot;-&quot;??[$р.-419]_-;_-@_-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  <font>
      <b/>
      <sz val="11"/>
      <color theme="3" tint="-0.249977111117893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/>
      </patternFill>
    </fill>
    <fill>
      <patternFill patternType="solid">
        <fgColor theme="0" tint="-0.14999847407452621"/>
        <bgColor theme="0" tint="-0.14999847407452621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1"/>
      </bottom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Alignment="0">
      <alignment wrapText="1"/>
    </xf>
    <xf numFmtId="0" fontId="2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12" borderId="0" applyNumberFormat="0" applyBorder="0" applyAlignment="0" applyProtection="0"/>
  </cellStyleXfs>
  <cellXfs count="36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4" fillId="0" borderId="0" xfId="0" applyFont="1"/>
    <xf numFmtId="0" fontId="5" fillId="2" borderId="0" xfId="2"/>
    <xf numFmtId="0" fontId="3" fillId="3" borderId="0" xfId="3" applyFont="1"/>
    <xf numFmtId="164" fontId="3" fillId="3" borderId="0" xfId="3" applyNumberFormat="1" applyFont="1"/>
    <xf numFmtId="0" fontId="7" fillId="4" borderId="0" xfId="0" applyFont="1" applyFill="1" applyAlignment="1">
      <alignment wrapText="1"/>
    </xf>
    <xf numFmtId="0" fontId="7" fillId="4" borderId="0" xfId="0" applyFont="1" applyFill="1"/>
    <xf numFmtId="0" fontId="3" fillId="5" borderId="0" xfId="0" applyFont="1" applyFill="1" applyAlignment="1">
      <alignment wrapText="1"/>
    </xf>
    <xf numFmtId="44" fontId="3" fillId="5" borderId="0" xfId="1" applyFont="1" applyFill="1"/>
    <xf numFmtId="164" fontId="1" fillId="0" borderId="0" xfId="0" applyNumberFormat="1" applyFont="1"/>
    <xf numFmtId="0" fontId="0" fillId="0" borderId="0" xfId="0" applyAlignment="1">
      <alignment wrapText="1"/>
    </xf>
    <xf numFmtId="0" fontId="0" fillId="8" borderId="1" xfId="0" applyFill="1" applyBorder="1" applyAlignment="1">
      <alignment vertical="top" wrapText="1"/>
    </xf>
    <xf numFmtId="0" fontId="0" fillId="8" borderId="1" xfId="0" applyFill="1" applyBorder="1" applyAlignment="1">
      <alignment wrapText="1"/>
    </xf>
    <xf numFmtId="0" fontId="2" fillId="6" borderId="0" xfId="5"/>
    <xf numFmtId="0" fontId="0" fillId="6" borderId="0" xfId="5" applyFont="1"/>
    <xf numFmtId="14" fontId="0" fillId="0" borderId="0" xfId="0" applyNumberFormat="1" applyAlignment="1">
      <alignment horizontal="left"/>
    </xf>
    <xf numFmtId="0" fontId="4" fillId="11" borderId="1" xfId="0" applyFont="1" applyFill="1" applyBorder="1"/>
    <xf numFmtId="0" fontId="0" fillId="11" borderId="1" xfId="0" applyFill="1" applyBorder="1"/>
    <xf numFmtId="0" fontId="0" fillId="10" borderId="1" xfId="0" applyFill="1" applyBorder="1"/>
    <xf numFmtId="9" fontId="0" fillId="9" borderId="1" xfId="0" applyNumberFormat="1" applyFill="1" applyBorder="1" applyAlignment="1">
      <alignment wrapText="1"/>
    </xf>
    <xf numFmtId="0" fontId="4" fillId="10" borderId="1" xfId="0" applyFont="1" applyFill="1" applyBorder="1" applyAlignment="1">
      <alignment horizontal="right"/>
    </xf>
    <xf numFmtId="0" fontId="5" fillId="12" borderId="0" xfId="7" applyBorder="1"/>
    <xf numFmtId="0" fontId="0" fillId="13" borderId="0" xfId="0" applyFont="1" applyFill="1"/>
    <xf numFmtId="0" fontId="0" fillId="0" borderId="0" xfId="0" applyFont="1"/>
    <xf numFmtId="0" fontId="0" fillId="0" borderId="3" xfId="0" applyFont="1" applyBorder="1"/>
    <xf numFmtId="0" fontId="1" fillId="13" borderId="0" xfId="0" applyFont="1" applyFill="1"/>
    <xf numFmtId="0" fontId="1" fillId="0" borderId="3" xfId="0" applyFont="1" applyBorder="1"/>
    <xf numFmtId="1" fontId="0" fillId="0" borderId="0" xfId="0" applyNumberFormat="1"/>
    <xf numFmtId="9" fontId="0" fillId="0" borderId="0" xfId="0" applyNumberFormat="1"/>
    <xf numFmtId="14" fontId="0" fillId="0" borderId="0" xfId="0" applyNumberFormat="1"/>
    <xf numFmtId="0" fontId="5" fillId="7" borderId="0" xfId="6" applyAlignment="1">
      <alignment wrapText="1"/>
    </xf>
    <xf numFmtId="0" fontId="5" fillId="3" borderId="2" xfId="3" applyBorder="1" applyAlignment="1">
      <alignment wrapText="1"/>
    </xf>
    <xf numFmtId="0" fontId="0" fillId="11" borderId="0" xfId="0" applyFill="1" applyBorder="1"/>
    <xf numFmtId="0" fontId="0" fillId="0" borderId="0" xfId="0" applyNumberFormat="1"/>
  </cellXfs>
  <cellStyles count="8">
    <cellStyle name="40% - Акцент1" xfId="5" builtinId="31"/>
    <cellStyle name="Акцент3" xfId="2" builtinId="37"/>
    <cellStyle name="Акцент4" xfId="7" builtinId="41"/>
    <cellStyle name="Акцент5" xfId="3" builtinId="45"/>
    <cellStyle name="Акцент6" xfId="6" builtinId="49"/>
    <cellStyle name="Денежный" xfId="1" builtinId="4"/>
    <cellStyle name="Обычный" xfId="0" builtinId="0"/>
    <cellStyle name="Стиль 1" xfId="4"/>
  </cellStyles>
  <dxfs count="20">
    <dxf>
      <numFmt numFmtId="0" formatCode="General"/>
    </dxf>
    <dxf>
      <numFmt numFmtId="13" formatCode="0%"/>
    </dxf>
    <dxf>
      <numFmt numFmtId="0" formatCode="General"/>
    </dxf>
    <dxf>
      <numFmt numFmtId="19" formatCode="dd/mm/yyyy"/>
    </dxf>
    <dxf>
      <font>
        <b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* #,##0.00[$р.-419]_-;\-* #,##0.00[$р.-419]_-;_-* &quot;-&quot;??[$р.-419]_-;_-@_-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numFmt numFmtId="19" formatCode="dd/mm/yyyy"/>
    </dxf>
    <dxf>
      <numFmt numFmtId="19" formatCode="dd/mm/yyyy"/>
      <alignment horizontal="left" vertical="bottom" textRotation="0" wrapText="0" indent="0" relativeIndent="255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1" formatCode="0"/>
    </dxf>
    <dxf>
      <numFmt numFmtId="0" formatCode="General"/>
    </dxf>
    <dxf>
      <font>
        <sz val="12"/>
      </font>
      <numFmt numFmtId="0" formatCode="General"/>
    </dxf>
    <dxf>
      <alignment horizontal="general" vertical="bottom" textRotation="0" wrapText="1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Таблица3" displayName="Таблица3" ref="A1:O11" totalsRowShown="0" headerRowDxfId="19">
  <autoFilter ref="A1:O11"/>
  <tableColumns count="15">
    <tableColumn id="1" name="ТОВАР"/>
    <tableColumn id="15" name="ВОДИТЕЛЬ"/>
    <tableColumn id="2" name="ГОРОД НАЗНАЧЕНИЯ"/>
    <tableColumn id="3" name="МАРКА АВТОМОБИЛЯ" dataDxfId="18">
      <calculatedColumnFormula>IF(OR(VLOOKUP(Таблица3[[#This Row],[ТОВАР]],'ВСПОМОГАТЕЛЬНЫЕ ТАБЛИЦЫ'!$A$30:$B$40,2,)=LARGE(Таблица1[ГРУЗОПОДЪЕМНОСТЬ (ТОНН)],1),VLOOKUP(Таблица3[[#This Row],[ТОВАР]],'ВСПОМОГАТЕЛЬНЫЕ ТАБЛИЦЫ'!$A$30:$B$40,2,)&gt;SMALL(Таблица1[ГРУЗОПОДЪЕМНОСТЬ (ТОНН)],2)),'ВСПОМОГАТЕЛЬНЫЕ ТАБЛИЦЫ'!$A$6,IF(OR(VLOOKUP(Таблица3[[#This Row],[ТОВАР]],'ВСПОМОГАТЕЛЬНЫЕ ТАБЛИЦЫ'!$A$30:$B$40,2,)=SMALL(Таблица1[ГРУЗОПОДЪЕМНОСТЬ (ТОНН)],2),VLOOKUP(Таблица3[[#This Row],[ТОВАР]],'ВСПОМОГАТЕЛЬНЫЕ ТАБЛИЦЫ'!$A$30:$B$40,2,)&gt;SMALL(Таблица1[ГРУЗОПОДЪЕМНОСТЬ (ТОНН)],1)),'ВСПОМОГАТЕЛЬНЫЕ ТАБЛИЦЫ'!$A$4,'ВСПОМОГАТЕЛЬНЫЕ ТАБЛИЦЫ'!$A$5))</calculatedColumnFormula>
    </tableColumn>
    <tableColumn id="4" name="РАССТОЯНИЕ" dataDxfId="17">
      <calculatedColumnFormula>VLOOKUP(Таблица3[[#This Row],[ГОРОД НАЗНАЧЕНИЯ]],Таблица2[],2,)</calculatedColumnFormula>
    </tableColumn>
    <tableColumn id="5" name="ВРЕМЯ В ПУТИ (включая время на сон)" dataDxfId="16">
      <calculatedColumnFormula>IF(ROUNDDOWN(Таблица3[[#This Row],[РАССТОЯНИЕ]]/'ВСПОМОГАТЕЛЬНЫЕ ТАБЛИЦЫ'!$B$18,0)&gt;12,ROUNDDOWN((Таблица3[[#This Row],[РАССТОЯНИЕ]]/'ВСПОМОГАТЕЛЬНЫЕ ТАБЛИЦЫ'!$B$18)/12,0)*7+ROUND(Таблица3[[#This Row],[РАССТОЯНИЕ]]/'ВСПОМОГАТЕЛЬНЫЕ ТАБЛИЦЫ'!$B$18,0),ROUND(Таблица3[[#This Row],[РАССТОЯНИЕ]]/'ВСПОМОГАТЕЛЬНЫЕ ТАБЛИЦЫ'!$B$18,0))</calculatedColumnFormula>
    </tableColumn>
    <tableColumn id="6" name="ОБЩАЯ ОПЛАТА ВОДИТЕЛЮ" dataDxfId="15">
      <calculatedColumnFormula>ROUND(Таблица3[[#This Row],[РАССТОЯНИЕ]]/'ВСПОМОГАТЕЛЬНЫЕ ТАБЛИЦЫ'!$B$18,0)*'ВСПОМОГАТЕЛЬНЫЕ ТАБЛИЦЫ'!$B$20</calculatedColumnFormula>
    </tableColumn>
    <tableColumn id="7" name="ОБЩАЯ СТОИМОСТЬ АРЕНДЫ АВТОМОБИЛЯ" dataDxfId="14">
      <calculatedColumnFormula>Таблица3[[#This Row],[ВРЕМЯ В ПУТИ (включая время на сон)]]*VLOOKUP(Таблица3[[#This Row],[МАРКА АВТОМОБИЛЯ]],Таблица1[[МАРКА АВТО]:[СТОИМОСТЬ АРЕНДЫ В ЧАС]],3,)</calculatedColumnFormula>
    </tableColumn>
    <tableColumn id="8" name="стоимость топлива" dataDxfId="13">
      <calculatedColumnFormula>ROUND(Таблица3[[#This Row],[РАССТОЯНИЕ]]/VLOOKUP(Таблица3[[#This Row],[МАРКА АВТОМОБИЛЯ]],Таблица1[],4,),0)*'ВСПОМОГАТЕЛЬНЫЕ ТАБЛИЦЫ'!$B$1</calculatedColumnFormula>
    </tableColumn>
    <tableColumn id="9" name="НЕУСТОЙКИ" dataDxfId="1">
      <calculatedColumnFormula>IF(ISERR(FIND(Таблица3[[#This Row],[ВОДИТЕЛЬ]],$A$15,1)),IF(ISERR(FIND(Таблица3[[#This Row],[ВОДИТЕЛЬ]],$A$16,1)),IF(ISERR(FIND(Таблица3[[#This Row],[ВОДИТЕЛЬ]],$A$17,1)),0,25%),-20%),0)</calculatedColumnFormula>
    </tableColumn>
    <tableColumn id="10" name="дата выезда" dataDxfId="12"/>
    <tableColumn id="11" name="ожидаемая дата прибытия" dataDxfId="11">
      <calculatedColumnFormula>IFERROR(Таблица3[[#This Row],[дата выезда]]+Таблица3[[#This Row],[ВРЕМЯ В ПУТИ (включая время на сон)]],DATE(2014,4,30)+Таблица3[[#This Row],[ВРЕМЯ В ПУТИ (включая время на сон)]])</calculatedColumnFormula>
    </tableColumn>
    <tableColumn id="12" name="реальная дата прибытия" dataDxfId="3">
      <calculatedColumnFormula>IF(ISERR(FIND(Таблица3[[#This Row],[ВОДИТЕЛЬ]],$A$15,1)),IF(ISERR(FIND(Таблица3[[#This Row],[ВОДИТЕЛЬ]],$A$16,1)),IF(ISERR(FIND(Таблица3[[#This Row],[ВОДИТЕЛЬ]],$A$17,1)),0,IFERROR(Таблица3[[#This Row],[дата выезда]]+(Таблица3[[#This Row],[ВРЕМЯ В ПУТИ (включая время на сон)]]+7),DATE(2014,4,30)+(Таблица3[[#This Row],[ВРЕМЯ В ПУТИ (включая время на сон)]]+7))),IFERROR(Таблица3[[#This Row],[дата выезда]]+(Таблица3[[#This Row],[ВРЕМЯ В ПУТИ (включая время на сон)]]+15),DATE(2014,4,30)+(Таблица3[[#This Row],[ВРЕМЯ В ПУТИ (включая время на сон)]]+15))),IFERROR(Таблица3[[#This Row],[дата выезда]]+Таблица3[[#This Row],[ВРЕМЯ В ПУТИ (включая время на сон)]],DATE(2014,4,30)+Таблица3[[#This Row],[ВРЕМЯ В ПУТИ (включая время на сон)]]))</calculatedColumnFormula>
    </tableColumn>
    <tableColumn id="13" name="фирма берет себе" dataDxfId="2">
      <calculatedColumnFormula>Таблица3[[#This Row],[РАССТОЯНИЕ]]*'ВСПОМОГАТЕЛЬНЫЕ ТАБЛИЦЫ'!$B$43</calculatedColumnFormula>
    </tableColumn>
    <tableColumn id="14" name="ОБЩАЯ СТОИМОСТЬ ПЕРЕВОЗКИ" dataDxfId="0">
      <calculatedColumnFormula>IF(Таблица3[[#This Row],[НЕУСТОЙКИ]]=0,SUM(Таблица3[[#This Row],[ОБЩАЯ ОПЛАТА ВОДИТЕЛЮ]:[стоимость топлива]],Таблица3[[#This Row],[фирма берет себе]]),SUM(Таблица3[[#This Row],[ОБЩАЯ ОПЛАТА ВОДИТЕЛЮ]:[стоимость топлива]],Таблица3[[#This Row],[фирма берет себе]])*(1+Таблица3[[#This Row],[НЕУСТОЙКИ]]))</calculatedColumnFormula>
    </tableColumn>
  </tableColumns>
  <tableStyleInfo name="TableStyleMedium19" showFirstColumn="0" showLastColumn="0" showRowStripes="1" showColumnStripes="0"/>
</table>
</file>

<file path=xl/tables/table2.xml><?xml version="1.0" encoding="utf-8"?>
<table xmlns="http://schemas.openxmlformats.org/spreadsheetml/2006/main" id="1" name="Таблица1" displayName="Таблица1" ref="A3:D6" totalsRowShown="0" headerRowDxfId="10" dataDxfId="9">
  <autoFilter ref="A3:D6"/>
  <tableColumns count="4">
    <tableColumn id="1" name="МАРКА АВТО" dataDxfId="8"/>
    <tableColumn id="2" name="ГРУЗОПОДЪЕМНОСТЬ (ТОНН)" dataDxfId="7"/>
    <tableColumn id="3" name="СТОИМОСТЬ АРЕНДЫ В ЧАС" dataDxfId="6"/>
    <tableColumn id="4" name="Расход топлива (1 литр на кол-во км)" dataDxfId="5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id="2" name="Таблица2" displayName="Таблица2" ref="A8:B16" totalsRowShown="0" headerRowDxfId="4">
  <autoFilter ref="A8:B16"/>
  <tableColumns count="2">
    <tableColumn id="1" name="ГОРОД"/>
    <tableColumn id="2" name="РАССТОЯНИЕ ОТ СПБ (км)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O34"/>
  <sheetViews>
    <sheetView tabSelected="1" topLeftCell="D1" zoomScale="80" zoomScaleNormal="80" workbookViewId="0">
      <selection activeCell="O11" sqref="O11"/>
    </sheetView>
  </sheetViews>
  <sheetFormatPr defaultRowHeight="15"/>
  <cols>
    <col min="1" max="2" width="16.7109375" customWidth="1"/>
    <col min="3" max="3" width="20.5703125" customWidth="1"/>
    <col min="4" max="4" width="15.7109375" customWidth="1"/>
    <col min="5" max="5" width="15" customWidth="1"/>
    <col min="6" max="6" width="17.140625" customWidth="1"/>
    <col min="7" max="7" width="13.28515625" customWidth="1"/>
    <col min="8" max="8" width="17.28515625" customWidth="1"/>
    <col min="9" max="9" width="12" customWidth="1"/>
    <col min="10" max="10" width="14" customWidth="1"/>
    <col min="11" max="11" width="10.7109375" customWidth="1"/>
    <col min="12" max="12" width="13.140625" customWidth="1"/>
    <col min="13" max="13" width="11.85546875" customWidth="1"/>
    <col min="14" max="14" width="10.7109375" customWidth="1"/>
    <col min="15" max="15" width="12.7109375" customWidth="1"/>
  </cols>
  <sheetData>
    <row r="1" spans="1:15" ht="76.5" customHeight="1">
      <c r="A1" t="s">
        <v>0</v>
      </c>
      <c r="B1" t="s">
        <v>50</v>
      </c>
      <c r="C1" t="s">
        <v>1</v>
      </c>
      <c r="D1" s="1" t="s">
        <v>29</v>
      </c>
      <c r="E1" s="1" t="s">
        <v>24</v>
      </c>
      <c r="F1" s="12" t="s">
        <v>44</v>
      </c>
      <c r="G1" s="1" t="s">
        <v>26</v>
      </c>
      <c r="H1" s="1" t="s">
        <v>30</v>
      </c>
      <c r="I1" s="12" t="s">
        <v>46</v>
      </c>
      <c r="J1" s="1" t="s">
        <v>34</v>
      </c>
      <c r="K1" s="12" t="s">
        <v>40</v>
      </c>
      <c r="L1" s="12" t="s">
        <v>41</v>
      </c>
      <c r="M1" s="12" t="s">
        <v>42</v>
      </c>
      <c r="N1" s="12" t="s">
        <v>68</v>
      </c>
      <c r="O1" s="12" t="s">
        <v>69</v>
      </c>
    </row>
    <row r="2" spans="1:15" ht="15.75">
      <c r="A2" t="s">
        <v>3</v>
      </c>
      <c r="B2" t="s">
        <v>51</v>
      </c>
      <c r="C2" t="s">
        <v>10</v>
      </c>
      <c r="D2" s="27" t="str">
        <f>IF(OR(VLOOKUP(Таблица3[[#This Row],[ТОВАР]],'ВСПОМОГАТЕЛЬНЫЕ ТАБЛИЦЫ'!$A$30:$B$40,2,)=LARGE(Таблица1[ГРУЗОПОДЪЕМНОСТЬ (ТОНН)],1),VLOOKUP(Таблица3[[#This Row],[ТОВАР]],'ВСПОМОГАТЕЛЬНЫЕ ТАБЛИЦЫ'!$A$30:$B$40,2,)&gt;SMALL(Таблица1[ГРУЗОПОДЪЕМНОСТЬ (ТОНН)],2)),'ВСПОМОГАТЕЛЬНЫЕ ТАБЛИЦЫ'!$A$6,IF(OR(VLOOKUP(Таблица3[[#This Row],[ТОВАР]],'ВСПОМОГАТЕЛЬНЫЕ ТАБЛИЦЫ'!$A$30:$B$40,2,)=SMALL(Таблица1[ГРУЗОПОДЪЕМНОСТЬ (ТОНН)],2),VLOOKUP(Таблица3[[#This Row],[ТОВАР]],'ВСПОМОГАТЕЛЬНЫЕ ТАБЛИЦЫ'!$A$30:$B$40,2,)&gt;SMALL(Таблица1[ГРУЗОПОДЪЕМНОСТЬ (ТОНН)],1)),'ВСПОМОГАТЕЛЬНЫЕ ТАБЛИЦЫ'!$A$4,'ВСПОМОГАТЕЛЬНЫЕ ТАБЛИЦЫ'!$A$5))</f>
        <v>MERCEDES</v>
      </c>
      <c r="E2" s="24">
        <f>VLOOKUP(Таблица3[[#This Row],[ГОРОД НАЗНАЧЕНИЯ]],Таблица2[],2,)</f>
        <v>958</v>
      </c>
      <c r="F2" s="29">
        <f>IF(ROUNDDOWN(Таблица3[[#This Row],[РАССТОЯНИЕ]]/'ВСПОМОГАТЕЛЬНЫЕ ТАБЛИЦЫ'!$B$18,0)&gt;12,ROUNDDOWN((Таблица3[[#This Row],[РАССТОЯНИЕ]]/'ВСПОМОГАТЕЛЬНЫЕ ТАБЛИЦЫ'!$B$18)/12,0)*7+ROUND(Таблица3[[#This Row],[РАССТОЯНИЕ]]/'ВСПОМОГАТЕЛЬНЫЕ ТАБЛИЦЫ'!$B$18,0),ROUND(Таблица3[[#This Row],[РАССТОЯНИЕ]]/'ВСПОМОГАТЕЛЬНЫЕ ТАБЛИЦЫ'!$B$18,0))</f>
        <v>23</v>
      </c>
      <c r="G2">
        <f>ROUND(Таблица3[[#This Row],[РАССТОЯНИЕ]]/'ВСПОМОГАТЕЛЬНЫЕ ТАБЛИЦЫ'!$B$18,0)*'ВСПОМОГАТЕЛЬНЫЕ ТАБЛИЦЫ'!$B$20</f>
        <v>12800</v>
      </c>
      <c r="H2">
        <f>Таблица3[[#This Row],[ВРЕМЯ В ПУТИ (включая время на сон)]]*VLOOKUP(Таблица3[[#This Row],[МАРКА АВТОМОБИЛЯ]],Таблица1[[МАРКА АВТО]:[СТОИМОСТЬ АРЕНДЫ В ЧАС]],3,)</f>
        <v>9660</v>
      </c>
      <c r="I2">
        <f>ROUND(Таблица3[[#This Row],[РАССТОЯНИЕ]]/VLOOKUP(Таблица3[[#This Row],[МАРКА АВТОМОБИЛЯ]],Таблица1[],4,),0)*'ВСПОМОГАТЕЛЬНЫЕ ТАБЛИЦЫ'!$B$1</f>
        <v>1225</v>
      </c>
      <c r="J2" s="30">
        <f>IF(ISERR(FIND(Таблица3[[#This Row],[ВОДИТЕЛЬ]],$A$15,1)),IF(ISERR(FIND(Таблица3[[#This Row],[ВОДИТЕЛЬ]],$A$16,1)),IF(ISERR(FIND(Таблица3[[#This Row],[ВОДИТЕЛЬ]],$A$17,1)),0,25%),-20%),0)</f>
        <v>0</v>
      </c>
      <c r="K2" s="17">
        <v>41712</v>
      </c>
      <c r="L2" s="31">
        <f>IFERROR(Таблица3[[#This Row],[дата выезда]]+Таблица3[[#This Row],[ВРЕМЯ В ПУТИ (включая время на сон)]],DATE(2014,4,30)+Таблица3[[#This Row],[ВРЕМЯ В ПУТИ (включая время на сон)]])</f>
        <v>41735</v>
      </c>
      <c r="M2" s="31">
        <f>IF(ISERR(FIND(Таблица3[[#This Row],[ВОДИТЕЛЬ]],$A$15,1)),IF(ISERR(FIND(Таблица3[[#This Row],[ВОДИТЕЛЬ]],$A$16,1)),IF(ISERR(FIND(Таблица3[[#This Row],[ВОДИТЕЛЬ]],$A$17,1)),0,IFERROR(Таблица3[[#This Row],[дата выезда]]+(Таблица3[[#This Row],[ВРЕМЯ В ПУТИ (включая время на сон)]]+7),DATE(2014,4,30)+(Таблица3[[#This Row],[ВРЕМЯ В ПУТИ (включая время на сон)]]+7))),IFERROR(Таблица3[[#This Row],[дата выезда]]+(Таблица3[[#This Row],[ВРЕМЯ В ПУТИ (включая время на сон)]]+15),DATE(2014,4,30)+(Таблица3[[#This Row],[ВРЕМЯ В ПУТИ (включая время на сон)]]+15))),IFERROR(Таблица3[[#This Row],[дата выезда]]+Таблица3[[#This Row],[ВРЕМЯ В ПУТИ (включая время на сон)]],DATE(2014,4,30)+Таблица3[[#This Row],[ВРЕМЯ В ПУТИ (включая время на сон)]]))</f>
        <v>41735</v>
      </c>
      <c r="N2" s="35">
        <f>Таблица3[[#This Row],[РАССТОЯНИЕ]]*'ВСПОМОГАТЕЛЬНЫЕ ТАБЛИЦЫ'!$B$43</f>
        <v>47900</v>
      </c>
      <c r="O2" s="35">
        <f>IF(Таблица3[[#This Row],[НЕУСТОЙКИ]]=0,SUM(Таблица3[[#This Row],[ОБЩАЯ ОПЛАТА ВОДИТЕЛЮ]:[стоимость топлива]],Таблица3[[#This Row],[фирма берет себе]]),SUM(Таблица3[[#This Row],[ОБЩАЯ ОПЛАТА ВОДИТЕЛЮ]:[стоимость топлива]],Таблица3[[#This Row],[фирма берет себе]])*(1+Таблица3[[#This Row],[НЕУСТОЙКИ]]))</f>
        <v>71585</v>
      </c>
    </row>
    <row r="3" spans="1:15" ht="15.75">
      <c r="A3" t="s">
        <v>4</v>
      </c>
      <c r="B3" t="s">
        <v>52</v>
      </c>
      <c r="C3" t="s">
        <v>11</v>
      </c>
      <c r="D3" s="2" t="str">
        <f>IF(OR(VLOOKUP(Таблица3[[#This Row],[ТОВАР]],'ВСПОМОГАТЕЛЬНЫЕ ТАБЛИЦЫ'!$A$30:$B$40,2,)=LARGE(Таблица1[ГРУЗОПОДЪЕМНОСТЬ (ТОНН)],1),VLOOKUP(Таблица3[[#This Row],[ТОВАР]],'ВСПОМОГАТЕЛЬНЫЕ ТАБЛИЦЫ'!$A$30:$B$40,2,)&gt;SMALL(Таблица1[ГРУЗОПОДЪЕМНОСТЬ (ТОНН)],2)),'ВСПОМОГАТЕЛЬНЫЕ ТАБЛИЦЫ'!$A$6,IF(OR(VLOOKUP(Таблица3[[#This Row],[ТОВАР]],'ВСПОМОГАТЕЛЬНЫЕ ТАБЛИЦЫ'!$A$30:$B$40,2,)=SMALL(Таблица1[ГРУЗОПОДЪЕМНОСТЬ (ТОНН)],2),VLOOKUP(Таблица3[[#This Row],[ТОВАР]],'ВСПОМОГАТЕЛЬНЫЕ ТАБЛИЦЫ'!$A$30:$B$40,2,)&gt;SMALL(Таблица1[ГРУЗОПОДЪЕМНОСТЬ (ТОНН)],1)),'ВСПОМОГАТЕЛЬНЫЕ ТАБЛИЦЫ'!$A$4,'ВСПОМОГАТЕЛЬНЫЕ ТАБЛИЦЫ'!$A$5))</f>
        <v>VOLVO</v>
      </c>
      <c r="E3" s="25">
        <f>VLOOKUP(Таблица3[[#This Row],[ГОРОД НАЗНАЧЕНИЯ]],Таблица2[],2,)</f>
        <v>723</v>
      </c>
      <c r="F3" s="29">
        <f>IF(ROUNDDOWN(Таблица3[[#This Row],[РАССТОЯНИЕ]]/'ВСПОМОГАТЕЛЬНЫЕ ТАБЛИЦЫ'!$B$18,0)&gt;12,ROUNDDOWN((Таблица3[[#This Row],[РАССТОЯНИЕ]]/'ВСПОМОГАТЕЛЬНЫЕ ТАБЛИЦЫ'!$B$18)/12,0)*7+ROUND(Таблица3[[#This Row],[РАССТОЯНИЕ]]/'ВСПОМОГАТЕЛЬНЫЕ ТАБЛИЦЫ'!$B$18,0),ROUND(Таблица3[[#This Row],[РАССТОЯНИЕ]]/'ВСПОМОГАТЕЛЬНЫЕ ТАБЛИЦЫ'!$B$18,0))</f>
        <v>12</v>
      </c>
      <c r="G3">
        <f>ROUND(Таблица3[[#This Row],[РАССТОЯНИЕ]]/'ВСПОМОГАТЕЛЬНЫЕ ТАБЛИЦЫ'!$B$18,0)*'ВСПОМОГАТЕЛЬНЫЕ ТАБЛИЦЫ'!$B$20</f>
        <v>9600</v>
      </c>
      <c r="H3">
        <f>Таблица3[[#This Row],[ВРЕМЯ В ПУТИ (включая время на сон)]]*VLOOKUP(Таблица3[[#This Row],[МАРКА АВТОМОБИЛЯ]],Таблица1[[МАРКА АВТО]:[СТОИМОСТЬ АРЕНДЫ В ЧАС]],3,)</f>
        <v>4560</v>
      </c>
      <c r="I3">
        <f>ROUND(Таблица3[[#This Row],[РАССТОЯНИЕ]]/VLOOKUP(Таблица3[[#This Row],[МАРКА АВТОМОБИЛЯ]],Таблица1[],4,),0)*'ВСПОМОГАТЕЛЬНЫЕ ТАБЛИЦЫ'!$B$1</f>
        <v>1015</v>
      </c>
      <c r="J3" s="30">
        <f>IF(ISERR(FIND(Таблица3[[#This Row],[ВОДИТЕЛЬ]],$A$15,1)),IF(ISERR(FIND(Таблица3[[#This Row],[ВОДИТЕЛЬ]],$A$16,1)),IF(ISERR(FIND(Таблица3[[#This Row],[ВОДИТЕЛЬ]],$A$17,1)),0,25%),-20%),0)</f>
        <v>0</v>
      </c>
      <c r="K3" s="17">
        <v>41748</v>
      </c>
      <c r="L3" s="31">
        <f>IFERROR(Таблица3[[#This Row],[дата выезда]]+Таблица3[[#This Row],[ВРЕМЯ В ПУТИ (включая время на сон)]],DATE(2014,4,30)+Таблица3[[#This Row],[ВРЕМЯ В ПУТИ (включая время на сон)]])</f>
        <v>41760</v>
      </c>
      <c r="M3" s="31">
        <f>IF(ISERR(FIND(Таблица3[[#This Row],[ВОДИТЕЛЬ]],$A$15,1)),IF(ISERR(FIND(Таблица3[[#This Row],[ВОДИТЕЛЬ]],$A$16,1)),IF(ISERR(FIND(Таблица3[[#This Row],[ВОДИТЕЛЬ]],$A$17,1)),0,IFERROR(Таблица3[[#This Row],[дата выезда]]+(Таблица3[[#This Row],[ВРЕМЯ В ПУТИ (включая время на сон)]]+7),DATE(2014,4,30)+(Таблица3[[#This Row],[ВРЕМЯ В ПУТИ (включая время на сон)]]+7))),IFERROR(Таблица3[[#This Row],[дата выезда]]+(Таблица3[[#This Row],[ВРЕМЯ В ПУТИ (включая время на сон)]]+15),DATE(2014,4,30)+(Таблица3[[#This Row],[ВРЕМЯ В ПУТИ (включая время на сон)]]+15))),IFERROR(Таблица3[[#This Row],[дата выезда]]+Таблица3[[#This Row],[ВРЕМЯ В ПУТИ (включая время на сон)]],DATE(2014,4,30)+Таблица3[[#This Row],[ВРЕМЯ В ПУТИ (включая время на сон)]]))</f>
        <v>41760</v>
      </c>
      <c r="N3" s="35">
        <f>Таблица3[[#This Row],[РАССТОЯНИЕ]]*'ВСПОМОГАТЕЛЬНЫЕ ТАБЛИЦЫ'!$B$43</f>
        <v>36150</v>
      </c>
      <c r="O3" s="35">
        <f>IF(Таблица3[[#This Row],[НЕУСТОЙКИ]]=0,SUM(Таблица3[[#This Row],[ОБЩАЯ ОПЛАТА ВОДИТЕЛЮ]:[стоимость топлива]],Таблица3[[#This Row],[фирма берет себе]]),SUM(Таблица3[[#This Row],[ОБЩАЯ ОПЛАТА ВОДИТЕЛЮ]:[стоимость топлива]],Таблица3[[#This Row],[фирма берет себе]])*(1+Таблица3[[#This Row],[НЕУСТОЙКИ]]))</f>
        <v>51325</v>
      </c>
    </row>
    <row r="4" spans="1:15" ht="15.75">
      <c r="A4" t="s">
        <v>5</v>
      </c>
      <c r="B4" t="s">
        <v>53</v>
      </c>
      <c r="C4" t="s">
        <v>12</v>
      </c>
      <c r="D4" s="27" t="str">
        <f>IF(OR(VLOOKUP(Таблица3[[#This Row],[ТОВАР]],'ВСПОМОГАТЕЛЬНЫЕ ТАБЛИЦЫ'!$A$30:$B$40,2,)=LARGE(Таблица1[ГРУЗОПОДЪЕМНОСТЬ (ТОНН)],1),VLOOKUP(Таблица3[[#This Row],[ТОВАР]],'ВСПОМОГАТЕЛЬНЫЕ ТАБЛИЦЫ'!$A$30:$B$40,2,)&gt;SMALL(Таблица1[ГРУЗОПОДЪЕМНОСТЬ (ТОНН)],2)),'ВСПОМОГАТЕЛЬНЫЕ ТАБЛИЦЫ'!$A$6,IF(OR(VLOOKUP(Таблица3[[#This Row],[ТОВАР]],'ВСПОМОГАТЕЛЬНЫЕ ТАБЛИЦЫ'!$A$30:$B$40,2,)=SMALL(Таблица1[ГРУЗОПОДЪЕМНОСТЬ (ТОНН)],2),VLOOKUP(Таблица3[[#This Row],[ТОВАР]],'ВСПОМОГАТЕЛЬНЫЕ ТАБЛИЦЫ'!$A$30:$B$40,2,)&gt;SMALL(Таблица1[ГРУЗОПОДЪЕМНОСТЬ (ТОНН)],1)),'ВСПОМОГАТЕЛЬНЫЕ ТАБЛИЦЫ'!$A$4,'ВСПОМОГАТЕЛЬНЫЕ ТАБЛИЦЫ'!$A$5))</f>
        <v>КАМАЗ</v>
      </c>
      <c r="E4" s="24">
        <f>VLOOKUP(Таблица3[[#This Row],[ГОРОД НАЗНАЧЕНИЯ]],Таблица2[],2,)</f>
        <v>131</v>
      </c>
      <c r="F4" s="29">
        <f>IF(ROUNDDOWN(Таблица3[[#This Row],[РАССТОЯНИЕ]]/'ВСПОМОГАТЕЛЬНЫЕ ТАБЛИЦЫ'!$B$18,0)&gt;12,ROUNDDOWN((Таблица3[[#This Row],[РАССТОЯНИЕ]]/'ВСПОМОГАТЕЛЬНЫЕ ТАБЛИЦЫ'!$B$18)/12,0)*7+ROUND(Таблица3[[#This Row],[РАССТОЯНИЕ]]/'ВСПОМОГАТЕЛЬНЫЕ ТАБЛИЦЫ'!$B$18,0),ROUND(Таблица3[[#This Row],[РАССТОЯНИЕ]]/'ВСПОМОГАТЕЛЬНЫЕ ТАБЛИЦЫ'!$B$18,0))</f>
        <v>2</v>
      </c>
      <c r="G4">
        <f>ROUND(Таблица3[[#This Row],[РАССТОЯНИЕ]]/'ВСПОМОГАТЕЛЬНЫЕ ТАБЛИЦЫ'!$B$18,0)*'ВСПОМОГАТЕЛЬНЫЕ ТАБЛИЦЫ'!$B$20</f>
        <v>1600</v>
      </c>
      <c r="H4">
        <f>Таблица3[[#This Row],[ВРЕМЯ В ПУТИ (включая время на сон)]]*VLOOKUP(Таблица3[[#This Row],[МАРКА АВТОМОБИЛЯ]],Таблица1[[МАРКА АВТО]:[СТОИМОСТЬ АРЕНДЫ В ЧАС]],3,)</f>
        <v>500</v>
      </c>
      <c r="I4">
        <f>ROUND(Таблица3[[#This Row],[РАССТОЯНИЕ]]/VLOOKUP(Таблица3[[#This Row],[МАРКА АВТОМОБИЛЯ]],Таблица1[],4,),0)*'ВСПОМОГАТЕЛЬНЫЕ ТАБЛИЦЫ'!$B$1</f>
        <v>140</v>
      </c>
      <c r="J4" s="30">
        <f>IF(ISERR(FIND(Таблица3[[#This Row],[ВОДИТЕЛЬ]],$A$15,1)),IF(ISERR(FIND(Таблица3[[#This Row],[ВОДИТЕЛЬ]],$A$16,1)),IF(ISERR(FIND(Таблица3[[#This Row],[ВОДИТЕЛЬ]],$A$17,1)),0,25%),-20%),0)</f>
        <v>-0.2</v>
      </c>
      <c r="K4" s="17">
        <v>41784</v>
      </c>
      <c r="L4" s="31">
        <f>IFERROR(Таблица3[[#This Row],[дата выезда]]+Таблица3[[#This Row],[ВРЕМЯ В ПУТИ (включая время на сон)]],DATE(2014,4,30)+Таблица3[[#This Row],[ВРЕМЯ В ПУТИ (включая время на сон)]])</f>
        <v>41786</v>
      </c>
      <c r="M4" s="31">
        <f>IF(ISERR(FIND(Таблица3[[#This Row],[ВОДИТЕЛЬ]],$A$15,1)),IF(ISERR(FIND(Таблица3[[#This Row],[ВОДИТЕЛЬ]],$A$16,1)),IF(ISERR(FIND(Таблица3[[#This Row],[ВОДИТЕЛЬ]],$A$17,1)),0,IFERROR(Таблица3[[#This Row],[дата выезда]]+(Таблица3[[#This Row],[ВРЕМЯ В ПУТИ (включая время на сон)]]+7),DATE(2014,4,30)+(Таблица3[[#This Row],[ВРЕМЯ В ПУТИ (включая время на сон)]]+7))),IFERROR(Таблица3[[#This Row],[дата выезда]]+(Таблица3[[#This Row],[ВРЕМЯ В ПУТИ (включая время на сон)]]+15),DATE(2014,4,30)+(Таблица3[[#This Row],[ВРЕМЯ В ПУТИ (включая время на сон)]]+15))),IFERROR(Таблица3[[#This Row],[дата выезда]]+Таблица3[[#This Row],[ВРЕМЯ В ПУТИ (включая время на сон)]],DATE(2014,4,30)+Таблица3[[#This Row],[ВРЕМЯ В ПУТИ (включая время на сон)]]))</f>
        <v>41801</v>
      </c>
      <c r="N4" s="35">
        <f>Таблица3[[#This Row],[РАССТОЯНИЕ]]*'ВСПОМОГАТЕЛЬНЫЕ ТАБЛИЦЫ'!$B$43</f>
        <v>6550</v>
      </c>
      <c r="O4" s="35">
        <f>IF(Таблица3[[#This Row],[НЕУСТОЙКИ]]=0,SUM(Таблица3[[#This Row],[ОБЩАЯ ОПЛАТА ВОДИТЕЛЮ]:[стоимость топлива]],Таблица3[[#This Row],[фирма берет себе]]),SUM(Таблица3[[#This Row],[ОБЩАЯ ОПЛАТА ВОДИТЕЛЮ]:[стоимость топлива]],Таблица3[[#This Row],[фирма берет себе]])*(1+Таблица3[[#This Row],[НЕУСТОЙКИ]]))</f>
        <v>7032</v>
      </c>
    </row>
    <row r="5" spans="1:15" ht="15.75">
      <c r="A5" t="s">
        <v>39</v>
      </c>
      <c r="B5" t="s">
        <v>54</v>
      </c>
      <c r="C5" t="s">
        <v>37</v>
      </c>
      <c r="D5" s="2" t="str">
        <f>IF(OR(VLOOKUP(Таблица3[[#This Row],[ТОВАР]],'ВСПОМОГАТЕЛЬНЫЕ ТАБЛИЦЫ'!$A$30:$B$40,2,)=LARGE(Таблица1[ГРУЗОПОДЪЕМНОСТЬ (ТОНН)],1),VLOOKUP(Таблица3[[#This Row],[ТОВАР]],'ВСПОМОГАТЕЛЬНЫЕ ТАБЛИЦЫ'!$A$30:$B$40,2,)&gt;SMALL(Таблица1[ГРУЗОПОДЪЕМНОСТЬ (ТОНН)],2)),'ВСПОМОГАТЕЛЬНЫЕ ТАБЛИЦЫ'!$A$6,IF(OR(VLOOKUP(Таблица3[[#This Row],[ТОВАР]],'ВСПОМОГАТЕЛЬНЫЕ ТАБЛИЦЫ'!$A$30:$B$40,2,)=SMALL(Таблица1[ГРУЗОПОДЪЕМНОСТЬ (ТОНН)],2),VLOOKUP(Таблица3[[#This Row],[ТОВАР]],'ВСПОМОГАТЕЛЬНЫЕ ТАБЛИЦЫ'!$A$30:$B$40,2,)&gt;SMALL(Таблица1[ГРУЗОПОДЪЕМНОСТЬ (ТОНН)],1)),'ВСПОМОГАТЕЛЬНЫЕ ТАБЛИЦЫ'!$A$4,'ВСПОМОГАТЕЛЬНЫЕ ТАБЛИЦЫ'!$A$5))</f>
        <v>MERCEDES</v>
      </c>
      <c r="E5" s="25">
        <f>VLOOKUP(Таблица3[[#This Row],[ГОРОД НАЗНАЧЕНИЯ]],Таблица2[],2,)</f>
        <v>2154</v>
      </c>
      <c r="F5" s="29">
        <f>IF(ROUNDDOWN(Таблица3[[#This Row],[РАССТОЯНИЕ]]/'ВСПОМОГАТЕЛЬНЫЕ ТАБЛИЦЫ'!$B$18,0)&gt;12,ROUNDDOWN((Таблица3[[#This Row],[РАССТОЯНИЕ]]/'ВСПОМОГАТЕЛЬНЫЕ ТАБЛИЦЫ'!$B$18)/12,0)*7+ROUND(Таблица3[[#This Row],[РАССТОЯНИЕ]]/'ВСПОМОГАТЕЛЬНЫЕ ТАБЛИЦЫ'!$B$18,0),ROUND(Таблица3[[#This Row],[РАССТОЯНИЕ]]/'ВСПОМОГАТЕЛЬНЫЕ ТАБЛИЦЫ'!$B$18,0))</f>
        <v>50</v>
      </c>
      <c r="G5">
        <f>ROUND(Таблица3[[#This Row],[РАССТОЯНИЕ]]/'ВСПОМОГАТЕЛЬНЫЕ ТАБЛИЦЫ'!$B$18,0)*'ВСПОМОГАТЕЛЬНЫЕ ТАБЛИЦЫ'!$B$20</f>
        <v>28800</v>
      </c>
      <c r="H5">
        <f>Таблица3[[#This Row],[ВРЕМЯ В ПУТИ (включая время на сон)]]*VLOOKUP(Таблица3[[#This Row],[МАРКА АВТОМОБИЛЯ]],Таблица1[[МАРКА АВТО]:[СТОИМОСТЬ АРЕНДЫ В ЧАС]],3,)</f>
        <v>21000</v>
      </c>
      <c r="I5">
        <f>ROUND(Таблица3[[#This Row],[РАССТОЯНИЕ]]/VLOOKUP(Таблица3[[#This Row],[МАРКА АВТОМОБИЛЯ]],Таблица1[],4,),0)*'ВСПОМОГАТЕЛЬНЫЕ ТАБЛИЦЫ'!$B$1</f>
        <v>2800</v>
      </c>
      <c r="J5" s="30">
        <f>IF(ISERR(FIND(Таблица3[[#This Row],[ВОДИТЕЛЬ]],$A$15,1)),IF(ISERR(FIND(Таблица3[[#This Row],[ВОДИТЕЛЬ]],$A$16,1)),IF(ISERR(FIND(Таблица3[[#This Row],[ВОДИТЕЛЬ]],$A$17,1)),0,25%),-20%),0)</f>
        <v>0.25</v>
      </c>
      <c r="K5" s="17">
        <v>41641</v>
      </c>
      <c r="L5" s="31">
        <f>IFERROR(Таблица3[[#This Row],[дата выезда]]+Таблица3[[#This Row],[ВРЕМЯ В ПУТИ (включая время на сон)]],DATE(2014,4,30)+Таблица3[[#This Row],[ВРЕМЯ В ПУТИ (включая время на сон)]])</f>
        <v>41691</v>
      </c>
      <c r="M5" s="31">
        <f>IF(ISERR(FIND(Таблица3[[#This Row],[ВОДИТЕЛЬ]],$A$15,1)),IF(ISERR(FIND(Таблица3[[#This Row],[ВОДИТЕЛЬ]],$A$16,1)),IF(ISERR(FIND(Таблица3[[#This Row],[ВОДИТЕЛЬ]],$A$17,1)),0,IFERROR(Таблица3[[#This Row],[дата выезда]]+(Таблица3[[#This Row],[ВРЕМЯ В ПУТИ (включая время на сон)]]+7),DATE(2014,4,30)+(Таблица3[[#This Row],[ВРЕМЯ В ПУТИ (включая время на сон)]]+7))),IFERROR(Таблица3[[#This Row],[дата выезда]]+(Таблица3[[#This Row],[ВРЕМЯ В ПУТИ (включая время на сон)]]+15),DATE(2014,4,30)+(Таблица3[[#This Row],[ВРЕМЯ В ПУТИ (включая время на сон)]]+15))),IFERROR(Таблица3[[#This Row],[дата выезда]]+Таблица3[[#This Row],[ВРЕМЯ В ПУТИ (включая время на сон)]],DATE(2014,4,30)+Таблица3[[#This Row],[ВРЕМЯ В ПУТИ (включая время на сон)]]))</f>
        <v>41698</v>
      </c>
      <c r="N5" s="35">
        <f>Таблица3[[#This Row],[РАССТОЯНИЕ]]*'ВСПОМОГАТЕЛЬНЫЕ ТАБЛИЦЫ'!$B$43</f>
        <v>107700</v>
      </c>
      <c r="O5" s="35">
        <f>IF(Таблица3[[#This Row],[НЕУСТОЙКИ]]=0,SUM(Таблица3[[#This Row],[ОБЩАЯ ОПЛАТА ВОДИТЕЛЮ]:[стоимость топлива]],Таблица3[[#This Row],[фирма берет себе]]),SUM(Таблица3[[#This Row],[ОБЩАЯ ОПЛАТА ВОДИТЕЛЮ]:[стоимость топлива]],Таблица3[[#This Row],[фирма берет себе]])*(1+Таблица3[[#This Row],[НЕУСТОЙКИ]]))</f>
        <v>200375</v>
      </c>
    </row>
    <row r="6" spans="1:15" ht="15.75">
      <c r="A6" t="s">
        <v>6</v>
      </c>
      <c r="B6" t="s">
        <v>55</v>
      </c>
      <c r="C6" t="s">
        <v>13</v>
      </c>
      <c r="D6" s="27" t="str">
        <f>IF(OR(VLOOKUP(Таблица3[[#This Row],[ТОВАР]],'ВСПОМОГАТЕЛЬНЫЕ ТАБЛИЦЫ'!$A$30:$B$40,2,)=LARGE(Таблица1[ГРУЗОПОДЪЕМНОСТЬ (ТОНН)],1),VLOOKUP(Таблица3[[#This Row],[ТОВАР]],'ВСПОМОГАТЕЛЬНЫЕ ТАБЛИЦЫ'!$A$30:$B$40,2,)&gt;SMALL(Таблица1[ГРУЗОПОДЪЕМНОСТЬ (ТОНН)],2)),'ВСПОМОГАТЕЛЬНЫЕ ТАБЛИЦЫ'!$A$6,IF(OR(VLOOKUP(Таблица3[[#This Row],[ТОВАР]],'ВСПОМОГАТЕЛЬНЫЕ ТАБЛИЦЫ'!$A$30:$B$40,2,)=SMALL(Таблица1[ГРУЗОПОДЪЕМНОСТЬ (ТОНН)],2),VLOOKUP(Таблица3[[#This Row],[ТОВАР]],'ВСПОМОГАТЕЛЬНЫЕ ТАБЛИЦЫ'!$A$30:$B$40,2,)&gt;SMALL(Таблица1[ГРУЗОПОДЪЕМНОСТЬ (ТОНН)],1)),'ВСПОМОГАТЕЛЬНЫЕ ТАБЛИЦЫ'!$A$4,'ВСПОМОГАТЕЛЬНЫЕ ТАБЛИЦЫ'!$A$5))</f>
        <v>КАМАЗ</v>
      </c>
      <c r="E6" s="24">
        <f>VLOOKUP(Таблица3[[#This Row],[ГОРОД НАЗНАЧЕНИЯ]],Таблица2[],2,)</f>
        <v>617</v>
      </c>
      <c r="F6" s="29">
        <f>IF(ROUNDDOWN(Таблица3[[#This Row],[РАССТОЯНИЕ]]/'ВСПОМОГАТЕЛЬНЫЕ ТАБЛИЦЫ'!$B$18,0)&gt;12,ROUNDDOWN((Таблица3[[#This Row],[РАССТОЯНИЕ]]/'ВСПОМОГАТЕЛЬНЫЕ ТАБЛИЦЫ'!$B$18)/12,0)*7+ROUND(Таблица3[[#This Row],[РАССТОЯНИЕ]]/'ВСПОМОГАТЕЛЬНЫЕ ТАБЛИЦЫ'!$B$18,0),ROUND(Таблица3[[#This Row],[РАССТОЯНИЕ]]/'ВСПОМОГАТЕЛЬНЫЕ ТАБЛИЦЫ'!$B$18,0))</f>
        <v>10</v>
      </c>
      <c r="G6">
        <f>ROUND(Таблица3[[#This Row],[РАССТОЯНИЕ]]/'ВСПОМОГАТЕЛЬНЫЕ ТАБЛИЦЫ'!$B$18,0)*'ВСПОМОГАТЕЛЬНЫЕ ТАБЛИЦЫ'!$B$20</f>
        <v>8000</v>
      </c>
      <c r="H6">
        <f>Таблица3[[#This Row],[ВРЕМЯ В ПУТИ (включая время на сон)]]*VLOOKUP(Таблица3[[#This Row],[МАРКА АВТОМОБИЛЯ]],Таблица1[[МАРКА АВТО]:[СТОИМОСТЬ АРЕНДЫ В ЧАС]],3,)</f>
        <v>2500</v>
      </c>
      <c r="I6">
        <f>ROUND(Таблица3[[#This Row],[РАССТОЯНИЕ]]/VLOOKUP(Таблица3[[#This Row],[МАРКА АВТОМОБИЛЯ]],Таблица1[],4,),0)*'ВСПОМОГАТЕЛЬНЫЕ ТАБЛИЦЫ'!$B$1</f>
        <v>665</v>
      </c>
      <c r="J6" s="30">
        <f>IF(ISERR(FIND(Таблица3[[#This Row],[ВОДИТЕЛЬ]],$A$15,1)),IF(ISERR(FIND(Таблица3[[#This Row],[ВОДИТЕЛЬ]],$A$16,1)),IF(ISERR(FIND(Таблица3[[#This Row],[ВОДИТЕЛЬ]],$A$17,1)),0,25%),-20%),0)</f>
        <v>0</v>
      </c>
      <c r="K6" s="17" t="s">
        <v>43</v>
      </c>
      <c r="L6" s="31">
        <f>IFERROR(Таблица3[[#This Row],[дата выезда]]+Таблица3[[#This Row],[ВРЕМЯ В ПУТИ (включая время на сон)]],DATE(2014,4,30)+Таблица3[[#This Row],[ВРЕМЯ В ПУТИ (включая время на сон)]])</f>
        <v>41769</v>
      </c>
      <c r="M6" s="31">
        <f>IF(ISERR(FIND(Таблица3[[#This Row],[ВОДИТЕЛЬ]],$A$15,1)),IF(ISERR(FIND(Таблица3[[#This Row],[ВОДИТЕЛЬ]],$A$16,1)),IF(ISERR(FIND(Таблица3[[#This Row],[ВОДИТЕЛЬ]],$A$17,1)),0,IFERROR(Таблица3[[#This Row],[дата выезда]]+(Таблица3[[#This Row],[ВРЕМЯ В ПУТИ (включая время на сон)]]+7),DATE(2014,4,30)+(Таблица3[[#This Row],[ВРЕМЯ В ПУТИ (включая время на сон)]]+7))),IFERROR(Таблица3[[#This Row],[дата выезда]]+(Таблица3[[#This Row],[ВРЕМЯ В ПУТИ (включая время на сон)]]+15),DATE(2014,4,30)+(Таблица3[[#This Row],[ВРЕМЯ В ПУТИ (включая время на сон)]]+15))),IFERROR(Таблица3[[#This Row],[дата выезда]]+Таблица3[[#This Row],[ВРЕМЯ В ПУТИ (включая время на сон)]],DATE(2014,4,30)+Таблица3[[#This Row],[ВРЕМЯ В ПУТИ (включая время на сон)]]))</f>
        <v>41769</v>
      </c>
      <c r="N6" s="35">
        <f>Таблица3[[#This Row],[РАССТОЯНИЕ]]*'ВСПОМОГАТЕЛЬНЫЕ ТАБЛИЦЫ'!$B$43</f>
        <v>30850</v>
      </c>
      <c r="O6" s="35">
        <f>IF(Таблица3[[#This Row],[НЕУСТОЙКИ]]=0,SUM(Таблица3[[#This Row],[ОБЩАЯ ОПЛАТА ВОДИТЕЛЮ]:[стоимость топлива]],Таблица3[[#This Row],[фирма берет себе]]),SUM(Таблица3[[#This Row],[ОБЩАЯ ОПЛАТА ВОДИТЕЛЮ]:[стоимость топлива]],Таблица3[[#This Row],[фирма берет себе]])*(1+Таблица3[[#This Row],[НЕУСТОЙКИ]]))</f>
        <v>42015</v>
      </c>
    </row>
    <row r="7" spans="1:15" ht="15.75">
      <c r="A7" t="s">
        <v>7</v>
      </c>
      <c r="B7" t="s">
        <v>56</v>
      </c>
      <c r="C7" t="s">
        <v>14</v>
      </c>
      <c r="D7" s="2" t="str">
        <f>IF(OR(VLOOKUP(Таблица3[[#This Row],[ТОВАР]],'ВСПОМОГАТЕЛЬНЫЕ ТАБЛИЦЫ'!$A$30:$B$40,2,)=LARGE(Таблица1[ГРУЗОПОДЪЕМНОСТЬ (ТОНН)],1),VLOOKUP(Таблица3[[#This Row],[ТОВАР]],'ВСПОМОГАТЕЛЬНЫЕ ТАБЛИЦЫ'!$A$30:$B$40,2,)&gt;SMALL(Таблица1[ГРУЗОПОДЪЕМНОСТЬ (ТОНН)],2)),'ВСПОМОГАТЕЛЬНЫЕ ТАБЛИЦЫ'!$A$6,IF(OR(VLOOKUP(Таблица3[[#This Row],[ТОВАР]],'ВСПОМОГАТЕЛЬНЫЕ ТАБЛИЦЫ'!$A$30:$B$40,2,)=SMALL(Таблица1[ГРУЗОПОДЪЕМНОСТЬ (ТОНН)],2),VLOOKUP(Таблица3[[#This Row],[ТОВАР]],'ВСПОМОГАТЕЛЬНЫЕ ТАБЛИЦЫ'!$A$30:$B$40,2,)&gt;SMALL(Таблица1[ГРУЗОПОДЪЕМНОСТЬ (ТОНН)],1)),'ВСПОМОГАТЕЛЬНЫЕ ТАБЛИЦЫ'!$A$4,'ВСПОМОГАТЕЛЬНЫЕ ТАБЛИЦЫ'!$A$5))</f>
        <v>КАМАЗ</v>
      </c>
      <c r="E7" s="25">
        <f>VLOOKUP(Таблица3[[#This Row],[ГОРОД НАЗНАЧЕНИЯ]],Таблица2[],2,)</f>
        <v>1589</v>
      </c>
      <c r="F7" s="29">
        <f>IF(ROUNDDOWN(Таблица3[[#This Row],[РАССТОЯНИЕ]]/'ВСПОМОГАТЕЛЬНЫЕ ТАБЛИЦЫ'!$B$18,0)&gt;12,ROUNDDOWN((Таблица3[[#This Row],[РАССТОЯНИЕ]]/'ВСПОМОГАТЕЛЬНЫЕ ТАБЛИЦЫ'!$B$18)/12,0)*7+ROUND(Таблица3[[#This Row],[РАССТОЯНИЕ]]/'ВСПОМОГАТЕЛЬНЫЕ ТАБЛИЦЫ'!$B$18,0),ROUND(Таблица3[[#This Row],[РАССТОЯНИЕ]]/'ВСПОМОГАТЕЛЬНЫЕ ТАБЛИЦЫ'!$B$18,0))</f>
        <v>40</v>
      </c>
      <c r="G7">
        <f>ROUND(Таблица3[[#This Row],[РАССТОЯНИЕ]]/'ВСПОМОГАТЕЛЬНЫЕ ТАБЛИЦЫ'!$B$18,0)*'ВСПОМОГАТЕЛЬНЫЕ ТАБЛИЦЫ'!$B$20</f>
        <v>20800</v>
      </c>
      <c r="H7">
        <f>Таблица3[[#This Row],[ВРЕМЯ В ПУТИ (включая время на сон)]]*VLOOKUP(Таблица3[[#This Row],[МАРКА АВТОМОБИЛЯ]],Таблица1[[МАРКА АВТО]:[СТОИМОСТЬ АРЕНДЫ В ЧАС]],3,)</f>
        <v>10000</v>
      </c>
      <c r="I7">
        <f>ROUND(Таблица3[[#This Row],[РАССТОЯНИЕ]]/VLOOKUP(Таблица3[[#This Row],[МАРКА АВТОМОБИЛЯ]],Таблица1[],4,),0)*'ВСПОМОГАТЕЛЬНЫЕ ТАБЛИЦЫ'!$B$1</f>
        <v>1750</v>
      </c>
      <c r="J7" s="30">
        <f>IF(ISERR(FIND(Таблица3[[#This Row],[ВОДИТЕЛЬ]],$A$15,1)),IF(ISERR(FIND(Таблица3[[#This Row],[ВОДИТЕЛЬ]],$A$16,1)),IF(ISERR(FIND(Таблица3[[#This Row],[ВОДИТЕЛЬ]],$A$17,1)),0,25%),-20%),0)</f>
        <v>-0.2</v>
      </c>
      <c r="K7" s="17">
        <v>41697</v>
      </c>
      <c r="L7" s="31">
        <f>IFERROR(Таблица3[[#This Row],[дата выезда]]+Таблица3[[#This Row],[ВРЕМЯ В ПУТИ (включая время на сон)]],DATE(2014,4,30)+Таблица3[[#This Row],[ВРЕМЯ В ПУТИ (включая время на сон)]])</f>
        <v>41737</v>
      </c>
      <c r="M7" s="31">
        <f>IF(ISERR(FIND(Таблица3[[#This Row],[ВОДИТЕЛЬ]],$A$15,1)),IF(ISERR(FIND(Таблица3[[#This Row],[ВОДИТЕЛЬ]],$A$16,1)),IF(ISERR(FIND(Таблица3[[#This Row],[ВОДИТЕЛЬ]],$A$17,1)),0,IFERROR(Таблица3[[#This Row],[дата выезда]]+(Таблица3[[#This Row],[ВРЕМЯ В ПУТИ (включая время на сон)]]+7),DATE(2014,4,30)+(Таблица3[[#This Row],[ВРЕМЯ В ПУТИ (включая время на сон)]]+7))),IFERROR(Таблица3[[#This Row],[дата выезда]]+(Таблица3[[#This Row],[ВРЕМЯ В ПУТИ (включая время на сон)]]+15),DATE(2014,4,30)+(Таблица3[[#This Row],[ВРЕМЯ В ПУТИ (включая время на сон)]]+15))),IFERROR(Таблица3[[#This Row],[дата выезда]]+Таблица3[[#This Row],[ВРЕМЯ В ПУТИ (включая время на сон)]],DATE(2014,4,30)+Таблица3[[#This Row],[ВРЕМЯ В ПУТИ (включая время на сон)]]))</f>
        <v>41752</v>
      </c>
      <c r="N7" s="35">
        <f>Таблица3[[#This Row],[РАССТОЯНИЕ]]*'ВСПОМОГАТЕЛЬНЫЕ ТАБЛИЦЫ'!$B$43</f>
        <v>79450</v>
      </c>
      <c r="O7" s="35">
        <f>IF(Таблица3[[#This Row],[НЕУСТОЙКИ]]=0,SUM(Таблица3[[#This Row],[ОБЩАЯ ОПЛАТА ВОДИТЕЛЮ]:[стоимость топлива]],Таблица3[[#This Row],[фирма берет себе]]),SUM(Таблица3[[#This Row],[ОБЩАЯ ОПЛАТА ВОДИТЕЛЮ]:[стоимость топлива]],Таблица3[[#This Row],[фирма берет себе]])*(1+Таблица3[[#This Row],[НЕУСТОЙКИ]]))</f>
        <v>89600</v>
      </c>
    </row>
    <row r="8" spans="1:15" ht="15.75">
      <c r="A8" t="s">
        <v>8</v>
      </c>
      <c r="B8" t="s">
        <v>57</v>
      </c>
      <c r="C8" t="s">
        <v>15</v>
      </c>
      <c r="D8" s="27" t="str">
        <f>IF(OR(VLOOKUP(Таблица3[[#This Row],[ТОВАР]],'ВСПОМОГАТЕЛЬНЫЕ ТАБЛИЦЫ'!$A$30:$B$40,2,)=LARGE(Таблица1[ГРУЗОПОДЪЕМНОСТЬ (ТОНН)],1),VLOOKUP(Таблица3[[#This Row],[ТОВАР]],'ВСПОМОГАТЕЛЬНЫЕ ТАБЛИЦЫ'!$A$30:$B$40,2,)&gt;SMALL(Таблица1[ГРУЗОПОДЪЕМНОСТЬ (ТОНН)],2)),'ВСПОМОГАТЕЛЬНЫЕ ТАБЛИЦЫ'!$A$6,IF(OR(VLOOKUP(Таблица3[[#This Row],[ТОВАР]],'ВСПОМОГАТЕЛЬНЫЕ ТАБЛИЦЫ'!$A$30:$B$40,2,)=SMALL(Таблица1[ГРУЗОПОДЪЕМНОСТЬ (ТОНН)],2),VLOOKUP(Таблица3[[#This Row],[ТОВАР]],'ВСПОМОГАТЕЛЬНЫЕ ТАБЛИЦЫ'!$A$30:$B$40,2,)&gt;SMALL(Таблица1[ГРУЗОПОДЪЕМНОСТЬ (ТОНН)],1)),'ВСПОМОГАТЕЛЬНЫЕ ТАБЛИЦЫ'!$A$4,'ВСПОМОГАТЕЛЬНЫЕ ТАБЛИЦЫ'!$A$5))</f>
        <v>VOLVO</v>
      </c>
      <c r="E8" s="24">
        <f>VLOOKUP(Таблица3[[#This Row],[ГОРОД НАЗНАЧЕНИЯ]],Таблица2[],2,)</f>
        <v>892</v>
      </c>
      <c r="F8" s="29">
        <f>IF(ROUNDDOWN(Таблица3[[#This Row],[РАССТОЯНИЕ]]/'ВСПОМОГАТЕЛЬНЫЕ ТАБЛИЦЫ'!$B$18,0)&gt;12,ROUNDDOWN((Таблица3[[#This Row],[РАССТОЯНИЕ]]/'ВСПОМОГАТЕЛЬНЫЕ ТАБЛИЦЫ'!$B$18)/12,0)*7+ROUND(Таблица3[[#This Row],[РАССТОЯНИЕ]]/'ВСПОМОГАТЕЛЬНЫЕ ТАБЛИЦЫ'!$B$18,0),ROUND(Таблица3[[#This Row],[РАССТОЯНИЕ]]/'ВСПОМОГАТЕЛЬНЫЕ ТАБЛИЦЫ'!$B$18,0))</f>
        <v>22</v>
      </c>
      <c r="G8">
        <f>ROUND(Таблица3[[#This Row],[РАССТОЯНИЕ]]/'ВСПОМОГАТЕЛЬНЫЕ ТАБЛИЦЫ'!$B$18,0)*'ВСПОМОГАТЕЛЬНЫЕ ТАБЛИЦЫ'!$B$20</f>
        <v>12000</v>
      </c>
      <c r="H8">
        <f>Таблица3[[#This Row],[ВРЕМЯ В ПУТИ (включая время на сон)]]*VLOOKUP(Таблица3[[#This Row],[МАРКА АВТОМОБИЛЯ]],Таблица1[[МАРКА АВТО]:[СТОИМОСТЬ АРЕНДЫ В ЧАС]],3,)</f>
        <v>8360</v>
      </c>
      <c r="I8">
        <f>ROUND(Таблица3[[#This Row],[РАССТОЯНИЕ]]/VLOOKUP(Таблица3[[#This Row],[МАРКА АВТОМОБИЛЯ]],Таблица1[],4,),0)*'ВСПОМОГАТЕЛЬНЫЕ ТАБЛИЦЫ'!$B$1</f>
        <v>1260</v>
      </c>
      <c r="J8" s="30">
        <f>IF(ISERR(FIND(Таблица3[[#This Row],[ВОДИТЕЛЬ]],$A$15,1)),IF(ISERR(FIND(Таблица3[[#This Row],[ВОДИТЕЛЬ]],$A$16,1)),IF(ISERR(FIND(Таблица3[[#This Row],[ВОДИТЕЛЬ]],$A$17,1)),0,25%),-20%),0)</f>
        <v>0.25</v>
      </c>
      <c r="K8" s="17">
        <v>41795</v>
      </c>
      <c r="L8" s="31">
        <f>IFERROR(Таблица3[[#This Row],[дата выезда]]+Таблица3[[#This Row],[ВРЕМЯ В ПУТИ (включая время на сон)]],DATE(2014,4,30)+Таблица3[[#This Row],[ВРЕМЯ В ПУТИ (включая время на сон)]])</f>
        <v>41817</v>
      </c>
      <c r="M8" s="31">
        <f>IF(ISERR(FIND(Таблица3[[#This Row],[ВОДИТЕЛЬ]],$A$15,1)),IF(ISERR(FIND(Таблица3[[#This Row],[ВОДИТЕЛЬ]],$A$16,1)),IF(ISERR(FIND(Таблица3[[#This Row],[ВОДИТЕЛЬ]],$A$17,1)),0,IFERROR(Таблица3[[#This Row],[дата выезда]]+(Таблица3[[#This Row],[ВРЕМЯ В ПУТИ (включая время на сон)]]+7),DATE(2014,4,30)+(Таблица3[[#This Row],[ВРЕМЯ В ПУТИ (включая время на сон)]]+7))),IFERROR(Таблица3[[#This Row],[дата выезда]]+(Таблица3[[#This Row],[ВРЕМЯ В ПУТИ (включая время на сон)]]+15),DATE(2014,4,30)+(Таблица3[[#This Row],[ВРЕМЯ В ПУТИ (включая время на сон)]]+15))),IFERROR(Таблица3[[#This Row],[дата выезда]]+Таблица3[[#This Row],[ВРЕМЯ В ПУТИ (включая время на сон)]],DATE(2014,4,30)+Таблица3[[#This Row],[ВРЕМЯ В ПУТИ (включая время на сон)]]))</f>
        <v>41824</v>
      </c>
      <c r="N8" s="35">
        <f>Таблица3[[#This Row],[РАССТОЯНИЕ]]*'ВСПОМОГАТЕЛЬНЫЕ ТАБЛИЦЫ'!$B$43</f>
        <v>44600</v>
      </c>
      <c r="O8" s="35">
        <f>IF(Таблица3[[#This Row],[НЕУСТОЙКИ]]=0,SUM(Таблица3[[#This Row],[ОБЩАЯ ОПЛАТА ВОДИТЕЛЮ]:[стоимость топлива]],Таблица3[[#This Row],[фирма берет себе]]),SUM(Таблица3[[#This Row],[ОБЩАЯ ОПЛАТА ВОДИТЕЛЮ]:[стоимость топлива]],Таблица3[[#This Row],[фирма берет себе]])*(1+Таблица3[[#This Row],[НЕУСТОЙКИ]]))</f>
        <v>82775</v>
      </c>
    </row>
    <row r="9" spans="1:15" ht="15.75">
      <c r="A9" t="s">
        <v>9</v>
      </c>
      <c r="B9" t="s">
        <v>58</v>
      </c>
      <c r="C9" t="s">
        <v>16</v>
      </c>
      <c r="D9" s="2" t="str">
        <f>IF(OR(VLOOKUP(Таблица3[[#This Row],[ТОВАР]],'ВСПОМОГАТЕЛЬНЫЕ ТАБЛИЦЫ'!$A$30:$B$40,2,)=LARGE(Таблица1[ГРУЗОПОДЪЕМНОСТЬ (ТОНН)],1),VLOOKUP(Таблица3[[#This Row],[ТОВАР]],'ВСПОМОГАТЕЛЬНЫЕ ТАБЛИЦЫ'!$A$30:$B$40,2,)&gt;SMALL(Таблица1[ГРУЗОПОДЪЕМНОСТЬ (ТОНН)],2)),'ВСПОМОГАТЕЛЬНЫЕ ТАБЛИЦЫ'!$A$6,IF(OR(VLOOKUP(Таблица3[[#This Row],[ТОВАР]],'ВСПОМОГАТЕЛЬНЫЕ ТАБЛИЦЫ'!$A$30:$B$40,2,)=SMALL(Таблица1[ГРУЗОПОДЪЕМНОСТЬ (ТОНН)],2),VLOOKUP(Таблица3[[#This Row],[ТОВАР]],'ВСПОМОГАТЕЛЬНЫЕ ТАБЛИЦЫ'!$A$30:$B$40,2,)&gt;SMALL(Таблица1[ГРУЗОПОДЪЕМНОСТЬ (ТОНН)],1)),'ВСПОМОГАТЕЛЬНЫЕ ТАБЛИЦЫ'!$A$4,'ВСПОМОГАТЕЛЬНЫЕ ТАБЛИЦЫ'!$A$5))</f>
        <v>VOLVO</v>
      </c>
      <c r="E9" s="25">
        <f>VLOOKUP(Таблица3[[#This Row],[ГОРОД НАЗНАЧЕНИЯ]],Таблица2[],2,)</f>
        <v>1338</v>
      </c>
      <c r="F9" s="29">
        <f>IF(ROUNDDOWN(Таблица3[[#This Row],[РАССТОЯНИЕ]]/'ВСПОМОГАТЕЛЬНЫЕ ТАБЛИЦЫ'!$B$18,0)&gt;12,ROUNDDOWN((Таблица3[[#This Row],[РАССТОЯНИЕ]]/'ВСПОМОГАТЕЛЬНЫЕ ТАБЛИЦЫ'!$B$18)/12,0)*7+ROUND(Таблица3[[#This Row],[РАССТОЯНИЕ]]/'ВСПОМОГАТЕЛЬНЫЕ ТАБЛИЦЫ'!$B$18,0),ROUND(Таблица3[[#This Row],[РАССТОЯНИЕ]]/'ВСПОМОГАТЕЛЬНЫЕ ТАБЛИЦЫ'!$B$18,0))</f>
        <v>29</v>
      </c>
      <c r="G9">
        <f>ROUND(Таблица3[[#This Row],[РАССТОЯНИЕ]]/'ВСПОМОГАТЕЛЬНЫЕ ТАБЛИЦЫ'!$B$18,0)*'ВСПОМОГАТЕЛЬНЫЕ ТАБЛИЦЫ'!$B$20</f>
        <v>17600</v>
      </c>
      <c r="H9">
        <f>Таблица3[[#This Row],[ВРЕМЯ В ПУТИ (включая время на сон)]]*VLOOKUP(Таблица3[[#This Row],[МАРКА АВТОМОБИЛЯ]],Таблица1[[МАРКА АВТО]:[СТОИМОСТЬ АРЕНДЫ В ЧАС]],3,)</f>
        <v>11020</v>
      </c>
      <c r="I9">
        <f>ROUND(Таблица3[[#This Row],[РАССТОЯНИЕ]]/VLOOKUP(Таблица3[[#This Row],[МАРКА АВТОМОБИЛЯ]],Таблица1[],4,),0)*'ВСПОМОГАТЕЛЬНЫЕ ТАБЛИЦЫ'!$B$1</f>
        <v>1890</v>
      </c>
      <c r="J9" s="30">
        <f>IF(ISERR(FIND(Таблица3[[#This Row],[ВОДИТЕЛЬ]],$A$15,1)),IF(ISERR(FIND(Таблица3[[#This Row],[ВОДИТЕЛЬ]],$A$16,1)),IF(ISERR(FIND(Таблица3[[#This Row],[ВОДИТЕЛЬ]],$A$17,1)),0,25%),-20%),0)</f>
        <v>0</v>
      </c>
      <c r="K9" s="17">
        <v>41793</v>
      </c>
      <c r="L9" s="31">
        <f>IFERROR(Таблица3[[#This Row],[дата выезда]]+Таблица3[[#This Row],[ВРЕМЯ В ПУТИ (включая время на сон)]],DATE(2014,4,30)+Таблица3[[#This Row],[ВРЕМЯ В ПУТИ (включая время на сон)]])</f>
        <v>41822</v>
      </c>
      <c r="M9" s="31">
        <f>IF(ISERR(FIND(Таблица3[[#This Row],[ВОДИТЕЛЬ]],$A$15,1)),IF(ISERR(FIND(Таблица3[[#This Row],[ВОДИТЕЛЬ]],$A$16,1)),IF(ISERR(FIND(Таблица3[[#This Row],[ВОДИТЕЛЬ]],$A$17,1)),0,IFERROR(Таблица3[[#This Row],[дата выезда]]+(Таблица3[[#This Row],[ВРЕМЯ В ПУТИ (включая время на сон)]]+7),DATE(2014,4,30)+(Таблица3[[#This Row],[ВРЕМЯ В ПУТИ (включая время на сон)]]+7))),IFERROR(Таблица3[[#This Row],[дата выезда]]+(Таблица3[[#This Row],[ВРЕМЯ В ПУТИ (включая время на сон)]]+15),DATE(2014,4,30)+(Таблица3[[#This Row],[ВРЕМЯ В ПУТИ (включая время на сон)]]+15))),IFERROR(Таблица3[[#This Row],[дата выезда]]+Таблица3[[#This Row],[ВРЕМЯ В ПУТИ (включая время на сон)]],DATE(2014,4,30)+Таблица3[[#This Row],[ВРЕМЯ В ПУТИ (включая время на сон)]]))</f>
        <v>41822</v>
      </c>
      <c r="N9" s="35">
        <f>Таблица3[[#This Row],[РАССТОЯНИЕ]]*'ВСПОМОГАТЕЛЬНЫЕ ТАБЛИЦЫ'!$B$43</f>
        <v>66900</v>
      </c>
      <c r="O9" s="35">
        <f>IF(Таблица3[[#This Row],[НЕУСТОЙКИ]]=0,SUM(Таблица3[[#This Row],[ОБЩАЯ ОПЛАТА ВОДИТЕЛЮ]:[стоимость топлива]],Таблица3[[#This Row],[фирма берет себе]]),SUM(Таблица3[[#This Row],[ОБЩАЯ ОПЛАТА ВОДИТЕЛЮ]:[стоимость топлива]],Таблица3[[#This Row],[фирма берет себе]])*(1+Таблица3[[#This Row],[НЕУСТОЙКИ]]))</f>
        <v>97410</v>
      </c>
    </row>
    <row r="10" spans="1:15" ht="15.75">
      <c r="A10" t="s">
        <v>35</v>
      </c>
      <c r="B10" t="s">
        <v>59</v>
      </c>
      <c r="C10" t="s">
        <v>12</v>
      </c>
      <c r="D10" s="27" t="str">
        <f>IF(OR(VLOOKUP(Таблица3[[#This Row],[ТОВАР]],'ВСПОМОГАТЕЛЬНЫЕ ТАБЛИЦЫ'!$A$30:$B$40,2,)=LARGE(Таблица1[ГРУЗОПОДЪЕМНОСТЬ (ТОНН)],1),VLOOKUP(Таблица3[[#This Row],[ТОВАР]],'ВСПОМОГАТЕЛЬНЫЕ ТАБЛИЦЫ'!$A$30:$B$40,2,)&gt;SMALL(Таблица1[ГРУЗОПОДЪЕМНОСТЬ (ТОНН)],2)),'ВСПОМОГАТЕЛЬНЫЕ ТАБЛИЦЫ'!$A$6,IF(OR(VLOOKUP(Таблица3[[#This Row],[ТОВАР]],'ВСПОМОГАТЕЛЬНЫЕ ТАБЛИЦЫ'!$A$30:$B$40,2,)=SMALL(Таблица1[ГРУЗОПОДЪЕМНОСТЬ (ТОНН)],2),VLOOKUP(Таблица3[[#This Row],[ТОВАР]],'ВСПОМОГАТЕЛЬНЫЕ ТАБЛИЦЫ'!$A$30:$B$40,2,)&gt;SMALL(Таблица1[ГРУЗОПОДЪЕМНОСТЬ (ТОНН)],1)),'ВСПОМОГАТЕЛЬНЫЕ ТАБЛИЦЫ'!$A$4,'ВСПОМОГАТЕЛЬНЫЕ ТАБЛИЦЫ'!$A$5))</f>
        <v>MERCEDES</v>
      </c>
      <c r="E10" s="24">
        <f>VLOOKUP(Таблица3[[#This Row],[ГОРОД НАЗНАЧЕНИЯ]],Таблица2[],2,)</f>
        <v>131</v>
      </c>
      <c r="F10" s="29">
        <f>IF(ROUNDDOWN(Таблица3[[#This Row],[РАССТОЯНИЕ]]/'ВСПОМОГАТЕЛЬНЫЕ ТАБЛИЦЫ'!$B$18,0)&gt;12,ROUNDDOWN((Таблица3[[#This Row],[РАССТОЯНИЕ]]/'ВСПОМОГАТЕЛЬНЫЕ ТАБЛИЦЫ'!$B$18)/12,0)*7+ROUND(Таблица3[[#This Row],[РАССТОЯНИЕ]]/'ВСПОМОГАТЕЛЬНЫЕ ТАБЛИЦЫ'!$B$18,0),ROUND(Таблица3[[#This Row],[РАССТОЯНИЕ]]/'ВСПОМОГАТЕЛЬНЫЕ ТАБЛИЦЫ'!$B$18,0))</f>
        <v>2</v>
      </c>
      <c r="G10">
        <f>ROUND(Таблица3[[#This Row],[РАССТОЯНИЕ]]/'ВСПОМОГАТЕЛЬНЫЕ ТАБЛИЦЫ'!$B$18,0)*'ВСПОМОГАТЕЛЬНЫЕ ТАБЛИЦЫ'!$B$20</f>
        <v>1600</v>
      </c>
      <c r="H10">
        <f>Таблица3[[#This Row],[ВРЕМЯ В ПУТИ (включая время на сон)]]*VLOOKUP(Таблица3[[#This Row],[МАРКА АВТОМОБИЛЯ]],Таблица1[[МАРКА АВТО]:[СТОИМОСТЬ АРЕНДЫ В ЧАС]],3,)</f>
        <v>840</v>
      </c>
      <c r="I10">
        <f>ROUND(Таблица3[[#This Row],[РАССТОЯНИЕ]]/VLOOKUP(Таблица3[[#This Row],[МАРКА АВТОМОБИЛЯ]],Таблица1[],4,),0)*'ВСПОМОГАТЕЛЬНЫЕ ТАБЛИЦЫ'!$B$1</f>
        <v>175</v>
      </c>
      <c r="J10" s="30">
        <f>IF(ISERR(FIND(Таблица3[[#This Row],[ВОДИТЕЛЬ]],$A$15,1)),IF(ISERR(FIND(Таблица3[[#This Row],[ВОДИТЕЛЬ]],$A$16,1)),IF(ISERR(FIND(Таблица3[[#This Row],[ВОДИТЕЛЬ]],$A$17,1)),0,25%),-20%),0)</f>
        <v>0.25</v>
      </c>
      <c r="K10" s="17">
        <v>41738</v>
      </c>
      <c r="L10" s="31">
        <f>IFERROR(Таблица3[[#This Row],[дата выезда]]+Таблица3[[#This Row],[ВРЕМЯ В ПУТИ (включая время на сон)]],DATE(2014,4,30)+Таблица3[[#This Row],[ВРЕМЯ В ПУТИ (включая время на сон)]])</f>
        <v>41740</v>
      </c>
      <c r="M10" s="31">
        <f>IF(ISERR(FIND(Таблица3[[#This Row],[ВОДИТЕЛЬ]],$A$15,1)),IF(ISERR(FIND(Таблица3[[#This Row],[ВОДИТЕЛЬ]],$A$16,1)),IF(ISERR(FIND(Таблица3[[#This Row],[ВОДИТЕЛЬ]],$A$17,1)),0,IFERROR(Таблица3[[#This Row],[дата выезда]]+(Таблица3[[#This Row],[ВРЕМЯ В ПУТИ (включая время на сон)]]+7),DATE(2014,4,30)+(Таблица3[[#This Row],[ВРЕМЯ В ПУТИ (включая время на сон)]]+7))),IFERROR(Таблица3[[#This Row],[дата выезда]]+(Таблица3[[#This Row],[ВРЕМЯ В ПУТИ (включая время на сон)]]+15),DATE(2014,4,30)+(Таблица3[[#This Row],[ВРЕМЯ В ПУТИ (включая время на сон)]]+15))),IFERROR(Таблица3[[#This Row],[дата выезда]]+Таблица3[[#This Row],[ВРЕМЯ В ПУТИ (включая время на сон)]],DATE(2014,4,30)+Таблица3[[#This Row],[ВРЕМЯ В ПУТИ (включая время на сон)]]))</f>
        <v>41747</v>
      </c>
      <c r="N10" s="35">
        <f>Таблица3[[#This Row],[РАССТОЯНИЕ]]*'ВСПОМОГАТЕЛЬНЫЕ ТАБЛИЦЫ'!$B$43</f>
        <v>6550</v>
      </c>
      <c r="O10" s="35">
        <f>IF(Таблица3[[#This Row],[НЕУСТОЙКИ]]=0,SUM(Таблица3[[#This Row],[ОБЩАЯ ОПЛАТА ВОДИТЕЛЮ]:[стоимость топлива]],Таблица3[[#This Row],[фирма берет себе]]),SUM(Таблица3[[#This Row],[ОБЩАЯ ОПЛАТА ВОДИТЕЛЮ]:[стоимость топлива]],Таблица3[[#This Row],[фирма берет себе]])*(1+Таблица3[[#This Row],[НЕУСТОЙКИ]]))</f>
        <v>11456.25</v>
      </c>
    </row>
    <row r="11" spans="1:15" ht="16.5" thickBot="1">
      <c r="A11" t="s">
        <v>38</v>
      </c>
      <c r="B11" t="s">
        <v>60</v>
      </c>
      <c r="C11" t="s">
        <v>37</v>
      </c>
      <c r="D11" s="28" t="str">
        <f>IF(OR(VLOOKUP(Таблица3[[#This Row],[ТОВАР]],'ВСПОМОГАТЕЛЬНЫЕ ТАБЛИЦЫ'!$A$30:$B$40,2,)=LARGE(Таблица1[ГРУЗОПОДЪЕМНОСТЬ (ТОНН)],1),VLOOKUP(Таблица3[[#This Row],[ТОВАР]],'ВСПОМОГАТЕЛЬНЫЕ ТАБЛИЦЫ'!$A$30:$B$40,2,)&gt;SMALL(Таблица1[ГРУЗОПОДЪЕМНОСТЬ (ТОНН)],2)),'ВСПОМОГАТЕЛЬНЫЕ ТАБЛИЦЫ'!$A$6,IF(OR(VLOOKUP(Таблица3[[#This Row],[ТОВАР]],'ВСПОМОГАТЕЛЬНЫЕ ТАБЛИЦЫ'!$A$30:$B$40,2,)=SMALL(Таблица1[ГРУЗОПОДЪЕМНОСТЬ (ТОНН)],2),VLOOKUP(Таблица3[[#This Row],[ТОВАР]],'ВСПОМОГАТЕЛЬНЫЕ ТАБЛИЦЫ'!$A$30:$B$40,2,)&gt;SMALL(Таблица1[ГРУЗОПОДЪЕМНОСТЬ (ТОНН)],1)),'ВСПОМОГАТЕЛЬНЫЕ ТАБЛИЦЫ'!$A$4,'ВСПОМОГАТЕЛЬНЫЕ ТАБЛИЦЫ'!$A$5))</f>
        <v>VOLVO</v>
      </c>
      <c r="E11" s="26">
        <f>VLOOKUP(Таблица3[[#This Row],[ГОРОД НАЗНАЧЕНИЯ]],Таблица2[],2,)</f>
        <v>2154</v>
      </c>
      <c r="F11" s="29">
        <f>IF(ROUNDDOWN(Таблица3[[#This Row],[РАССТОЯНИЕ]]/'ВСПОМОГАТЕЛЬНЫЕ ТАБЛИЦЫ'!$B$18,0)&gt;12,ROUNDDOWN((Таблица3[[#This Row],[РАССТОЯНИЕ]]/'ВСПОМОГАТЕЛЬНЫЕ ТАБЛИЦЫ'!$B$18)/12,0)*7+ROUND(Таблица3[[#This Row],[РАССТОЯНИЕ]]/'ВСПОМОГАТЕЛЬНЫЕ ТАБЛИЦЫ'!$B$18,0),ROUND(Таблица3[[#This Row],[РАССТОЯНИЕ]]/'ВСПОМОГАТЕЛЬНЫЕ ТАБЛИЦЫ'!$B$18,0))</f>
        <v>50</v>
      </c>
      <c r="G11">
        <f>ROUND(Таблица3[[#This Row],[РАССТОЯНИЕ]]/'ВСПОМОГАТЕЛЬНЫЕ ТАБЛИЦЫ'!$B$18,0)*'ВСПОМОГАТЕЛЬНЫЕ ТАБЛИЦЫ'!$B$20</f>
        <v>28800</v>
      </c>
      <c r="H11">
        <f>Таблица3[[#This Row],[ВРЕМЯ В ПУТИ (включая время на сон)]]*VLOOKUP(Таблица3[[#This Row],[МАРКА АВТОМОБИЛЯ]],Таблица1[[МАРКА АВТО]:[СТОИМОСТЬ АРЕНДЫ В ЧАС]],3,)</f>
        <v>19000</v>
      </c>
      <c r="I11">
        <f>ROUND(Таблица3[[#This Row],[РАССТОЯНИЕ]]/VLOOKUP(Таблица3[[#This Row],[МАРКА АВТОМОБИЛЯ]],Таблица1[],4,),0)*'ВСПОМОГАТЕЛЬНЫЕ ТАБЛИЦЫ'!$B$1</f>
        <v>3010</v>
      </c>
      <c r="J11" s="30">
        <f>IF(ISERR(FIND(Таблица3[[#This Row],[ВОДИТЕЛЬ]],$A$15,1)),IF(ISERR(FIND(Таблица3[[#This Row],[ВОДИТЕЛЬ]],$A$16,1)),IF(ISERR(FIND(Таблица3[[#This Row],[ВОДИТЕЛЬ]],$A$17,1)),0,25%),-20%),0)</f>
        <v>-0.2</v>
      </c>
      <c r="K11" s="17">
        <v>41802</v>
      </c>
      <c r="L11" s="31">
        <f>IFERROR(Таблица3[[#This Row],[дата выезда]]+Таблица3[[#This Row],[ВРЕМЯ В ПУТИ (включая время на сон)]],DATE(2014,4,30)+Таблица3[[#This Row],[ВРЕМЯ В ПУТИ (включая время на сон)]])</f>
        <v>41852</v>
      </c>
      <c r="M11" s="31">
        <f>IF(ISERR(FIND(Таблица3[[#This Row],[ВОДИТЕЛЬ]],$A$15,1)),IF(ISERR(FIND(Таблица3[[#This Row],[ВОДИТЕЛЬ]],$A$16,1)),IF(ISERR(FIND(Таблица3[[#This Row],[ВОДИТЕЛЬ]],$A$17,1)),0,IFERROR(Таблица3[[#This Row],[дата выезда]]+(Таблица3[[#This Row],[ВРЕМЯ В ПУТИ (включая время на сон)]]+7),DATE(2014,4,30)+(Таблица3[[#This Row],[ВРЕМЯ В ПУТИ (включая время на сон)]]+7))),IFERROR(Таблица3[[#This Row],[дата выезда]]+(Таблица3[[#This Row],[ВРЕМЯ В ПУТИ (включая время на сон)]]+15),DATE(2014,4,30)+(Таблица3[[#This Row],[ВРЕМЯ В ПУТИ (включая время на сон)]]+15))),IFERROR(Таблица3[[#This Row],[дата выезда]]+Таблица3[[#This Row],[ВРЕМЯ В ПУТИ (включая время на сон)]],DATE(2014,4,30)+Таблица3[[#This Row],[ВРЕМЯ В ПУТИ (включая время на сон)]]))</f>
        <v>41867</v>
      </c>
      <c r="N11" s="35">
        <f>Таблица3[[#This Row],[РАССТОЯНИЕ]]*'ВСПОМОГАТЕЛЬНЫЕ ТАБЛИЦЫ'!$B$43</f>
        <v>107700</v>
      </c>
      <c r="O11" s="35">
        <f>IF(Таблица3[[#This Row],[НЕУСТОЙКИ]]=0,SUM(Таблица3[[#This Row],[ОБЩАЯ ОПЛАТА ВОДИТЕЛЮ]:[стоимость топлива]],Таблица3[[#This Row],[фирма берет себе]]),SUM(Таблица3[[#This Row],[ОБЩАЯ ОПЛАТА ВОДИТЕЛЮ]:[стоимость топлива]],Таблица3[[#This Row],[фирма берет себе]])*(1+Таблица3[[#This Row],[НЕУСТОЙКИ]]))</f>
        <v>126808</v>
      </c>
    </row>
    <row r="14" spans="1:15">
      <c r="A14" s="4" t="s">
        <v>49</v>
      </c>
    </row>
    <row r="15" spans="1:15">
      <c r="A15" t="s">
        <v>61</v>
      </c>
    </row>
    <row r="16" spans="1:15">
      <c r="A16" t="s">
        <v>65</v>
      </c>
    </row>
    <row r="17" spans="1:1">
      <c r="A17" t="s">
        <v>66</v>
      </c>
    </row>
    <row r="27" spans="1:1" ht="64.5" customHeight="1"/>
    <row r="31" spans="1:1" ht="18" customHeight="1"/>
    <row r="32" spans="1:1" ht="36" customHeight="1"/>
    <row r="33" ht="23.25" customHeight="1"/>
    <row r="34" ht="24.75" customHeight="1"/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G43"/>
  <sheetViews>
    <sheetView topLeftCell="A14" workbookViewId="0">
      <selection activeCell="B24" sqref="B24"/>
    </sheetView>
  </sheetViews>
  <sheetFormatPr defaultRowHeight="15"/>
  <cols>
    <col min="1" max="1" width="22" customWidth="1"/>
    <col min="2" max="2" width="33.42578125" bestFit="1" customWidth="1"/>
    <col min="3" max="3" width="31.85546875" bestFit="1" customWidth="1"/>
    <col min="4" max="4" width="42.140625" customWidth="1"/>
  </cols>
  <sheetData>
    <row r="1" spans="1:4">
      <c r="A1" s="5" t="s">
        <v>2</v>
      </c>
      <c r="B1" s="6">
        <v>35</v>
      </c>
    </row>
    <row r="3" spans="1:4" ht="15.75">
      <c r="A3" s="2" t="s">
        <v>17</v>
      </c>
      <c r="B3" s="2" t="s">
        <v>21</v>
      </c>
      <c r="C3" s="2" t="s">
        <v>28</v>
      </c>
      <c r="D3" s="2" t="s">
        <v>45</v>
      </c>
    </row>
    <row r="4" spans="1:4" ht="15.75">
      <c r="A4" s="2" t="s">
        <v>18</v>
      </c>
      <c r="B4" s="2">
        <v>50</v>
      </c>
      <c r="C4" s="11">
        <v>380</v>
      </c>
      <c r="D4" s="2">
        <v>25</v>
      </c>
    </row>
    <row r="5" spans="1:4" ht="15.75">
      <c r="A5" s="2" t="s">
        <v>19</v>
      </c>
      <c r="B5" s="2">
        <v>35</v>
      </c>
      <c r="C5" s="11">
        <v>250</v>
      </c>
      <c r="D5" s="2">
        <v>32</v>
      </c>
    </row>
    <row r="6" spans="1:4" ht="15.75">
      <c r="A6" s="2" t="s">
        <v>20</v>
      </c>
      <c r="B6" s="2">
        <v>58</v>
      </c>
      <c r="C6" s="11">
        <v>420</v>
      </c>
      <c r="D6" s="2">
        <v>27</v>
      </c>
    </row>
    <row r="8" spans="1:4">
      <c r="A8" s="3" t="s">
        <v>22</v>
      </c>
      <c r="B8" s="3" t="s">
        <v>23</v>
      </c>
    </row>
    <row r="9" spans="1:4">
      <c r="A9" t="s">
        <v>10</v>
      </c>
      <c r="B9">
        <v>958</v>
      </c>
    </row>
    <row r="10" spans="1:4">
      <c r="A10" t="s">
        <v>11</v>
      </c>
      <c r="B10">
        <v>723</v>
      </c>
    </row>
    <row r="11" spans="1:4">
      <c r="A11" t="s">
        <v>12</v>
      </c>
      <c r="B11">
        <v>131</v>
      </c>
    </row>
    <row r="12" spans="1:4">
      <c r="A12" t="s">
        <v>13</v>
      </c>
      <c r="B12">
        <v>617</v>
      </c>
    </row>
    <row r="13" spans="1:4">
      <c r="A13" t="s">
        <v>14</v>
      </c>
      <c r="B13">
        <v>1589</v>
      </c>
    </row>
    <row r="14" spans="1:4">
      <c r="A14" t="s">
        <v>15</v>
      </c>
      <c r="B14">
        <v>892</v>
      </c>
    </row>
    <row r="15" spans="1:4">
      <c r="A15" t="s">
        <v>16</v>
      </c>
      <c r="B15">
        <v>1338</v>
      </c>
    </row>
    <row r="16" spans="1:4">
      <c r="A16" t="s">
        <v>37</v>
      </c>
      <c r="B16">
        <v>2154</v>
      </c>
    </row>
    <row r="18" spans="1:7" ht="50.25" customHeight="1">
      <c r="A18" s="7" t="s">
        <v>25</v>
      </c>
      <c r="B18" s="8">
        <v>60</v>
      </c>
    </row>
    <row r="20" spans="1:7" ht="38.25" customHeight="1">
      <c r="A20" s="9" t="s">
        <v>27</v>
      </c>
      <c r="B20" s="10">
        <v>800</v>
      </c>
    </row>
    <row r="22" spans="1:7">
      <c r="A22" s="32" t="s">
        <v>32</v>
      </c>
      <c r="B22" s="32"/>
    </row>
    <row r="23" spans="1:7" ht="48" customHeight="1">
      <c r="A23" s="13" t="s">
        <v>31</v>
      </c>
      <c r="B23" s="21" t="s">
        <v>63</v>
      </c>
    </row>
    <row r="24" spans="1:7" ht="30">
      <c r="A24" s="14" t="s">
        <v>33</v>
      </c>
      <c r="B24" s="21" t="s">
        <v>62</v>
      </c>
    </row>
    <row r="26" spans="1:7">
      <c r="A26" s="16" t="s">
        <v>36</v>
      </c>
      <c r="B26" s="15"/>
      <c r="C26" s="15"/>
      <c r="D26" s="15"/>
      <c r="E26" s="15"/>
      <c r="F26" s="15"/>
      <c r="G26" s="15"/>
    </row>
    <row r="29" spans="1:7" ht="31.5" customHeight="1">
      <c r="A29" s="33" t="s">
        <v>64</v>
      </c>
      <c r="B29" s="33"/>
    </row>
    <row r="30" spans="1:7">
      <c r="A30" s="18" t="s">
        <v>47</v>
      </c>
      <c r="B30" s="22" t="s">
        <v>48</v>
      </c>
    </row>
    <row r="31" spans="1:7">
      <c r="A31" s="19" t="s">
        <v>3</v>
      </c>
      <c r="B31" s="20">
        <v>57</v>
      </c>
    </row>
    <row r="32" spans="1:7">
      <c r="A32" s="19" t="s">
        <v>4</v>
      </c>
      <c r="B32" s="20">
        <v>50</v>
      </c>
    </row>
    <row r="33" spans="1:2">
      <c r="A33" s="19" t="s">
        <v>5</v>
      </c>
      <c r="B33" s="20">
        <v>32</v>
      </c>
    </row>
    <row r="34" spans="1:2">
      <c r="A34" s="19" t="s">
        <v>39</v>
      </c>
      <c r="B34" s="20">
        <v>58</v>
      </c>
    </row>
    <row r="35" spans="1:2">
      <c r="A35" s="19" t="s">
        <v>6</v>
      </c>
      <c r="B35" s="20">
        <v>28</v>
      </c>
    </row>
    <row r="36" spans="1:2">
      <c r="A36" s="19" t="s">
        <v>7</v>
      </c>
      <c r="B36" s="20">
        <v>17</v>
      </c>
    </row>
    <row r="37" spans="1:2">
      <c r="A37" s="19" t="s">
        <v>8</v>
      </c>
      <c r="B37" s="20">
        <v>46</v>
      </c>
    </row>
    <row r="38" spans="1:2">
      <c r="A38" s="19" t="s">
        <v>9</v>
      </c>
      <c r="B38" s="20">
        <v>41</v>
      </c>
    </row>
    <row r="39" spans="1:2">
      <c r="A39" s="19" t="s">
        <v>35</v>
      </c>
      <c r="B39" s="20">
        <v>53</v>
      </c>
    </row>
    <row r="40" spans="1:2">
      <c r="A40" s="19" t="s">
        <v>38</v>
      </c>
      <c r="B40" s="20">
        <v>37</v>
      </c>
    </row>
    <row r="42" spans="1:2">
      <c r="A42" s="34" t="s">
        <v>67</v>
      </c>
      <c r="B42" s="34"/>
    </row>
    <row r="43" spans="1:2">
      <c r="B43" s="23">
        <v>50</v>
      </c>
    </row>
  </sheetData>
  <mergeCells count="3">
    <mergeCell ref="A22:B22"/>
    <mergeCell ref="A29:B29"/>
    <mergeCell ref="A42:B42"/>
  </mergeCells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ПЕРЕВОЗКА</vt:lpstr>
      <vt:lpstr>ВСПОМОГАТЕЛЬНЫЕ ТАБЛИЦЫ</vt:lpstr>
    </vt:vector>
  </TitlesOfParts>
  <Company>Атомпроф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r204usr</dc:creator>
  <cp:lastModifiedBy>setioper4</cp:lastModifiedBy>
  <dcterms:created xsi:type="dcterms:W3CDTF">2014-06-17T05:54:40Z</dcterms:created>
  <dcterms:modified xsi:type="dcterms:W3CDTF">2015-10-06T09:46:00Z</dcterms:modified>
</cp:coreProperties>
</file>