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октябрь" sheetId="1" r:id="rId1"/>
    <sheet name="Зарплата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Юра две доставки 500=
</t>
        </r>
      </text>
    </comment>
    <comment ref="B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доставка 750=</t>
        </r>
      </text>
    </comment>
    <comment ref="B1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доставка 500=</t>
        </r>
      </text>
    </comment>
    <comment ref="B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Ремонт УАЗ 2500=</t>
        </r>
      </text>
    </comment>
    <comment ref="B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500=</t>
        </r>
      </text>
    </comment>
    <comment ref="B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250=</t>
        </r>
      </text>
    </comment>
    <comment ref="B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Доставка 500=</t>
        </r>
      </text>
    </comment>
    <comment ref="I4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ю</t>
        </r>
      </text>
    </comment>
    <comment ref="B3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минус 2500= -заправка ниссана
плюс доставка 500=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выручка за месяц</t>
        </r>
      </text>
    </comment>
    <comment ref="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Нужна сумма 100%</t>
        </r>
      </text>
    </comment>
    <comment ref="B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должна быть сумма 100%</t>
        </r>
      </text>
    </comment>
  </commentList>
</comments>
</file>

<file path=xl/sharedStrings.xml><?xml version="1.0" encoding="utf-8"?>
<sst xmlns="http://schemas.openxmlformats.org/spreadsheetml/2006/main" count="57" uniqueCount="49">
  <si>
    <t>нал.</t>
  </si>
  <si>
    <t>Авто</t>
  </si>
  <si>
    <t>Зал</t>
  </si>
  <si>
    <t>Общее</t>
  </si>
  <si>
    <t>Расходы</t>
  </si>
  <si>
    <t>Итого за месяц</t>
  </si>
  <si>
    <t>50</t>
  </si>
  <si>
    <t>сейф</t>
  </si>
  <si>
    <t>опл.б/нал.</t>
  </si>
  <si>
    <t>Вика</t>
  </si>
  <si>
    <t>Ира</t>
  </si>
  <si>
    <t>Ваня</t>
  </si>
  <si>
    <t>Юра</t>
  </si>
  <si>
    <t>Факт. в сейфе</t>
  </si>
  <si>
    <t>Перевозки</t>
  </si>
  <si>
    <t>Вова</t>
  </si>
  <si>
    <t>начислено</t>
  </si>
  <si>
    <t>аванс</t>
  </si>
  <si>
    <t>п.налог</t>
  </si>
  <si>
    <t>итого</t>
  </si>
  <si>
    <t>Алла</t>
  </si>
  <si>
    <t>ВЫДАНО ВСЕГО ЗРП</t>
  </si>
  <si>
    <t>АвтоБЕЗНАЛ</t>
  </si>
  <si>
    <t>ЗалБЕЗНАЛ</t>
  </si>
  <si>
    <t>ИТОГО ЗА МЕСЯЦ С ТЕРМИНАЛОМ</t>
  </si>
  <si>
    <t>общее</t>
  </si>
  <si>
    <t>октябрь 2015</t>
  </si>
  <si>
    <t>Ярик</t>
  </si>
  <si>
    <t>Петя</t>
  </si>
  <si>
    <t>на руки</t>
  </si>
  <si>
    <t>32</t>
  </si>
  <si>
    <t>выдано</t>
  </si>
  <si>
    <t>Зарплата октябрь 2015</t>
  </si>
  <si>
    <t>Зарплата</t>
  </si>
  <si>
    <t>Коэффициент</t>
  </si>
  <si>
    <t>общ. Коэфф.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</si>
  <si>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</si>
  <si>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</si>
  <si>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</si>
  <si>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</si>
  <si>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</si>
  <si>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</si>
  <si>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</si>
  <si>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</si>
  <si>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</si>
  <si>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</si>
  <si>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</si>
  <si>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</si>
  <si>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 процентах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</si>
</sst>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[$-FC19]d\ mmmm\ yyyy\ &quot;г.&quot;"/>
    <numFmt numFmtId="182" formatCode="[$-419]d\ mmm;@"/>
    <numFmt numFmtId="183" formatCode="d/m;@"/>
    <numFmt numFmtId="184" formatCode="0.0000"/>
    <numFmt numFmtId="185" formatCode="0.000"/>
    <numFmt numFmtId="186" formatCode="0.0%"/>
    <numFmt numFmtId="187" formatCode="0.0"/>
    <numFmt numFmtId="188" formatCode="[$-F400]h:mm:ss\ AM/PM"/>
    <numFmt numFmtId="189" formatCode="0.000000000"/>
    <numFmt numFmtId="190" formatCode="0.0000000000"/>
    <numFmt numFmtId="191" formatCode="0.00000000"/>
    <numFmt numFmtId="192" formatCode="0.0000000"/>
    <numFmt numFmtId="193" formatCode="0.000000"/>
    <numFmt numFmtId="194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9" borderId="0" xfId="0" applyFill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 horizontal="right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49" fontId="0" fillId="0" borderId="15" xfId="0" applyNumberFormat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1" fontId="43" fillId="36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18" borderId="15" xfId="0" applyNumberFormat="1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3" borderId="15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18" borderId="28" xfId="0" applyNumberFormat="1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3" borderId="29" xfId="0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" fontId="1" fillId="0" borderId="0" xfId="0" applyNumberFormat="1" applyFont="1" applyAlignment="1">
      <alignment horizontal="right"/>
    </xf>
    <xf numFmtId="49" fontId="0" fillId="0" borderId="30" xfId="0" applyNumberFormat="1" applyBorder="1" applyAlignment="1">
      <alignment horizontal="center"/>
    </xf>
    <xf numFmtId="0" fontId="0" fillId="36" borderId="31" xfId="0" applyFill="1" applyBorder="1" applyAlignment="1">
      <alignment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36" borderId="34" xfId="0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6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6" borderId="41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43" xfId="0" applyFill="1" applyBorder="1" applyAlignment="1">
      <alignment/>
    </xf>
    <xf numFmtId="0" fontId="1" fillId="36" borderId="44" xfId="0" applyFont="1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1" xfId="0" applyFill="1" applyBorder="1" applyAlignment="1">
      <alignment horizontal="right"/>
    </xf>
    <xf numFmtId="0" fontId="0" fillId="36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6" borderId="38" xfId="0" applyFill="1" applyBorder="1" applyAlignment="1">
      <alignment/>
    </xf>
    <xf numFmtId="1" fontId="43" fillId="33" borderId="25" xfId="0" applyNumberFormat="1" applyFont="1" applyFill="1" applyBorder="1" applyAlignment="1">
      <alignment/>
    </xf>
    <xf numFmtId="10" fontId="0" fillId="33" borderId="46" xfId="55" applyNumberFormat="1" applyFont="1" applyFill="1" applyBorder="1" applyAlignment="1">
      <alignment/>
    </xf>
    <xf numFmtId="0" fontId="0" fillId="33" borderId="25" xfId="0" applyFill="1" applyBorder="1" applyAlignment="1">
      <alignment/>
    </xf>
    <xf numFmtId="10" fontId="0" fillId="33" borderId="46" xfId="5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7" xfId="0" applyBorder="1" applyAlignment="1">
      <alignment/>
    </xf>
    <xf numFmtId="1" fontId="1" fillId="33" borderId="48" xfId="0" applyNumberFormat="1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50" xfId="0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53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55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56" xfId="0" applyBorder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9" fontId="0" fillId="0" borderId="0" xfId="55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="91" zoomScaleNormal="91" zoomScalePageLayoutView="0" workbookViewId="0" topLeftCell="A1">
      <selection activeCell="E38" sqref="E38:F38"/>
    </sheetView>
  </sheetViews>
  <sheetFormatPr defaultColWidth="9.140625" defaultRowHeight="12.75"/>
  <cols>
    <col min="1" max="1" width="4.140625" style="0" customWidth="1"/>
    <col min="2" max="2" width="10.140625" style="0" customWidth="1"/>
    <col min="3" max="3" width="12.57421875" style="0" bestFit="1" customWidth="1"/>
    <col min="5" max="5" width="13.7109375" style="0" bestFit="1" customWidth="1"/>
    <col min="6" max="6" width="10.28125" style="0" customWidth="1"/>
    <col min="9" max="9" width="10.421875" style="0" customWidth="1"/>
    <col min="15" max="15" width="15.00390625" style="0" customWidth="1"/>
    <col min="16" max="16" width="9.8515625" style="0" customWidth="1"/>
  </cols>
  <sheetData>
    <row r="1" spans="1:16" ht="12.75">
      <c r="A1" s="99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3.5" thickBot="1">
      <c r="A2" s="2"/>
      <c r="B2" s="19"/>
      <c r="C2" s="46"/>
      <c r="D2" s="109"/>
      <c r="E2" s="110"/>
      <c r="F2" s="111"/>
      <c r="G2" s="2" t="s">
        <v>3</v>
      </c>
      <c r="H2" s="2" t="s">
        <v>4</v>
      </c>
      <c r="I2" s="2" t="s">
        <v>7</v>
      </c>
      <c r="J2" s="2" t="s">
        <v>8</v>
      </c>
      <c r="K2" s="2"/>
      <c r="L2" s="2"/>
      <c r="M2" s="2" t="s">
        <v>25</v>
      </c>
      <c r="N2" s="80"/>
      <c r="O2" s="81"/>
      <c r="P2" s="2"/>
    </row>
    <row r="3" spans="1:16" ht="13.5" thickTop="1">
      <c r="A3" s="2"/>
      <c r="B3" s="43" t="s">
        <v>14</v>
      </c>
      <c r="C3" s="47" t="s">
        <v>22</v>
      </c>
      <c r="D3" s="53" t="s">
        <v>1</v>
      </c>
      <c r="E3" s="55" t="s">
        <v>23</v>
      </c>
      <c r="F3" s="56" t="s">
        <v>2</v>
      </c>
      <c r="G3" s="42" t="s">
        <v>0</v>
      </c>
      <c r="H3" s="2"/>
      <c r="I3" s="8">
        <v>569200</v>
      </c>
      <c r="J3" s="2"/>
      <c r="K3" s="6"/>
      <c r="L3" s="10"/>
      <c r="M3" s="7"/>
      <c r="N3" s="17"/>
      <c r="O3" s="2"/>
      <c r="P3" s="2"/>
    </row>
    <row r="4" spans="1:16" ht="12.75">
      <c r="A4" s="23">
        <v>1</v>
      </c>
      <c r="B4" s="44"/>
      <c r="C4" s="48">
        <v>5001</v>
      </c>
      <c r="D4" s="44">
        <v>62000</v>
      </c>
      <c r="E4" s="57">
        <f>2425+1740</f>
        <v>4165</v>
      </c>
      <c r="F4" s="58">
        <v>64000</v>
      </c>
      <c r="G4" s="50">
        <f>D4+F4</f>
        <v>126000</v>
      </c>
      <c r="H4" s="23">
        <f>300000+5000+130-150000+111520</f>
        <v>266650</v>
      </c>
      <c r="I4" s="23">
        <f>I3+B4+G4-H4</f>
        <v>428550</v>
      </c>
      <c r="J4" s="23"/>
      <c r="K4" s="24">
        <f>C4+E4</f>
        <v>9166</v>
      </c>
      <c r="L4" s="24"/>
      <c r="M4" s="24">
        <f>SUM(C4:F4)</f>
        <v>135166</v>
      </c>
      <c r="N4" s="23"/>
      <c r="O4" s="23"/>
      <c r="P4" s="23"/>
    </row>
    <row r="5" spans="1:16" ht="12.75">
      <c r="A5" s="23">
        <v>2</v>
      </c>
      <c r="B5" s="44"/>
      <c r="C5" s="48">
        <v>22000</v>
      </c>
      <c r="D5" s="44">
        <v>38000</v>
      </c>
      <c r="E5" s="57">
        <f>6070+43445</f>
        <v>49515</v>
      </c>
      <c r="F5" s="58">
        <v>65500</v>
      </c>
      <c r="G5" s="50">
        <f aca="true" t="shared" si="0" ref="G5:G34">D5+F5</f>
        <v>103500</v>
      </c>
      <c r="H5" s="23">
        <v>10000</v>
      </c>
      <c r="I5" s="23">
        <f aca="true" t="shared" si="1" ref="I5:I34">I4+B5+G5-H5</f>
        <v>522050</v>
      </c>
      <c r="J5" s="23"/>
      <c r="K5" s="24">
        <f aca="true" t="shared" si="2" ref="K5:K34">C5+E5</f>
        <v>71515</v>
      </c>
      <c r="L5" s="24"/>
      <c r="M5" s="24">
        <f aca="true" t="shared" si="3" ref="M5:M34">SUM(C5:F5)</f>
        <v>175015</v>
      </c>
      <c r="N5" s="23"/>
      <c r="O5" s="23"/>
      <c r="P5" s="23"/>
    </row>
    <row r="6" spans="1:16" ht="12.75">
      <c r="A6" s="23">
        <v>3</v>
      </c>
      <c r="B6" s="44"/>
      <c r="C6" s="48">
        <v>6910</v>
      </c>
      <c r="D6" s="44">
        <v>3000</v>
      </c>
      <c r="E6" s="57">
        <f>17865+5645</f>
        <v>23510</v>
      </c>
      <c r="F6" s="58">
        <v>82000</v>
      </c>
      <c r="G6" s="50">
        <f>D6+F6</f>
        <v>85000</v>
      </c>
      <c r="H6" s="23">
        <v>15000</v>
      </c>
      <c r="I6" s="23">
        <f>I5+B6+G6-H6</f>
        <v>592050</v>
      </c>
      <c r="J6" s="23"/>
      <c r="K6" s="24">
        <f t="shared" si="2"/>
        <v>30420</v>
      </c>
      <c r="L6" s="24"/>
      <c r="M6" s="24">
        <f t="shared" si="3"/>
        <v>115420</v>
      </c>
      <c r="N6" s="23"/>
      <c r="O6" s="23"/>
      <c r="P6" s="23"/>
    </row>
    <row r="7" spans="1:16" ht="13.5" thickBot="1">
      <c r="A7" s="63">
        <v>4</v>
      </c>
      <c r="B7" s="64"/>
      <c r="C7" s="65"/>
      <c r="D7" s="64"/>
      <c r="E7" s="66"/>
      <c r="F7" s="67"/>
      <c r="G7" s="68">
        <f t="shared" si="0"/>
        <v>0</v>
      </c>
      <c r="H7" s="69">
        <v>15000</v>
      </c>
      <c r="I7" s="69">
        <f t="shared" si="1"/>
        <v>577050</v>
      </c>
      <c r="J7" s="69"/>
      <c r="K7" s="70">
        <f t="shared" si="2"/>
        <v>0</v>
      </c>
      <c r="L7" s="70"/>
      <c r="M7" s="70">
        <f t="shared" si="3"/>
        <v>0</v>
      </c>
      <c r="N7" s="69"/>
      <c r="O7" s="69"/>
      <c r="P7" s="69"/>
    </row>
    <row r="8" spans="1:17" s="18" customFormat="1" ht="13.5" thickTop="1">
      <c r="A8" s="71">
        <v>5</v>
      </c>
      <c r="B8" s="72"/>
      <c r="C8" s="73">
        <v>6085</v>
      </c>
      <c r="D8" s="72">
        <v>18500</v>
      </c>
      <c r="E8" s="74">
        <f>3655+3905</f>
        <v>7560</v>
      </c>
      <c r="F8" s="75">
        <v>91500</v>
      </c>
      <c r="G8" s="76">
        <f t="shared" si="0"/>
        <v>110000</v>
      </c>
      <c r="H8" s="77">
        <v>286500</v>
      </c>
      <c r="I8" s="71">
        <f t="shared" si="1"/>
        <v>400550</v>
      </c>
      <c r="J8" s="71"/>
      <c r="K8" s="78">
        <f t="shared" si="2"/>
        <v>13645</v>
      </c>
      <c r="L8" s="78"/>
      <c r="M8" s="78">
        <f t="shared" si="3"/>
        <v>123645</v>
      </c>
      <c r="N8" s="77"/>
      <c r="O8" s="71"/>
      <c r="P8" s="71"/>
      <c r="Q8"/>
    </row>
    <row r="9" spans="1:16" ht="12.75">
      <c r="A9" s="23">
        <v>6</v>
      </c>
      <c r="B9" s="44"/>
      <c r="C9" s="48">
        <v>1360</v>
      </c>
      <c r="D9" s="44">
        <v>12000</v>
      </c>
      <c r="E9" s="57">
        <f>5240+2580</f>
        <v>7820</v>
      </c>
      <c r="F9" s="58">
        <v>128500</v>
      </c>
      <c r="G9" s="50">
        <f t="shared" si="0"/>
        <v>140500</v>
      </c>
      <c r="H9" s="23"/>
      <c r="I9" s="23">
        <f t="shared" si="1"/>
        <v>541050</v>
      </c>
      <c r="J9" s="23"/>
      <c r="K9" s="24">
        <f t="shared" si="2"/>
        <v>9180</v>
      </c>
      <c r="L9" s="24"/>
      <c r="M9" s="24">
        <f t="shared" si="3"/>
        <v>149680</v>
      </c>
      <c r="N9" s="23"/>
      <c r="O9" s="23"/>
      <c r="P9" s="23"/>
    </row>
    <row r="10" spans="1:16" ht="12.75">
      <c r="A10" s="23">
        <v>7</v>
      </c>
      <c r="B10" s="44"/>
      <c r="C10" s="48">
        <v>600</v>
      </c>
      <c r="D10" s="44">
        <v>20000</v>
      </c>
      <c r="E10" s="57">
        <f>41530+8940</f>
        <v>50470</v>
      </c>
      <c r="F10" s="58">
        <v>101500</v>
      </c>
      <c r="G10" s="50">
        <f t="shared" si="0"/>
        <v>121500</v>
      </c>
      <c r="H10" s="23"/>
      <c r="I10" s="23">
        <f t="shared" si="1"/>
        <v>662550</v>
      </c>
      <c r="J10" s="23"/>
      <c r="K10" s="24">
        <f t="shared" si="2"/>
        <v>51070</v>
      </c>
      <c r="L10" s="23"/>
      <c r="M10" s="24">
        <f t="shared" si="3"/>
        <v>172570</v>
      </c>
      <c r="N10" s="23"/>
      <c r="O10" s="23"/>
      <c r="P10" s="79"/>
    </row>
    <row r="11" spans="1:16" ht="12.75">
      <c r="A11" s="23">
        <v>8</v>
      </c>
      <c r="B11" s="44"/>
      <c r="C11" s="48">
        <v>4500</v>
      </c>
      <c r="D11" s="44">
        <v>9500</v>
      </c>
      <c r="E11" s="57">
        <f>5540+6010</f>
        <v>11550</v>
      </c>
      <c r="F11" s="58">
        <v>66500</v>
      </c>
      <c r="G11" s="50">
        <f t="shared" si="0"/>
        <v>76000</v>
      </c>
      <c r="H11" s="23">
        <v>300000</v>
      </c>
      <c r="I11" s="23">
        <f t="shared" si="1"/>
        <v>438550</v>
      </c>
      <c r="J11" s="23"/>
      <c r="K11" s="24">
        <f t="shared" si="2"/>
        <v>16050</v>
      </c>
      <c r="L11" s="23"/>
      <c r="M11" s="24">
        <f t="shared" si="3"/>
        <v>92050</v>
      </c>
      <c r="N11" s="23"/>
      <c r="O11" s="23"/>
      <c r="P11" s="23"/>
    </row>
    <row r="12" spans="1:16" ht="12.75">
      <c r="A12" s="23">
        <v>9</v>
      </c>
      <c r="B12" s="44"/>
      <c r="C12" s="48">
        <v>1200</v>
      </c>
      <c r="D12" s="44">
        <v>23000</v>
      </c>
      <c r="E12" s="57">
        <f>3095+7890</f>
        <v>10985</v>
      </c>
      <c r="F12" s="58">
        <v>90500</v>
      </c>
      <c r="G12" s="50">
        <f>D12+F12</f>
        <v>113500</v>
      </c>
      <c r="H12" s="23">
        <v>415000</v>
      </c>
      <c r="I12" s="23">
        <f t="shared" si="1"/>
        <v>137050</v>
      </c>
      <c r="J12" s="23"/>
      <c r="K12" s="24">
        <f>C12+E12</f>
        <v>12185</v>
      </c>
      <c r="L12" s="23"/>
      <c r="M12" s="24">
        <f t="shared" si="3"/>
        <v>125685</v>
      </c>
      <c r="N12" s="23"/>
      <c r="O12" s="23"/>
      <c r="P12" s="23"/>
    </row>
    <row r="13" spans="1:16" ht="12.75">
      <c r="A13" s="23">
        <v>10</v>
      </c>
      <c r="B13" s="44"/>
      <c r="C13" s="48">
        <v>3545</v>
      </c>
      <c r="D13" s="44">
        <v>9500</v>
      </c>
      <c r="E13" s="57">
        <f>6380+17170</f>
        <v>23550</v>
      </c>
      <c r="F13" s="58">
        <v>179000</v>
      </c>
      <c r="G13" s="50">
        <f t="shared" si="0"/>
        <v>188500</v>
      </c>
      <c r="H13" s="23"/>
      <c r="I13" s="23">
        <f t="shared" si="1"/>
        <v>325550</v>
      </c>
      <c r="J13" s="23"/>
      <c r="K13" s="24">
        <f t="shared" si="2"/>
        <v>27095</v>
      </c>
      <c r="L13" s="23"/>
      <c r="M13" s="24">
        <f t="shared" si="3"/>
        <v>215595</v>
      </c>
      <c r="N13" s="23"/>
      <c r="O13" s="23"/>
      <c r="P13" s="23"/>
    </row>
    <row r="14" spans="1:16" ht="12.75">
      <c r="A14" s="23">
        <v>11</v>
      </c>
      <c r="B14" s="45"/>
      <c r="C14" s="49"/>
      <c r="D14" s="45"/>
      <c r="E14" s="61"/>
      <c r="F14" s="62"/>
      <c r="G14" s="51">
        <f t="shared" si="0"/>
        <v>0</v>
      </c>
      <c r="H14" s="5"/>
      <c r="I14" s="5">
        <f t="shared" si="1"/>
        <v>325550</v>
      </c>
      <c r="J14" s="5"/>
      <c r="K14" s="26">
        <f t="shared" si="2"/>
        <v>0</v>
      </c>
      <c r="L14" s="5"/>
      <c r="M14" s="26">
        <f t="shared" si="3"/>
        <v>0</v>
      </c>
      <c r="N14" s="5"/>
      <c r="O14" s="5"/>
      <c r="P14" s="5"/>
    </row>
    <row r="15" spans="1:17" s="18" customFormat="1" ht="12.75">
      <c r="A15" s="23">
        <v>12</v>
      </c>
      <c r="B15" s="44"/>
      <c r="C15" s="48">
        <v>1385</v>
      </c>
      <c r="D15" s="44">
        <v>12000</v>
      </c>
      <c r="E15" s="57">
        <f>540+18025</f>
        <v>18565</v>
      </c>
      <c r="F15" s="58">
        <v>107000</v>
      </c>
      <c r="G15" s="50">
        <f t="shared" si="0"/>
        <v>119000</v>
      </c>
      <c r="H15" s="23">
        <v>10000</v>
      </c>
      <c r="I15" s="23">
        <f t="shared" si="1"/>
        <v>434550</v>
      </c>
      <c r="J15" s="23"/>
      <c r="K15" s="24">
        <f t="shared" si="2"/>
        <v>19950</v>
      </c>
      <c r="L15" s="23"/>
      <c r="M15" s="24">
        <f t="shared" si="3"/>
        <v>138950</v>
      </c>
      <c r="N15" s="23"/>
      <c r="O15" s="23"/>
      <c r="P15" s="23"/>
      <c r="Q15"/>
    </row>
    <row r="16" spans="1:16" ht="12.75">
      <c r="A16" s="23">
        <v>13</v>
      </c>
      <c r="B16" s="44">
        <v>500</v>
      </c>
      <c r="C16" s="48">
        <v>2350</v>
      </c>
      <c r="D16" s="44">
        <v>21000</v>
      </c>
      <c r="E16" s="57">
        <f>3650+5955</f>
        <v>9605</v>
      </c>
      <c r="F16" s="58">
        <v>120000</v>
      </c>
      <c r="G16" s="50">
        <f t="shared" si="0"/>
        <v>141000</v>
      </c>
      <c r="H16" s="23">
        <f>150000+300000+2000</f>
        <v>452000</v>
      </c>
      <c r="I16" s="23">
        <f t="shared" si="1"/>
        <v>124050</v>
      </c>
      <c r="J16" s="23"/>
      <c r="K16" s="24">
        <f t="shared" si="2"/>
        <v>11955</v>
      </c>
      <c r="L16" s="23"/>
      <c r="M16" s="24">
        <f t="shared" si="3"/>
        <v>152955</v>
      </c>
      <c r="N16" s="23"/>
      <c r="O16" s="23"/>
      <c r="P16" s="23"/>
    </row>
    <row r="17" spans="1:16" ht="12.75">
      <c r="A17" s="23">
        <v>14</v>
      </c>
      <c r="B17" s="44">
        <v>750</v>
      </c>
      <c r="C17" s="48">
        <v>2395</v>
      </c>
      <c r="D17" s="44">
        <v>61500</v>
      </c>
      <c r="E17" s="57">
        <f>3310+3040</f>
        <v>6350</v>
      </c>
      <c r="F17" s="58">
        <v>155000</v>
      </c>
      <c r="G17" s="50">
        <f t="shared" si="0"/>
        <v>216500</v>
      </c>
      <c r="H17" s="23"/>
      <c r="I17" s="23">
        <f t="shared" si="1"/>
        <v>341300</v>
      </c>
      <c r="J17" s="23"/>
      <c r="K17" s="24">
        <f t="shared" si="2"/>
        <v>8745</v>
      </c>
      <c r="L17" s="23"/>
      <c r="M17" s="24">
        <f t="shared" si="3"/>
        <v>225245</v>
      </c>
      <c r="N17" s="23"/>
      <c r="O17" s="23"/>
      <c r="P17" s="23"/>
    </row>
    <row r="18" spans="1:16" ht="12.75">
      <c r="A18" s="23">
        <v>15</v>
      </c>
      <c r="B18" s="44">
        <v>500</v>
      </c>
      <c r="C18" s="48">
        <v>2985</v>
      </c>
      <c r="D18" s="44">
        <v>28500</v>
      </c>
      <c r="E18" s="57">
        <f>2695+15395</f>
        <v>18090</v>
      </c>
      <c r="F18" s="58">
        <v>114500</v>
      </c>
      <c r="G18" s="50">
        <f t="shared" si="0"/>
        <v>143000</v>
      </c>
      <c r="H18" s="23">
        <v>301000</v>
      </c>
      <c r="I18" s="23">
        <f t="shared" si="1"/>
        <v>183800</v>
      </c>
      <c r="J18" s="23"/>
      <c r="K18" s="24">
        <f t="shared" si="2"/>
        <v>21075</v>
      </c>
      <c r="L18" s="23"/>
      <c r="M18" s="24">
        <f t="shared" si="3"/>
        <v>164075</v>
      </c>
      <c r="N18" s="23"/>
      <c r="O18" s="23"/>
      <c r="P18" s="23"/>
    </row>
    <row r="19" spans="1:16" ht="12.75">
      <c r="A19" s="23">
        <v>16</v>
      </c>
      <c r="B19" s="44">
        <v>500</v>
      </c>
      <c r="C19" s="48">
        <v>3935</v>
      </c>
      <c r="D19" s="44">
        <v>32000</v>
      </c>
      <c r="E19" s="57">
        <f>46345+6610</f>
        <v>52955</v>
      </c>
      <c r="F19" s="58">
        <v>106500</v>
      </c>
      <c r="G19" s="50">
        <f t="shared" si="0"/>
        <v>138500</v>
      </c>
      <c r="H19" s="23"/>
      <c r="I19" s="23">
        <f t="shared" si="1"/>
        <v>322800</v>
      </c>
      <c r="J19" s="23"/>
      <c r="K19" s="24">
        <f t="shared" si="2"/>
        <v>56890</v>
      </c>
      <c r="L19" s="23"/>
      <c r="M19" s="24">
        <f t="shared" si="3"/>
        <v>195390</v>
      </c>
      <c r="N19" s="23"/>
      <c r="O19" s="23"/>
      <c r="P19" s="23"/>
    </row>
    <row r="20" spans="1:16" ht="12.75">
      <c r="A20" s="23">
        <v>17</v>
      </c>
      <c r="B20" s="44">
        <v>750</v>
      </c>
      <c r="C20" s="48">
        <v>19650</v>
      </c>
      <c r="D20" s="44">
        <v>18000</v>
      </c>
      <c r="E20" s="57">
        <f>31740+19255</f>
        <v>50995</v>
      </c>
      <c r="F20" s="58">
        <v>144500</v>
      </c>
      <c r="G20" s="50">
        <f t="shared" si="0"/>
        <v>162500</v>
      </c>
      <c r="H20" s="23"/>
      <c r="I20" s="23">
        <f>I19+B20+G20-H20</f>
        <v>486050</v>
      </c>
      <c r="J20" s="23"/>
      <c r="K20" s="24">
        <f t="shared" si="2"/>
        <v>70645</v>
      </c>
      <c r="L20" s="23"/>
      <c r="M20" s="24">
        <f t="shared" si="3"/>
        <v>233145</v>
      </c>
      <c r="N20" s="23"/>
      <c r="O20" s="23"/>
      <c r="P20" s="23"/>
    </row>
    <row r="21" spans="1:16" ht="12.75">
      <c r="A21" s="23">
        <v>18</v>
      </c>
      <c r="B21" s="45"/>
      <c r="C21" s="49"/>
      <c r="D21" s="45"/>
      <c r="E21" s="61"/>
      <c r="F21" s="62"/>
      <c r="G21" s="51">
        <f t="shared" si="0"/>
        <v>0</v>
      </c>
      <c r="H21" s="5"/>
      <c r="I21" s="5">
        <f t="shared" si="1"/>
        <v>486050</v>
      </c>
      <c r="J21" s="5"/>
      <c r="K21" s="26">
        <f t="shared" si="2"/>
        <v>0</v>
      </c>
      <c r="L21" s="5"/>
      <c r="M21" s="26">
        <f t="shared" si="3"/>
        <v>0</v>
      </c>
      <c r="N21" s="5"/>
      <c r="O21" s="5"/>
      <c r="P21" s="5"/>
    </row>
    <row r="22" spans="1:18" s="18" customFormat="1" ht="12.75">
      <c r="A22" s="23">
        <v>19</v>
      </c>
      <c r="B22" s="44">
        <v>250</v>
      </c>
      <c r="C22" s="48">
        <v>0</v>
      </c>
      <c r="D22" s="44">
        <v>65500</v>
      </c>
      <c r="E22" s="57">
        <f>6815+43270</f>
        <v>50085</v>
      </c>
      <c r="F22" s="58">
        <v>124000</v>
      </c>
      <c r="G22" s="50">
        <f t="shared" si="0"/>
        <v>189500</v>
      </c>
      <c r="H22" s="23">
        <v>5000</v>
      </c>
      <c r="I22" s="23">
        <f>I21+B22+G22-H22</f>
        <v>670800</v>
      </c>
      <c r="J22" s="23"/>
      <c r="K22" s="24">
        <f t="shared" si="2"/>
        <v>50085</v>
      </c>
      <c r="L22" s="23"/>
      <c r="M22" s="24">
        <f t="shared" si="3"/>
        <v>239585</v>
      </c>
      <c r="N22" s="23"/>
      <c r="O22" s="23"/>
      <c r="P22" s="23"/>
      <c r="Q22"/>
      <c r="R22"/>
    </row>
    <row r="23" spans="1:16" ht="12.75">
      <c r="A23" s="23">
        <v>20</v>
      </c>
      <c r="B23" s="44"/>
      <c r="C23" s="48">
        <v>1000</v>
      </c>
      <c r="D23" s="44">
        <v>31500</v>
      </c>
      <c r="E23" s="57">
        <f>2450+12488</f>
        <v>14938</v>
      </c>
      <c r="F23" s="58">
        <v>79000</v>
      </c>
      <c r="G23" s="50">
        <f t="shared" si="0"/>
        <v>110500</v>
      </c>
      <c r="H23" s="23">
        <v>10000</v>
      </c>
      <c r="I23" s="23">
        <f>I22+B23+G23-H23</f>
        <v>771300</v>
      </c>
      <c r="J23" s="23"/>
      <c r="K23" s="24">
        <f t="shared" si="2"/>
        <v>15938</v>
      </c>
      <c r="L23" s="23"/>
      <c r="M23" s="24">
        <f t="shared" si="3"/>
        <v>126438</v>
      </c>
      <c r="N23" s="23"/>
      <c r="O23" s="23"/>
      <c r="P23" s="23"/>
    </row>
    <row r="24" spans="1:16" ht="12.75">
      <c r="A24" s="23">
        <v>21</v>
      </c>
      <c r="B24" s="44">
        <v>-2500</v>
      </c>
      <c r="C24" s="48">
        <v>470</v>
      </c>
      <c r="D24" s="44">
        <v>9500</v>
      </c>
      <c r="E24" s="57">
        <f>5430+15835</f>
        <v>21265</v>
      </c>
      <c r="F24" s="58">
        <v>90500</v>
      </c>
      <c r="G24" s="50">
        <f t="shared" si="0"/>
        <v>100000</v>
      </c>
      <c r="H24" s="23">
        <v>300000</v>
      </c>
      <c r="I24" s="23">
        <f t="shared" si="1"/>
        <v>568800</v>
      </c>
      <c r="J24" s="23"/>
      <c r="K24" s="24">
        <f t="shared" si="2"/>
        <v>21735</v>
      </c>
      <c r="L24" s="23"/>
      <c r="M24" s="24">
        <f t="shared" si="3"/>
        <v>121735</v>
      </c>
      <c r="N24" s="23"/>
      <c r="O24" s="23"/>
      <c r="P24" s="23"/>
    </row>
    <row r="25" spans="1:16" ht="12.75">
      <c r="A25" s="23">
        <v>22</v>
      </c>
      <c r="B25" s="44">
        <v>500</v>
      </c>
      <c r="C25" s="48">
        <v>2000</v>
      </c>
      <c r="D25" s="44">
        <v>48000</v>
      </c>
      <c r="E25" s="57">
        <f>4210+1810</f>
        <v>6020</v>
      </c>
      <c r="F25" s="58">
        <v>93500</v>
      </c>
      <c r="G25" s="50">
        <f t="shared" si="0"/>
        <v>141500</v>
      </c>
      <c r="H25" s="23">
        <v>10000</v>
      </c>
      <c r="I25" s="23">
        <f t="shared" si="1"/>
        <v>700800</v>
      </c>
      <c r="J25" s="23"/>
      <c r="K25" s="24">
        <f t="shared" si="2"/>
        <v>8020</v>
      </c>
      <c r="L25" s="23"/>
      <c r="M25" s="24">
        <f>SUM(C25:F25)</f>
        <v>149520</v>
      </c>
      <c r="N25" s="23"/>
      <c r="O25" s="23"/>
      <c r="P25" s="23"/>
    </row>
    <row r="26" spans="1:16" ht="12.75">
      <c r="A26" s="23">
        <v>23</v>
      </c>
      <c r="B26" s="44">
        <v>250</v>
      </c>
      <c r="C26" s="48">
        <v>2600</v>
      </c>
      <c r="D26" s="44">
        <v>35000</v>
      </c>
      <c r="E26" s="57">
        <f>6605+8485</f>
        <v>15090</v>
      </c>
      <c r="F26" s="58">
        <v>93000</v>
      </c>
      <c r="G26" s="50">
        <f t="shared" si="0"/>
        <v>128000</v>
      </c>
      <c r="H26" s="23"/>
      <c r="I26" s="23">
        <f>I25+B26+G26-H26</f>
        <v>829050</v>
      </c>
      <c r="J26" s="23"/>
      <c r="K26" s="24">
        <f t="shared" si="2"/>
        <v>17690</v>
      </c>
      <c r="L26" s="23"/>
      <c r="M26" s="24">
        <f t="shared" si="3"/>
        <v>145690</v>
      </c>
      <c r="N26" s="23"/>
      <c r="O26" s="23"/>
      <c r="P26" s="23"/>
    </row>
    <row r="27" spans="1:16" ht="12.75">
      <c r="A27" s="23">
        <v>24</v>
      </c>
      <c r="B27" s="44"/>
      <c r="C27" s="48">
        <v>0</v>
      </c>
      <c r="D27" s="44">
        <v>23000</v>
      </c>
      <c r="E27" s="57">
        <f>16555+17330</f>
        <v>33885</v>
      </c>
      <c r="F27" s="58">
        <v>103500</v>
      </c>
      <c r="G27" s="50">
        <f t="shared" si="0"/>
        <v>126500</v>
      </c>
      <c r="H27" s="23"/>
      <c r="I27" s="23">
        <f t="shared" si="1"/>
        <v>955550</v>
      </c>
      <c r="J27" s="23"/>
      <c r="K27" s="24">
        <f t="shared" si="2"/>
        <v>33885</v>
      </c>
      <c r="L27" s="23"/>
      <c r="M27" s="24">
        <f t="shared" si="3"/>
        <v>160385</v>
      </c>
      <c r="N27" s="23"/>
      <c r="O27" s="23"/>
      <c r="P27" s="23"/>
    </row>
    <row r="28" spans="1:16" ht="12.75">
      <c r="A28" s="23">
        <v>25</v>
      </c>
      <c r="B28" s="45"/>
      <c r="C28" s="49"/>
      <c r="D28" s="45"/>
      <c r="E28" s="61"/>
      <c r="F28" s="62"/>
      <c r="G28" s="51">
        <f t="shared" si="0"/>
        <v>0</v>
      </c>
      <c r="H28" s="5"/>
      <c r="I28" s="5">
        <f t="shared" si="1"/>
        <v>955550</v>
      </c>
      <c r="J28" s="5"/>
      <c r="K28" s="26">
        <f t="shared" si="2"/>
        <v>0</v>
      </c>
      <c r="L28" s="5"/>
      <c r="M28" s="26">
        <f t="shared" si="3"/>
        <v>0</v>
      </c>
      <c r="N28" s="5"/>
      <c r="O28" s="5"/>
      <c r="P28" s="5"/>
    </row>
    <row r="29" spans="1:18" s="18" customFormat="1" ht="12.75">
      <c r="A29" s="23">
        <v>26</v>
      </c>
      <c r="B29" s="44"/>
      <c r="C29" s="48">
        <v>1525</v>
      </c>
      <c r="D29" s="44">
        <v>10500</v>
      </c>
      <c r="E29" s="57">
        <f>8085+13820</f>
        <v>21905</v>
      </c>
      <c r="F29" s="58">
        <v>78000</v>
      </c>
      <c r="G29" s="50">
        <f t="shared" si="0"/>
        <v>88500</v>
      </c>
      <c r="H29" s="23"/>
      <c r="I29" s="23">
        <f t="shared" si="1"/>
        <v>1044050</v>
      </c>
      <c r="J29" s="23"/>
      <c r="K29" s="24">
        <f t="shared" si="2"/>
        <v>23430</v>
      </c>
      <c r="L29" s="23"/>
      <c r="M29" s="24">
        <f t="shared" si="3"/>
        <v>111930</v>
      </c>
      <c r="N29" s="23"/>
      <c r="O29" s="23"/>
      <c r="P29" s="23"/>
      <c r="Q29"/>
      <c r="R29"/>
    </row>
    <row r="30" spans="1:16" ht="12.75">
      <c r="A30" s="23">
        <v>27</v>
      </c>
      <c r="B30" s="44">
        <v>500</v>
      </c>
      <c r="C30" s="48">
        <v>800</v>
      </c>
      <c r="D30" s="44">
        <v>20000</v>
      </c>
      <c r="E30" s="57">
        <f>2170+9490</f>
        <v>11660</v>
      </c>
      <c r="F30" s="58">
        <v>72000</v>
      </c>
      <c r="G30" s="50">
        <f t="shared" si="0"/>
        <v>92000</v>
      </c>
      <c r="H30" s="23">
        <v>300000</v>
      </c>
      <c r="I30" s="23">
        <f t="shared" si="1"/>
        <v>836550</v>
      </c>
      <c r="J30" s="23"/>
      <c r="K30" s="24">
        <f t="shared" si="2"/>
        <v>12460</v>
      </c>
      <c r="L30" s="23"/>
      <c r="M30" s="24">
        <f t="shared" si="3"/>
        <v>104460</v>
      </c>
      <c r="N30" s="23"/>
      <c r="O30" s="23"/>
      <c r="P30" s="23"/>
    </row>
    <row r="31" spans="1:16" ht="12.75">
      <c r="A31" s="23">
        <v>28</v>
      </c>
      <c r="B31" s="44">
        <v>500</v>
      </c>
      <c r="C31" s="48">
        <v>2530</v>
      </c>
      <c r="D31" s="44">
        <v>30000</v>
      </c>
      <c r="E31" s="57">
        <f>16085+5840</f>
        <v>21925</v>
      </c>
      <c r="F31" s="58">
        <v>164500</v>
      </c>
      <c r="G31" s="50">
        <f t="shared" si="0"/>
        <v>194500</v>
      </c>
      <c r="H31" s="23">
        <v>20000</v>
      </c>
      <c r="I31" s="23">
        <f t="shared" si="1"/>
        <v>1011550</v>
      </c>
      <c r="J31" s="23"/>
      <c r="K31" s="24">
        <f t="shared" si="2"/>
        <v>24455</v>
      </c>
      <c r="L31" s="23"/>
      <c r="M31" s="24">
        <f t="shared" si="3"/>
        <v>218955</v>
      </c>
      <c r="N31" s="23"/>
      <c r="O31" s="23"/>
      <c r="P31" s="23"/>
    </row>
    <row r="32" spans="1:16" ht="12.75">
      <c r="A32" s="23">
        <v>29</v>
      </c>
      <c r="B32" s="44">
        <v>250</v>
      </c>
      <c r="C32" s="48">
        <v>500</v>
      </c>
      <c r="D32" s="44">
        <v>18500</v>
      </c>
      <c r="E32" s="57">
        <f>5050+4740</f>
        <v>9790</v>
      </c>
      <c r="F32" s="58">
        <v>84000</v>
      </c>
      <c r="G32" s="50">
        <f t="shared" si="0"/>
        <v>102500</v>
      </c>
      <c r="H32" s="23">
        <v>250000</v>
      </c>
      <c r="I32" s="23">
        <f t="shared" si="1"/>
        <v>864300</v>
      </c>
      <c r="J32" s="23"/>
      <c r="K32" s="24">
        <f t="shared" si="2"/>
        <v>10290</v>
      </c>
      <c r="L32" s="23"/>
      <c r="M32" s="24">
        <f t="shared" si="3"/>
        <v>112790</v>
      </c>
      <c r="N32" s="23"/>
      <c r="O32" s="23"/>
      <c r="P32" s="23"/>
    </row>
    <row r="33" spans="1:16" ht="12.75">
      <c r="A33" s="23">
        <v>30</v>
      </c>
      <c r="B33" s="44">
        <v>-2000</v>
      </c>
      <c r="C33" s="48">
        <v>1560</v>
      </c>
      <c r="D33" s="44">
        <v>22500</v>
      </c>
      <c r="E33" s="57">
        <f>8730+49290</f>
        <v>58020</v>
      </c>
      <c r="F33" s="58">
        <v>95000</v>
      </c>
      <c r="G33" s="50">
        <f>D33+F33</f>
        <v>117500</v>
      </c>
      <c r="H33" s="23"/>
      <c r="I33" s="23">
        <f t="shared" si="1"/>
        <v>979800</v>
      </c>
      <c r="J33" s="23"/>
      <c r="K33" s="24">
        <f t="shared" si="2"/>
        <v>59580</v>
      </c>
      <c r="L33" s="23"/>
      <c r="M33" s="24">
        <f t="shared" si="3"/>
        <v>177080</v>
      </c>
      <c r="N33" s="23"/>
      <c r="O33" s="23"/>
      <c r="P33" s="23"/>
    </row>
    <row r="34" spans="1:18" s="18" customFormat="1" ht="13.5" thickBot="1">
      <c r="A34" s="23">
        <v>31</v>
      </c>
      <c r="B34" s="44"/>
      <c r="C34" s="85">
        <v>1585</v>
      </c>
      <c r="D34" s="54">
        <v>16000</v>
      </c>
      <c r="E34" s="59">
        <f>9441+13305</f>
        <v>22746</v>
      </c>
      <c r="F34" s="60">
        <v>101000</v>
      </c>
      <c r="G34" s="50">
        <f t="shared" si="0"/>
        <v>117000</v>
      </c>
      <c r="H34" s="23"/>
      <c r="I34" s="23">
        <f t="shared" si="1"/>
        <v>1096800</v>
      </c>
      <c r="J34" s="23"/>
      <c r="K34" s="24">
        <f t="shared" si="2"/>
        <v>24331</v>
      </c>
      <c r="L34" s="23"/>
      <c r="M34" s="24">
        <f t="shared" si="3"/>
        <v>141331</v>
      </c>
      <c r="N34" s="23"/>
      <c r="O34" s="23"/>
      <c r="P34" s="23"/>
      <c r="Q34"/>
      <c r="R34"/>
    </row>
    <row r="35" spans="1:13" ht="13.5" thickTop="1">
      <c r="A35" s="15">
        <f ca="1">TODAY()</f>
        <v>42317</v>
      </c>
      <c r="B35" s="22">
        <f aca="true" t="shared" si="4" ref="B35:G35">SUM(B4:B34)</f>
        <v>750</v>
      </c>
      <c r="C35" s="86">
        <f t="shared" si="4"/>
        <v>98471</v>
      </c>
      <c r="D35">
        <f t="shared" si="4"/>
        <v>698500</v>
      </c>
      <c r="E35" s="88">
        <f t="shared" si="4"/>
        <v>633014</v>
      </c>
      <c r="F35">
        <f t="shared" si="4"/>
        <v>2794500</v>
      </c>
      <c r="G35" s="3">
        <f t="shared" si="4"/>
        <v>3493000</v>
      </c>
      <c r="H35" s="9"/>
      <c r="I35" s="11">
        <f>I34</f>
        <v>1096800</v>
      </c>
      <c r="J35">
        <f>SUM(J4:J34)</f>
        <v>0</v>
      </c>
      <c r="M35" s="25">
        <f>SUM(M4:M34)</f>
        <v>4224485</v>
      </c>
    </row>
    <row r="36" spans="1:5" ht="13.5" thickBot="1">
      <c r="A36" s="16">
        <f>DAY(A35)</f>
        <v>9</v>
      </c>
      <c r="B36" s="16"/>
      <c r="C36" s="87">
        <f>C35*100%/D35</f>
        <v>0.140974946313529</v>
      </c>
      <c r="E36" s="89">
        <f>E35*100%/F35</f>
        <v>0.2265213812846663</v>
      </c>
    </row>
    <row r="37" spans="4:7" ht="13.5" thickBot="1">
      <c r="D37" s="100" t="s">
        <v>5</v>
      </c>
      <c r="E37" s="112"/>
      <c r="F37" s="101"/>
      <c r="G37" s="4">
        <f>D35+F35+J35</f>
        <v>3493000</v>
      </c>
    </row>
    <row r="38" spans="4:6" ht="12.75">
      <c r="D38" s="52" t="s">
        <v>24</v>
      </c>
      <c r="E38" s="108">
        <f>G37+C35+E35</f>
        <v>4224485</v>
      </c>
      <c r="F38" s="108"/>
    </row>
    <row r="39" spans="6:16" ht="13.5" thickBot="1">
      <c r="F39" s="6" t="s">
        <v>6</v>
      </c>
      <c r="G39" s="21" t="s">
        <v>30</v>
      </c>
      <c r="H39" s="7">
        <f>F39*G39</f>
        <v>1600</v>
      </c>
      <c r="I39" s="2"/>
      <c r="K39" s="104" t="s">
        <v>32</v>
      </c>
      <c r="L39" s="105"/>
      <c r="M39" s="106"/>
      <c r="N39" s="106"/>
      <c r="O39" s="106"/>
      <c r="P39" s="107"/>
    </row>
    <row r="40" spans="6:18" ht="13.5" thickBot="1">
      <c r="F40" s="7">
        <v>100</v>
      </c>
      <c r="G40" s="7">
        <v>71</v>
      </c>
      <c r="H40" s="7">
        <f>F40*G40</f>
        <v>7100</v>
      </c>
      <c r="I40" s="1"/>
      <c r="J40" s="12"/>
      <c r="K40" s="32"/>
      <c r="L40" s="37" t="s">
        <v>16</v>
      </c>
      <c r="M40" s="35" t="s">
        <v>17</v>
      </c>
      <c r="N40" s="31"/>
      <c r="O40" s="31" t="s">
        <v>18</v>
      </c>
      <c r="P40" s="31" t="s">
        <v>19</v>
      </c>
      <c r="Q40" s="91" t="s">
        <v>29</v>
      </c>
      <c r="R40" s="91" t="s">
        <v>31</v>
      </c>
    </row>
    <row r="41" spans="3:19" ht="13.5" thickBot="1">
      <c r="C41">
        <v>16.71</v>
      </c>
      <c r="E41">
        <v>21.86</v>
      </c>
      <c r="F41" s="7">
        <v>500</v>
      </c>
      <c r="G41" s="7">
        <v>127</v>
      </c>
      <c r="H41" s="7">
        <f>F41*G41</f>
        <v>63500</v>
      </c>
      <c r="I41" s="1"/>
      <c r="J41" s="12"/>
      <c r="K41" s="33" t="s">
        <v>11</v>
      </c>
      <c r="L41" s="38">
        <v>74500</v>
      </c>
      <c r="M41" s="36"/>
      <c r="N41" s="28"/>
      <c r="O41" s="28">
        <v>1846</v>
      </c>
      <c r="P41" s="94">
        <f>L41-O41-M41</f>
        <v>72654</v>
      </c>
      <c r="Q41" s="96">
        <f>L41-M41-O41</f>
        <v>72654</v>
      </c>
      <c r="R41">
        <v>72650</v>
      </c>
      <c r="S41">
        <f>P41-R41</f>
        <v>4</v>
      </c>
    </row>
    <row r="42" spans="6:19" ht="13.5" thickBot="1">
      <c r="F42" s="7">
        <v>1000</v>
      </c>
      <c r="G42" s="7">
        <v>189</v>
      </c>
      <c r="H42" s="7">
        <f>F42*G42</f>
        <v>189000</v>
      </c>
      <c r="I42" s="1"/>
      <c r="J42" s="12"/>
      <c r="K42" s="29" t="s">
        <v>9</v>
      </c>
      <c r="L42" s="38">
        <v>74500</v>
      </c>
      <c r="M42" s="27"/>
      <c r="N42" s="1"/>
      <c r="O42" s="1">
        <v>2600</v>
      </c>
      <c r="P42" s="94">
        <f aca="true" t="shared" si="5" ref="P42:P48">L42-O42-M42</f>
        <v>71900</v>
      </c>
      <c r="Q42" s="96">
        <f aca="true" t="shared" si="6" ref="Q42:Q48">L42-M42-O42</f>
        <v>71900</v>
      </c>
      <c r="R42">
        <v>71900</v>
      </c>
      <c r="S42">
        <f aca="true" t="shared" si="7" ref="S42:S48">P42-R42</f>
        <v>0</v>
      </c>
    </row>
    <row r="43" spans="6:19" ht="13.5" thickBot="1">
      <c r="F43" s="7">
        <v>5000</v>
      </c>
      <c r="G43" s="7">
        <v>167</v>
      </c>
      <c r="H43" s="7">
        <f>F43*G43</f>
        <v>835000</v>
      </c>
      <c r="I43" s="1"/>
      <c r="K43" s="29" t="s">
        <v>10</v>
      </c>
      <c r="L43" s="38">
        <v>74500</v>
      </c>
      <c r="M43" s="27"/>
      <c r="N43" s="1"/>
      <c r="O43" s="1"/>
      <c r="P43" s="94">
        <f t="shared" si="5"/>
        <v>74500</v>
      </c>
      <c r="Q43" s="96">
        <f t="shared" si="6"/>
        <v>74500</v>
      </c>
      <c r="R43">
        <v>74500</v>
      </c>
      <c r="S43">
        <f t="shared" si="7"/>
        <v>0</v>
      </c>
    </row>
    <row r="44" spans="6:19" ht="13.5" thickBot="1">
      <c r="F44" s="26">
        <v>0</v>
      </c>
      <c r="G44" s="26">
        <v>0</v>
      </c>
      <c r="H44" s="26">
        <v>0</v>
      </c>
      <c r="I44" s="5"/>
      <c r="K44" s="29" t="s">
        <v>12</v>
      </c>
      <c r="L44" s="38">
        <v>91500</v>
      </c>
      <c r="M44" s="27"/>
      <c r="N44" s="1"/>
      <c r="O44" s="1"/>
      <c r="P44" s="94">
        <f t="shared" si="5"/>
        <v>91500</v>
      </c>
      <c r="Q44" s="96">
        <f t="shared" si="6"/>
        <v>91500</v>
      </c>
      <c r="R44">
        <v>91500</v>
      </c>
      <c r="S44">
        <f t="shared" si="7"/>
        <v>0</v>
      </c>
    </row>
    <row r="45" spans="6:19" ht="13.5" thickBot="1">
      <c r="F45" s="102" t="s">
        <v>13</v>
      </c>
      <c r="G45" s="103"/>
      <c r="H45" s="14">
        <f>SUM(H39:H43)</f>
        <v>1096200</v>
      </c>
      <c r="I45" s="13">
        <f>I35-H45</f>
        <v>600</v>
      </c>
      <c r="J45" s="90"/>
      <c r="K45" s="34" t="s">
        <v>20</v>
      </c>
      <c r="L45" s="39">
        <v>28000</v>
      </c>
      <c r="M45" s="4"/>
      <c r="N45" s="30"/>
      <c r="O45" s="30"/>
      <c r="P45" s="94">
        <f t="shared" si="5"/>
        <v>28000</v>
      </c>
      <c r="Q45" s="96">
        <f t="shared" si="6"/>
        <v>28000</v>
      </c>
      <c r="R45">
        <v>28000</v>
      </c>
      <c r="S45">
        <f t="shared" si="7"/>
        <v>0</v>
      </c>
    </row>
    <row r="46" spans="11:19" ht="13.5" thickBot="1">
      <c r="K46" s="29" t="s">
        <v>27</v>
      </c>
      <c r="L46" s="38">
        <v>91500</v>
      </c>
      <c r="M46" s="27">
        <v>20000</v>
      </c>
      <c r="N46" s="1"/>
      <c r="O46" s="1"/>
      <c r="P46" s="94">
        <f t="shared" si="5"/>
        <v>71500</v>
      </c>
      <c r="Q46" s="96">
        <f t="shared" si="6"/>
        <v>71500</v>
      </c>
      <c r="R46">
        <v>71500</v>
      </c>
      <c r="S46">
        <f t="shared" si="7"/>
        <v>0</v>
      </c>
    </row>
    <row r="47" spans="9:19" ht="13.5" thickBot="1">
      <c r="I47">
        <v>30000</v>
      </c>
      <c r="K47" s="34" t="s">
        <v>28</v>
      </c>
      <c r="L47" s="39">
        <v>66650</v>
      </c>
      <c r="M47" s="4">
        <v>10000</v>
      </c>
      <c r="N47" s="30"/>
      <c r="O47" s="30"/>
      <c r="P47" s="94">
        <f t="shared" si="5"/>
        <v>56650</v>
      </c>
      <c r="Q47" s="96">
        <f t="shared" si="6"/>
        <v>56650</v>
      </c>
      <c r="R47">
        <v>56650</v>
      </c>
      <c r="S47">
        <f t="shared" si="7"/>
        <v>0</v>
      </c>
    </row>
    <row r="48" spans="4:19" ht="13.5" thickBot="1">
      <c r="D48" s="92"/>
      <c r="E48" s="93"/>
      <c r="K48" s="34" t="s">
        <v>15</v>
      </c>
      <c r="L48" s="39">
        <v>90000</v>
      </c>
      <c r="M48" s="4">
        <v>20000</v>
      </c>
      <c r="N48" s="30"/>
      <c r="O48" s="30"/>
      <c r="P48" s="94">
        <f t="shared" si="5"/>
        <v>70000</v>
      </c>
      <c r="Q48" s="96">
        <f t="shared" si="6"/>
        <v>70000</v>
      </c>
      <c r="R48">
        <v>70000</v>
      </c>
      <c r="S48">
        <f t="shared" si="7"/>
        <v>0</v>
      </c>
    </row>
    <row r="49" spans="13:18" ht="13.5" thickBot="1">
      <c r="M49">
        <f>SUM(M41:M48)</f>
        <v>50000</v>
      </c>
      <c r="P49" s="95">
        <f>SUM(P41:P48)</f>
        <v>536704</v>
      </c>
      <c r="Q49" s="97">
        <f>SUM(Q41:Q48)</f>
        <v>536704</v>
      </c>
      <c r="R49" s="98">
        <f>SUM(R41:R48)</f>
        <v>536700</v>
      </c>
    </row>
    <row r="50" spans="7:11" ht="12.75">
      <c r="G50" s="82"/>
      <c r="H50" s="82"/>
      <c r="I50" s="82">
        <f>I45-H47-I47-I48</f>
        <v>-29400</v>
      </c>
      <c r="J50" s="82"/>
      <c r="K50" s="82"/>
    </row>
    <row r="51" spans="7:16" ht="15">
      <c r="G51" s="82"/>
      <c r="H51" s="83"/>
      <c r="I51" s="83"/>
      <c r="J51" s="82"/>
      <c r="K51" s="82"/>
      <c r="O51" s="40" t="s">
        <v>21</v>
      </c>
      <c r="P51" s="41">
        <f>P49+M49</f>
        <v>586704</v>
      </c>
    </row>
    <row r="52" spans="7:11" ht="12.75">
      <c r="G52" s="82"/>
      <c r="H52" s="82"/>
      <c r="I52" s="82">
        <f>SUM(I47:I51)</f>
        <v>600</v>
      </c>
      <c r="J52" s="82"/>
      <c r="K52" s="82"/>
    </row>
    <row r="53" spans="5:11" ht="12.75">
      <c r="E53" s="20">
        <f>E48-E38</f>
        <v>-4224485</v>
      </c>
      <c r="G53" s="82"/>
      <c r="H53" s="83"/>
      <c r="I53" s="82"/>
      <c r="J53" s="82"/>
      <c r="K53" s="82"/>
    </row>
    <row r="54" spans="7:11" ht="12.75">
      <c r="G54" s="82"/>
      <c r="H54" s="83"/>
      <c r="I54" s="82"/>
      <c r="J54" s="82"/>
      <c r="K54" s="82"/>
    </row>
    <row r="55" spans="7:11" ht="12.75">
      <c r="G55" s="82"/>
      <c r="H55" s="83"/>
      <c r="I55" s="82"/>
      <c r="J55" s="82"/>
      <c r="K55" s="82"/>
    </row>
    <row r="56" spans="7:11" ht="12.75">
      <c r="G56" s="82"/>
      <c r="H56" s="82"/>
      <c r="I56" s="82"/>
      <c r="J56" s="82"/>
      <c r="K56" s="82"/>
    </row>
    <row r="57" spans="7:11" ht="12.75">
      <c r="G57" s="82"/>
      <c r="H57" s="83"/>
      <c r="I57" s="82"/>
      <c r="J57" s="82"/>
      <c r="K57" s="82"/>
    </row>
    <row r="58" spans="7:11" ht="12.75">
      <c r="G58" s="82"/>
      <c r="H58" s="82"/>
      <c r="I58" s="82"/>
      <c r="J58" s="82"/>
      <c r="K58" s="82"/>
    </row>
    <row r="59" spans="7:11" ht="12.75">
      <c r="G59" s="82"/>
      <c r="H59" s="82"/>
      <c r="I59" s="82"/>
      <c r="J59" s="82"/>
      <c r="K59" s="82"/>
    </row>
    <row r="60" spans="7:11" ht="12.75">
      <c r="G60" s="82"/>
      <c r="H60" s="82"/>
      <c r="I60" s="82"/>
      <c r="J60" s="84"/>
      <c r="K60" s="82"/>
    </row>
    <row r="61" spans="7:11" ht="12.75">
      <c r="G61" s="82"/>
      <c r="H61" s="82"/>
      <c r="I61" s="82"/>
      <c r="J61" s="82"/>
      <c r="K61" s="82"/>
    </row>
    <row r="62" spans="7:11" ht="12.75">
      <c r="G62" s="82"/>
      <c r="H62" s="82"/>
      <c r="I62" s="82"/>
      <c r="J62" s="82"/>
      <c r="K62" s="82"/>
    </row>
    <row r="63" spans="7:11" ht="12.75">
      <c r="G63" s="82"/>
      <c r="H63" s="82"/>
      <c r="I63" s="82"/>
      <c r="J63" s="82"/>
      <c r="K63" s="82"/>
    </row>
    <row r="64" spans="7:11" ht="12.75">
      <c r="G64" s="82"/>
      <c r="H64" s="82"/>
      <c r="I64" s="82"/>
      <c r="J64" s="82"/>
      <c r="K64" s="82"/>
    </row>
    <row r="65" spans="7:11" ht="12.75">
      <c r="G65" s="82"/>
      <c r="H65" s="82"/>
      <c r="I65" s="82"/>
      <c r="J65" s="82"/>
      <c r="K65" s="82"/>
    </row>
    <row r="66" spans="7:11" ht="12.75">
      <c r="G66" s="82"/>
      <c r="H66" s="82"/>
      <c r="I66" s="82"/>
      <c r="J66" s="82"/>
      <c r="K66" s="82"/>
    </row>
  </sheetData>
  <sheetProtection/>
  <mergeCells count="6">
    <mergeCell ref="A1:P1"/>
    <mergeCell ref="D2:F2"/>
    <mergeCell ref="D37:F37"/>
    <mergeCell ref="E38:F38"/>
    <mergeCell ref="K39:P39"/>
    <mergeCell ref="F45:G45"/>
  </mergeCells>
  <conditionalFormatting sqref="N9">
    <cfRule type="cellIs" priority="4" dxfId="1" operator="lessThan" stopIfTrue="1">
      <formula>0</formula>
    </cfRule>
    <cfRule type="cellIs" priority="5" dxfId="5" operator="greaterThan" stopIfTrue="1">
      <formula>0</formula>
    </cfRule>
  </conditionalFormatting>
  <conditionalFormatting sqref="I45">
    <cfRule type="cellIs" priority="2" dxfId="1" operator="lessThan" stopIfTrue="1">
      <formula>0</formula>
    </cfRule>
    <cfRule type="cellIs" priority="3" dxfId="5" operator="greaterThan" stopIfTrue="1">
      <formula>0</formula>
    </cfRule>
  </conditionalFormatting>
  <conditionalFormatting sqref="A4:C34">
    <cfRule type="cellIs" priority="1" dxfId="4" operator="equal" stopIfTrue="1">
      <formula>$A$36</formula>
    </cfRule>
  </conditionalFormatting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2" width="11.140625" style="0" customWidth="1"/>
    <col min="3" max="3" width="14.00390625" style="0" customWidth="1"/>
    <col min="4" max="4" width="11.421875" style="0" bestFit="1" customWidth="1"/>
    <col min="5" max="5" width="11.00390625" style="0" bestFit="1" customWidth="1"/>
  </cols>
  <sheetData>
    <row r="1" spans="1:15" ht="12.75">
      <c r="A1" s="113" t="s">
        <v>33</v>
      </c>
      <c r="B1" s="113"/>
      <c r="D1" s="113" t="s">
        <v>36</v>
      </c>
      <c r="E1" s="113" t="s">
        <v>37</v>
      </c>
      <c r="F1" s="113" t="s">
        <v>38</v>
      </c>
      <c r="G1" s="113" t="s">
        <v>39</v>
      </c>
      <c r="H1" s="113" t="s">
        <v>40</v>
      </c>
      <c r="I1" s="113" t="s">
        <v>41</v>
      </c>
      <c r="J1" s="113" t="s">
        <v>42</v>
      </c>
      <c r="K1" s="113" t="s">
        <v>43</v>
      </c>
      <c r="L1" s="113" t="s">
        <v>44</v>
      </c>
      <c r="M1" s="113" t="s">
        <v>45</v>
      </c>
      <c r="N1" s="113" t="s">
        <v>46</v>
      </c>
      <c r="O1" s="113" t="s">
        <v>47</v>
      </c>
    </row>
    <row r="2" spans="2:5" ht="13.5" thickBot="1">
      <c r="B2" s="113" t="s">
        <v>48</v>
      </c>
      <c r="C2" s="113" t="s">
        <v>34</v>
      </c>
      <c r="D2">
        <v>4224485</v>
      </c>
      <c r="E2">
        <v>5000000</v>
      </c>
    </row>
    <row r="3" spans="1:15" ht="12.75">
      <c r="A3" s="33" t="s">
        <v>11</v>
      </c>
      <c r="B3" s="115">
        <f>D3*100%/D15</f>
        <v>0.1125</v>
      </c>
      <c r="C3">
        <v>0.9</v>
      </c>
      <c r="D3" s="20">
        <f>(($D2*$C3)/100)</f>
        <v>38020.365</v>
      </c>
      <c r="E3">
        <f>((E2*$C3)/100)/0.8*1</f>
        <v>56250</v>
      </c>
      <c r="F3">
        <f aca="true" t="shared" si="0" ref="E3:O3">((F2*$C3)/100)/0.8*1</f>
        <v>0</v>
      </c>
      <c r="G3">
        <f t="shared" si="0"/>
        <v>0</v>
      </c>
      <c r="H3">
        <f t="shared" si="0"/>
        <v>0</v>
      </c>
      <c r="I3">
        <f t="shared" si="0"/>
        <v>0</v>
      </c>
      <c r="J3">
        <f t="shared" si="0"/>
        <v>0</v>
      </c>
      <c r="K3">
        <f t="shared" si="0"/>
        <v>0</v>
      </c>
      <c r="L3">
        <f t="shared" si="0"/>
        <v>0</v>
      </c>
      <c r="M3">
        <f t="shared" si="0"/>
        <v>0</v>
      </c>
      <c r="N3">
        <f t="shared" si="0"/>
        <v>0</v>
      </c>
      <c r="O3">
        <f t="shared" si="0"/>
        <v>0</v>
      </c>
    </row>
    <row r="4" spans="1:15" ht="12.75">
      <c r="A4" s="29" t="s">
        <v>9</v>
      </c>
      <c r="B4" s="115">
        <f>D4*100%/D15</f>
        <v>0.1125</v>
      </c>
      <c r="C4">
        <v>0.9</v>
      </c>
      <c r="D4" s="20">
        <f>(($D2*$C4)/100)</f>
        <v>38020.365</v>
      </c>
      <c r="E4">
        <f aca="true" t="shared" si="1" ref="E4:O4">((E2*$C4)/100)/0.8*1</f>
        <v>56250</v>
      </c>
      <c r="F4">
        <f t="shared" si="1"/>
        <v>0</v>
      </c>
      <c r="G4">
        <f t="shared" si="1"/>
        <v>0</v>
      </c>
      <c r="H4">
        <f t="shared" si="1"/>
        <v>0</v>
      </c>
      <c r="I4">
        <f t="shared" si="1"/>
        <v>0</v>
      </c>
      <c r="J4">
        <f t="shared" si="1"/>
        <v>0</v>
      </c>
      <c r="K4">
        <f t="shared" si="1"/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</row>
    <row r="5" spans="1:15" ht="12.75">
      <c r="A5" s="29" t="s">
        <v>10</v>
      </c>
      <c r="B5" s="115">
        <f>D5*100%/D15</f>
        <v>0.1125</v>
      </c>
      <c r="C5">
        <v>0.9</v>
      </c>
      <c r="D5" s="20">
        <f>(($D2*$C5)/100)</f>
        <v>38020.365</v>
      </c>
      <c r="E5">
        <f aca="true" t="shared" si="2" ref="E5:O5">((E2*$C5)/100)/0.8*1</f>
        <v>56250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>((L2*$C5)/100)/0.8*1</f>
        <v>0</v>
      </c>
      <c r="M5">
        <f t="shared" si="2"/>
        <v>0</v>
      </c>
      <c r="N5">
        <f t="shared" si="2"/>
        <v>0</v>
      </c>
      <c r="O5">
        <f t="shared" si="2"/>
        <v>0</v>
      </c>
    </row>
    <row r="6" spans="1:15" ht="12.75">
      <c r="A6" s="29" t="s">
        <v>12</v>
      </c>
      <c r="B6" s="115">
        <f>D6*100%/D15</f>
        <v>0.15</v>
      </c>
      <c r="C6">
        <v>1.2</v>
      </c>
      <c r="D6" s="20">
        <f>((D2*$C6)/100)</f>
        <v>50693.82</v>
      </c>
      <c r="E6">
        <f aca="true" t="shared" si="3" ref="E6:O6">((E2*$C6)/100)/0.8*1</f>
        <v>75000</v>
      </c>
      <c r="F6">
        <f t="shared" si="3"/>
        <v>0</v>
      </c>
      <c r="G6">
        <f t="shared" si="3"/>
        <v>0</v>
      </c>
      <c r="H6">
        <f t="shared" si="3"/>
        <v>0</v>
      </c>
      <c r="I6">
        <f t="shared" si="3"/>
        <v>0</v>
      </c>
      <c r="J6">
        <f t="shared" si="3"/>
        <v>0</v>
      </c>
      <c r="K6">
        <f t="shared" si="3"/>
        <v>0</v>
      </c>
      <c r="L6">
        <f t="shared" si="3"/>
        <v>0</v>
      </c>
      <c r="M6">
        <f t="shared" si="3"/>
        <v>0</v>
      </c>
      <c r="N6">
        <f t="shared" si="3"/>
        <v>0</v>
      </c>
      <c r="O6">
        <f t="shared" si="3"/>
        <v>0</v>
      </c>
    </row>
    <row r="7" spans="1:15" ht="13.5" thickBot="1">
      <c r="A7" s="34" t="s">
        <v>20</v>
      </c>
      <c r="B7" s="115">
        <f>D7*100%/D15</f>
        <v>0.0625</v>
      </c>
      <c r="C7">
        <v>0.5</v>
      </c>
      <c r="D7" s="20">
        <f>((D2*$C7)/100)</f>
        <v>21122.425</v>
      </c>
      <c r="E7">
        <f aca="true" t="shared" si="4" ref="E7:O7">((E2*$C7)/100)/0.8*1</f>
        <v>31250</v>
      </c>
      <c r="F7">
        <f t="shared" si="4"/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0</v>
      </c>
      <c r="K7">
        <f t="shared" si="4"/>
        <v>0</v>
      </c>
      <c r="L7">
        <f t="shared" si="4"/>
        <v>0</v>
      </c>
      <c r="M7">
        <f t="shared" si="4"/>
        <v>0</v>
      </c>
      <c r="N7">
        <f t="shared" si="4"/>
        <v>0</v>
      </c>
      <c r="O7">
        <f t="shared" si="4"/>
        <v>0</v>
      </c>
    </row>
    <row r="8" spans="1:15" ht="12.75">
      <c r="A8" s="29" t="s">
        <v>27</v>
      </c>
      <c r="B8" s="115">
        <f>D8*100%/D15</f>
        <v>0.15</v>
      </c>
      <c r="C8">
        <v>1.2</v>
      </c>
      <c r="D8" s="20">
        <f>((D2*$C8)/100)</f>
        <v>50693.82</v>
      </c>
      <c r="E8">
        <f aca="true" t="shared" si="5" ref="E8:O8">((E2*$C8)/100)/0.8*1</f>
        <v>75000</v>
      </c>
      <c r="F8">
        <f t="shared" si="5"/>
        <v>0</v>
      </c>
      <c r="G8">
        <f t="shared" si="5"/>
        <v>0</v>
      </c>
      <c r="H8">
        <f t="shared" si="5"/>
        <v>0</v>
      </c>
      <c r="I8">
        <f t="shared" si="5"/>
        <v>0</v>
      </c>
      <c r="J8">
        <f t="shared" si="5"/>
        <v>0</v>
      </c>
      <c r="K8">
        <f t="shared" si="5"/>
        <v>0</v>
      </c>
      <c r="L8">
        <f t="shared" si="5"/>
        <v>0</v>
      </c>
      <c r="M8">
        <f t="shared" si="5"/>
        <v>0</v>
      </c>
      <c r="N8">
        <f t="shared" si="5"/>
        <v>0</v>
      </c>
      <c r="O8">
        <f t="shared" si="5"/>
        <v>0</v>
      </c>
    </row>
    <row r="9" spans="1:15" ht="13.5" thickBot="1">
      <c r="A9" s="34" t="s">
        <v>28</v>
      </c>
      <c r="B9" s="115">
        <f>D9*100%/D15</f>
        <v>0.125</v>
      </c>
      <c r="C9">
        <v>1</v>
      </c>
      <c r="D9" s="20">
        <f>((D2*$C9)/100)</f>
        <v>42244.85</v>
      </c>
      <c r="E9">
        <f aca="true" t="shared" si="6" ref="E9:O9">((E2*$C9)/100)/0.8*1</f>
        <v>62500</v>
      </c>
      <c r="F9">
        <f t="shared" si="6"/>
        <v>0</v>
      </c>
      <c r="G9">
        <f t="shared" si="6"/>
        <v>0</v>
      </c>
      <c r="H9">
        <f t="shared" si="6"/>
        <v>0</v>
      </c>
      <c r="I9">
        <f t="shared" si="6"/>
        <v>0</v>
      </c>
      <c r="J9">
        <f t="shared" si="6"/>
        <v>0</v>
      </c>
      <c r="K9">
        <f t="shared" si="6"/>
        <v>0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</row>
    <row r="10" spans="1:15" ht="13.5" thickBot="1">
      <c r="A10" s="34" t="s">
        <v>15</v>
      </c>
      <c r="B10" s="115">
        <f>D10*100%/D15</f>
        <v>0.17500000000000002</v>
      </c>
      <c r="C10">
        <v>1.4</v>
      </c>
      <c r="D10" s="20">
        <f>((D2*$C10)/100)</f>
        <v>59142.79</v>
      </c>
      <c r="E10">
        <f aca="true" t="shared" si="7" ref="E10:O10">((E2*$C10)/100)/0.8*1</f>
        <v>87500</v>
      </c>
      <c r="F10">
        <f t="shared" si="7"/>
        <v>0</v>
      </c>
      <c r="G10">
        <f t="shared" si="7"/>
        <v>0</v>
      </c>
      <c r="H10">
        <f t="shared" si="7"/>
        <v>0</v>
      </c>
      <c r="I10">
        <f t="shared" si="7"/>
        <v>0</v>
      </c>
      <c r="J10">
        <f t="shared" si="7"/>
        <v>0</v>
      </c>
      <c r="K10">
        <f t="shared" si="7"/>
        <v>0</v>
      </c>
      <c r="L10">
        <f t="shared" si="7"/>
        <v>0</v>
      </c>
      <c r="M10">
        <f t="shared" si="7"/>
        <v>0</v>
      </c>
      <c r="N10">
        <f t="shared" si="7"/>
        <v>0</v>
      </c>
      <c r="O10">
        <f t="shared" si="7"/>
        <v>0</v>
      </c>
    </row>
    <row r="11" ht="12.75">
      <c r="C11">
        <f>SUM(C3:C10)</f>
        <v>8</v>
      </c>
    </row>
    <row r="15" spans="1:5" ht="12.75">
      <c r="A15" s="113" t="s">
        <v>35</v>
      </c>
      <c r="B15" s="114">
        <f>SUM(B3:B10)</f>
        <v>1</v>
      </c>
      <c r="C15">
        <f>SUM(C3:C10)/8</f>
        <v>1</v>
      </c>
      <c r="D15">
        <f>SUM(D3:D10)</f>
        <v>337958.8</v>
      </c>
      <c r="E15">
        <f>SUM(E3:E10)</f>
        <v>500000</v>
      </c>
    </row>
  </sheetData>
  <sheetProtection/>
  <conditionalFormatting sqref="C11">
    <cfRule type="cellIs" priority="1" dxfId="5" operator="greaterThan" stopIfTrue="1">
      <formula>8</formula>
    </cfRule>
    <cfRule type="cellIs" priority="2" dxfId="6" operator="lessThan" stopIfTrue="1">
      <formula>8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2015-11-03T02:17:31Z</cp:lastPrinted>
  <dcterms:created xsi:type="dcterms:W3CDTF">1996-10-08T23:32:33Z</dcterms:created>
  <dcterms:modified xsi:type="dcterms:W3CDTF">2015-11-09T03:42:18Z</dcterms:modified>
  <cp:category/>
  <cp:version/>
  <cp:contentType/>
  <cp:contentStatus/>
</cp:coreProperties>
</file>