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60" yWindow="270" windowWidth="18735" windowHeight="11655" activeTab="2"/>
  </bookViews>
  <sheets>
    <sheet name="Исход. данные" sheetId="2" r:id="rId1"/>
    <sheet name="Спецификация" sheetId="1" r:id="rId2"/>
    <sheet name="Снабженцам" sheetId="4" r:id="rId3"/>
    <sheet name="Укладка" sheetId="3" r:id="rId4"/>
    <sheet name="Комплектация" sheetId="5" r:id="rId5"/>
    <sheet name="Паспорт" sheetId="7" r:id="rId6"/>
  </sheets>
  <definedNames>
    <definedName name="_xlnm._FilterDatabase" localSheetId="4" hidden="1">Комплектация!$A$1:$A$61</definedName>
    <definedName name="_xlnm._FilterDatabase" localSheetId="5" hidden="1">Паспорт!$A$1:$A$54</definedName>
    <definedName name="_xlnm._FilterDatabase" localSheetId="2" hidden="1">Снабженцам!$A$2:$A$43</definedName>
    <definedName name="_xlnm._FilterDatabase" localSheetId="1" hidden="1">Спецификация!$A$4:$A$158</definedName>
    <definedName name="_xlnm._FilterDatabase" localSheetId="3" hidden="1">Укладка!$A$2:$A$47</definedName>
    <definedName name="_xlnm.Print_Area" localSheetId="0">'Исход. данные'!$A$1:$C$9</definedName>
    <definedName name="_xlnm.Print_Area" localSheetId="4">Комплектация!$B$2:$I$61</definedName>
    <definedName name="_xlnm.Print_Area" localSheetId="2">Снабженцам!$B$2:$P$42</definedName>
    <definedName name="_xlnm.Print_Area" localSheetId="1">Спецификация!$B$4:$M$158</definedName>
  </definedNames>
  <calcPr calcId="125725"/>
</workbook>
</file>

<file path=xl/calcChain.xml><?xml version="1.0" encoding="utf-8"?>
<calcChain xmlns="http://schemas.openxmlformats.org/spreadsheetml/2006/main">
  <c r="A38" i="7"/>
  <c r="J14" i="1"/>
  <c r="C6" i="7" l="1"/>
  <c r="J22" i="1"/>
  <c r="H26"/>
  <c r="G26" s="1"/>
  <c r="G25"/>
  <c r="G24"/>
  <c r="G23"/>
  <c r="H38" i="4"/>
  <c r="H37"/>
  <c r="A12" i="1" l="1"/>
  <c r="J25"/>
  <c r="A20"/>
  <c r="E6" i="7"/>
  <c r="J10" i="5"/>
  <c r="A10" s="1"/>
  <c r="J23" i="1"/>
  <c r="J26"/>
  <c r="J24"/>
  <c r="J27"/>
  <c r="A27" s="1"/>
  <c r="G22"/>
  <c r="C51" i="7"/>
  <c r="D8"/>
  <c r="D9"/>
  <c r="D10"/>
  <c r="D11"/>
  <c r="D12"/>
  <c r="D13"/>
  <c r="D14"/>
  <c r="D15"/>
  <c r="D16"/>
  <c r="D17"/>
  <c r="D18"/>
  <c r="D7"/>
  <c r="C11"/>
  <c r="C12"/>
  <c r="C13"/>
  <c r="C14"/>
  <c r="C15"/>
  <c r="C16"/>
  <c r="C17"/>
  <c r="C18"/>
  <c r="P34" i="1"/>
  <c r="P33"/>
  <c r="J41"/>
  <c r="A41" s="1"/>
  <c r="J40"/>
  <c r="J39"/>
  <c r="J38"/>
  <c r="G39"/>
  <c r="G40"/>
  <c r="G41"/>
  <c r="G38"/>
  <c r="J37"/>
  <c r="J33"/>
  <c r="J36"/>
  <c r="J35"/>
  <c r="J31"/>
  <c r="J34"/>
  <c r="J30"/>
  <c r="J32"/>
  <c r="G37"/>
  <c r="G36"/>
  <c r="G35"/>
  <c r="G34"/>
  <c r="G112"/>
  <c r="G111"/>
  <c r="E5" i="4"/>
  <c r="E3" i="5" s="1"/>
  <c r="C40" i="7"/>
  <c r="J50" i="1"/>
  <c r="G100"/>
  <c r="G99"/>
  <c r="G94"/>
  <c r="G93"/>
  <c r="G88"/>
  <c r="G87"/>
  <c r="G110" l="1"/>
  <c r="F6" i="7"/>
  <c r="A6"/>
  <c r="G98" i="1"/>
  <c r="A28"/>
  <c r="A29"/>
  <c r="K30"/>
  <c r="A35"/>
  <c r="A36"/>
  <c r="K39"/>
  <c r="L39" s="1"/>
  <c r="A38"/>
  <c r="K41"/>
  <c r="L41" s="1"/>
  <c r="A40"/>
  <c r="K24"/>
  <c r="A23"/>
  <c r="K23"/>
  <c r="A22"/>
  <c r="K25"/>
  <c r="A24"/>
  <c r="A30"/>
  <c r="A48"/>
  <c r="A33"/>
  <c r="A34"/>
  <c r="K38"/>
  <c r="L38" s="1"/>
  <c r="A37"/>
  <c r="K40"/>
  <c r="L40" s="1"/>
  <c r="A39"/>
  <c r="A26"/>
  <c r="K26"/>
  <c r="A25"/>
  <c r="A31"/>
  <c r="A32"/>
  <c r="A21"/>
  <c r="J21" i="5"/>
  <c r="J19"/>
  <c r="J17"/>
  <c r="J15"/>
  <c r="E17" i="7"/>
  <c r="E15"/>
  <c r="E13"/>
  <c r="E11"/>
  <c r="J22" i="5"/>
  <c r="J20"/>
  <c r="J18"/>
  <c r="J16"/>
  <c r="E18" i="7"/>
  <c r="E16"/>
  <c r="E14"/>
  <c r="E12"/>
  <c r="P36" i="1"/>
  <c r="P35"/>
  <c r="K35"/>
  <c r="L35" s="1"/>
  <c r="K37"/>
  <c r="L37" s="1"/>
  <c r="K36"/>
  <c r="L36" s="1"/>
  <c r="K34"/>
  <c r="L34" s="1"/>
  <c r="G86"/>
  <c r="G92"/>
  <c r="J110"/>
  <c r="P31" l="1"/>
  <c r="F14" i="7"/>
  <c r="B14" s="1"/>
  <c r="A14"/>
  <c r="F17"/>
  <c r="B17" s="1"/>
  <c r="A17"/>
  <c r="F12"/>
  <c r="B12" s="1"/>
  <c r="A12"/>
  <c r="F15"/>
  <c r="B15" s="1"/>
  <c r="A15"/>
  <c r="F18"/>
  <c r="B18" s="1"/>
  <c r="A18"/>
  <c r="F13"/>
  <c r="B13" s="1"/>
  <c r="A13"/>
  <c r="F16"/>
  <c r="B16" s="1"/>
  <c r="A16"/>
  <c r="F11"/>
  <c r="B11" s="1"/>
  <c r="A11"/>
  <c r="P22" i="1"/>
  <c r="J111"/>
  <c r="K111" s="1"/>
  <c r="A108"/>
  <c r="A18" i="5"/>
  <c r="A22"/>
  <c r="A17"/>
  <c r="A21"/>
  <c r="A16"/>
  <c r="A20"/>
  <c r="A15"/>
  <c r="A19"/>
  <c r="J34"/>
  <c r="P113" i="1"/>
  <c r="P112"/>
  <c r="J112"/>
  <c r="J113" l="1"/>
  <c r="A111" s="1"/>
  <c r="A109"/>
  <c r="K112"/>
  <c r="P110" s="1"/>
  <c r="L110" s="1"/>
  <c r="A110"/>
  <c r="A34" i="5"/>
  <c r="J86" i="1"/>
  <c r="J92"/>
  <c r="J98"/>
  <c r="H18"/>
  <c r="A113" l="1"/>
  <c r="A112"/>
  <c r="A96"/>
  <c r="A84"/>
  <c r="A90"/>
  <c r="E27" i="7"/>
  <c r="A27" s="1"/>
  <c r="P96" i="1"/>
  <c r="J93"/>
  <c r="P94"/>
  <c r="J94"/>
  <c r="E28" i="7"/>
  <c r="A28" s="1"/>
  <c r="P100" i="1"/>
  <c r="P102"/>
  <c r="J99"/>
  <c r="J100"/>
  <c r="E26" i="7"/>
  <c r="A26" s="1"/>
  <c r="P88" i="1"/>
  <c r="J87"/>
  <c r="P90"/>
  <c r="J88"/>
  <c r="F133"/>
  <c r="O133" s="1"/>
  <c r="A133" s="1"/>
  <c r="P60"/>
  <c r="C32" i="7"/>
  <c r="C30"/>
  <c r="C10"/>
  <c r="C9"/>
  <c r="C8"/>
  <c r="C7"/>
  <c r="C5"/>
  <c r="E2" i="5"/>
  <c r="J68" i="1"/>
  <c r="G18"/>
  <c r="C45" i="7"/>
  <c r="C46"/>
  <c r="C47"/>
  <c r="C49"/>
  <c r="G31" i="1"/>
  <c r="G32"/>
  <c r="G33"/>
  <c r="G30"/>
  <c r="G106"/>
  <c r="G105"/>
  <c r="G82"/>
  <c r="G81"/>
  <c r="G76"/>
  <c r="G75"/>
  <c r="G70"/>
  <c r="G69"/>
  <c r="J23" i="5"/>
  <c r="J25"/>
  <c r="E20" i="7"/>
  <c r="J24" i="5"/>
  <c r="P52" i="1"/>
  <c r="G64"/>
  <c r="G63"/>
  <c r="G52"/>
  <c r="G51"/>
  <c r="J52"/>
  <c r="J51"/>
  <c r="G118"/>
  <c r="G116"/>
  <c r="G17"/>
  <c r="G16"/>
  <c r="G15"/>
  <c r="D38" i="4"/>
  <c r="D39"/>
  <c r="D40"/>
  <c r="D4"/>
  <c r="D37"/>
  <c r="F20" i="7" l="1"/>
  <c r="A20"/>
  <c r="A21"/>
  <c r="A19"/>
  <c r="A98" i="1"/>
  <c r="A50"/>
  <c r="A49"/>
  <c r="A66"/>
  <c r="K88"/>
  <c r="K94"/>
  <c r="A86"/>
  <c r="A92"/>
  <c r="A85"/>
  <c r="K52"/>
  <c r="K100"/>
  <c r="A91"/>
  <c r="A97"/>
  <c r="A24" i="5"/>
  <c r="A25"/>
  <c r="A23"/>
  <c r="J89" i="1"/>
  <c r="K87"/>
  <c r="J101"/>
  <c r="A99" s="1"/>
  <c r="K99"/>
  <c r="J95"/>
  <c r="K93"/>
  <c r="K51"/>
  <c r="J53"/>
  <c r="E40" i="7"/>
  <c r="H133" i="1"/>
  <c r="P48"/>
  <c r="G50"/>
  <c r="G68"/>
  <c r="G74"/>
  <c r="G80"/>
  <c r="G14"/>
  <c r="G62"/>
  <c r="G104"/>
  <c r="J74"/>
  <c r="E24" i="7" s="1"/>
  <c r="J104" i="1"/>
  <c r="J106" s="1"/>
  <c r="J80"/>
  <c r="J118"/>
  <c r="J116"/>
  <c r="J19"/>
  <c r="P72"/>
  <c r="J27" i="5"/>
  <c r="A27" s="1"/>
  <c r="E23" i="7"/>
  <c r="J70" i="1"/>
  <c r="J69"/>
  <c r="P70"/>
  <c r="J30" i="5"/>
  <c r="F26" i="7"/>
  <c r="F27"/>
  <c r="B27" s="1"/>
  <c r="J31" i="5"/>
  <c r="J32"/>
  <c r="F28" i="7"/>
  <c r="P98" i="1" l="1"/>
  <c r="L98" s="1"/>
  <c r="P86"/>
  <c r="L86" s="1"/>
  <c r="F23" i="7"/>
  <c r="A23"/>
  <c r="F40"/>
  <c r="A40"/>
  <c r="F24"/>
  <c r="A24"/>
  <c r="P92" i="1"/>
  <c r="L92" s="1"/>
  <c r="E29" i="7"/>
  <c r="J105" i="1"/>
  <c r="J33" i="5"/>
  <c r="A33" s="1"/>
  <c r="P108" i="1"/>
  <c r="P106"/>
  <c r="P50"/>
  <c r="L50" s="1"/>
  <c r="J28" i="5"/>
  <c r="A28" s="1"/>
  <c r="J75" i="1"/>
  <c r="A73" s="1"/>
  <c r="P76"/>
  <c r="P78"/>
  <c r="J76"/>
  <c r="K76" s="1"/>
  <c r="A68"/>
  <c r="K106"/>
  <c r="K70"/>
  <c r="A103"/>
  <c r="A102"/>
  <c r="A72"/>
  <c r="A53"/>
  <c r="A52"/>
  <c r="A104"/>
  <c r="A51"/>
  <c r="A67"/>
  <c r="P17"/>
  <c r="A19"/>
  <c r="P84"/>
  <c r="A78"/>
  <c r="A95"/>
  <c r="A94"/>
  <c r="A100"/>
  <c r="A101"/>
  <c r="A89"/>
  <c r="A88"/>
  <c r="A93"/>
  <c r="A87"/>
  <c r="A32" i="5"/>
  <c r="A30"/>
  <c r="I133" i="1"/>
  <c r="A31" i="5"/>
  <c r="F146" i="1"/>
  <c r="K75"/>
  <c r="J77"/>
  <c r="K69"/>
  <c r="J71"/>
  <c r="K105"/>
  <c r="P104" s="1"/>
  <c r="L104" s="1"/>
  <c r="J107"/>
  <c r="E7" i="7"/>
  <c r="J11" i="5"/>
  <c r="F144" i="1"/>
  <c r="O144" s="1"/>
  <c r="E30" i="7"/>
  <c r="Q19" i="4"/>
  <c r="A19" s="1"/>
  <c r="J62" i="1"/>
  <c r="J81"/>
  <c r="J29" i="5"/>
  <c r="A29" s="1"/>
  <c r="P82" i="1"/>
  <c r="K116"/>
  <c r="E25" i="7"/>
  <c r="J82" i="1"/>
  <c r="E32" i="7"/>
  <c r="P15" i="1"/>
  <c r="J17"/>
  <c r="J9" i="5"/>
  <c r="J15" i="1"/>
  <c r="J18"/>
  <c r="A17" s="1"/>
  <c r="E5" i="7"/>
  <c r="J16" i="1"/>
  <c r="P16"/>
  <c r="P68"/>
  <c r="L68" s="1"/>
  <c r="Q33" i="4"/>
  <c r="A33" s="1"/>
  <c r="Q28"/>
  <c r="A28" s="1"/>
  <c r="F7" i="7" l="1"/>
  <c r="A7"/>
  <c r="A48"/>
  <c r="F30"/>
  <c r="A30"/>
  <c r="F5"/>
  <c r="A5"/>
  <c r="A52"/>
  <c r="F32"/>
  <c r="A32"/>
  <c r="F25"/>
  <c r="A25"/>
  <c r="F29"/>
  <c r="A29"/>
  <c r="P74" i="1"/>
  <c r="L74" s="1"/>
  <c r="A74"/>
  <c r="J54" i="5"/>
  <c r="A54" s="1"/>
  <c r="J45"/>
  <c r="A45" s="1"/>
  <c r="A80" i="1"/>
  <c r="C144"/>
  <c r="A144"/>
  <c r="C133"/>
  <c r="K16"/>
  <c r="A15"/>
  <c r="K15"/>
  <c r="A14"/>
  <c r="A13"/>
  <c r="K17"/>
  <c r="A16"/>
  <c r="K82"/>
  <c r="J64"/>
  <c r="A60"/>
  <c r="A79"/>
  <c r="A107"/>
  <c r="A106"/>
  <c r="A71"/>
  <c r="A70"/>
  <c r="A77"/>
  <c r="A76"/>
  <c r="A18"/>
  <c r="A69"/>
  <c r="A75"/>
  <c r="A105"/>
  <c r="F138"/>
  <c r="A9" i="5"/>
  <c r="A11"/>
  <c r="J8"/>
  <c r="O146" i="1"/>
  <c r="A146" s="1"/>
  <c r="H146"/>
  <c r="L116"/>
  <c r="A116"/>
  <c r="C116" s="1"/>
  <c r="K81"/>
  <c r="J83"/>
  <c r="A81" s="1"/>
  <c r="J59" i="5"/>
  <c r="A59" s="1"/>
  <c r="B7" i="7"/>
  <c r="J36" i="5"/>
  <c r="A36" s="1"/>
  <c r="J38"/>
  <c r="A38" s="1"/>
  <c r="J37"/>
  <c r="A37" s="1"/>
  <c r="K118" i="1"/>
  <c r="H144"/>
  <c r="L30"/>
  <c r="J12" i="5"/>
  <c r="E8" i="7"/>
  <c r="K31" i="1"/>
  <c r="J14" i="5"/>
  <c r="E10" i="7"/>
  <c r="K33" i="1"/>
  <c r="L33" s="1"/>
  <c r="E9" i="7"/>
  <c r="J13" i="5"/>
  <c r="K32" i="1"/>
  <c r="L32" s="1"/>
  <c r="J35" i="5"/>
  <c r="A35" s="1"/>
  <c r="Q20" i="4"/>
  <c r="A20" s="1"/>
  <c r="J63" i="1"/>
  <c r="A62" s="1"/>
  <c r="E22" i="7"/>
  <c r="P64" i="1"/>
  <c r="J26" i="5"/>
  <c r="P66" i="1"/>
  <c r="B5" i="7"/>
  <c r="F147" i="1"/>
  <c r="O147" s="1"/>
  <c r="A147" s="1"/>
  <c r="K18"/>
  <c r="Q34" i="4"/>
  <c r="A34" s="1"/>
  <c r="J60" i="5"/>
  <c r="A60" s="1"/>
  <c r="P80" i="1" l="1"/>
  <c r="L80" s="1"/>
  <c r="F22" i="7"/>
  <c r="B22" s="1"/>
  <c r="A22"/>
  <c r="F10"/>
  <c r="B10" s="1"/>
  <c r="A10"/>
  <c r="F8"/>
  <c r="B8" s="1"/>
  <c r="A8"/>
  <c r="F9"/>
  <c r="B9" s="1"/>
  <c r="A9"/>
  <c r="A33"/>
  <c r="A31"/>
  <c r="A4"/>
  <c r="A53"/>
  <c r="F139" i="1"/>
  <c r="F141" s="1"/>
  <c r="H138"/>
  <c r="I138" s="1"/>
  <c r="O138"/>
  <c r="A138" s="1"/>
  <c r="B26" i="7"/>
  <c r="B28"/>
  <c r="B20"/>
  <c r="P14" i="1"/>
  <c r="L14" s="1"/>
  <c r="A61"/>
  <c r="A83"/>
  <c r="A82"/>
  <c r="K64"/>
  <c r="B6" i="7"/>
  <c r="A26" i="5"/>
  <c r="A8"/>
  <c r="A13"/>
  <c r="A14"/>
  <c r="A12"/>
  <c r="I144" i="1"/>
  <c r="Q32" i="4"/>
  <c r="A32" s="1"/>
  <c r="L118" i="1"/>
  <c r="A118"/>
  <c r="K63"/>
  <c r="J65"/>
  <c r="P116"/>
  <c r="Q31" i="4"/>
  <c r="A31" s="1"/>
  <c r="B25" i="7"/>
  <c r="B24"/>
  <c r="B23"/>
  <c r="P118" i="1"/>
  <c r="B32" i="7"/>
  <c r="L31" i="1"/>
  <c r="P32"/>
  <c r="P30"/>
  <c r="E125" s="1"/>
  <c r="B30" i="7"/>
  <c r="J56" i="5"/>
  <c r="A56" s="1"/>
  <c r="E49" i="7"/>
  <c r="Q30" i="4"/>
  <c r="A30" s="1"/>
  <c r="H147" i="1"/>
  <c r="I147" s="1"/>
  <c r="B29" i="7"/>
  <c r="J46" i="5"/>
  <c r="A46" s="1"/>
  <c r="Q18" i="4"/>
  <c r="A18" s="1"/>
  <c r="E45" i="7"/>
  <c r="Q24" i="4"/>
  <c r="A24" s="1"/>
  <c r="F45" i="7" l="1"/>
  <c r="A45"/>
  <c r="F49"/>
  <c r="A49"/>
  <c r="A41"/>
  <c r="A39"/>
  <c r="O141" i="1"/>
  <c r="A141" s="1"/>
  <c r="H141"/>
  <c r="I141" s="1"/>
  <c r="H139"/>
  <c r="Q25" i="4"/>
  <c r="A25" s="1"/>
  <c r="O139" i="1"/>
  <c r="A139" s="1"/>
  <c r="F140"/>
  <c r="J50" i="5"/>
  <c r="A50" s="1"/>
  <c r="P62" i="1"/>
  <c r="C118"/>
  <c r="A65"/>
  <c r="A64"/>
  <c r="A63"/>
  <c r="C138"/>
  <c r="E51" i="7"/>
  <c r="J58" i="5"/>
  <c r="A58" s="1"/>
  <c r="Q29" i="4"/>
  <c r="A29" s="1"/>
  <c r="C147" i="1"/>
  <c r="C146"/>
  <c r="Q10" i="4"/>
  <c r="A10" s="1"/>
  <c r="G125" i="1"/>
  <c r="J125"/>
  <c r="O125"/>
  <c r="A125" s="1"/>
  <c r="H125"/>
  <c r="Q21" i="4"/>
  <c r="Q35"/>
  <c r="A35" s="1"/>
  <c r="J61" i="5"/>
  <c r="A61" s="1"/>
  <c r="B40" i="7"/>
  <c r="Q22" i="4"/>
  <c r="A22" s="1"/>
  <c r="A42" i="7" l="1"/>
  <c r="A43"/>
  <c r="F51"/>
  <c r="A51"/>
  <c r="A50"/>
  <c r="J57" i="5"/>
  <c r="A57" s="1"/>
  <c r="Q27" i="4"/>
  <c r="A27" s="1"/>
  <c r="E47" i="7"/>
  <c r="O140" i="1"/>
  <c r="A140" s="1"/>
  <c r="H140"/>
  <c r="J51" i="5"/>
  <c r="A51" s="1"/>
  <c r="C139" i="1"/>
  <c r="L62"/>
  <c r="J53" i="5"/>
  <c r="A53" s="1"/>
  <c r="J47"/>
  <c r="Q23" i="4"/>
  <c r="A23" s="1"/>
  <c r="J48" i="5"/>
  <c r="A48" s="1"/>
  <c r="Q9" i="4"/>
  <c r="A9" s="1"/>
  <c r="C140" i="1"/>
  <c r="C141"/>
  <c r="A21" i="4"/>
  <c r="J44" i="5"/>
  <c r="B51" i="7"/>
  <c r="B49"/>
  <c r="C125" i="1"/>
  <c r="K125"/>
  <c r="L125"/>
  <c r="F47" i="7" l="1"/>
  <c r="A47"/>
  <c r="A44"/>
  <c r="J55" i="5"/>
  <c r="A55" s="1"/>
  <c r="I140" i="1"/>
  <c r="Q26" i="4"/>
  <c r="E46" i="7"/>
  <c r="A47" i="5"/>
  <c r="Q11" i="4"/>
  <c r="B45" i="7"/>
  <c r="B47"/>
  <c r="A44" i="5"/>
  <c r="J49"/>
  <c r="M125" i="1"/>
  <c r="F46" i="7" l="1"/>
  <c r="A46"/>
  <c r="Q13" i="4"/>
  <c r="A13" s="1"/>
  <c r="J52" i="5"/>
  <c r="A52" s="1"/>
  <c r="A26" i="4"/>
  <c r="Q12"/>
  <c r="A12" s="1"/>
  <c r="A11"/>
  <c r="E6"/>
  <c r="A49" i="5"/>
  <c r="B46" i="7" l="1"/>
</calcChain>
</file>

<file path=xl/comments1.xml><?xml version="1.0" encoding="utf-8"?>
<comments xmlns="http://schemas.openxmlformats.org/spreadsheetml/2006/main">
  <authors>
    <author>Чирков Андрей</author>
  </authors>
  <commentList>
    <comment ref="D44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2-х местная отдельностоящая</t>
        </r>
      </text>
    </comment>
    <comment ref="D50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3-х местная отдельно стоящая</t>
        </r>
      </text>
    </comment>
    <comment ref="D56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4-х местная отдельно стоящая</t>
        </r>
      </text>
    </comment>
    <comment ref="D62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1-но местная крайняя</t>
        </r>
      </text>
    </comment>
    <comment ref="D68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2-х местная крайняя</t>
        </r>
      </text>
    </comment>
    <comment ref="D74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3-х местная крайняя</t>
        </r>
      </text>
    </comment>
    <comment ref="D80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4-х местная крайняя</t>
        </r>
      </text>
    </comment>
    <comment ref="D86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1-но местная средняя</t>
        </r>
      </text>
    </comment>
    <comment ref="D92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2-х местная средняя</t>
        </r>
      </text>
    </comment>
    <comment ref="D98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3-х местная средняя</t>
        </r>
      </text>
    </comment>
    <comment ref="D104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3-х местная средняя</t>
        </r>
      </text>
    </comment>
    <comment ref="D110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3-х местная средняя</t>
        </r>
      </text>
    </comment>
  </commentList>
</comments>
</file>

<file path=xl/sharedStrings.xml><?xml version="1.0" encoding="utf-8"?>
<sst xmlns="http://schemas.openxmlformats.org/spreadsheetml/2006/main" count="758" uniqueCount="185">
  <si>
    <t>Формат</t>
  </si>
  <si>
    <t>№ поз</t>
  </si>
  <si>
    <t>Обозначение</t>
  </si>
  <si>
    <t>Наименование</t>
  </si>
  <si>
    <t>Сортамент</t>
  </si>
  <si>
    <t>Масса заготовки, кг</t>
  </si>
  <si>
    <t>Кол-во в сборке, шт</t>
  </si>
  <si>
    <t>Кол-во в заказе, шт</t>
  </si>
  <si>
    <t>Площадь покраски, м. кв.</t>
  </si>
  <si>
    <t>А4</t>
  </si>
  <si>
    <t>Стойка</t>
  </si>
  <si>
    <t>Опора</t>
  </si>
  <si>
    <t>Раскос</t>
  </si>
  <si>
    <t>Итого расход, м</t>
  </si>
  <si>
    <t>20х20х1.5</t>
  </si>
  <si>
    <t>А3</t>
  </si>
  <si>
    <t>№</t>
  </si>
  <si>
    <t>м</t>
  </si>
  <si>
    <r>
      <t>м</t>
    </r>
    <r>
      <rPr>
        <vertAlign val="superscript"/>
        <sz val="10"/>
        <rFont val="Arial Cyr"/>
        <charset val="204"/>
      </rPr>
      <t>2</t>
    </r>
  </si>
  <si>
    <t>Протокол перечня материалов на поставляемую продукцию согласно спецификации №_______ от ____________</t>
  </si>
  <si>
    <t>Заказ №</t>
  </si>
  <si>
    <t>-</t>
  </si>
  <si>
    <t>Таблица 1</t>
  </si>
  <si>
    <t>№ поз.</t>
  </si>
  <si>
    <t xml:space="preserve">Наименование материала </t>
  </si>
  <si>
    <t>кг</t>
  </si>
  <si>
    <t>Растворитель 646 ГОСТ 18188-72</t>
  </si>
  <si>
    <t>шт.</t>
  </si>
  <si>
    <t>Таблица 2</t>
  </si>
  <si>
    <t>Стандартные изделия и комплектующие</t>
  </si>
  <si>
    <t>Разработал:</t>
  </si>
  <si>
    <t>Проверил:</t>
  </si>
  <si>
    <t>Утвердил:</t>
  </si>
  <si>
    <t>Заказчик</t>
  </si>
  <si>
    <t>Подрядчик</t>
  </si>
  <si>
    <t>_______________________________</t>
  </si>
  <si>
    <t>___________________________</t>
  </si>
  <si>
    <t>Заглушка пластмассовая 40х20</t>
  </si>
  <si>
    <t xml:space="preserve">Чистый расход 
на заказ </t>
  </si>
  <si>
    <t xml:space="preserve">Наименование продукции </t>
  </si>
  <si>
    <t>Краска порошковая эпоксидно-полиэфирная "Эколак", шагрень ТУ 2329-338-02068474-2000 (цвет смотри заказ)</t>
  </si>
  <si>
    <t>Монтажный запас</t>
  </si>
  <si>
    <t>Чистый расход
на заказ</t>
  </si>
  <si>
    <t>Расход с учётом 
монтажного запаса</t>
  </si>
  <si>
    <t>Кол-во, 
шт</t>
  </si>
  <si>
    <t>Маркировка</t>
  </si>
  <si>
    <t>Дюбель полипропиленовый (РД) d12х70</t>
  </si>
  <si>
    <t>ТМ.34.000 СБ</t>
  </si>
  <si>
    <t>Каркас 1</t>
  </si>
  <si>
    <t>50х25х2</t>
  </si>
  <si>
    <t>Адаптер</t>
  </si>
  <si>
    <t>Расход, м</t>
  </si>
  <si>
    <t>Итого длина, м</t>
  </si>
  <si>
    <r>
      <t>Площадь покраски общая,    м</t>
    </r>
    <r>
      <rPr>
        <vertAlign val="superscript"/>
        <sz val="11"/>
        <color indexed="8"/>
        <rFont val="Calibri"/>
        <family val="2"/>
        <charset val="204"/>
      </rPr>
      <t>2</t>
    </r>
  </si>
  <si>
    <t>ТМ.00.002</t>
  </si>
  <si>
    <t>Направляющая Н2</t>
  </si>
  <si>
    <t>ТМ.00.003</t>
  </si>
  <si>
    <t>Направляющая Н3</t>
  </si>
  <si>
    <t>ТМ.00.004</t>
  </si>
  <si>
    <t>Направляющая Н4</t>
  </si>
  <si>
    <t>ТМ.00.001</t>
  </si>
  <si>
    <t>Направляющая Н1</t>
  </si>
  <si>
    <t>ТМ.08.000</t>
  </si>
  <si>
    <t>Связь 1</t>
  </si>
  <si>
    <t>ТМ.08.000-01</t>
  </si>
  <si>
    <t>ТМ.08.001-01</t>
  </si>
  <si>
    <t>Поперечина связи</t>
  </si>
  <si>
    <t>ТМ.08.002</t>
  </si>
  <si>
    <t>Укосина</t>
  </si>
  <si>
    <t>ТМ.08.000-02</t>
  </si>
  <si>
    <t>ТМ.08.000-03</t>
  </si>
  <si>
    <t>ТМ.08.001-03</t>
  </si>
  <si>
    <t>ТМ.08.000-04</t>
  </si>
  <si>
    <t>ТМ.08.001-04</t>
  </si>
  <si>
    <t>ТМ.08.000-05</t>
  </si>
  <si>
    <t>ТМ.08.001-05</t>
  </si>
  <si>
    <t>ТМ.08.000-06</t>
  </si>
  <si>
    <t>ТМ.08.001-06</t>
  </si>
  <si>
    <t>ТМ.08.000-10</t>
  </si>
  <si>
    <t>ТМ.08.001-10</t>
  </si>
  <si>
    <t>40х20х2</t>
  </si>
  <si>
    <t>АД.00.001</t>
  </si>
  <si>
    <t>АД.00.002</t>
  </si>
  <si>
    <t>АД.00.003</t>
  </si>
  <si>
    <t>АД.00.004</t>
  </si>
  <si>
    <t>V</t>
  </si>
  <si>
    <t>Заглушка пластмассовая 50х25</t>
  </si>
  <si>
    <t>З 50х25</t>
  </si>
  <si>
    <t>Заглушка пластмассовая 20х20</t>
  </si>
  <si>
    <t>З 20х20</t>
  </si>
  <si>
    <t>З 40х20</t>
  </si>
  <si>
    <t>К-1</t>
  </si>
  <si>
    <t>АД-1</t>
  </si>
  <si>
    <t>Над-1</t>
  </si>
  <si>
    <t>Над-2</t>
  </si>
  <si>
    <t>Над-3</t>
  </si>
  <si>
    <t>Над-4</t>
  </si>
  <si>
    <t>СВ-2</t>
  </si>
  <si>
    <t>СВ-3</t>
  </si>
  <si>
    <t>СВ-4</t>
  </si>
  <si>
    <t>СВ-1кр</t>
  </si>
  <si>
    <t>СВ-2кр</t>
  </si>
  <si>
    <t>СВ-3кр</t>
  </si>
  <si>
    <t>СВ-4кр</t>
  </si>
  <si>
    <t>СВ-1ср</t>
  </si>
  <si>
    <t>СВ-2ср</t>
  </si>
  <si>
    <t>СВ-3ср</t>
  </si>
  <si>
    <t>СВ-4ср</t>
  </si>
  <si>
    <t>Н-1</t>
  </si>
  <si>
    <t>Н-3</t>
  </si>
  <si>
    <t>Н-4</t>
  </si>
  <si>
    <t>Н-2</t>
  </si>
  <si>
    <t>компл.</t>
  </si>
  <si>
    <t>АД.02.000</t>
  </si>
  <si>
    <t>АД.02.001</t>
  </si>
  <si>
    <t>АД.02.002</t>
  </si>
  <si>
    <t>АД.02.003</t>
  </si>
  <si>
    <t>КС.01.006</t>
  </si>
  <si>
    <t>Пластина</t>
  </si>
  <si>
    <t>лист 2</t>
  </si>
  <si>
    <t>Заглушка 50х25</t>
  </si>
  <si>
    <t>Труба 50х25х2 ГОСТ 8645-68</t>
  </si>
  <si>
    <t>Труба 40х20х2 ГОСТ 8645-68</t>
  </si>
  <si>
    <t>Труба 20х20х1.5 ГОСТ 8639-82</t>
  </si>
  <si>
    <r>
      <t>Расход, м (м</t>
    </r>
    <r>
      <rPr>
        <b/>
        <vertAlign val="superscript"/>
        <sz val="11"/>
        <color indexed="8"/>
        <rFont val="Calibri"/>
        <family val="2"/>
        <charset val="204"/>
      </rPr>
      <t>2</t>
    </r>
    <r>
      <rPr>
        <b/>
        <sz val="11"/>
        <color indexed="8"/>
        <rFont val="Calibri"/>
        <family val="2"/>
        <charset val="204"/>
      </rPr>
      <t>)</t>
    </r>
  </si>
  <si>
    <t>Шайба 8 ГОСТ 11371-78</t>
  </si>
  <si>
    <t>Шуруп 8х70 ГОСТ 11473-75</t>
  </si>
  <si>
    <t>Шайба 8 ГОСТ 6958-78</t>
  </si>
  <si>
    <t>Поставщик</t>
  </si>
  <si>
    <t xml:space="preserve">Комплектация Заказ № </t>
  </si>
  <si>
    <t>Таблица 2 - Стандартные детали</t>
  </si>
  <si>
    <t>№ п/п</t>
  </si>
  <si>
    <t>Кол-во в изделии, шт</t>
  </si>
  <si>
    <t>Таблица 1 - Детали</t>
  </si>
  <si>
    <t>Выдано со склада</t>
  </si>
  <si>
    <t>Т. Контроль:</t>
  </si>
  <si>
    <t>ТМ.08.000-07</t>
  </si>
  <si>
    <t>ТМ.08.001-07</t>
  </si>
  <si>
    <t>ТМ.08.000-08</t>
  </si>
  <si>
    <t>ТМ.08.001-08</t>
  </si>
  <si>
    <t>ТМ.08.000-09</t>
  </si>
  <si>
    <t>ТМ.08.001-09</t>
  </si>
  <si>
    <t>Выдать в "Ресурс"</t>
  </si>
  <si>
    <t xml:space="preserve">Пластина </t>
  </si>
  <si>
    <t>Норма отхода 
на заказ</t>
  </si>
  <si>
    <t>Расход на заказ</t>
  </si>
  <si>
    <t>ТМ.08.000-11</t>
  </si>
  <si>
    <t>ТМ.08.001-11</t>
  </si>
  <si>
    <t>СВ-1</t>
  </si>
  <si>
    <t>АД.00.001-01</t>
  </si>
  <si>
    <t>АД.00.002-01</t>
  </si>
  <si>
    <t>АД.00.003-01</t>
  </si>
  <si>
    <t>АД.00.004-01</t>
  </si>
  <si>
    <t>Над-1п</t>
  </si>
  <si>
    <t>Над-2п</t>
  </si>
  <si>
    <t>Над-3п</t>
  </si>
  <si>
    <t>Над-4п</t>
  </si>
  <si>
    <t>АД.00.001-02</t>
  </si>
  <si>
    <t>АД.00.002-02</t>
  </si>
  <si>
    <t>АД.00.003-02</t>
  </si>
  <si>
    <t>АД.00.004-02</t>
  </si>
  <si>
    <t>Шуруп 8х90 ГОСТ 11473-75</t>
  </si>
  <si>
    <t>Ш 8х90</t>
  </si>
  <si>
    <t>Н-1п</t>
  </si>
  <si>
    <t>Н-2п</t>
  </si>
  <si>
    <t>Н-3п</t>
  </si>
  <si>
    <t>Н-4п</t>
  </si>
  <si>
    <t>Прокладка K-Flex 25х35</t>
  </si>
  <si>
    <t>Болт М8х60 ГОСТ 7805-70</t>
  </si>
  <si>
    <t>Болт М8х80 ГОСТ 7805-70</t>
  </si>
  <si>
    <t>Заглушка 20х20</t>
  </si>
  <si>
    <t>Болт М8х90 ГОСТ 7801-81</t>
  </si>
  <si>
    <t>Саморез с полусферой, с пресcшайбой, наконечник-сверло оцинкованный 4,2х19</t>
  </si>
  <si>
    <t>Шайба 8 65Г ГОСТ 6402-70</t>
  </si>
  <si>
    <t>Гайка М8 ГОСТ 5915-70</t>
  </si>
  <si>
    <t>АД.02.000-01</t>
  </si>
  <si>
    <t>АД.02.002-01</t>
  </si>
  <si>
    <t>АД.02.003-01</t>
  </si>
  <si>
    <t>АДф-2</t>
  </si>
  <si>
    <t>АД-2</t>
  </si>
  <si>
    <t>Масса м/к заказа</t>
  </si>
  <si>
    <t/>
  </si>
  <si>
    <t>Сиденье пластмассовое "Форвард"</t>
  </si>
  <si>
    <t>Комплект пластмассовых заглушек на сиденье"Форвард"</t>
  </si>
  <si>
    <t>Пластина КС.01.006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</si>
</sst>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0.000"/>
    <numFmt numFmtId="166" formatCode="0.0"/>
  </numFmts>
  <fonts count="2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20"/>
      <name val="Arial Cyr"/>
      <charset val="204"/>
    </font>
    <font>
      <vertAlign val="superscript"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sz val="14"/>
      <color indexed="8"/>
      <name val="Calibri"/>
      <family val="2"/>
      <charset val="204"/>
    </font>
    <font>
      <vertAlign val="superscript"/>
      <sz val="11"/>
      <color indexed="8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vertAlign val="superscript"/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1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1">
    <xf numFmtId="0" fontId="0" fillId="0" borderId="0" xfId="0"/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2" borderId="1" xfId="0" applyNumberFormat="1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1" applyFont="1" applyAlignment="1"/>
    <xf numFmtId="0" fontId="4" fillId="0" borderId="0" xfId="1"/>
    <xf numFmtId="0" fontId="4" fillId="0" borderId="0" xfId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4" fillId="0" borderId="0" xfId="1" applyAlignment="1">
      <alignment horizontal="right"/>
    </xf>
    <xf numFmtId="0" fontId="4" fillId="0" borderId="0" xfId="1" applyFill="1" applyBorder="1" applyAlignment="1">
      <alignment horizontal="left"/>
    </xf>
    <xf numFmtId="0" fontId="4" fillId="0" borderId="0" xfId="1" applyAlignment="1">
      <alignment horizontal="left"/>
    </xf>
    <xf numFmtId="9" fontId="0" fillId="0" borderId="1" xfId="0" applyNumberFormat="1" applyBorder="1"/>
    <xf numFmtId="0" fontId="0" fillId="0" borderId="1" xfId="0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1" applyFill="1" applyBorder="1" applyAlignment="1">
      <alignment horizontal="center" vertical="center"/>
    </xf>
    <xf numFmtId="0" fontId="4" fillId="0" borderId="0" xfId="1" applyBorder="1" applyAlignment="1">
      <alignment wrapText="1"/>
    </xf>
    <xf numFmtId="2" fontId="4" fillId="0" borderId="0" xfId="1" applyNumberForma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2" fontId="4" fillId="0" borderId="0" xfId="1" applyNumberFormat="1" applyBorder="1" applyAlignment="1">
      <alignment horizontal="center"/>
    </xf>
    <xf numFmtId="0" fontId="4" fillId="0" borderId="0" xfId="1" applyBorder="1" applyAlignment="1">
      <alignment horizontal="center"/>
    </xf>
    <xf numFmtId="2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 wrapText="1"/>
    </xf>
    <xf numFmtId="0" fontId="4" fillId="0" borderId="1" xfId="1" applyBorder="1"/>
    <xf numFmtId="2" fontId="4" fillId="0" borderId="1" xfId="1" applyNumberForma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wrapText="1" shrinkToFit="1"/>
    </xf>
    <xf numFmtId="0" fontId="4" fillId="0" borderId="0" xfId="1" applyBorder="1"/>
    <xf numFmtId="0" fontId="5" fillId="3" borderId="1" xfId="1" applyFont="1" applyFill="1" applyBorder="1" applyAlignment="1">
      <alignment vertical="center" wrapText="1"/>
    </xf>
    <xf numFmtId="2" fontId="0" fillId="2" borderId="3" xfId="0" applyNumberFormat="1" applyFill="1" applyBorder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/>
    <xf numFmtId="2" fontId="0" fillId="0" borderId="1" xfId="0" applyNumberFormat="1" applyFill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 applyBorder="1"/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Fill="1" applyBorder="1"/>
    <xf numFmtId="0" fontId="0" fillId="0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wrapText="1"/>
    </xf>
    <xf numFmtId="1" fontId="0" fillId="0" borderId="1" xfId="0" applyNumberFormat="1" applyBorder="1"/>
    <xf numFmtId="0" fontId="0" fillId="0" borderId="4" xfId="0" applyBorder="1"/>
    <xf numFmtId="166" fontId="0" fillId="0" borderId="1" xfId="0" applyNumberFormat="1" applyBorder="1"/>
    <xf numFmtId="0" fontId="0" fillId="0" borderId="1" xfId="0" applyBorder="1" applyAlignment="1">
      <alignment horizontal="center" wrapText="1"/>
    </xf>
    <xf numFmtId="0" fontId="4" fillId="0" borderId="1" xfId="1" applyFont="1" applyFill="1" applyBorder="1" applyAlignment="1">
      <alignment vertical="center" wrapText="1"/>
    </xf>
    <xf numFmtId="0" fontId="0" fillId="0" borderId="5" xfId="0" applyFill="1" applyBorder="1"/>
    <xf numFmtId="166" fontId="0" fillId="0" borderId="1" xfId="0" applyNumberFormat="1" applyBorder="1" applyAlignment="1">
      <alignment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/>
    <xf numFmtId="0" fontId="0" fillId="0" borderId="5" xfId="0" applyFill="1" applyBorder="1" applyAlignment="1">
      <alignment wrapText="1"/>
    </xf>
    <xf numFmtId="1" fontId="0" fillId="0" borderId="0" xfId="0" applyNumberFormat="1"/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/>
    <xf numFmtId="0" fontId="10" fillId="0" borderId="1" xfId="0" applyFont="1" applyBorder="1"/>
    <xf numFmtId="0" fontId="10" fillId="0" borderId="0" xfId="0" applyFont="1" applyBorder="1"/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0" xfId="0" applyNumberFormat="1" applyFont="1" applyBorder="1"/>
    <xf numFmtId="165" fontId="10" fillId="0" borderId="0" xfId="0" applyNumberFormat="1" applyFont="1" applyFill="1" applyBorder="1"/>
    <xf numFmtId="165" fontId="10" fillId="0" borderId="1" xfId="0" applyNumberFormat="1" applyFont="1" applyFill="1" applyBorder="1"/>
    <xf numFmtId="0" fontId="10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5" fontId="0" fillId="0" borderId="0" xfId="0" applyNumberFormat="1" applyBorder="1"/>
    <xf numFmtId="0" fontId="0" fillId="0" borderId="7" xfId="0" applyBorder="1"/>
    <xf numFmtId="0" fontId="16" fillId="0" borderId="0" xfId="0" applyFont="1"/>
    <xf numFmtId="0" fontId="15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/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/>
    <xf numFmtId="0" fontId="0" fillId="0" borderId="2" xfId="0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5" fontId="17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6" borderId="0" xfId="0" applyNumberFormat="1" applyFill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4" fillId="0" borderId="0" xfId="1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1" applyAlignment="1">
      <alignment horizontal="left"/>
    </xf>
    <xf numFmtId="0" fontId="10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0" borderId="0" xfId="0" applyAlignment="1">
      <alignment horizontal="left"/>
    </xf>
    <xf numFmtId="0" fontId="19" fillId="0" borderId="0" xfId="0" applyFont="1"/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0" fillId="0" borderId="0" xfId="1" applyFont="1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4" fillId="0" borderId="0" xfId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2" fillId="5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1" fontId="4" fillId="0" borderId="1" xfId="1" applyNumberFormat="1" applyBorder="1" applyAlignment="1">
      <alignment horizontal="center"/>
    </xf>
    <xf numFmtId="0" fontId="4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Border="1" applyAlignment="1">
      <alignment horizontal="center"/>
    </xf>
    <xf numFmtId="0" fontId="4" fillId="0" borderId="0" xfId="1" applyAlignment="1">
      <alignment horizontal="center"/>
    </xf>
    <xf numFmtId="0" fontId="4" fillId="0" borderId="2" xfId="1" applyBorder="1" applyAlignment="1">
      <alignment horizontal="center"/>
    </xf>
    <xf numFmtId="0" fontId="4" fillId="0" borderId="7" xfId="1" applyBorder="1" applyAlignment="1">
      <alignment horizontal="center"/>
    </xf>
    <xf numFmtId="1" fontId="4" fillId="0" borderId="2" xfId="1" applyNumberFormat="1" applyBorder="1" applyAlignment="1">
      <alignment horizontal="center"/>
    </xf>
    <xf numFmtId="1" fontId="4" fillId="0" borderId="7" xfId="1" applyNumberFormat="1" applyBorder="1" applyAlignment="1">
      <alignment horizontal="center"/>
    </xf>
    <xf numFmtId="0" fontId="4" fillId="0" borderId="0" xfId="1" applyAlignment="1">
      <alignment horizontal="left"/>
    </xf>
    <xf numFmtId="2" fontId="6" fillId="0" borderId="0" xfId="1" applyNumberFormat="1" applyFont="1" applyAlignment="1">
      <alignment horizontal="center"/>
    </xf>
    <xf numFmtId="166" fontId="0" fillId="0" borderId="4" xfId="0" applyNumberFormat="1" applyBorder="1" applyAlignment="1">
      <alignment horizontal="center" vertical="center" textRotation="90"/>
    </xf>
    <xf numFmtId="166" fontId="0" fillId="0" borderId="5" xfId="0" applyNumberFormat="1" applyBorder="1" applyAlignment="1">
      <alignment horizontal="center" vertical="center" textRotation="90"/>
    </xf>
    <xf numFmtId="166" fontId="0" fillId="0" borderId="3" xfId="0" applyNumberFormat="1" applyBorder="1" applyAlignment="1">
      <alignment horizontal="center" vertical="center" textRotation="90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B53"/>
  <sheetViews>
    <sheetView topLeftCell="A31" workbookViewId="0">
      <selection activeCell="C16" sqref="A1:W51"/>
    </sheetView>
  </sheetViews>
  <sheetFormatPr defaultRowHeight="15"/>
  <cols>
    <col min="1" max="1" width="12.42578125" customWidth="1"/>
    <col min="2" max="2" width="12.85546875" customWidth="1"/>
    <col min="3" max="3" width="11.85546875" customWidth="1"/>
    <col min="4" max="4" width="11.7109375" customWidth="1"/>
    <col min="5" max="5" width="6.5703125" customWidth="1"/>
    <col min="6" max="6" width="4.28515625" customWidth="1"/>
    <col min="7" max="7" width="5.140625" customWidth="1"/>
    <col min="8" max="8" width="4.85546875" customWidth="1"/>
    <col min="9" max="9" width="5.42578125" customWidth="1"/>
    <col min="10" max="10" width="4.28515625" customWidth="1"/>
    <col min="11" max="11" width="4.140625" customWidth="1"/>
    <col min="12" max="12" width="5" customWidth="1"/>
    <col min="13" max="13" width="4" customWidth="1"/>
    <col min="14" max="14" width="4.140625" customWidth="1"/>
    <col min="15" max="15" width="3.85546875" customWidth="1"/>
    <col min="16" max="16" width="4" customWidth="1"/>
    <col min="17" max="17" width="5.28515625" customWidth="1"/>
    <col min="18" max="18" width="5.7109375" customWidth="1"/>
    <col min="19" max="20" width="6" customWidth="1"/>
    <col min="21" max="21" width="12.140625" customWidth="1"/>
    <col min="22" max="22" width="9.7109375" customWidth="1"/>
  </cols>
  <sheetData>
    <row r="1" spans="1:28">
      <c r="A1" s="185"/>
      <c r="B1" s="185"/>
      <c r="C1" s="185"/>
      <c r="D1" s="114"/>
      <c r="Q1" s="127"/>
      <c r="R1" s="126"/>
      <c r="S1" s="126"/>
      <c r="T1" s="126"/>
    </row>
    <row r="2" spans="1:28">
      <c r="A2" s="196"/>
      <c r="B2" s="196"/>
      <c r="C2" s="57"/>
      <c r="D2" s="57"/>
      <c r="Q2" s="127"/>
      <c r="R2" s="127"/>
      <c r="S2" s="127"/>
      <c r="T2" s="127"/>
    </row>
    <row r="3" spans="1:28">
      <c r="A3" s="196"/>
      <c r="B3" s="196"/>
      <c r="C3" s="9"/>
      <c r="D3" s="114"/>
      <c r="Q3" s="127"/>
      <c r="R3" s="127"/>
      <c r="S3" s="127"/>
      <c r="T3" s="127"/>
    </row>
    <row r="4" spans="1:28">
      <c r="A4" s="56"/>
      <c r="B4" s="56"/>
      <c r="F4" s="8"/>
      <c r="G4" s="57"/>
      <c r="Q4" s="127"/>
      <c r="R4" s="127"/>
      <c r="S4" s="127"/>
      <c r="T4" s="127"/>
    </row>
    <row r="5" spans="1:28">
      <c r="A5" s="194"/>
      <c r="B5" s="194"/>
      <c r="E5" s="184"/>
      <c r="F5" s="8"/>
      <c r="G5" s="57"/>
      <c r="Q5" s="127"/>
      <c r="R5" s="127"/>
      <c r="S5" s="127"/>
      <c r="T5" s="127"/>
    </row>
    <row r="6" spans="1:28" ht="29.25" customHeight="1">
      <c r="A6" s="186"/>
      <c r="B6" s="186"/>
      <c r="C6" s="171"/>
      <c r="F6" s="8"/>
      <c r="G6" s="57"/>
      <c r="Q6" s="127"/>
      <c r="R6" s="127"/>
      <c r="S6" s="127"/>
      <c r="T6" s="127"/>
    </row>
    <row r="7" spans="1:28" ht="31.5" customHeight="1">
      <c r="A7" s="186"/>
      <c r="B7" s="194"/>
      <c r="C7" s="10"/>
      <c r="D7" s="115"/>
      <c r="F7" s="57"/>
      <c r="G7" s="57"/>
    </row>
    <row r="8" spans="1:28" ht="31.5" customHeight="1">
      <c r="A8" s="186"/>
      <c r="B8" s="186"/>
      <c r="C8" s="166"/>
      <c r="D8" s="165"/>
      <c r="F8" s="57"/>
      <c r="G8" s="57"/>
    </row>
    <row r="9" spans="1:28" ht="32.25" customHeight="1">
      <c r="A9" s="197"/>
      <c r="B9" s="197"/>
      <c r="C9" s="166"/>
      <c r="D9" s="57"/>
      <c r="F9" s="56"/>
      <c r="G9" s="56"/>
    </row>
    <row r="10" spans="1:28" ht="28.5" customHeight="1">
      <c r="A10" s="197"/>
      <c r="B10" s="197"/>
      <c r="C10" s="163"/>
      <c r="D10" s="165"/>
      <c r="F10" s="56"/>
      <c r="G10" s="56"/>
      <c r="T10" s="181"/>
    </row>
    <row r="11" spans="1:28" ht="28.5" customHeight="1">
      <c r="A11" s="186"/>
      <c r="B11" s="186"/>
      <c r="C11" s="163"/>
      <c r="D11" s="165"/>
      <c r="F11" s="56"/>
      <c r="G11" s="56"/>
    </row>
    <row r="12" spans="1:28" ht="15" customHeight="1">
      <c r="A12" s="185"/>
      <c r="B12" s="185"/>
      <c r="Q12" s="187"/>
      <c r="R12" s="187"/>
      <c r="S12" s="187"/>
      <c r="T12" s="187"/>
    </row>
    <row r="13" spans="1:28" ht="28.5" customHeight="1">
      <c r="D13" s="116"/>
      <c r="E13" s="188"/>
      <c r="F13" s="189"/>
      <c r="G13" s="189"/>
      <c r="H13" s="193"/>
      <c r="I13" s="188"/>
      <c r="J13" s="189"/>
      <c r="K13" s="189"/>
      <c r="L13" s="193"/>
      <c r="M13" s="188"/>
      <c r="N13" s="189"/>
      <c r="O13" s="189"/>
      <c r="P13" s="189"/>
      <c r="Q13" s="187"/>
      <c r="R13" s="187"/>
      <c r="S13" s="187"/>
      <c r="T13" s="187"/>
      <c r="U13" s="125"/>
    </row>
    <row r="14" spans="1:28" ht="29.25" customHeight="1">
      <c r="A14" s="6"/>
      <c r="B14" s="120"/>
      <c r="C14" s="120"/>
      <c r="D14" s="116"/>
      <c r="E14" s="122"/>
      <c r="F14" s="122"/>
      <c r="G14" s="122"/>
      <c r="H14" s="122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53"/>
      <c r="U14" s="76"/>
    </row>
    <row r="15" spans="1:28">
      <c r="A15" s="190"/>
      <c r="B15" s="179"/>
      <c r="C15" s="179"/>
      <c r="D15" s="116"/>
      <c r="E15" s="178"/>
      <c r="F15" s="178"/>
      <c r="G15" s="178"/>
      <c r="H15" s="178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53"/>
      <c r="U15" s="6"/>
      <c r="W15" s="58"/>
      <c r="X15" s="58"/>
      <c r="Y15" s="58"/>
      <c r="Z15" s="58"/>
      <c r="AA15" s="58"/>
      <c r="AB15" s="58"/>
    </row>
    <row r="16" spans="1:28">
      <c r="A16" s="191"/>
      <c r="B16" s="179"/>
      <c r="C16" s="179"/>
      <c r="D16" s="116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6"/>
      <c r="W16" s="58"/>
      <c r="X16" s="58"/>
      <c r="Y16" s="58"/>
      <c r="Z16" s="58"/>
      <c r="AA16" s="58"/>
      <c r="AB16" s="58"/>
    </row>
    <row r="17" spans="1:28">
      <c r="A17" s="191"/>
      <c r="B17" s="179"/>
      <c r="C17" s="179"/>
      <c r="D17" s="116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6"/>
      <c r="W17" s="58"/>
      <c r="X17" s="58"/>
      <c r="Y17" s="58"/>
      <c r="Z17" s="58"/>
      <c r="AA17" s="58"/>
      <c r="AB17" s="58"/>
    </row>
    <row r="18" spans="1:28">
      <c r="A18" s="191"/>
      <c r="B18" s="179"/>
      <c r="C18" s="179"/>
      <c r="D18" s="116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6"/>
      <c r="W18" s="58"/>
      <c r="X18" s="58"/>
      <c r="Y18" s="58"/>
      <c r="Z18" s="58"/>
      <c r="AA18" s="58"/>
      <c r="AB18" s="58"/>
    </row>
    <row r="19" spans="1:28">
      <c r="A19" s="191"/>
      <c r="B19" s="179"/>
      <c r="C19" s="179"/>
      <c r="D19" s="116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6"/>
      <c r="W19" s="58"/>
      <c r="X19" s="58"/>
      <c r="Y19" s="58"/>
      <c r="Z19" s="58"/>
      <c r="AA19" s="58"/>
      <c r="AB19" s="58"/>
    </row>
    <row r="20" spans="1:28">
      <c r="A20" s="192"/>
      <c r="B20" s="179"/>
      <c r="C20" s="179"/>
      <c r="D20" s="116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6"/>
      <c r="W20" s="58"/>
      <c r="X20" s="58"/>
      <c r="Y20" s="58"/>
      <c r="Z20" s="58"/>
      <c r="AA20" s="58"/>
      <c r="AB20" s="58"/>
    </row>
    <row r="21" spans="1:28">
      <c r="A21" s="157"/>
      <c r="B21" s="179"/>
      <c r="C21" s="179"/>
      <c r="D21" s="116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6"/>
      <c r="W21" s="58"/>
      <c r="X21" s="58"/>
      <c r="Y21" s="58"/>
      <c r="Z21" s="58"/>
      <c r="AA21" s="58"/>
      <c r="AB21" s="58"/>
    </row>
    <row r="22" spans="1:28">
      <c r="A22" s="195"/>
      <c r="B22" s="179"/>
      <c r="C22" s="179"/>
      <c r="D22" s="116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6"/>
      <c r="W22" s="58"/>
      <c r="X22" s="58"/>
      <c r="Y22" s="58"/>
      <c r="Z22" s="58"/>
      <c r="AA22" s="58"/>
      <c r="AB22" s="58"/>
    </row>
    <row r="23" spans="1:28">
      <c r="A23" s="195"/>
      <c r="B23" s="179"/>
      <c r="C23" s="179"/>
      <c r="D23" s="116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6"/>
      <c r="W23" s="58"/>
    </row>
    <row r="24" spans="1:28">
      <c r="A24" s="195"/>
      <c r="B24" s="179"/>
      <c r="C24" s="179"/>
      <c r="D24" s="116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6"/>
      <c r="W24" s="58"/>
    </row>
    <row r="25" spans="1:28">
      <c r="A25" s="195"/>
      <c r="B25" s="179"/>
      <c r="C25" s="179"/>
      <c r="D25" s="116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6"/>
      <c r="W25" s="58"/>
    </row>
    <row r="26" spans="1:28">
      <c r="A26" s="195"/>
      <c r="B26" s="179"/>
      <c r="C26" s="179"/>
      <c r="D26" s="116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6"/>
      <c r="W26" s="58"/>
    </row>
    <row r="27" spans="1:28">
      <c r="A27" s="195"/>
      <c r="B27" s="179"/>
      <c r="C27" s="179"/>
      <c r="D27" s="116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6"/>
      <c r="W27" s="58"/>
    </row>
    <row r="28" spans="1:28">
      <c r="A28" s="190"/>
      <c r="B28" s="179"/>
      <c r="C28" s="179"/>
      <c r="D28" s="116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6"/>
      <c r="W28" s="58"/>
    </row>
    <row r="29" spans="1:28">
      <c r="A29" s="191"/>
      <c r="B29" s="179"/>
      <c r="C29" s="179"/>
      <c r="D29" s="116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6"/>
      <c r="W29" s="58"/>
    </row>
    <row r="30" spans="1:28">
      <c r="A30" s="191"/>
      <c r="B30" s="179"/>
      <c r="C30" s="179"/>
      <c r="D30" s="116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6"/>
      <c r="W30" s="58"/>
    </row>
    <row r="31" spans="1:28">
      <c r="A31" s="191"/>
      <c r="B31" s="179"/>
      <c r="C31" s="179"/>
      <c r="D31" s="116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6"/>
      <c r="W31" s="58"/>
    </row>
    <row r="32" spans="1:28">
      <c r="A32" s="192"/>
      <c r="B32" s="179"/>
      <c r="C32" s="179"/>
      <c r="D32" s="116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6"/>
      <c r="W32" s="58"/>
    </row>
    <row r="33" spans="1:23">
      <c r="A33" s="195"/>
      <c r="B33" s="179"/>
      <c r="C33" s="179"/>
      <c r="D33" s="116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6"/>
      <c r="W33" s="58"/>
    </row>
    <row r="34" spans="1:23">
      <c r="A34" s="195"/>
      <c r="B34" s="179"/>
      <c r="C34" s="179"/>
      <c r="D34" s="116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6"/>
      <c r="W34" s="58"/>
    </row>
    <row r="35" spans="1:23">
      <c r="A35" s="195"/>
      <c r="B35" s="179"/>
      <c r="C35" s="179"/>
      <c r="D35" s="116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6"/>
      <c r="W35" s="58"/>
    </row>
    <row r="36" spans="1:23">
      <c r="A36" s="195"/>
      <c r="B36" s="179"/>
      <c r="C36" s="179"/>
      <c r="D36" s="116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6"/>
      <c r="W36" s="58"/>
    </row>
    <row r="37" spans="1:23">
      <c r="A37" s="195"/>
      <c r="B37" s="179"/>
      <c r="C37" s="179"/>
      <c r="D37" s="116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6"/>
      <c r="W37" s="58"/>
    </row>
    <row r="38" spans="1:23">
      <c r="A38" s="195"/>
      <c r="B38" s="121"/>
      <c r="C38" s="121"/>
      <c r="D38" s="116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6"/>
      <c r="W38" s="58"/>
    </row>
    <row r="39" spans="1:23">
      <c r="A39" s="195"/>
      <c r="B39" s="121"/>
      <c r="C39" s="121"/>
      <c r="D39" s="153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6"/>
      <c r="W39" s="58"/>
    </row>
    <row r="40" spans="1:23">
      <c r="A40" s="195"/>
      <c r="B40" s="121"/>
      <c r="C40" s="121"/>
      <c r="D40" s="153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6"/>
      <c r="W40" s="58"/>
    </row>
    <row r="41" spans="1:23">
      <c r="A41" s="195"/>
      <c r="B41" s="121"/>
      <c r="C41" s="121"/>
      <c r="D41" s="153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6"/>
      <c r="W41" s="58"/>
    </row>
    <row r="42" spans="1:23">
      <c r="A42" s="195"/>
      <c r="B42" s="121"/>
      <c r="C42" s="121"/>
      <c r="D42" s="153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6"/>
      <c r="W42" s="58"/>
    </row>
    <row r="43" spans="1:23">
      <c r="A43" s="195"/>
      <c r="B43" s="121"/>
      <c r="C43" s="121"/>
      <c r="D43" s="153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6"/>
      <c r="W43" s="58"/>
    </row>
    <row r="44" spans="1:23">
      <c r="A44" s="154"/>
      <c r="B44" s="121"/>
      <c r="C44" s="121"/>
      <c r="D44" s="153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6"/>
      <c r="W44" s="58"/>
    </row>
    <row r="45" spans="1:23">
      <c r="A45" s="190"/>
      <c r="B45" s="121"/>
      <c r="C45" s="121"/>
      <c r="D45" s="153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6"/>
      <c r="W45" s="58"/>
    </row>
    <row r="46" spans="1:23">
      <c r="A46" s="191"/>
      <c r="B46" s="121"/>
      <c r="C46" s="121"/>
      <c r="D46" s="153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6"/>
      <c r="W46" s="58"/>
    </row>
    <row r="47" spans="1:23">
      <c r="A47" s="191"/>
      <c r="B47" s="121"/>
      <c r="C47" s="121"/>
      <c r="D47" s="153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6"/>
      <c r="W47" s="58"/>
    </row>
    <row r="48" spans="1:23">
      <c r="A48" s="191"/>
      <c r="B48" s="121"/>
      <c r="C48" s="121"/>
      <c r="D48" s="153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6"/>
      <c r="W48" s="58"/>
    </row>
    <row r="49" spans="1:23">
      <c r="A49" s="191"/>
      <c r="B49" s="121"/>
      <c r="C49" s="121"/>
      <c r="D49" s="153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6"/>
      <c r="W49" s="58"/>
    </row>
    <row r="50" spans="1:23">
      <c r="A50" s="192"/>
      <c r="B50" s="121"/>
      <c r="C50" s="121"/>
      <c r="D50" s="153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6"/>
      <c r="W50" s="58"/>
    </row>
    <row r="51" spans="1:23">
      <c r="A51" s="6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7"/>
      <c r="V51" s="7"/>
      <c r="W51" s="7"/>
    </row>
    <row r="52" spans="1:23">
      <c r="B52" s="58"/>
    </row>
    <row r="53" spans="1:23">
      <c r="B53" s="58"/>
    </row>
  </sheetData>
  <mergeCells count="23">
    <mergeCell ref="A5:B5"/>
    <mergeCell ref="A22:A24"/>
    <mergeCell ref="I13:L13"/>
    <mergeCell ref="A45:A50"/>
    <mergeCell ref="A1:C1"/>
    <mergeCell ref="A7:B7"/>
    <mergeCell ref="A2:B2"/>
    <mergeCell ref="A3:B3"/>
    <mergeCell ref="A9:B9"/>
    <mergeCell ref="A25:A27"/>
    <mergeCell ref="A28:A32"/>
    <mergeCell ref="A33:A37"/>
    <mergeCell ref="A38:A40"/>
    <mergeCell ref="A41:A43"/>
    <mergeCell ref="A10:B10"/>
    <mergeCell ref="A11:B11"/>
    <mergeCell ref="A12:B12"/>
    <mergeCell ref="A6:B6"/>
    <mergeCell ref="Q12:T13"/>
    <mergeCell ref="M13:P13"/>
    <mergeCell ref="A15:A20"/>
    <mergeCell ref="E13:H13"/>
    <mergeCell ref="A8:B8"/>
  </mergeCells>
  <phoneticPr fontId="0" type="noConversion"/>
  <conditionalFormatting sqref="E15:W51">
    <cfRule type="cellIs" dxfId="0" priority="1" operator="greaterThan">
      <formula>0</formula>
    </cfRule>
  </conditionalFormatting>
  <dataValidations count="7">
    <dataValidation type="list" allowBlank="1" showInputMessage="1" showErrorMessage="1" promptTitle="Введите данные" prompt="Способ установки сиденья" sqref="C4">
      <formula1>$R$2:$R$4</formula1>
    </dataValidation>
    <dataValidation type="list" allowBlank="1" showInputMessage="1" showErrorMessage="1" promptTitle="Ввведите данные" prompt="Количество сидячих мест на основном типе направлящей" sqref="C7">
      <formula1>$Q$4:$Q$4</formula1>
    </dataValidation>
    <dataValidation type="list" allowBlank="1" showInputMessage="1" showErrorMessage="1" sqref="C11">
      <formula1>$U$2:$U$3</formula1>
    </dataValidation>
    <dataValidation type="list" allowBlank="1" showInputMessage="1" showErrorMessage="1" sqref="C10 C8">
      <formula1>$V$2:$V$3</formula1>
    </dataValidation>
    <dataValidation type="list" allowBlank="1" showInputMessage="1" showErrorMessage="1" promptTitle="Ввведите данные" prompt="Количество сидячих мест на основном типе направлящей" sqref="C9">
      <formula1>$V$2:$V$3</formula1>
    </dataValidation>
    <dataValidation type="list" allowBlank="1" showInputMessage="1" showErrorMessage="1" sqref="C6">
      <formula1>$V$2:$V$3</formula1>
    </dataValidation>
    <dataValidation type="list" allowBlank="1" showInputMessage="1" showErrorMessage="1" sqref="C5">
      <formula1>$W$2:$W$5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4:P158"/>
  <sheetViews>
    <sheetView view="pageBreakPreview" topLeftCell="A123" zoomScale="85" zoomScaleNormal="90" zoomScaleSheetLayoutView="85" workbookViewId="0">
      <selection activeCell="K150" sqref="A1:XFD1048576"/>
    </sheetView>
  </sheetViews>
  <sheetFormatPr defaultRowHeight="15"/>
  <cols>
    <col min="2" max="2" width="3.5703125" customWidth="1"/>
    <col min="3" max="3" width="4.28515625" customWidth="1"/>
    <col min="4" max="4" width="27.28515625" customWidth="1"/>
    <col min="5" max="5" width="24.28515625" customWidth="1"/>
    <col min="6" max="6" width="19.85546875" customWidth="1"/>
    <col min="7" max="7" width="11.28515625" customWidth="1"/>
    <col min="8" max="8" width="10.42578125" customWidth="1"/>
    <col min="9" max="9" width="9.7109375" bestFit="1" customWidth="1"/>
    <col min="11" max="11" width="10" customWidth="1"/>
    <col min="12" max="12" width="9.85546875" customWidth="1"/>
    <col min="15" max="15" width="11.5703125" customWidth="1"/>
  </cols>
  <sheetData>
    <row r="4" spans="1:16" ht="18.75">
      <c r="D4" s="34"/>
      <c r="E4" s="35"/>
      <c r="F4" s="35"/>
    </row>
    <row r="6" spans="1:16" ht="54" customHeight="1">
      <c r="B6" s="1"/>
      <c r="C6" s="1"/>
      <c r="D6" s="84"/>
      <c r="E6" s="84"/>
      <c r="F6" s="84"/>
      <c r="G6" s="3"/>
      <c r="H6" s="98"/>
      <c r="I6" s="4"/>
      <c r="J6" s="102"/>
      <c r="K6" s="3"/>
      <c r="L6" s="5"/>
    </row>
    <row r="7" spans="1:16">
      <c r="B7" s="7"/>
      <c r="C7" s="7"/>
      <c r="D7" s="85"/>
      <c r="E7" s="85"/>
      <c r="F7" s="85"/>
      <c r="G7" s="15"/>
      <c r="H7" s="85"/>
      <c r="I7" s="140"/>
      <c r="J7" s="141"/>
      <c r="K7" s="7"/>
      <c r="L7" s="15"/>
      <c r="O7" s="6"/>
    </row>
    <row r="8" spans="1:16">
      <c r="B8" s="6"/>
      <c r="C8" s="6"/>
      <c r="D8" s="86"/>
      <c r="E8" s="86"/>
      <c r="F8" s="86"/>
      <c r="G8" s="16"/>
      <c r="H8" s="86"/>
      <c r="I8" s="18"/>
      <c r="J8" s="92"/>
      <c r="K8" s="6"/>
      <c r="L8" s="6"/>
    </row>
    <row r="9" spans="1:16">
      <c r="B9" s="6"/>
      <c r="C9" s="6"/>
      <c r="D9" s="86"/>
      <c r="E9" s="86"/>
      <c r="F9" s="86"/>
      <c r="G9" s="16"/>
      <c r="H9" s="86"/>
      <c r="I9" s="18"/>
      <c r="J9" s="92"/>
      <c r="K9" s="6"/>
      <c r="L9" s="6"/>
      <c r="O9" s="60"/>
    </row>
    <row r="10" spans="1:16">
      <c r="B10" s="6"/>
      <c r="C10" s="6"/>
      <c r="D10" s="86"/>
      <c r="E10" s="86"/>
      <c r="F10" s="86"/>
      <c r="G10" s="16"/>
      <c r="H10" s="86"/>
      <c r="I10" s="18"/>
      <c r="J10" s="92"/>
      <c r="K10" s="6"/>
      <c r="L10" s="6"/>
      <c r="O10" s="62"/>
    </row>
    <row r="11" spans="1:16">
      <c r="B11" s="6"/>
      <c r="C11" s="11"/>
      <c r="D11" s="86"/>
      <c r="E11" s="86"/>
      <c r="F11" s="86"/>
      <c r="G11" s="16"/>
      <c r="H11" s="86"/>
      <c r="I11" s="69"/>
      <c r="J11" s="92"/>
      <c r="K11" s="6"/>
      <c r="L11" s="6"/>
      <c r="O11" s="60"/>
    </row>
    <row r="12" spans="1:16">
      <c r="A12">
        <f t="shared" ref="A8:A68" si="0">IF(AND(J13="Кол-во в заказе, шт",J14&gt;0),1,IF(AND(J13&gt;0,J14&gt;0),1,IF(AND(J13&gt;0,J13&lt;&gt;"Кол-во в заказе, шт"),1,IF(AND(J13=0,J12&gt;0,J12&lt;&gt;"Кол-во в заказе, шт"),1,0))))</f>
        <v>0</v>
      </c>
      <c r="B12" s="60"/>
      <c r="C12" s="60"/>
      <c r="D12" s="87"/>
      <c r="E12" s="87"/>
      <c r="F12" s="87"/>
      <c r="G12" s="61"/>
      <c r="H12" s="87"/>
      <c r="I12" s="60"/>
      <c r="J12" s="87"/>
      <c r="K12" s="60"/>
      <c r="O12" s="60"/>
    </row>
    <row r="13" spans="1:16" ht="60" customHeight="1">
      <c r="A13">
        <f t="shared" si="0"/>
        <v>0</v>
      </c>
      <c r="B13" s="1" t="s">
        <v>0</v>
      </c>
      <c r="C13" s="1" t="s">
        <v>1</v>
      </c>
      <c r="D13" s="84" t="s">
        <v>2</v>
      </c>
      <c r="E13" s="84" t="s">
        <v>3</v>
      </c>
      <c r="F13" s="84" t="s">
        <v>4</v>
      </c>
      <c r="G13" s="3" t="s">
        <v>5</v>
      </c>
      <c r="H13" s="98" t="s">
        <v>124</v>
      </c>
      <c r="I13" s="4" t="s">
        <v>6</v>
      </c>
      <c r="J13" s="102" t="s">
        <v>7</v>
      </c>
      <c r="K13" s="3" t="s">
        <v>52</v>
      </c>
      <c r="L13" s="5" t="s">
        <v>53</v>
      </c>
      <c r="O13" s="60"/>
    </row>
    <row r="14" spans="1:16">
      <c r="A14">
        <f t="shared" si="0"/>
        <v>0</v>
      </c>
      <c r="B14" s="63" t="s">
        <v>15</v>
      </c>
      <c r="C14" s="63"/>
      <c r="D14" s="88" t="s">
        <v>113</v>
      </c>
      <c r="E14" s="85" t="s">
        <v>50</v>
      </c>
      <c r="F14" s="85"/>
      <c r="G14" s="143">
        <f>SUMPRODUCT(G15:G19,I15:I19)</f>
        <v>1.9151499999999997</v>
      </c>
      <c r="H14" s="141"/>
      <c r="I14" s="140"/>
      <c r="J14" s="141">
        <f>IF(AND('Исход. данные'!C5="Авангард",'Исход. данные'!C4="На адаптер"),'Исход. данные'!D51,IF(AND('Исход. данные'!C4="На адаптер",'Исход. данные'!C6=0),'Исход. данные'!D51,))</f>
        <v>0</v>
      </c>
      <c r="K14" s="140"/>
      <c r="L14" s="143">
        <f>0.15*P14</f>
        <v>0</v>
      </c>
      <c r="O14" s="6" t="s">
        <v>49</v>
      </c>
      <c r="P14">
        <f>SUM(K15:K19)</f>
        <v>0</v>
      </c>
    </row>
    <row r="15" spans="1:16">
      <c r="A15">
        <f t="shared" si="0"/>
        <v>0</v>
      </c>
      <c r="B15" s="113" t="s">
        <v>9</v>
      </c>
      <c r="C15" s="2">
        <v>1</v>
      </c>
      <c r="D15" s="89" t="s">
        <v>114</v>
      </c>
      <c r="E15" s="86" t="s">
        <v>10</v>
      </c>
      <c r="F15" s="86" t="s">
        <v>49</v>
      </c>
      <c r="G15" s="144">
        <f>H15*2.17</f>
        <v>0.54249999999999998</v>
      </c>
      <c r="H15" s="145">
        <v>0.25</v>
      </c>
      <c r="I15" s="18">
        <v>1</v>
      </c>
      <c r="J15" s="92">
        <f>$J$14*I15</f>
        <v>0</v>
      </c>
      <c r="K15" s="18">
        <f>J15*H15</f>
        <v>0</v>
      </c>
      <c r="L15" s="118"/>
      <c r="O15" t="s">
        <v>162</v>
      </c>
      <c r="P15">
        <f>3*J14</f>
        <v>0</v>
      </c>
    </row>
    <row r="16" spans="1:16">
      <c r="A16">
        <f t="shared" si="0"/>
        <v>0</v>
      </c>
      <c r="B16" s="113" t="s">
        <v>9</v>
      </c>
      <c r="C16" s="2">
        <v>2</v>
      </c>
      <c r="D16" s="89" t="s">
        <v>115</v>
      </c>
      <c r="E16" s="86" t="s">
        <v>11</v>
      </c>
      <c r="F16" s="86" t="s">
        <v>49</v>
      </c>
      <c r="G16" s="144">
        <f>H16*2.17</f>
        <v>0.68354999999999999</v>
      </c>
      <c r="H16" s="145">
        <v>0.315</v>
      </c>
      <c r="I16" s="18">
        <v>1</v>
      </c>
      <c r="J16" s="92">
        <f>$J$14*I16</f>
        <v>0</v>
      </c>
      <c r="K16" s="18">
        <f>J16*H16</f>
        <v>0</v>
      </c>
      <c r="L16" s="118"/>
      <c r="O16" s="60" t="s">
        <v>85</v>
      </c>
      <c r="P16">
        <f>0.5*H15*H16*0.05*J14</f>
        <v>0</v>
      </c>
    </row>
    <row r="17" spans="1:16">
      <c r="A17">
        <f t="shared" si="0"/>
        <v>0</v>
      </c>
      <c r="B17" s="112" t="s">
        <v>9</v>
      </c>
      <c r="C17" s="2">
        <v>3</v>
      </c>
      <c r="D17" s="89" t="s">
        <v>116</v>
      </c>
      <c r="E17" s="86" t="s">
        <v>12</v>
      </c>
      <c r="F17" s="86" t="s">
        <v>49</v>
      </c>
      <c r="G17" s="144">
        <f>H17*2.17</f>
        <v>0.61844999999999994</v>
      </c>
      <c r="H17" s="145">
        <v>0.28499999999999998</v>
      </c>
      <c r="I17" s="18">
        <v>1</v>
      </c>
      <c r="J17" s="92">
        <f>$J$14*I17</f>
        <v>0</v>
      </c>
      <c r="K17" s="18">
        <f>J17*H17</f>
        <v>0</v>
      </c>
      <c r="L17" s="118"/>
      <c r="O17" s="62" t="s">
        <v>87</v>
      </c>
      <c r="P17">
        <f>J19</f>
        <v>0</v>
      </c>
    </row>
    <row r="18" spans="1:16">
      <c r="A18">
        <f t="shared" si="0"/>
        <v>0</v>
      </c>
      <c r="B18" s="112" t="s">
        <v>9</v>
      </c>
      <c r="C18" s="2">
        <v>4</v>
      </c>
      <c r="D18" s="89" t="s">
        <v>117</v>
      </c>
      <c r="E18" s="86" t="s">
        <v>118</v>
      </c>
      <c r="F18" s="86" t="s">
        <v>119</v>
      </c>
      <c r="G18" s="144">
        <f>15.7*H18</f>
        <v>7.0649999999999991E-2</v>
      </c>
      <c r="H18" s="145">
        <f>0.15*0.03</f>
        <v>4.4999999999999997E-3</v>
      </c>
      <c r="I18" s="18">
        <v>1</v>
      </c>
      <c r="J18" s="92">
        <f>$J$14*I18</f>
        <v>0</v>
      </c>
      <c r="K18" s="18">
        <f>J18*H18</f>
        <v>0</v>
      </c>
      <c r="L18" s="118"/>
      <c r="O18" s="60"/>
    </row>
    <row r="19" spans="1:16">
      <c r="A19">
        <f t="shared" si="0"/>
        <v>0</v>
      </c>
      <c r="B19" s="112"/>
      <c r="C19" s="2">
        <v>5</v>
      </c>
      <c r="D19" s="89"/>
      <c r="E19" s="86" t="s">
        <v>120</v>
      </c>
      <c r="F19" s="86"/>
      <c r="G19" s="144"/>
      <c r="H19" s="145"/>
      <c r="I19" s="18">
        <v>3</v>
      </c>
      <c r="J19" s="92">
        <f>$J$14*I19</f>
        <v>0</v>
      </c>
      <c r="K19" s="18"/>
      <c r="L19" s="118"/>
      <c r="O19" s="60"/>
    </row>
    <row r="20" spans="1:16">
      <c r="A20">
        <f>IF(AND(J21="Кол-во в заказе, шт",J22&gt;0),1,IF(AND(J21&gt;0,J22&gt;0),1,IF(AND(J21&gt;0,J21&lt;&gt;"Кол-во в заказе, шт"),1,IF(AND(J21=0,J20&gt;0,J20&lt;&gt;"Кол-во в заказе, шт"),1,0))))</f>
        <v>0</v>
      </c>
      <c r="B20" s="66"/>
      <c r="D20" s="90"/>
      <c r="E20" s="90"/>
      <c r="F20" s="90"/>
      <c r="H20" s="90"/>
      <c r="J20" s="90"/>
    </row>
    <row r="21" spans="1:16" ht="62.25">
      <c r="A21">
        <f t="shared" si="0"/>
        <v>0</v>
      </c>
      <c r="B21" s="1" t="s">
        <v>0</v>
      </c>
      <c r="C21" s="1" t="s">
        <v>1</v>
      </c>
      <c r="D21" s="84" t="s">
        <v>2</v>
      </c>
      <c r="E21" s="84" t="s">
        <v>3</v>
      </c>
      <c r="F21" s="84" t="s">
        <v>4</v>
      </c>
      <c r="G21" s="169" t="s">
        <v>5</v>
      </c>
      <c r="H21" s="98" t="s">
        <v>124</v>
      </c>
      <c r="I21" s="4" t="s">
        <v>6</v>
      </c>
      <c r="J21" s="102" t="s">
        <v>7</v>
      </c>
      <c r="K21" s="169" t="s">
        <v>52</v>
      </c>
      <c r="L21" s="5" t="s">
        <v>53</v>
      </c>
    </row>
    <row r="22" spans="1:16">
      <c r="A22">
        <f t="shared" si="0"/>
        <v>0</v>
      </c>
      <c r="B22" s="63" t="s">
        <v>15</v>
      </c>
      <c r="C22" s="63"/>
      <c r="D22" s="88" t="s">
        <v>175</v>
      </c>
      <c r="E22" s="85" t="s">
        <v>50</v>
      </c>
      <c r="F22" s="85"/>
      <c r="G22" s="143">
        <f>SUMPRODUCT(G23:G27,I23:I27)</f>
        <v>2.1972499999999999</v>
      </c>
      <c r="H22" s="141"/>
      <c r="I22" s="140"/>
      <c r="J22" s="174">
        <f>IF(AND('Исход. данные'!C4="На адаптер",'Исход. данные'!C6=1,'Исход. данные'!C5&lt;&gt;"Авангард"),'Исход. данные'!D51,)</f>
        <v>0</v>
      </c>
      <c r="K22" s="175"/>
      <c r="L22" s="175"/>
      <c r="O22" s="6" t="s">
        <v>49</v>
      </c>
      <c r="P22">
        <f>SUM(K23:K27)</f>
        <v>0</v>
      </c>
    </row>
    <row r="23" spans="1:16">
      <c r="A23">
        <f t="shared" si="0"/>
        <v>0</v>
      </c>
      <c r="B23" s="172" t="s">
        <v>9</v>
      </c>
      <c r="C23" s="170">
        <v>1</v>
      </c>
      <c r="D23" s="89" t="s">
        <v>114</v>
      </c>
      <c r="E23" s="86" t="s">
        <v>10</v>
      </c>
      <c r="F23" s="86" t="s">
        <v>49</v>
      </c>
      <c r="G23" s="144">
        <f>H23*2.17</f>
        <v>0.54249999999999998</v>
      </c>
      <c r="H23" s="145">
        <v>0.25</v>
      </c>
      <c r="I23" s="18">
        <v>1</v>
      </c>
      <c r="J23" s="92">
        <f>$J$22*I23</f>
        <v>0</v>
      </c>
      <c r="K23" s="18">
        <f>J23*H23</f>
        <v>0</v>
      </c>
      <c r="O23" t="s">
        <v>162</v>
      </c>
    </row>
    <row r="24" spans="1:16">
      <c r="A24">
        <f t="shared" si="0"/>
        <v>0</v>
      </c>
      <c r="B24" s="172" t="s">
        <v>9</v>
      </c>
      <c r="C24" s="170">
        <v>2</v>
      </c>
      <c r="D24" s="89" t="s">
        <v>176</v>
      </c>
      <c r="E24" s="86" t="s">
        <v>11</v>
      </c>
      <c r="F24" s="86" t="s">
        <v>49</v>
      </c>
      <c r="G24" s="144">
        <f>H24*2.17</f>
        <v>0.8246</v>
      </c>
      <c r="H24" s="145">
        <v>0.38</v>
      </c>
      <c r="I24" s="18">
        <v>1</v>
      </c>
      <c r="J24" s="92">
        <f t="shared" ref="J24:J27" si="1">$J$22*I24</f>
        <v>0</v>
      </c>
      <c r="K24" s="18">
        <f>J24*H24</f>
        <v>0</v>
      </c>
      <c r="O24" s="60" t="s">
        <v>85</v>
      </c>
    </row>
    <row r="25" spans="1:16">
      <c r="A25">
        <f t="shared" si="0"/>
        <v>0</v>
      </c>
      <c r="B25" s="172" t="s">
        <v>9</v>
      </c>
      <c r="C25" s="170">
        <v>3</v>
      </c>
      <c r="D25" s="89" t="s">
        <v>177</v>
      </c>
      <c r="E25" s="86" t="s">
        <v>12</v>
      </c>
      <c r="F25" s="86" t="s">
        <v>49</v>
      </c>
      <c r="G25" s="144">
        <f>H25*2.17</f>
        <v>0.75949999999999995</v>
      </c>
      <c r="H25" s="145">
        <v>0.35</v>
      </c>
      <c r="I25" s="18">
        <v>1</v>
      </c>
      <c r="J25" s="92">
        <f t="shared" si="1"/>
        <v>0</v>
      </c>
      <c r="K25" s="18">
        <f>J25*H25</f>
        <v>0</v>
      </c>
      <c r="O25" s="62" t="s">
        <v>87</v>
      </c>
    </row>
    <row r="26" spans="1:16">
      <c r="A26">
        <f t="shared" si="0"/>
        <v>0</v>
      </c>
      <c r="B26" s="172" t="s">
        <v>9</v>
      </c>
      <c r="C26" s="170">
        <v>4</v>
      </c>
      <c r="D26" s="89" t="s">
        <v>117</v>
      </c>
      <c r="E26" s="86" t="s">
        <v>118</v>
      </c>
      <c r="F26" s="86" t="s">
        <v>119</v>
      </c>
      <c r="G26" s="144">
        <f>15.7*H26</f>
        <v>7.0649999999999991E-2</v>
      </c>
      <c r="H26" s="145">
        <f>0.15*0.03</f>
        <v>4.4999999999999997E-3</v>
      </c>
      <c r="I26" s="18">
        <v>1</v>
      </c>
      <c r="J26" s="92">
        <f t="shared" si="1"/>
        <v>0</v>
      </c>
      <c r="K26" s="18">
        <f>J26*H26</f>
        <v>0</v>
      </c>
    </row>
    <row r="27" spans="1:16">
      <c r="A27">
        <f t="shared" si="0"/>
        <v>0</v>
      </c>
      <c r="B27" s="172"/>
      <c r="C27" s="170">
        <v>5</v>
      </c>
      <c r="D27" s="89"/>
      <c r="E27" s="86" t="s">
        <v>120</v>
      </c>
      <c r="F27" s="86"/>
      <c r="G27" s="144"/>
      <c r="H27" s="145"/>
      <c r="I27" s="18">
        <v>3</v>
      </c>
      <c r="J27" s="92">
        <f t="shared" si="1"/>
        <v>0</v>
      </c>
      <c r="K27" s="6"/>
    </row>
    <row r="28" spans="1:16">
      <c r="A28">
        <f t="shared" si="0"/>
        <v>0</v>
      </c>
      <c r="B28" s="66"/>
      <c r="D28" s="90"/>
      <c r="E28" s="90"/>
      <c r="F28" s="90"/>
      <c r="H28" s="90"/>
      <c r="J28" s="90"/>
    </row>
    <row r="29" spans="1:16" ht="45">
      <c r="A29">
        <f t="shared" si="0"/>
        <v>0</v>
      </c>
      <c r="B29" s="1" t="s">
        <v>0</v>
      </c>
      <c r="C29" s="1" t="s">
        <v>1</v>
      </c>
      <c r="D29" s="84" t="s">
        <v>2</v>
      </c>
      <c r="E29" s="84" t="s">
        <v>3</v>
      </c>
      <c r="F29" s="84" t="s">
        <v>4</v>
      </c>
      <c r="G29" s="3" t="s">
        <v>5</v>
      </c>
      <c r="H29" s="98" t="s">
        <v>124</v>
      </c>
      <c r="I29" s="4" t="s">
        <v>6</v>
      </c>
      <c r="J29" s="102" t="s">
        <v>7</v>
      </c>
      <c r="K29" s="137" t="s">
        <v>13</v>
      </c>
      <c r="L29" s="5" t="s">
        <v>8</v>
      </c>
      <c r="O29" s="60"/>
    </row>
    <row r="30" spans="1:16">
      <c r="A30">
        <f t="shared" si="0"/>
        <v>0</v>
      </c>
      <c r="B30" s="20" t="s">
        <v>15</v>
      </c>
      <c r="C30" s="2">
        <v>1</v>
      </c>
      <c r="D30" s="89" t="s">
        <v>81</v>
      </c>
      <c r="E30" s="89" t="s">
        <v>61</v>
      </c>
      <c r="F30" s="92" t="s">
        <v>80</v>
      </c>
      <c r="G30" s="64">
        <f t="shared" ref="G30:G37" si="2">1.7*H30</f>
        <v>0.8075</v>
      </c>
      <c r="H30" s="98">
        <v>0.47499999999999998</v>
      </c>
      <c r="I30" s="6"/>
      <c r="J30" s="130">
        <f>IF(AND('Исход. данные'!C4="На гребёнку",'Исход. данные'!C10=1,'Исход. данные'!C11='Исход. данные'!U3),'Исход. данные'!H51*2,0)</f>
        <v>0</v>
      </c>
      <c r="K30" s="137">
        <f t="shared" ref="K30:K41" si="3">J30*H30</f>
        <v>0</v>
      </c>
      <c r="L30" s="65">
        <f>0.12*K30</f>
        <v>0</v>
      </c>
      <c r="O30" s="60" t="s">
        <v>80</v>
      </c>
      <c r="P30">
        <f>SUM(K30:K37)</f>
        <v>0</v>
      </c>
    </row>
    <row r="31" spans="1:16">
      <c r="A31">
        <f t="shared" si="0"/>
        <v>0</v>
      </c>
      <c r="B31" s="20" t="s">
        <v>15</v>
      </c>
      <c r="C31" s="2">
        <v>2</v>
      </c>
      <c r="D31" s="89" t="s">
        <v>82</v>
      </c>
      <c r="E31" s="89" t="s">
        <v>55</v>
      </c>
      <c r="F31" s="92" t="s">
        <v>80</v>
      </c>
      <c r="G31" s="64">
        <f t="shared" si="2"/>
        <v>1.615</v>
      </c>
      <c r="H31" s="84">
        <v>0.95</v>
      </c>
      <c r="I31" s="6"/>
      <c r="J31" s="138">
        <f>IF(AND('Исход. данные'!C4="На гребёнку",'Исход. данные'!C10=1,'Исход. данные'!C11='Исход. данные'!U3),'Исход. данные'!G51*2,)</f>
        <v>0</v>
      </c>
      <c r="K31" s="137">
        <f t="shared" si="3"/>
        <v>0</v>
      </c>
      <c r="L31" s="65">
        <f>0.12*K31</f>
        <v>0</v>
      </c>
      <c r="O31" s="6" t="s">
        <v>49</v>
      </c>
      <c r="P31">
        <f>SUM(K38:K41)</f>
        <v>0</v>
      </c>
    </row>
    <row r="32" spans="1:16">
      <c r="A32">
        <f t="shared" si="0"/>
        <v>0</v>
      </c>
      <c r="B32" s="20" t="s">
        <v>15</v>
      </c>
      <c r="C32" s="2">
        <v>3</v>
      </c>
      <c r="D32" s="89" t="s">
        <v>83</v>
      </c>
      <c r="E32" s="89" t="s">
        <v>57</v>
      </c>
      <c r="F32" s="92" t="s">
        <v>80</v>
      </c>
      <c r="G32" s="64">
        <f t="shared" si="2"/>
        <v>2.4224999999999999</v>
      </c>
      <c r="H32" s="84">
        <v>1.425</v>
      </c>
      <c r="I32" s="6"/>
      <c r="J32" s="139">
        <f>IF(AND('Исход. данные'!C4="На гребёнку",'Исход. данные'!C10=1,'Исход. данные'!C11='Исход. данные'!U3),'Исход. данные'!F51*2,)</f>
        <v>0</v>
      </c>
      <c r="K32" s="137">
        <f t="shared" si="3"/>
        <v>0</v>
      </c>
      <c r="L32" s="65">
        <f>0.12*K32</f>
        <v>0</v>
      </c>
      <c r="O32" s="60" t="s">
        <v>85</v>
      </c>
      <c r="P32">
        <f>0.04*0.02*SUM(K30:K37)+0.05*0.025*SUM(K38:K41)</f>
        <v>0</v>
      </c>
    </row>
    <row r="33" spans="1:16">
      <c r="A33">
        <f t="shared" si="0"/>
        <v>0</v>
      </c>
      <c r="B33" s="20" t="s">
        <v>15</v>
      </c>
      <c r="C33" s="2">
        <v>4</v>
      </c>
      <c r="D33" s="89" t="s">
        <v>84</v>
      </c>
      <c r="E33" s="89" t="s">
        <v>59</v>
      </c>
      <c r="F33" s="92" t="s">
        <v>80</v>
      </c>
      <c r="G33" s="64">
        <f t="shared" si="2"/>
        <v>3.23</v>
      </c>
      <c r="H33" s="84">
        <v>1.9</v>
      </c>
      <c r="I33" s="6"/>
      <c r="J33" s="139">
        <f>IF(AND('Исход. данные'!C4="На гребёнку",'Исход. данные'!C10=1,'Исход. данные'!C11='Исход. данные'!U3),'Исход. данные'!E51*2,)</f>
        <v>0</v>
      </c>
      <c r="K33" s="137">
        <f t="shared" si="3"/>
        <v>0</v>
      </c>
      <c r="L33" s="65">
        <f>0.12*K33</f>
        <v>0</v>
      </c>
      <c r="O33" s="60" t="s">
        <v>90</v>
      </c>
      <c r="P33">
        <f>IF(AND('Исход. данные'!C4="На гребёнку",'Исход. данные'!C11='Исход. данные'!U3),'Исход. данные'!U51,0)</f>
        <v>0</v>
      </c>
    </row>
    <row r="34" spans="1:16">
      <c r="A34">
        <f t="shared" si="0"/>
        <v>0</v>
      </c>
      <c r="B34" s="164" t="s">
        <v>15</v>
      </c>
      <c r="C34" s="162">
        <v>1</v>
      </c>
      <c r="D34" s="89" t="s">
        <v>149</v>
      </c>
      <c r="E34" s="89" t="s">
        <v>61</v>
      </c>
      <c r="F34" s="92" t="s">
        <v>80</v>
      </c>
      <c r="G34" s="64">
        <f t="shared" si="2"/>
        <v>0.8075</v>
      </c>
      <c r="H34" s="98">
        <v>0.47499999999999998</v>
      </c>
      <c r="I34" s="6"/>
      <c r="J34" s="139">
        <f>IF(AND('Исход. данные'!C4="На гребёнку",'Исход. данные'!C10=0,'Исход. данные'!C11='Исход. данные'!U3),'Исход. данные'!H51*2,0)</f>
        <v>0</v>
      </c>
      <c r="K34" s="137">
        <f t="shared" si="3"/>
        <v>0</v>
      </c>
      <c r="L34" s="65">
        <f t="shared" ref="L34:L37" si="4">0.12*K34</f>
        <v>0</v>
      </c>
      <c r="O34" s="62" t="s">
        <v>87</v>
      </c>
      <c r="P34">
        <f>IF(AND('Исход. данные'!C4="На гребёнку",'Исход. данные'!C11='Исход. данные'!U2,'Исход. данные'!C10=0),'Исход. данные'!U51,0)</f>
        <v>0</v>
      </c>
    </row>
    <row r="35" spans="1:16">
      <c r="A35">
        <f t="shared" si="0"/>
        <v>0</v>
      </c>
      <c r="B35" s="164" t="s">
        <v>15</v>
      </c>
      <c r="C35" s="162">
        <v>2</v>
      </c>
      <c r="D35" s="89" t="s">
        <v>150</v>
      </c>
      <c r="E35" s="89" t="s">
        <v>55</v>
      </c>
      <c r="F35" s="92" t="s">
        <v>80</v>
      </c>
      <c r="G35" s="64">
        <f t="shared" si="2"/>
        <v>1.615</v>
      </c>
      <c r="H35" s="84">
        <v>0.95</v>
      </c>
      <c r="I35" s="6"/>
      <c r="J35" s="139">
        <f>IF(AND('Исход. данные'!C4="На гребёнку",'Исход. данные'!C10=0,'Исход. данные'!C11='Исход. данные'!U3),'Исход. данные'!G51*2,)</f>
        <v>0</v>
      </c>
      <c r="K35" s="137">
        <f t="shared" si="3"/>
        <v>0</v>
      </c>
      <c r="L35" s="65">
        <f t="shared" si="4"/>
        <v>0</v>
      </c>
      <c r="O35" t="s">
        <v>162</v>
      </c>
      <c r="P35">
        <f>2*SUM(J34:J41)</f>
        <v>0</v>
      </c>
    </row>
    <row r="36" spans="1:16">
      <c r="A36">
        <f t="shared" si="0"/>
        <v>0</v>
      </c>
      <c r="B36" s="164" t="s">
        <v>15</v>
      </c>
      <c r="C36" s="162">
        <v>3</v>
      </c>
      <c r="D36" s="89" t="s">
        <v>151</v>
      </c>
      <c r="E36" s="89" t="s">
        <v>57</v>
      </c>
      <c r="F36" s="92" t="s">
        <v>80</v>
      </c>
      <c r="G36" s="64">
        <f t="shared" si="2"/>
        <v>2.4224999999999999</v>
      </c>
      <c r="H36" s="84">
        <v>1.425</v>
      </c>
      <c r="I36" s="6"/>
      <c r="J36" s="139">
        <f>IF(AND('Исход. данные'!C4="На гребёнку",'Исход. данные'!C10=0,'Исход. данные'!C11='Исход. данные'!U3),'Исход. данные'!F51*2,)</f>
        <v>0</v>
      </c>
      <c r="K36" s="137">
        <f t="shared" si="3"/>
        <v>0</v>
      </c>
      <c r="L36" s="65">
        <f t="shared" si="4"/>
        <v>0</v>
      </c>
      <c r="O36" t="s">
        <v>162</v>
      </c>
      <c r="P36">
        <f>2*SUM(J30:J33)</f>
        <v>0</v>
      </c>
    </row>
    <row r="37" spans="1:16">
      <c r="A37">
        <f t="shared" si="0"/>
        <v>0</v>
      </c>
      <c r="B37" s="164" t="s">
        <v>15</v>
      </c>
      <c r="C37" s="162">
        <v>4</v>
      </c>
      <c r="D37" s="89" t="s">
        <v>152</v>
      </c>
      <c r="E37" s="89" t="s">
        <v>59</v>
      </c>
      <c r="F37" s="92" t="s">
        <v>80</v>
      </c>
      <c r="G37" s="64">
        <f t="shared" si="2"/>
        <v>3.23</v>
      </c>
      <c r="H37" s="84">
        <v>1.9</v>
      </c>
      <c r="I37" s="6"/>
      <c r="J37" s="139">
        <f>IF(AND('Исход. данные'!C4="На гребёнку",'Исход. данные'!C10=0,'Исход. данные'!C11='Исход. данные'!U3),'Исход. данные'!E51*2,)</f>
        <v>0</v>
      </c>
      <c r="K37" s="137">
        <f t="shared" si="3"/>
        <v>0</v>
      </c>
      <c r="L37" s="65">
        <f t="shared" si="4"/>
        <v>0</v>
      </c>
    </row>
    <row r="38" spans="1:16">
      <c r="A38">
        <f t="shared" si="0"/>
        <v>0</v>
      </c>
      <c r="B38" s="164" t="s">
        <v>15</v>
      </c>
      <c r="C38" s="162">
        <v>1</v>
      </c>
      <c r="D38" s="89" t="s">
        <v>157</v>
      </c>
      <c r="E38" s="89" t="s">
        <v>61</v>
      </c>
      <c r="F38" s="92" t="s">
        <v>49</v>
      </c>
      <c r="G38" s="64">
        <f>2.17*H38</f>
        <v>1.0307499999999998</v>
      </c>
      <c r="H38" s="98">
        <v>0.47499999999999998</v>
      </c>
      <c r="I38" s="6"/>
      <c r="J38" s="139">
        <f>IF(AND('Исход. данные'!C4="На гребёнку",'Исход. данные'!C10=0,'Исход. данные'!C11='Исход. данные'!U2),'Исход. данные'!H51*2,0)</f>
        <v>0</v>
      </c>
      <c r="K38" s="137">
        <f t="shared" si="3"/>
        <v>0</v>
      </c>
      <c r="L38" s="65">
        <f>0.15*K38</f>
        <v>0</v>
      </c>
    </row>
    <row r="39" spans="1:16">
      <c r="A39">
        <f t="shared" si="0"/>
        <v>0</v>
      </c>
      <c r="B39" s="164" t="s">
        <v>15</v>
      </c>
      <c r="C39" s="162">
        <v>2</v>
      </c>
      <c r="D39" s="89" t="s">
        <v>158</v>
      </c>
      <c r="E39" s="89" t="s">
        <v>55</v>
      </c>
      <c r="F39" s="92" t="s">
        <v>49</v>
      </c>
      <c r="G39" s="64">
        <f t="shared" ref="G39:G41" si="5">2.17*H39</f>
        <v>2.0614999999999997</v>
      </c>
      <c r="H39" s="84">
        <v>0.95</v>
      </c>
      <c r="I39" s="6"/>
      <c r="J39" s="139">
        <f>IF(AND('Исход. данные'!C4="На гребёнку",'Исход. данные'!C10=0,'Исход. данные'!C11='Исход. данные'!U2),'Исход. данные'!G51*2,)</f>
        <v>0</v>
      </c>
      <c r="K39" s="137">
        <f t="shared" si="3"/>
        <v>0</v>
      </c>
      <c r="L39" s="65">
        <f t="shared" ref="L39:L41" si="6">0.15*K39</f>
        <v>0</v>
      </c>
    </row>
    <row r="40" spans="1:16">
      <c r="A40">
        <f t="shared" si="0"/>
        <v>0</v>
      </c>
      <c r="B40" s="164" t="s">
        <v>15</v>
      </c>
      <c r="C40" s="162">
        <v>3</v>
      </c>
      <c r="D40" s="89" t="s">
        <v>159</v>
      </c>
      <c r="E40" s="89" t="s">
        <v>57</v>
      </c>
      <c r="F40" s="92" t="s">
        <v>49</v>
      </c>
      <c r="G40" s="64">
        <f t="shared" si="5"/>
        <v>3.0922499999999999</v>
      </c>
      <c r="H40" s="84">
        <v>1.425</v>
      </c>
      <c r="I40" s="6"/>
      <c r="J40" s="139">
        <f>IF(AND('Исход. данные'!C4="На гребёнку",'Исход. данные'!C10=0,'Исход. данные'!C11='Исход. данные'!U2),'Исход. данные'!F51*2,)</f>
        <v>0</v>
      </c>
      <c r="K40" s="137">
        <f t="shared" si="3"/>
        <v>0</v>
      </c>
      <c r="L40" s="65">
        <f t="shared" si="6"/>
        <v>0</v>
      </c>
    </row>
    <row r="41" spans="1:16">
      <c r="A41">
        <f t="shared" si="0"/>
        <v>0</v>
      </c>
      <c r="B41" s="164" t="s">
        <v>15</v>
      </c>
      <c r="C41" s="162">
        <v>4</v>
      </c>
      <c r="D41" s="89" t="s">
        <v>160</v>
      </c>
      <c r="E41" s="89" t="s">
        <v>59</v>
      </c>
      <c r="F41" s="92" t="s">
        <v>49</v>
      </c>
      <c r="G41" s="64">
        <f t="shared" si="5"/>
        <v>4.1229999999999993</v>
      </c>
      <c r="H41" s="84">
        <v>1.9</v>
      </c>
      <c r="I41" s="6"/>
      <c r="J41" s="139">
        <f>IF(AND('Исход. данные'!C4="На гребёнку",'Исход. данные'!C10=0,'Исход. данные'!C11='Исход. данные'!U2),'Исход. данные'!E51*2,)</f>
        <v>0</v>
      </c>
      <c r="K41" s="137">
        <f t="shared" si="3"/>
        <v>0</v>
      </c>
      <c r="L41" s="65">
        <f t="shared" si="6"/>
        <v>0</v>
      </c>
    </row>
    <row r="42" spans="1:16">
      <c r="B42" s="66"/>
      <c r="C42" s="67"/>
      <c r="D42" s="91"/>
      <c r="E42" s="136"/>
      <c r="F42" s="87"/>
      <c r="G42" s="61"/>
      <c r="H42" s="99"/>
      <c r="I42" s="60"/>
      <c r="J42" s="87"/>
      <c r="K42" s="60"/>
      <c r="O42" s="60"/>
    </row>
    <row r="43" spans="1:16" s="58" customFormat="1" ht="51" customHeight="1">
      <c r="A43"/>
      <c r="B43" s="1"/>
      <c r="C43" s="1"/>
      <c r="D43" s="84"/>
      <c r="E43" s="84"/>
      <c r="F43" s="84"/>
      <c r="G43" s="3"/>
      <c r="H43" s="98"/>
      <c r="I43" s="4"/>
      <c r="J43" s="102"/>
      <c r="K43" s="3"/>
      <c r="L43" s="5"/>
      <c r="O43" s="62"/>
    </row>
    <row r="44" spans="1:16" s="58" customFormat="1">
      <c r="A44"/>
      <c r="B44" s="63"/>
      <c r="C44" s="63"/>
      <c r="D44" s="88"/>
      <c r="E44" s="85"/>
      <c r="F44" s="85"/>
      <c r="G44" s="143"/>
      <c r="H44" s="141"/>
      <c r="I44" s="140"/>
      <c r="J44" s="141"/>
      <c r="K44" s="140"/>
      <c r="L44" s="143"/>
      <c r="O44" s="62"/>
      <c r="P44"/>
    </row>
    <row r="45" spans="1:16" s="58" customFormat="1">
      <c r="A45"/>
      <c r="B45" s="158"/>
      <c r="C45" s="20"/>
      <c r="D45" s="95"/>
      <c r="E45" s="96"/>
      <c r="F45" s="96"/>
      <c r="G45" s="146"/>
      <c r="H45" s="147"/>
      <c r="I45" s="69"/>
      <c r="J45" s="142"/>
      <c r="K45" s="69"/>
      <c r="L45" s="69"/>
      <c r="O45" s="62"/>
    </row>
    <row r="46" spans="1:16" s="58" customFormat="1">
      <c r="A46"/>
      <c r="B46" s="158"/>
      <c r="C46" s="20"/>
      <c r="D46" s="95"/>
      <c r="E46" s="96"/>
      <c r="F46" s="96"/>
      <c r="G46" s="146"/>
      <c r="H46" s="147"/>
      <c r="I46" s="69"/>
      <c r="J46" s="142"/>
      <c r="K46" s="69"/>
      <c r="L46" s="69"/>
      <c r="O46" s="60"/>
    </row>
    <row r="47" spans="1:16" s="58" customFormat="1">
      <c r="A47"/>
      <c r="B47" s="167"/>
      <c r="C47" s="167"/>
      <c r="D47" s="95"/>
      <c r="E47" s="96"/>
      <c r="F47" s="96"/>
      <c r="G47" s="146"/>
      <c r="H47" s="147"/>
      <c r="I47" s="69"/>
      <c r="J47" s="142"/>
      <c r="K47" s="69"/>
      <c r="L47" s="69"/>
      <c r="O47" s="60"/>
    </row>
    <row r="48" spans="1:16" s="58" customFormat="1">
      <c r="A48">
        <f t="shared" si="0"/>
        <v>0</v>
      </c>
      <c r="B48" s="66"/>
      <c r="C48" s="66"/>
      <c r="D48" s="93"/>
      <c r="E48" s="94"/>
      <c r="F48" s="94"/>
      <c r="G48" s="68"/>
      <c r="H48" s="100"/>
      <c r="I48" s="62"/>
      <c r="J48" s="94"/>
      <c r="K48" s="62"/>
      <c r="O48" s="62" t="s">
        <v>89</v>
      </c>
      <c r="P48" s="58">
        <f>4*J44</f>
        <v>0</v>
      </c>
    </row>
    <row r="49" spans="1:16" ht="56.25" customHeight="1">
      <c r="A49">
        <f t="shared" si="0"/>
        <v>0</v>
      </c>
      <c r="B49" s="1" t="s">
        <v>0</v>
      </c>
      <c r="C49" s="1" t="s">
        <v>1</v>
      </c>
      <c r="D49" s="84" t="s">
        <v>2</v>
      </c>
      <c r="E49" s="84" t="s">
        <v>3</v>
      </c>
      <c r="F49" s="84" t="s">
        <v>4</v>
      </c>
      <c r="G49" s="3" t="s">
        <v>5</v>
      </c>
      <c r="H49" s="98" t="s">
        <v>51</v>
      </c>
      <c r="I49" s="4" t="s">
        <v>6</v>
      </c>
      <c r="J49" s="102" t="s">
        <v>7</v>
      </c>
      <c r="K49" s="3" t="s">
        <v>52</v>
      </c>
      <c r="L49" s="5" t="s">
        <v>53</v>
      </c>
      <c r="M49" s="58"/>
      <c r="N49" s="58"/>
      <c r="O49" s="62"/>
      <c r="P49" s="58"/>
    </row>
    <row r="50" spans="1:16">
      <c r="A50">
        <f t="shared" si="0"/>
        <v>0</v>
      </c>
      <c r="B50" s="63" t="s">
        <v>21</v>
      </c>
      <c r="C50" s="63"/>
      <c r="D50" s="88" t="s">
        <v>64</v>
      </c>
      <c r="E50" s="85" t="s">
        <v>63</v>
      </c>
      <c r="F50" s="85"/>
      <c r="G50" s="143">
        <f>SUMPRODUCT(G51:G52,I51:I52)</f>
        <v>1.5045489999999999</v>
      </c>
      <c r="H50" s="141"/>
      <c r="I50" s="140"/>
      <c r="J50" s="141">
        <f>IF('Исход. данные'!C4="На стойку",'Исход. данные'!R51,0)</f>
        <v>0</v>
      </c>
      <c r="K50" s="140"/>
      <c r="L50" s="143">
        <f>0.08*P50</f>
        <v>0</v>
      </c>
      <c r="M50" s="58"/>
      <c r="N50" s="58"/>
      <c r="O50" s="62" t="s">
        <v>14</v>
      </c>
      <c r="P50">
        <f>SUM(K51:K52)</f>
        <v>0</v>
      </c>
    </row>
    <row r="51" spans="1:16">
      <c r="A51">
        <f t="shared" si="0"/>
        <v>0</v>
      </c>
      <c r="B51" s="158" t="s">
        <v>21</v>
      </c>
      <c r="C51" s="20">
        <v>1</v>
      </c>
      <c r="D51" s="95" t="s">
        <v>65</v>
      </c>
      <c r="E51" s="96" t="s">
        <v>66</v>
      </c>
      <c r="F51" s="96" t="s">
        <v>14</v>
      </c>
      <c r="G51" s="146">
        <f>0.841*H51</f>
        <v>1.181605</v>
      </c>
      <c r="H51" s="147">
        <v>1.405</v>
      </c>
      <c r="I51" s="69">
        <v>1</v>
      </c>
      <c r="J51" s="142">
        <f>J50*I51</f>
        <v>0</v>
      </c>
      <c r="K51" s="69">
        <f>J51*H51</f>
        <v>0</v>
      </c>
      <c r="L51" s="69"/>
      <c r="M51" s="58"/>
      <c r="N51" s="58"/>
      <c r="O51" s="62"/>
      <c r="P51" s="58"/>
    </row>
    <row r="52" spans="1:16">
      <c r="A52">
        <f t="shared" si="0"/>
        <v>0</v>
      </c>
      <c r="B52" s="158" t="s">
        <v>9</v>
      </c>
      <c r="C52" s="20">
        <v>2</v>
      </c>
      <c r="D52" s="95" t="s">
        <v>67</v>
      </c>
      <c r="E52" s="96" t="s">
        <v>68</v>
      </c>
      <c r="F52" s="96" t="s">
        <v>14</v>
      </c>
      <c r="G52" s="146">
        <f>0.841*H52</f>
        <v>0.161472</v>
      </c>
      <c r="H52" s="147">
        <v>0.192</v>
      </c>
      <c r="I52" s="69">
        <v>2</v>
      </c>
      <c r="J52" s="142">
        <f>J50*I52</f>
        <v>0</v>
      </c>
      <c r="K52" s="69">
        <f>J52*H52</f>
        <v>0</v>
      </c>
      <c r="L52" s="69"/>
      <c r="M52" s="58"/>
      <c r="N52" s="58"/>
      <c r="O52" s="60" t="s">
        <v>85</v>
      </c>
      <c r="P52" s="58">
        <f>0.02*0.154*H51*J50</f>
        <v>0</v>
      </c>
    </row>
    <row r="53" spans="1:16">
      <c r="A53">
        <f t="shared" si="0"/>
        <v>0</v>
      </c>
      <c r="B53" s="167"/>
      <c r="C53" s="167">
        <v>3</v>
      </c>
      <c r="D53" s="95"/>
      <c r="E53" s="96" t="s">
        <v>170</v>
      </c>
      <c r="F53" s="96"/>
      <c r="G53" s="146"/>
      <c r="H53" s="147"/>
      <c r="I53" s="69">
        <v>4</v>
      </c>
      <c r="J53" s="142">
        <f>J51*I53</f>
        <v>0</v>
      </c>
      <c r="K53" s="69"/>
      <c r="L53" s="69"/>
      <c r="M53" s="58"/>
      <c r="N53" s="58"/>
      <c r="O53" s="60"/>
      <c r="P53" s="58"/>
    </row>
    <row r="54" spans="1:16">
      <c r="B54" s="66"/>
      <c r="C54" s="67"/>
      <c r="D54" s="91"/>
      <c r="E54" s="94"/>
      <c r="F54" s="87"/>
      <c r="G54" s="61"/>
      <c r="H54" s="99"/>
      <c r="I54" s="60"/>
      <c r="J54" s="87"/>
      <c r="K54" s="60"/>
      <c r="O54" s="62"/>
      <c r="P54" s="58"/>
    </row>
    <row r="55" spans="1:16" ht="62.25" customHeight="1">
      <c r="B55" s="1"/>
      <c r="C55" s="1"/>
      <c r="D55" s="84"/>
      <c r="E55" s="84"/>
      <c r="F55" s="84"/>
      <c r="G55" s="3"/>
      <c r="H55" s="98"/>
      <c r="I55" s="4"/>
      <c r="J55" s="102"/>
      <c r="K55" s="3"/>
      <c r="L55" s="5"/>
      <c r="M55" s="58"/>
      <c r="N55" s="58"/>
      <c r="O55" s="62"/>
      <c r="P55" s="58"/>
    </row>
    <row r="56" spans="1:16">
      <c r="B56" s="63"/>
      <c r="C56" s="63"/>
      <c r="D56" s="88"/>
      <c r="E56" s="85"/>
      <c r="F56" s="85"/>
      <c r="G56" s="143"/>
      <c r="H56" s="141"/>
      <c r="I56" s="140"/>
      <c r="J56" s="141"/>
      <c r="K56" s="140"/>
      <c r="L56" s="143"/>
      <c r="M56" s="58"/>
      <c r="N56" s="58"/>
      <c r="O56" s="62"/>
    </row>
    <row r="57" spans="1:16">
      <c r="B57" s="158"/>
      <c r="C57" s="20"/>
      <c r="D57" s="95"/>
      <c r="E57" s="96"/>
      <c r="F57" s="96"/>
      <c r="G57" s="146"/>
      <c r="H57" s="147"/>
      <c r="I57" s="69"/>
      <c r="J57" s="142"/>
      <c r="K57" s="69"/>
      <c r="L57" s="69"/>
      <c r="M57" s="58"/>
      <c r="N57" s="58"/>
      <c r="O57" s="62"/>
      <c r="P57" s="58"/>
    </row>
    <row r="58" spans="1:16">
      <c r="B58" s="158"/>
      <c r="C58" s="20"/>
      <c r="D58" s="95"/>
      <c r="E58" s="96"/>
      <c r="F58" s="96"/>
      <c r="G58" s="146"/>
      <c r="H58" s="147"/>
      <c r="I58" s="69"/>
      <c r="J58" s="142"/>
      <c r="K58" s="69"/>
      <c r="L58" s="69"/>
      <c r="M58" s="58"/>
      <c r="N58" s="58"/>
      <c r="O58" s="60"/>
      <c r="P58" s="58"/>
    </row>
    <row r="59" spans="1:16">
      <c r="B59" s="167"/>
      <c r="C59" s="167"/>
      <c r="D59" s="95"/>
      <c r="E59" s="96"/>
      <c r="F59" s="96"/>
      <c r="G59" s="146"/>
      <c r="H59" s="147"/>
      <c r="I59" s="69"/>
      <c r="J59" s="142"/>
      <c r="K59" s="69"/>
      <c r="L59" s="69"/>
      <c r="M59" s="58"/>
      <c r="N59" s="58"/>
      <c r="O59" s="60"/>
      <c r="P59" s="58"/>
    </row>
    <row r="60" spans="1:16">
      <c r="A60">
        <f t="shared" si="0"/>
        <v>0</v>
      </c>
      <c r="B60" s="66"/>
      <c r="C60" s="67"/>
      <c r="D60" s="91"/>
      <c r="E60" s="87"/>
      <c r="F60" s="87"/>
      <c r="G60" s="61"/>
      <c r="H60" s="99"/>
      <c r="I60" s="60"/>
      <c r="J60" s="87"/>
      <c r="K60" s="60"/>
      <c r="O60" s="62" t="s">
        <v>89</v>
      </c>
      <c r="P60" s="58">
        <f>4*J56</f>
        <v>0</v>
      </c>
    </row>
    <row r="61" spans="1:16" ht="63" customHeight="1">
      <c r="A61">
        <f t="shared" si="0"/>
        <v>0</v>
      </c>
      <c r="B61" s="1" t="s">
        <v>0</v>
      </c>
      <c r="C61" s="1" t="s">
        <v>1</v>
      </c>
      <c r="D61" s="84" t="s">
        <v>2</v>
      </c>
      <c r="E61" s="84" t="s">
        <v>3</v>
      </c>
      <c r="F61" s="84" t="s">
        <v>4</v>
      </c>
      <c r="G61" s="3" t="s">
        <v>5</v>
      </c>
      <c r="H61" s="98" t="s">
        <v>51</v>
      </c>
      <c r="I61" s="4" t="s">
        <v>6</v>
      </c>
      <c r="J61" s="102" t="s">
        <v>7</v>
      </c>
      <c r="K61" s="3" t="s">
        <v>52</v>
      </c>
      <c r="L61" s="5" t="s">
        <v>53</v>
      </c>
      <c r="M61" s="58"/>
      <c r="N61" s="58"/>
      <c r="O61" s="62"/>
      <c r="P61" s="58"/>
    </row>
    <row r="62" spans="1:16">
      <c r="A62">
        <f t="shared" si="0"/>
        <v>0</v>
      </c>
      <c r="B62" s="63" t="s">
        <v>21</v>
      </c>
      <c r="C62" s="63"/>
      <c r="D62" s="88" t="s">
        <v>70</v>
      </c>
      <c r="E62" s="85" t="s">
        <v>63</v>
      </c>
      <c r="F62" s="85"/>
      <c r="G62" s="143">
        <f>SUMPRODUCT(G63:G64,I63:I64)</f>
        <v>0.73082899999999995</v>
      </c>
      <c r="H62" s="141"/>
      <c r="I62" s="140"/>
      <c r="J62" s="141">
        <f>IF('Исход. данные'!C4="На стойку",'Исход. данные'!L51,0)</f>
        <v>0</v>
      </c>
      <c r="K62" s="140"/>
      <c r="L62" s="143">
        <f>0.08*P62</f>
        <v>0</v>
      </c>
      <c r="M62" s="58"/>
      <c r="N62" s="58"/>
      <c r="O62" s="62" t="s">
        <v>14</v>
      </c>
      <c r="P62">
        <f>SUM(K63:K64)</f>
        <v>0</v>
      </c>
    </row>
    <row r="63" spans="1:16">
      <c r="A63">
        <f t="shared" si="0"/>
        <v>0</v>
      </c>
      <c r="B63" s="158" t="s">
        <v>21</v>
      </c>
      <c r="C63" s="20">
        <v>1</v>
      </c>
      <c r="D63" s="95" t="s">
        <v>71</v>
      </c>
      <c r="E63" s="96" t="s">
        <v>66</v>
      </c>
      <c r="F63" s="96" t="s">
        <v>14</v>
      </c>
      <c r="G63" s="146">
        <f>0.841*H63</f>
        <v>0.407885</v>
      </c>
      <c r="H63" s="147">
        <v>0.48499999999999999</v>
      </c>
      <c r="I63" s="69">
        <v>1</v>
      </c>
      <c r="J63" s="142">
        <f>J62*I63</f>
        <v>0</v>
      </c>
      <c r="K63" s="69">
        <f>J63*H63</f>
        <v>0</v>
      </c>
      <c r="L63" s="69"/>
      <c r="M63" s="58"/>
      <c r="N63" s="58"/>
      <c r="O63" s="62"/>
      <c r="P63" s="58"/>
    </row>
    <row r="64" spans="1:16">
      <c r="A64">
        <f t="shared" si="0"/>
        <v>0</v>
      </c>
      <c r="B64" s="158" t="s">
        <v>9</v>
      </c>
      <c r="C64" s="20">
        <v>2</v>
      </c>
      <c r="D64" s="95" t="s">
        <v>67</v>
      </c>
      <c r="E64" s="96" t="s">
        <v>68</v>
      </c>
      <c r="F64" s="96" t="s">
        <v>14</v>
      </c>
      <c r="G64" s="146">
        <f>0.841*H64</f>
        <v>0.161472</v>
      </c>
      <c r="H64" s="147">
        <v>0.192</v>
      </c>
      <c r="I64" s="69">
        <v>2</v>
      </c>
      <c r="J64" s="142">
        <f>J62*I64</f>
        <v>0</v>
      </c>
      <c r="K64" s="69">
        <f>J64*H64</f>
        <v>0</v>
      </c>
      <c r="L64" s="69"/>
      <c r="M64" s="58"/>
      <c r="N64" s="58"/>
      <c r="O64" s="60" t="s">
        <v>85</v>
      </c>
      <c r="P64" s="58">
        <f>0.02*0.154*H63*J62</f>
        <v>0</v>
      </c>
    </row>
    <row r="65" spans="1:16">
      <c r="A65">
        <f t="shared" si="0"/>
        <v>0</v>
      </c>
      <c r="B65" s="167"/>
      <c r="C65" s="167">
        <v>3</v>
      </c>
      <c r="D65" s="95"/>
      <c r="E65" s="96" t="s">
        <v>170</v>
      </c>
      <c r="F65" s="96"/>
      <c r="G65" s="146"/>
      <c r="H65" s="147"/>
      <c r="I65" s="69">
        <v>4</v>
      </c>
      <c r="J65" s="142">
        <f>J63*I65</f>
        <v>0</v>
      </c>
      <c r="K65" s="69"/>
      <c r="L65" s="69"/>
      <c r="M65" s="58"/>
      <c r="N65" s="58"/>
      <c r="O65" s="60"/>
      <c r="P65" s="58"/>
    </row>
    <row r="66" spans="1:16">
      <c r="A66">
        <f t="shared" si="0"/>
        <v>0</v>
      </c>
      <c r="B66" s="66"/>
      <c r="C66" s="67"/>
      <c r="D66" s="91"/>
      <c r="E66" s="87"/>
      <c r="F66" s="87"/>
      <c r="G66" s="61"/>
      <c r="H66" s="99"/>
      <c r="I66" s="60"/>
      <c r="J66" s="87"/>
      <c r="K66" s="60"/>
      <c r="O66" s="62" t="s">
        <v>89</v>
      </c>
      <c r="P66" s="58">
        <f>4*J62</f>
        <v>0</v>
      </c>
    </row>
    <row r="67" spans="1:16" ht="62.25">
      <c r="A67">
        <f t="shared" si="0"/>
        <v>0</v>
      </c>
      <c r="B67" s="1" t="s">
        <v>0</v>
      </c>
      <c r="C67" s="1" t="s">
        <v>1</v>
      </c>
      <c r="D67" s="84" t="s">
        <v>2</v>
      </c>
      <c r="E67" s="84" t="s">
        <v>3</v>
      </c>
      <c r="F67" s="84" t="s">
        <v>4</v>
      </c>
      <c r="G67" s="3" t="s">
        <v>5</v>
      </c>
      <c r="H67" s="98" t="s">
        <v>51</v>
      </c>
      <c r="I67" s="4" t="s">
        <v>6</v>
      </c>
      <c r="J67" s="102" t="s">
        <v>7</v>
      </c>
      <c r="K67" s="3" t="s">
        <v>52</v>
      </c>
      <c r="L67" s="5" t="s">
        <v>53</v>
      </c>
      <c r="O67" s="60"/>
    </row>
    <row r="68" spans="1:16">
      <c r="A68">
        <f t="shared" si="0"/>
        <v>0</v>
      </c>
      <c r="B68" s="63" t="s">
        <v>21</v>
      </c>
      <c r="C68" s="63"/>
      <c r="D68" s="88" t="s">
        <v>72</v>
      </c>
      <c r="E68" s="85" t="s">
        <v>63</v>
      </c>
      <c r="F68" s="85"/>
      <c r="G68" s="143">
        <f>SUMPRODUCT(G69:G70,I69:I70)</f>
        <v>1.130304</v>
      </c>
      <c r="H68" s="141"/>
      <c r="I68" s="140"/>
      <c r="J68" s="141">
        <f>IF('Исход. данные'!C4="На стойку",'Исход. данные'!K51,0)</f>
        <v>0</v>
      </c>
      <c r="K68" s="140"/>
      <c r="L68" s="143">
        <f>0.08*P68</f>
        <v>0</v>
      </c>
      <c r="O68" s="62" t="s">
        <v>14</v>
      </c>
      <c r="P68">
        <f>SUM(K69:K70)</f>
        <v>0</v>
      </c>
    </row>
    <row r="69" spans="1:16">
      <c r="A69">
        <f t="shared" ref="A69:A113" si="7">IF(AND(J70="Кол-во в заказе, шт",J71&gt;0),1,IF(AND(J70&gt;0,J71&gt;0),1,IF(AND(J70&gt;0,J70&lt;&gt;"Кол-во в заказе, шт"),1,IF(AND(J70=0,J69&gt;0,J69&lt;&gt;"Кол-во в заказе, шт"),1,0))))</f>
        <v>0</v>
      </c>
      <c r="B69" s="158" t="s">
        <v>21</v>
      </c>
      <c r="C69" s="20">
        <v>1</v>
      </c>
      <c r="D69" s="95" t="s">
        <v>73</v>
      </c>
      <c r="E69" s="96" t="s">
        <v>66</v>
      </c>
      <c r="F69" s="96" t="s">
        <v>14</v>
      </c>
      <c r="G69" s="146">
        <f>0.841*H69</f>
        <v>0.80735999999999997</v>
      </c>
      <c r="H69" s="147">
        <v>0.96</v>
      </c>
      <c r="I69" s="69">
        <v>1</v>
      </c>
      <c r="J69" s="142">
        <f>J68*I69</f>
        <v>0</v>
      </c>
      <c r="K69" s="69">
        <f>J69*H69</f>
        <v>0</v>
      </c>
      <c r="L69" s="69"/>
      <c r="O69" s="62"/>
      <c r="P69" s="58"/>
    </row>
    <row r="70" spans="1:16">
      <c r="A70">
        <f t="shared" si="7"/>
        <v>0</v>
      </c>
      <c r="B70" s="158" t="s">
        <v>9</v>
      </c>
      <c r="C70" s="20">
        <v>2</v>
      </c>
      <c r="D70" s="95" t="s">
        <v>67</v>
      </c>
      <c r="E70" s="96" t="s">
        <v>68</v>
      </c>
      <c r="F70" s="96" t="s">
        <v>14</v>
      </c>
      <c r="G70" s="146">
        <f>0.841*H70</f>
        <v>0.161472</v>
      </c>
      <c r="H70" s="147">
        <v>0.192</v>
      </c>
      <c r="I70" s="69">
        <v>2</v>
      </c>
      <c r="J70" s="142">
        <f>J68*I70</f>
        <v>0</v>
      </c>
      <c r="K70" s="69">
        <f>J70*H70</f>
        <v>0</v>
      </c>
      <c r="L70" s="69"/>
      <c r="O70" s="60" t="s">
        <v>85</v>
      </c>
      <c r="P70" s="58">
        <f>0.02*0.154*H69*J68</f>
        <v>0</v>
      </c>
    </row>
    <row r="71" spans="1:16">
      <c r="A71">
        <f t="shared" si="7"/>
        <v>0</v>
      </c>
      <c r="B71" s="167"/>
      <c r="C71" s="167">
        <v>3</v>
      </c>
      <c r="D71" s="95"/>
      <c r="E71" s="96" t="s">
        <v>170</v>
      </c>
      <c r="F71" s="96"/>
      <c r="G71" s="146"/>
      <c r="H71" s="147"/>
      <c r="I71" s="69">
        <v>4</v>
      </c>
      <c r="J71" s="142">
        <f>J69*I71</f>
        <v>0</v>
      </c>
      <c r="K71" s="69"/>
      <c r="L71" s="69"/>
      <c r="O71" s="60"/>
      <c r="P71" s="58"/>
    </row>
    <row r="72" spans="1:16">
      <c r="A72">
        <f t="shared" si="7"/>
        <v>0</v>
      </c>
      <c r="B72" s="66"/>
      <c r="C72" s="67"/>
      <c r="D72" s="91"/>
      <c r="E72" s="87"/>
      <c r="F72" s="87"/>
      <c r="G72" s="61"/>
      <c r="H72" s="99"/>
      <c r="I72" s="60"/>
      <c r="J72" s="87"/>
      <c r="K72" s="60"/>
      <c r="O72" s="62" t="s">
        <v>89</v>
      </c>
      <c r="P72" s="58">
        <f>4*J68</f>
        <v>0</v>
      </c>
    </row>
    <row r="73" spans="1:16" ht="64.5" customHeight="1">
      <c r="A73">
        <f t="shared" si="7"/>
        <v>0</v>
      </c>
      <c r="B73" s="1" t="s">
        <v>0</v>
      </c>
      <c r="C73" s="1" t="s">
        <v>1</v>
      </c>
      <c r="D73" s="84" t="s">
        <v>2</v>
      </c>
      <c r="E73" s="84" t="s">
        <v>3</v>
      </c>
      <c r="F73" s="84" t="s">
        <v>4</v>
      </c>
      <c r="G73" s="3" t="s">
        <v>5</v>
      </c>
      <c r="H73" s="98" t="s">
        <v>51</v>
      </c>
      <c r="I73" s="4" t="s">
        <v>6</v>
      </c>
      <c r="J73" s="102" t="s">
        <v>7</v>
      </c>
      <c r="K73" s="3" t="s">
        <v>52</v>
      </c>
      <c r="L73" s="5" t="s">
        <v>53</v>
      </c>
      <c r="O73" s="60"/>
    </row>
    <row r="74" spans="1:16">
      <c r="A74">
        <f t="shared" si="7"/>
        <v>0</v>
      </c>
      <c r="B74" s="63" t="s">
        <v>21</v>
      </c>
      <c r="C74" s="63"/>
      <c r="D74" s="88" t="s">
        <v>74</v>
      </c>
      <c r="E74" s="85" t="s">
        <v>63</v>
      </c>
      <c r="F74" s="85"/>
      <c r="G74" s="15">
        <f>SUMPRODUCT(G75:G76,I75:I76)</f>
        <v>1.529779</v>
      </c>
      <c r="H74" s="85"/>
      <c r="I74" s="7"/>
      <c r="J74" s="141">
        <f>IF('Исход. данные'!C4="На стойку",'Исход. данные'!J51,0)</f>
        <v>0</v>
      </c>
      <c r="K74" s="7"/>
      <c r="L74" s="15">
        <f>0.08*P74</f>
        <v>0</v>
      </c>
      <c r="O74" s="62" t="s">
        <v>14</v>
      </c>
      <c r="P74">
        <f>SUM(K75:K76)</f>
        <v>0</v>
      </c>
    </row>
    <row r="75" spans="1:16">
      <c r="A75">
        <f t="shared" si="7"/>
        <v>0</v>
      </c>
      <c r="B75" s="158" t="s">
        <v>21</v>
      </c>
      <c r="C75" s="20">
        <v>1</v>
      </c>
      <c r="D75" s="95" t="s">
        <v>75</v>
      </c>
      <c r="E75" s="96" t="s">
        <v>66</v>
      </c>
      <c r="F75" s="96" t="s">
        <v>14</v>
      </c>
      <c r="G75" s="59">
        <f>0.841*H75</f>
        <v>1.2068350000000001</v>
      </c>
      <c r="H75" s="101">
        <v>1.4350000000000001</v>
      </c>
      <c r="I75" s="11">
        <v>1</v>
      </c>
      <c r="J75" s="142">
        <f>J74*I75</f>
        <v>0</v>
      </c>
      <c r="K75" s="11">
        <f>J75*H75</f>
        <v>0</v>
      </c>
      <c r="L75" s="11"/>
      <c r="O75" s="62"/>
      <c r="P75" s="58"/>
    </row>
    <row r="76" spans="1:16">
      <c r="A76">
        <f t="shared" si="7"/>
        <v>0</v>
      </c>
      <c r="B76" s="158" t="s">
        <v>9</v>
      </c>
      <c r="C76" s="20">
        <v>2</v>
      </c>
      <c r="D76" s="95" t="s">
        <v>67</v>
      </c>
      <c r="E76" s="96" t="s">
        <v>68</v>
      </c>
      <c r="F76" s="96" t="s">
        <v>14</v>
      </c>
      <c r="G76" s="59">
        <f>0.841*H76</f>
        <v>0.161472</v>
      </c>
      <c r="H76" s="101">
        <v>0.192</v>
      </c>
      <c r="I76" s="11">
        <v>2</v>
      </c>
      <c r="J76" s="142">
        <f>J74*I76</f>
        <v>0</v>
      </c>
      <c r="K76" s="11">
        <f>J76*H76</f>
        <v>0</v>
      </c>
      <c r="L76" s="11"/>
      <c r="O76" s="60" t="s">
        <v>85</v>
      </c>
      <c r="P76" s="58">
        <f>0.02*0.154*H75*J74</f>
        <v>0</v>
      </c>
    </row>
    <row r="77" spans="1:16">
      <c r="A77">
        <f t="shared" si="7"/>
        <v>0</v>
      </c>
      <c r="B77" s="167"/>
      <c r="C77" s="167">
        <v>3</v>
      </c>
      <c r="D77" s="95"/>
      <c r="E77" s="96" t="s">
        <v>170</v>
      </c>
      <c r="F77" s="96"/>
      <c r="G77" s="146"/>
      <c r="H77" s="147"/>
      <c r="I77" s="69">
        <v>4</v>
      </c>
      <c r="J77" s="142">
        <f>J75*I77</f>
        <v>0</v>
      </c>
      <c r="K77" s="11"/>
      <c r="L77" s="11"/>
      <c r="O77" s="60"/>
      <c r="P77" s="58"/>
    </row>
    <row r="78" spans="1:16">
      <c r="A78">
        <f t="shared" si="7"/>
        <v>0</v>
      </c>
      <c r="B78" s="66"/>
      <c r="C78" s="67"/>
      <c r="D78" s="91"/>
      <c r="E78" s="87"/>
      <c r="F78" s="87"/>
      <c r="G78" s="61"/>
      <c r="H78" s="99"/>
      <c r="I78" s="60"/>
      <c r="J78" s="87"/>
      <c r="K78" s="60"/>
      <c r="O78" s="62" t="s">
        <v>89</v>
      </c>
      <c r="P78" s="58">
        <f>4*J74</f>
        <v>0</v>
      </c>
    </row>
    <row r="79" spans="1:16" ht="62.25" customHeight="1">
      <c r="A79">
        <f t="shared" si="7"/>
        <v>0</v>
      </c>
      <c r="B79" s="1" t="s">
        <v>0</v>
      </c>
      <c r="C79" s="1" t="s">
        <v>1</v>
      </c>
      <c r="D79" s="84" t="s">
        <v>2</v>
      </c>
      <c r="E79" s="84" t="s">
        <v>3</v>
      </c>
      <c r="F79" s="84" t="s">
        <v>4</v>
      </c>
      <c r="G79" s="3" t="s">
        <v>5</v>
      </c>
      <c r="H79" s="98" t="s">
        <v>51</v>
      </c>
      <c r="I79" s="4" t="s">
        <v>6</v>
      </c>
      <c r="J79" s="102" t="s">
        <v>7</v>
      </c>
      <c r="K79" s="3" t="s">
        <v>52</v>
      </c>
      <c r="L79" s="5" t="s">
        <v>53</v>
      </c>
      <c r="O79" s="60"/>
    </row>
    <row r="80" spans="1:16">
      <c r="A80">
        <f t="shared" si="7"/>
        <v>0</v>
      </c>
      <c r="B80" s="63" t="s">
        <v>21</v>
      </c>
      <c r="C80" s="63"/>
      <c r="D80" s="88" t="s">
        <v>76</v>
      </c>
      <c r="E80" s="85" t="s">
        <v>63</v>
      </c>
      <c r="F80" s="85"/>
      <c r="G80" s="143">
        <f>SUMPRODUCT(G81:G82,I81:I82)</f>
        <v>1.9292539999999998</v>
      </c>
      <c r="H80" s="141"/>
      <c r="I80" s="140"/>
      <c r="J80" s="141">
        <f>IF('Исход. данные'!C4="На стойку",'Исход. данные'!I51,0)</f>
        <v>0</v>
      </c>
      <c r="K80" s="140"/>
      <c r="L80" s="143">
        <f>0.08*P80</f>
        <v>0</v>
      </c>
      <c r="O80" s="62" t="s">
        <v>14</v>
      </c>
      <c r="P80">
        <f>SUM(K81:K82)</f>
        <v>0</v>
      </c>
    </row>
    <row r="81" spans="1:16">
      <c r="A81">
        <f t="shared" si="7"/>
        <v>0</v>
      </c>
      <c r="B81" s="158" t="s">
        <v>21</v>
      </c>
      <c r="C81" s="20">
        <v>1</v>
      </c>
      <c r="D81" s="95" t="s">
        <v>77</v>
      </c>
      <c r="E81" s="96" t="s">
        <v>66</v>
      </c>
      <c r="F81" s="96" t="s">
        <v>14</v>
      </c>
      <c r="G81" s="146">
        <f>0.841*H81</f>
        <v>1.6063099999999999</v>
      </c>
      <c r="H81" s="147">
        <v>1.91</v>
      </c>
      <c r="I81" s="69">
        <v>1</v>
      </c>
      <c r="J81" s="142">
        <f>J80*I81</f>
        <v>0</v>
      </c>
      <c r="K81" s="69">
        <f>J81*H81</f>
        <v>0</v>
      </c>
      <c r="L81" s="69"/>
      <c r="O81" s="62"/>
      <c r="P81" s="58"/>
    </row>
    <row r="82" spans="1:16">
      <c r="A82">
        <f t="shared" si="7"/>
        <v>0</v>
      </c>
      <c r="B82" s="158" t="s">
        <v>9</v>
      </c>
      <c r="C82" s="20">
        <v>2</v>
      </c>
      <c r="D82" s="95" t="s">
        <v>67</v>
      </c>
      <c r="E82" s="96" t="s">
        <v>68</v>
      </c>
      <c r="F82" s="96" t="s">
        <v>14</v>
      </c>
      <c r="G82" s="146">
        <f>0.841*H82</f>
        <v>0.161472</v>
      </c>
      <c r="H82" s="147">
        <v>0.192</v>
      </c>
      <c r="I82" s="69">
        <v>2</v>
      </c>
      <c r="J82" s="142">
        <f>J80*I82</f>
        <v>0</v>
      </c>
      <c r="K82" s="69">
        <f>J82*H82</f>
        <v>0</v>
      </c>
      <c r="L82" s="69"/>
      <c r="O82" s="60" t="s">
        <v>85</v>
      </c>
      <c r="P82" s="58">
        <f>0.02*0.154*H81*J80</f>
        <v>0</v>
      </c>
    </row>
    <row r="83" spans="1:16">
      <c r="A83">
        <f t="shared" si="7"/>
        <v>0</v>
      </c>
      <c r="B83" s="167"/>
      <c r="C83" s="167">
        <v>3</v>
      </c>
      <c r="D83" s="95"/>
      <c r="E83" s="96" t="s">
        <v>170</v>
      </c>
      <c r="F83" s="96"/>
      <c r="G83" s="146"/>
      <c r="H83" s="147"/>
      <c r="I83" s="69">
        <v>4</v>
      </c>
      <c r="J83" s="142">
        <f>J81*I83</f>
        <v>0</v>
      </c>
      <c r="K83" s="69"/>
      <c r="L83" s="69"/>
      <c r="O83" s="60"/>
      <c r="P83" s="58"/>
    </row>
    <row r="84" spans="1:16">
      <c r="A84">
        <f t="shared" si="7"/>
        <v>0</v>
      </c>
      <c r="B84" s="66"/>
      <c r="C84" s="66"/>
      <c r="D84" s="93"/>
      <c r="E84" s="94"/>
      <c r="F84" s="94"/>
      <c r="G84" s="68"/>
      <c r="H84" s="100"/>
      <c r="I84" s="62"/>
      <c r="J84" s="94"/>
      <c r="K84" s="62"/>
      <c r="L84" s="62"/>
      <c r="O84" s="62" t="s">
        <v>89</v>
      </c>
      <c r="P84" s="58">
        <f>4*J80</f>
        <v>0</v>
      </c>
    </row>
    <row r="85" spans="1:16" ht="64.5" customHeight="1">
      <c r="A85">
        <f t="shared" si="7"/>
        <v>0</v>
      </c>
      <c r="B85" s="1" t="s">
        <v>0</v>
      </c>
      <c r="C85" s="1" t="s">
        <v>1</v>
      </c>
      <c r="D85" s="128" t="s">
        <v>2</v>
      </c>
      <c r="E85" s="128" t="s">
        <v>3</v>
      </c>
      <c r="F85" s="128" t="s">
        <v>4</v>
      </c>
      <c r="G85" s="3" t="s">
        <v>5</v>
      </c>
      <c r="H85" s="129" t="s">
        <v>51</v>
      </c>
      <c r="I85" s="4" t="s">
        <v>6</v>
      </c>
      <c r="J85" s="102" t="s">
        <v>7</v>
      </c>
      <c r="K85" s="3" t="s">
        <v>52</v>
      </c>
      <c r="L85" s="5" t="s">
        <v>53</v>
      </c>
      <c r="O85" s="60"/>
    </row>
    <row r="86" spans="1:16">
      <c r="A86">
        <f t="shared" si="7"/>
        <v>0</v>
      </c>
      <c r="B86" s="63" t="s">
        <v>21</v>
      </c>
      <c r="C86" s="63"/>
      <c r="D86" s="131" t="s">
        <v>136</v>
      </c>
      <c r="E86" s="132" t="s">
        <v>63</v>
      </c>
      <c r="F86" s="132"/>
      <c r="G86" s="148">
        <f>SUMPRODUCT(G87:G88,I87:I88)</f>
        <v>0.75605900000000004</v>
      </c>
      <c r="H86" s="149"/>
      <c r="I86" s="140"/>
      <c r="J86" s="149">
        <f>IF('Исход. данные'!C4="На стойку",'Исход. данные'!P51,0)</f>
        <v>0</v>
      </c>
      <c r="K86" s="140"/>
      <c r="L86" s="143">
        <f>0.08*P86</f>
        <v>0</v>
      </c>
      <c r="O86" s="62" t="s">
        <v>14</v>
      </c>
      <c r="P86">
        <f>SUM(K87:K88)</f>
        <v>0</v>
      </c>
    </row>
    <row r="87" spans="1:16">
      <c r="A87">
        <f t="shared" si="7"/>
        <v>0</v>
      </c>
      <c r="B87" s="117" t="s">
        <v>21</v>
      </c>
      <c r="C87" s="117">
        <v>1</v>
      </c>
      <c r="D87" s="133" t="s">
        <v>137</v>
      </c>
      <c r="E87" s="134" t="s">
        <v>66</v>
      </c>
      <c r="F87" s="134" t="s">
        <v>14</v>
      </c>
      <c r="G87" s="146">
        <f>0.841*H87</f>
        <v>0.43311499999999997</v>
      </c>
      <c r="H87" s="150">
        <v>0.51500000000000001</v>
      </c>
      <c r="I87" s="69">
        <v>1</v>
      </c>
      <c r="J87" s="138">
        <f>J86*I87</f>
        <v>0</v>
      </c>
      <c r="K87" s="69">
        <f>J87*H87</f>
        <v>0</v>
      </c>
      <c r="L87" s="69"/>
      <c r="O87" s="62"/>
      <c r="P87" s="58"/>
    </row>
    <row r="88" spans="1:16">
      <c r="A88">
        <f t="shared" si="7"/>
        <v>0</v>
      </c>
      <c r="B88" s="117" t="s">
        <v>9</v>
      </c>
      <c r="C88" s="117">
        <v>2</v>
      </c>
      <c r="D88" s="133" t="s">
        <v>67</v>
      </c>
      <c r="E88" s="134" t="s">
        <v>68</v>
      </c>
      <c r="F88" s="134" t="s">
        <v>14</v>
      </c>
      <c r="G88" s="146">
        <f>0.841*H88</f>
        <v>0.161472</v>
      </c>
      <c r="H88" s="150">
        <v>0.192</v>
      </c>
      <c r="I88" s="69">
        <v>2</v>
      </c>
      <c r="J88" s="138">
        <f>J86*I88</f>
        <v>0</v>
      </c>
      <c r="K88" s="69">
        <f>J88*H88</f>
        <v>0</v>
      </c>
      <c r="L88" s="69"/>
      <c r="O88" s="60" t="s">
        <v>85</v>
      </c>
      <c r="P88" s="58">
        <f>0.02*0.154*H87*J86</f>
        <v>0</v>
      </c>
    </row>
    <row r="89" spans="1:16">
      <c r="A89">
        <f t="shared" si="7"/>
        <v>0</v>
      </c>
      <c r="B89" s="167"/>
      <c r="C89" s="167">
        <v>3</v>
      </c>
      <c r="D89" s="95"/>
      <c r="E89" s="96" t="s">
        <v>170</v>
      </c>
      <c r="F89" s="96"/>
      <c r="G89" s="146"/>
      <c r="H89" s="147"/>
      <c r="I89" s="69">
        <v>4</v>
      </c>
      <c r="J89" s="138">
        <f>J87*I89</f>
        <v>0</v>
      </c>
      <c r="K89" s="69"/>
      <c r="L89" s="69"/>
      <c r="O89" s="60"/>
      <c r="P89" s="58"/>
    </row>
    <row r="90" spans="1:16">
      <c r="A90">
        <f t="shared" si="7"/>
        <v>0</v>
      </c>
      <c r="B90" s="66"/>
      <c r="C90" s="67"/>
      <c r="D90" s="123"/>
      <c r="E90" s="60"/>
      <c r="F90" s="60"/>
      <c r="G90" s="61"/>
      <c r="H90" s="124"/>
      <c r="I90" s="60"/>
      <c r="J90" s="60"/>
      <c r="K90" s="60"/>
      <c r="O90" s="62" t="s">
        <v>89</v>
      </c>
      <c r="P90" s="58">
        <f>4*J86</f>
        <v>0</v>
      </c>
    </row>
    <row r="91" spans="1:16" ht="63" customHeight="1">
      <c r="A91">
        <f t="shared" si="7"/>
        <v>0</v>
      </c>
      <c r="B91" s="1" t="s">
        <v>0</v>
      </c>
      <c r="C91" s="1" t="s">
        <v>1</v>
      </c>
      <c r="D91" s="128" t="s">
        <v>2</v>
      </c>
      <c r="E91" s="128" t="s">
        <v>3</v>
      </c>
      <c r="F91" s="128" t="s">
        <v>4</v>
      </c>
      <c r="G91" s="3" t="s">
        <v>5</v>
      </c>
      <c r="H91" s="129" t="s">
        <v>51</v>
      </c>
      <c r="I91" s="4" t="s">
        <v>6</v>
      </c>
      <c r="J91" s="102" t="s">
        <v>7</v>
      </c>
      <c r="K91" s="3" t="s">
        <v>52</v>
      </c>
      <c r="L91" s="5" t="s">
        <v>53</v>
      </c>
      <c r="O91" s="60"/>
    </row>
    <row r="92" spans="1:16">
      <c r="A92">
        <f t="shared" si="7"/>
        <v>0</v>
      </c>
      <c r="B92" s="63" t="s">
        <v>21</v>
      </c>
      <c r="C92" s="63"/>
      <c r="D92" s="131" t="s">
        <v>138</v>
      </c>
      <c r="E92" s="132" t="s">
        <v>63</v>
      </c>
      <c r="F92" s="132"/>
      <c r="G92" s="148">
        <f>SUMPRODUCT(G93:G94,I93:I94)</f>
        <v>1.1555339999999998</v>
      </c>
      <c r="H92" s="149"/>
      <c r="I92" s="140"/>
      <c r="J92" s="149">
        <f>IF('Исход. данные'!C4="На стойку",'Исход. данные'!O51,0)</f>
        <v>0</v>
      </c>
      <c r="K92" s="140"/>
      <c r="L92" s="143">
        <f>0.08*P92</f>
        <v>0</v>
      </c>
      <c r="O92" s="62" t="s">
        <v>14</v>
      </c>
      <c r="P92">
        <f>SUM(K93:K94)</f>
        <v>0</v>
      </c>
    </row>
    <row r="93" spans="1:16">
      <c r="A93">
        <f t="shared" si="7"/>
        <v>0</v>
      </c>
      <c r="B93" s="117" t="s">
        <v>21</v>
      </c>
      <c r="C93" s="117">
        <v>1</v>
      </c>
      <c r="D93" s="133" t="s">
        <v>139</v>
      </c>
      <c r="E93" s="134" t="s">
        <v>66</v>
      </c>
      <c r="F93" s="134" t="s">
        <v>14</v>
      </c>
      <c r="G93" s="146">
        <f>0.841*H93</f>
        <v>0.83258999999999994</v>
      </c>
      <c r="H93" s="150">
        <v>0.99</v>
      </c>
      <c r="I93" s="69">
        <v>1</v>
      </c>
      <c r="J93" s="138">
        <f>J92*I93</f>
        <v>0</v>
      </c>
      <c r="K93" s="69">
        <f>J93*H93</f>
        <v>0</v>
      </c>
      <c r="L93" s="69"/>
      <c r="O93" s="62"/>
      <c r="P93" s="58"/>
    </row>
    <row r="94" spans="1:16">
      <c r="A94">
        <f t="shared" si="7"/>
        <v>0</v>
      </c>
      <c r="B94" s="117" t="s">
        <v>9</v>
      </c>
      <c r="C94" s="117">
        <v>2</v>
      </c>
      <c r="D94" s="133" t="s">
        <v>67</v>
      </c>
      <c r="E94" s="134" t="s">
        <v>68</v>
      </c>
      <c r="F94" s="134" t="s">
        <v>14</v>
      </c>
      <c r="G94" s="146">
        <f>0.841*H94</f>
        <v>0.161472</v>
      </c>
      <c r="H94" s="150">
        <v>0.192</v>
      </c>
      <c r="I94" s="69">
        <v>2</v>
      </c>
      <c r="J94" s="138">
        <f>J92*I94</f>
        <v>0</v>
      </c>
      <c r="K94" s="69">
        <f>J94*H94</f>
        <v>0</v>
      </c>
      <c r="L94" s="69"/>
      <c r="O94" s="60" t="s">
        <v>85</v>
      </c>
      <c r="P94" s="58">
        <f>0.02*0.154*H93*J92</f>
        <v>0</v>
      </c>
    </row>
    <row r="95" spans="1:16">
      <c r="A95">
        <f t="shared" si="7"/>
        <v>0</v>
      </c>
      <c r="B95" s="167"/>
      <c r="C95" s="167">
        <v>3</v>
      </c>
      <c r="D95" s="95"/>
      <c r="E95" s="96" t="s">
        <v>170</v>
      </c>
      <c r="F95" s="96"/>
      <c r="G95" s="146"/>
      <c r="H95" s="147"/>
      <c r="I95" s="69">
        <v>4</v>
      </c>
      <c r="J95" s="138">
        <f>J93*I95</f>
        <v>0</v>
      </c>
      <c r="K95" s="69"/>
      <c r="L95" s="69"/>
      <c r="O95" s="60"/>
      <c r="P95" s="58"/>
    </row>
    <row r="96" spans="1:16">
      <c r="A96">
        <f t="shared" si="7"/>
        <v>0</v>
      </c>
      <c r="B96" s="66"/>
      <c r="C96" s="67"/>
      <c r="D96" s="123"/>
      <c r="E96" s="60"/>
      <c r="F96" s="60"/>
      <c r="G96" s="61"/>
      <c r="H96" s="124"/>
      <c r="I96" s="60"/>
      <c r="J96" s="60"/>
      <c r="K96" s="60"/>
      <c r="O96" s="62" t="s">
        <v>89</v>
      </c>
      <c r="P96" s="58">
        <f>4*J92</f>
        <v>0</v>
      </c>
    </row>
    <row r="97" spans="1:16" ht="58.5" customHeight="1">
      <c r="A97">
        <f t="shared" si="7"/>
        <v>0</v>
      </c>
      <c r="B97" s="1" t="s">
        <v>0</v>
      </c>
      <c r="C97" s="1" t="s">
        <v>1</v>
      </c>
      <c r="D97" s="128" t="s">
        <v>2</v>
      </c>
      <c r="E97" s="128" t="s">
        <v>3</v>
      </c>
      <c r="F97" s="128" t="s">
        <v>4</v>
      </c>
      <c r="G97" s="3" t="s">
        <v>5</v>
      </c>
      <c r="H97" s="129" t="s">
        <v>51</v>
      </c>
      <c r="I97" s="4" t="s">
        <v>6</v>
      </c>
      <c r="J97" s="102" t="s">
        <v>7</v>
      </c>
      <c r="K97" s="3" t="s">
        <v>52</v>
      </c>
      <c r="L97" s="5" t="s">
        <v>53</v>
      </c>
      <c r="O97" s="60"/>
    </row>
    <row r="98" spans="1:16">
      <c r="A98">
        <f t="shared" si="7"/>
        <v>0</v>
      </c>
      <c r="B98" s="63" t="s">
        <v>21</v>
      </c>
      <c r="C98" s="63"/>
      <c r="D98" s="131" t="s">
        <v>140</v>
      </c>
      <c r="E98" s="132" t="s">
        <v>63</v>
      </c>
      <c r="F98" s="132"/>
      <c r="G98" s="148">
        <f>SUMPRODUCT(G99:G100,I99:I100)</f>
        <v>1.5550090000000001</v>
      </c>
      <c r="H98" s="149"/>
      <c r="I98" s="140"/>
      <c r="J98" s="149">
        <f>IF('Исход. данные'!C4="На стойку",'Исход. данные'!N51,0)</f>
        <v>0</v>
      </c>
      <c r="K98" s="140"/>
      <c r="L98" s="143">
        <f>0.08*P98</f>
        <v>0</v>
      </c>
      <c r="O98" s="62" t="s">
        <v>14</v>
      </c>
      <c r="P98">
        <f>SUM(K99:K100)</f>
        <v>0</v>
      </c>
    </row>
    <row r="99" spans="1:16">
      <c r="A99">
        <f t="shared" si="7"/>
        <v>0</v>
      </c>
      <c r="B99" s="117" t="s">
        <v>21</v>
      </c>
      <c r="C99" s="117">
        <v>1</v>
      </c>
      <c r="D99" s="133" t="s">
        <v>141</v>
      </c>
      <c r="E99" s="134" t="s">
        <v>66</v>
      </c>
      <c r="F99" s="134" t="s">
        <v>14</v>
      </c>
      <c r="G99" s="146">
        <f>0.841*H99</f>
        <v>1.232065</v>
      </c>
      <c r="H99" s="150">
        <v>1.4650000000000001</v>
      </c>
      <c r="I99" s="69">
        <v>1</v>
      </c>
      <c r="J99" s="138">
        <f>J98*I99</f>
        <v>0</v>
      </c>
      <c r="K99" s="69">
        <f>J99*H99</f>
        <v>0</v>
      </c>
      <c r="L99" s="69"/>
      <c r="O99" s="62"/>
      <c r="P99" s="58"/>
    </row>
    <row r="100" spans="1:16">
      <c r="A100">
        <f t="shared" si="7"/>
        <v>0</v>
      </c>
      <c r="B100" s="117" t="s">
        <v>9</v>
      </c>
      <c r="C100" s="117">
        <v>2</v>
      </c>
      <c r="D100" s="133" t="s">
        <v>67</v>
      </c>
      <c r="E100" s="134" t="s">
        <v>68</v>
      </c>
      <c r="F100" s="134" t="s">
        <v>14</v>
      </c>
      <c r="G100" s="146">
        <f>0.841*H100</f>
        <v>0.161472</v>
      </c>
      <c r="H100" s="150">
        <v>0.192</v>
      </c>
      <c r="I100" s="69">
        <v>2</v>
      </c>
      <c r="J100" s="138">
        <f>J98*I100</f>
        <v>0</v>
      </c>
      <c r="K100" s="69">
        <f>J100*H100</f>
        <v>0</v>
      </c>
      <c r="L100" s="69"/>
      <c r="O100" s="60" t="s">
        <v>85</v>
      </c>
      <c r="P100" s="58">
        <f>0.02*0.154*H99*J98</f>
        <v>0</v>
      </c>
    </row>
    <row r="101" spans="1:16">
      <c r="A101">
        <f t="shared" si="7"/>
        <v>0</v>
      </c>
      <c r="B101" s="167"/>
      <c r="C101" s="167">
        <v>3</v>
      </c>
      <c r="D101" s="95"/>
      <c r="E101" s="96" t="s">
        <v>170</v>
      </c>
      <c r="F101" s="96"/>
      <c r="G101" s="146"/>
      <c r="H101" s="147"/>
      <c r="I101" s="69">
        <v>4</v>
      </c>
      <c r="J101" s="138">
        <f>J99*I101</f>
        <v>0</v>
      </c>
      <c r="K101" s="69"/>
      <c r="L101" s="69"/>
      <c r="O101" s="60"/>
      <c r="P101" s="58"/>
    </row>
    <row r="102" spans="1:16">
      <c r="A102">
        <f t="shared" si="7"/>
        <v>0</v>
      </c>
      <c r="B102" s="66"/>
      <c r="C102" s="67"/>
      <c r="D102" s="123"/>
      <c r="E102" s="60"/>
      <c r="F102" s="60"/>
      <c r="G102" s="61"/>
      <c r="H102" s="124"/>
      <c r="I102" s="60"/>
      <c r="J102" s="60"/>
      <c r="K102" s="60"/>
      <c r="O102" s="62" t="s">
        <v>89</v>
      </c>
      <c r="P102" s="58">
        <f>4*J98</f>
        <v>0</v>
      </c>
    </row>
    <row r="103" spans="1:16" ht="63.75" customHeight="1">
      <c r="A103">
        <f t="shared" si="7"/>
        <v>0</v>
      </c>
      <c r="B103" s="1" t="s">
        <v>0</v>
      </c>
      <c r="C103" s="1" t="s">
        <v>1</v>
      </c>
      <c r="D103" s="84" t="s">
        <v>2</v>
      </c>
      <c r="E103" s="84" t="s">
        <v>3</v>
      </c>
      <c r="F103" s="84" t="s">
        <v>4</v>
      </c>
      <c r="G103" s="3" t="s">
        <v>5</v>
      </c>
      <c r="H103" s="98" t="s">
        <v>51</v>
      </c>
      <c r="I103" s="4" t="s">
        <v>6</v>
      </c>
      <c r="J103" s="102" t="s">
        <v>7</v>
      </c>
      <c r="K103" s="3" t="s">
        <v>52</v>
      </c>
      <c r="L103" s="5" t="s">
        <v>53</v>
      </c>
      <c r="O103" s="60"/>
    </row>
    <row r="104" spans="1:16">
      <c r="A104">
        <f t="shared" si="7"/>
        <v>0</v>
      </c>
      <c r="B104" s="63" t="s">
        <v>21</v>
      </c>
      <c r="C104" s="63"/>
      <c r="D104" s="88" t="s">
        <v>78</v>
      </c>
      <c r="E104" s="85" t="s">
        <v>63</v>
      </c>
      <c r="F104" s="85"/>
      <c r="G104" s="143">
        <f>SUMPRODUCT(G105:G106,I105:I106)</f>
        <v>1.9544839999999999</v>
      </c>
      <c r="H104" s="141"/>
      <c r="I104" s="140"/>
      <c r="J104" s="141">
        <f>IF('Исход. данные'!C4="На стойку",'Исход. данные'!M51,0)</f>
        <v>0</v>
      </c>
      <c r="K104" s="140"/>
      <c r="L104" s="143">
        <f>0.08*P104</f>
        <v>0</v>
      </c>
      <c r="O104" s="62" t="s">
        <v>14</v>
      </c>
      <c r="P104">
        <f>SUM(K105:K106)</f>
        <v>0</v>
      </c>
    </row>
    <row r="105" spans="1:16">
      <c r="A105">
        <f t="shared" si="7"/>
        <v>0</v>
      </c>
      <c r="B105" s="158" t="s">
        <v>21</v>
      </c>
      <c r="C105" s="20">
        <v>1</v>
      </c>
      <c r="D105" s="95" t="s">
        <v>79</v>
      </c>
      <c r="E105" s="96" t="s">
        <v>66</v>
      </c>
      <c r="F105" s="96" t="s">
        <v>14</v>
      </c>
      <c r="G105" s="146">
        <f>0.841*H105</f>
        <v>1.63154</v>
      </c>
      <c r="H105" s="147">
        <v>1.94</v>
      </c>
      <c r="I105" s="69">
        <v>1</v>
      </c>
      <c r="J105" s="142">
        <f>J104*I105</f>
        <v>0</v>
      </c>
      <c r="K105" s="69">
        <f>J105*H105</f>
        <v>0</v>
      </c>
      <c r="L105" s="69"/>
      <c r="O105" s="62"/>
      <c r="P105" s="58"/>
    </row>
    <row r="106" spans="1:16">
      <c r="A106">
        <f t="shared" si="7"/>
        <v>0</v>
      </c>
      <c r="B106" s="158" t="s">
        <v>9</v>
      </c>
      <c r="C106" s="20">
        <v>2</v>
      </c>
      <c r="D106" s="95" t="s">
        <v>67</v>
      </c>
      <c r="E106" s="96" t="s">
        <v>68</v>
      </c>
      <c r="F106" s="96" t="s">
        <v>14</v>
      </c>
      <c r="G106" s="146">
        <f>0.841*H106</f>
        <v>0.161472</v>
      </c>
      <c r="H106" s="147">
        <v>0.192</v>
      </c>
      <c r="I106" s="69">
        <v>2</v>
      </c>
      <c r="J106" s="142">
        <f>J104*I106</f>
        <v>0</v>
      </c>
      <c r="K106" s="69">
        <f>J106*H106</f>
        <v>0</v>
      </c>
      <c r="L106" s="69"/>
      <c r="O106" s="60" t="s">
        <v>85</v>
      </c>
      <c r="P106" s="58">
        <f>0.02*0.154*H105*J104</f>
        <v>0</v>
      </c>
    </row>
    <row r="107" spans="1:16">
      <c r="A107">
        <f t="shared" si="7"/>
        <v>0</v>
      </c>
      <c r="B107" s="167"/>
      <c r="C107" s="167">
        <v>3</v>
      </c>
      <c r="D107" s="95"/>
      <c r="E107" s="96" t="s">
        <v>170</v>
      </c>
      <c r="F107" s="96"/>
      <c r="G107" s="146"/>
      <c r="H107" s="147"/>
      <c r="I107" s="69">
        <v>4</v>
      </c>
      <c r="J107" s="142">
        <f>J105*I107</f>
        <v>0</v>
      </c>
      <c r="K107" s="69"/>
      <c r="L107" s="69"/>
      <c r="O107" s="60"/>
      <c r="P107" s="58"/>
    </row>
    <row r="108" spans="1:16">
      <c r="A108">
        <f t="shared" si="7"/>
        <v>0</v>
      </c>
      <c r="B108" s="66"/>
      <c r="C108" s="67"/>
      <c r="D108" s="91"/>
      <c r="E108" s="87"/>
      <c r="F108" s="87"/>
      <c r="G108" s="61"/>
      <c r="H108" s="99"/>
      <c r="I108" s="60"/>
      <c r="J108" s="87"/>
      <c r="K108" s="60"/>
      <c r="O108" s="62" t="s">
        <v>89</v>
      </c>
      <c r="P108" s="58">
        <f>4*J104</f>
        <v>0</v>
      </c>
    </row>
    <row r="109" spans="1:16" ht="62.25">
      <c r="A109">
        <f t="shared" si="7"/>
        <v>0</v>
      </c>
      <c r="B109" s="1" t="s">
        <v>0</v>
      </c>
      <c r="C109" s="1" t="s">
        <v>1</v>
      </c>
      <c r="D109" s="84" t="s">
        <v>2</v>
      </c>
      <c r="E109" s="84" t="s">
        <v>3</v>
      </c>
      <c r="F109" s="84" t="s">
        <v>4</v>
      </c>
      <c r="G109" s="155" t="s">
        <v>5</v>
      </c>
      <c r="H109" s="98" t="s">
        <v>51</v>
      </c>
      <c r="I109" s="4" t="s">
        <v>6</v>
      </c>
      <c r="J109" s="102" t="s">
        <v>7</v>
      </c>
      <c r="K109" s="155" t="s">
        <v>52</v>
      </c>
      <c r="L109" s="5" t="s">
        <v>53</v>
      </c>
      <c r="O109" s="62"/>
      <c r="P109" s="58"/>
    </row>
    <row r="110" spans="1:16">
      <c r="A110">
        <f t="shared" si="7"/>
        <v>0</v>
      </c>
      <c r="B110" s="63" t="s">
        <v>21</v>
      </c>
      <c r="C110" s="63"/>
      <c r="D110" s="88" t="s">
        <v>146</v>
      </c>
      <c r="E110" s="85" t="s">
        <v>63</v>
      </c>
      <c r="F110" s="85"/>
      <c r="G110" s="143">
        <f>SUMPRODUCT(G111:G112,I111:I112)</f>
        <v>0.70559900000000009</v>
      </c>
      <c r="H110" s="141"/>
      <c r="I110" s="140"/>
      <c r="J110" s="141">
        <f>IF('Исход. данные'!C4="На стойку",'Исход. данные'!T51,0)</f>
        <v>0</v>
      </c>
      <c r="K110" s="140"/>
      <c r="L110" s="143">
        <f>0.08*P110</f>
        <v>0</v>
      </c>
      <c r="O110" s="62" t="s">
        <v>14</v>
      </c>
      <c r="P110">
        <f>SUM(K111:K112)</f>
        <v>0</v>
      </c>
    </row>
    <row r="111" spans="1:16">
      <c r="A111">
        <f t="shared" si="7"/>
        <v>0</v>
      </c>
      <c r="B111" s="158" t="s">
        <v>21</v>
      </c>
      <c r="C111" s="158">
        <v>1</v>
      </c>
      <c r="D111" s="95" t="s">
        <v>147</v>
      </c>
      <c r="E111" s="96" t="s">
        <v>66</v>
      </c>
      <c r="F111" s="96" t="s">
        <v>14</v>
      </c>
      <c r="G111" s="146">
        <f>0.841*H111</f>
        <v>0.38265500000000002</v>
      </c>
      <c r="H111" s="147">
        <v>0.45500000000000002</v>
      </c>
      <c r="I111" s="69">
        <v>1</v>
      </c>
      <c r="J111" s="142">
        <f>J110*I111</f>
        <v>0</v>
      </c>
      <c r="K111" s="69">
        <f>J111*H111</f>
        <v>0</v>
      </c>
      <c r="L111" s="69"/>
      <c r="O111" s="62"/>
      <c r="P111" s="58"/>
    </row>
    <row r="112" spans="1:16">
      <c r="A112">
        <f t="shared" si="7"/>
        <v>0</v>
      </c>
      <c r="B112" s="158" t="s">
        <v>9</v>
      </c>
      <c r="C112" s="158">
        <v>2</v>
      </c>
      <c r="D112" s="95" t="s">
        <v>67</v>
      </c>
      <c r="E112" s="96" t="s">
        <v>68</v>
      </c>
      <c r="F112" s="96" t="s">
        <v>14</v>
      </c>
      <c r="G112" s="146">
        <f>0.841*H112</f>
        <v>0.161472</v>
      </c>
      <c r="H112" s="147">
        <v>0.192</v>
      </c>
      <c r="I112" s="69">
        <v>2</v>
      </c>
      <c r="J112" s="142">
        <f>J110*I112</f>
        <v>0</v>
      </c>
      <c r="K112" s="69">
        <f>J112*H112</f>
        <v>0</v>
      </c>
      <c r="L112" s="69"/>
      <c r="O112" s="60" t="s">
        <v>85</v>
      </c>
      <c r="P112" s="58">
        <f>0.02*0.154*H111*J110</f>
        <v>0</v>
      </c>
    </row>
    <row r="113" spans="1:16">
      <c r="A113">
        <f t="shared" si="7"/>
        <v>0</v>
      </c>
      <c r="B113" s="167"/>
      <c r="C113" s="167">
        <v>3</v>
      </c>
      <c r="D113" s="95"/>
      <c r="E113" s="96" t="s">
        <v>170</v>
      </c>
      <c r="F113" s="96"/>
      <c r="G113" s="146"/>
      <c r="H113" s="147"/>
      <c r="I113" s="69">
        <v>4</v>
      </c>
      <c r="J113" s="142">
        <f>J111*I113</f>
        <v>0</v>
      </c>
      <c r="K113" s="6"/>
      <c r="L113" s="6"/>
      <c r="O113" s="62" t="s">
        <v>89</v>
      </c>
      <c r="P113" s="58">
        <f>4*J110</f>
        <v>0</v>
      </c>
    </row>
    <row r="114" spans="1:16">
      <c r="D114" s="90"/>
      <c r="E114" s="90"/>
      <c r="F114" s="90"/>
      <c r="H114" s="90"/>
      <c r="J114" s="90"/>
    </row>
    <row r="115" spans="1:16">
      <c r="A115" s="177"/>
      <c r="B115" s="1"/>
      <c r="C115" s="1"/>
      <c r="D115" s="84"/>
      <c r="E115" s="84"/>
      <c r="F115" s="84"/>
      <c r="G115" s="3"/>
      <c r="H115" s="98"/>
      <c r="I115" s="4"/>
      <c r="J115" s="130"/>
      <c r="K115" s="137"/>
      <c r="L115" s="5"/>
    </row>
    <row r="116" spans="1:16">
      <c r="A116" s="180">
        <f>IF(K116*1&gt;0,1,0)</f>
        <v>0</v>
      </c>
      <c r="B116" s="2" t="s">
        <v>9</v>
      </c>
      <c r="C116" s="46" t="str">
        <f>IF(A116=0,"",SUM($A116:A$116))</f>
        <v/>
      </c>
      <c r="D116" s="89" t="s">
        <v>60</v>
      </c>
      <c r="E116" s="89" t="s">
        <v>61</v>
      </c>
      <c r="F116" s="97" t="s">
        <v>49</v>
      </c>
      <c r="G116" s="64">
        <f>2.17*H116</f>
        <v>1.0307499999999998</v>
      </c>
      <c r="H116" s="98">
        <v>0.47499999999999998</v>
      </c>
      <c r="I116" s="6"/>
      <c r="J116" s="130">
        <f>IF('Исход. данные'!C4&lt;&gt;"На гребёнку",'Исход. данные'!H51*2,IF(AND('Исход. данные'!C4="На гребёнку",'Исход. данные'!C10=1,'Исход. данные'!C11='Исход. данные'!U2),'Исход. данные'!H51*2,0))</f>
        <v>0</v>
      </c>
      <c r="K116" s="137">
        <f>J116*H116</f>
        <v>0</v>
      </c>
      <c r="L116" s="65">
        <f>0.15*K116</f>
        <v>0</v>
      </c>
      <c r="O116" s="6" t="s">
        <v>49</v>
      </c>
      <c r="P116">
        <f>SUM(K116:K119)</f>
        <v>0</v>
      </c>
    </row>
    <row r="117" spans="1:16">
      <c r="A117" s="180"/>
      <c r="B117" s="2"/>
      <c r="C117" s="46"/>
      <c r="D117" s="89"/>
      <c r="E117" s="89"/>
      <c r="F117" s="97"/>
      <c r="G117" s="64"/>
      <c r="H117" s="84"/>
      <c r="I117" s="6"/>
      <c r="J117" s="138"/>
      <c r="K117" s="137"/>
      <c r="L117" s="65"/>
    </row>
    <row r="118" spans="1:16">
      <c r="A118" s="180">
        <f>IF(K118*1&gt;0,1,0)</f>
        <v>0</v>
      </c>
      <c r="B118" s="2" t="s">
        <v>15</v>
      </c>
      <c r="C118" s="46" t="str">
        <f>IF(A118=0,"",SUM($A$116:A118))</f>
        <v/>
      </c>
      <c r="D118" s="89" t="s">
        <v>56</v>
      </c>
      <c r="E118" s="89" t="s">
        <v>57</v>
      </c>
      <c r="F118" s="97" t="s">
        <v>49</v>
      </c>
      <c r="G118" s="64">
        <f>2.17*H118</f>
        <v>3.0922499999999999</v>
      </c>
      <c r="H118" s="84">
        <v>1.425</v>
      </c>
      <c r="I118" s="6"/>
      <c r="J118" s="139">
        <f>IF('Исход. данные'!C4&lt;&gt;"На гребёнку",'Исход. данные'!F51*2,IF(AND('Исход. данные'!C4="На гребёнку",'Исход. данные'!C10=1,'Исход. данные'!C11='Исход. данные'!U2),'Исход. данные'!F51*2,))</f>
        <v>0</v>
      </c>
      <c r="K118" s="137">
        <f>J118*H118</f>
        <v>0</v>
      </c>
      <c r="L118" s="65">
        <f>0.15*K118</f>
        <v>0</v>
      </c>
      <c r="O118" s="60" t="s">
        <v>85</v>
      </c>
      <c r="P118">
        <f>0.025*0.05*SUM(K116:K119)</f>
        <v>0</v>
      </c>
    </row>
    <row r="119" spans="1:16">
      <c r="A119" s="180"/>
      <c r="B119" s="2"/>
      <c r="C119" s="46"/>
      <c r="D119" s="89"/>
      <c r="E119" s="89"/>
      <c r="F119" s="97"/>
      <c r="G119" s="64"/>
      <c r="H119" s="84"/>
      <c r="I119" s="6"/>
      <c r="J119" s="139"/>
      <c r="K119" s="137"/>
      <c r="L119" s="65"/>
    </row>
    <row r="120" spans="1:16">
      <c r="A120" s="177"/>
      <c r="B120" s="60"/>
      <c r="C120" s="60"/>
      <c r="D120" s="60"/>
      <c r="E120" s="60"/>
      <c r="F120" s="60"/>
      <c r="G120" s="60"/>
      <c r="H120" s="60"/>
      <c r="I120" s="60"/>
      <c r="J120" s="60"/>
      <c r="K120" s="60"/>
    </row>
    <row r="121" spans="1:16" ht="25.5">
      <c r="A121" s="177"/>
      <c r="B121" s="198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0"/>
    </row>
    <row r="122" spans="1:16">
      <c r="A122" s="17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6">
      <c r="A123" s="177"/>
      <c r="B123" s="10"/>
      <c r="C123" s="2"/>
      <c r="D123" s="13"/>
      <c r="E123" s="199"/>
      <c r="F123" s="200"/>
      <c r="G123" s="3"/>
      <c r="H123" s="3"/>
      <c r="I123" s="3"/>
      <c r="J123" s="3"/>
      <c r="K123" s="3"/>
      <c r="L123" s="3"/>
      <c r="M123" s="3"/>
    </row>
    <row r="124" spans="1:16" ht="15.75" customHeight="1">
      <c r="A124" s="177"/>
      <c r="B124" s="10"/>
      <c r="C124" s="46"/>
      <c r="D124" s="135"/>
      <c r="E124" s="3"/>
      <c r="F124" s="3"/>
      <c r="G124" s="64"/>
      <c r="H124" s="64"/>
      <c r="I124" s="70"/>
      <c r="J124" s="17"/>
      <c r="K124" s="17"/>
      <c r="L124" s="17"/>
      <c r="M124" s="17"/>
      <c r="O124" s="173"/>
    </row>
    <row r="125" spans="1:16" ht="14.25" customHeight="1">
      <c r="A125" s="177">
        <f t="shared" ref="A125:A126" si="8">O125</f>
        <v>0</v>
      </c>
      <c r="C125" s="46" t="str">
        <f>IF(O125=0,"",SUM($O$124:O125))</f>
        <v/>
      </c>
      <c r="D125" s="119" t="s">
        <v>122</v>
      </c>
      <c r="E125" s="17">
        <f>SUMIF(O7:O120,"40х20х2",P7:P120)</f>
        <v>0</v>
      </c>
      <c r="F125" s="2" t="s">
        <v>17</v>
      </c>
      <c r="G125" s="17">
        <f>1.7*E125</f>
        <v>0</v>
      </c>
      <c r="H125" s="17">
        <f>0.12*E125</f>
        <v>0</v>
      </c>
      <c r="I125" s="19">
        <v>0.05</v>
      </c>
      <c r="J125" s="17">
        <f>I125*E125</f>
        <v>0</v>
      </c>
      <c r="K125" s="17">
        <f>J125+E125</f>
        <v>0</v>
      </c>
      <c r="L125" s="17">
        <f>I125*G125</f>
        <v>0</v>
      </c>
      <c r="M125" s="17">
        <f>L125+G125</f>
        <v>0</v>
      </c>
      <c r="O125" s="173">
        <f>IF(E125*1&gt;0,1,0)</f>
        <v>0</v>
      </c>
    </row>
    <row r="126" spans="1:16" ht="15" customHeight="1">
      <c r="A126" s="177"/>
      <c r="C126" s="46"/>
      <c r="D126" s="119"/>
      <c r="E126" s="17"/>
      <c r="F126" s="2"/>
      <c r="G126" s="17"/>
      <c r="H126" s="17"/>
      <c r="I126" s="19"/>
      <c r="J126" s="17"/>
      <c r="K126" s="17"/>
      <c r="L126" s="17"/>
      <c r="M126" s="17"/>
      <c r="O126" s="173"/>
    </row>
    <row r="127" spans="1:16">
      <c r="A127" s="177"/>
      <c r="D127" s="201"/>
      <c r="E127" s="201"/>
      <c r="F127" s="201"/>
      <c r="G127" s="15"/>
      <c r="H127" s="55"/>
      <c r="K127" s="55"/>
      <c r="M127" s="55"/>
      <c r="O127" s="176"/>
    </row>
    <row r="128" spans="1:16">
      <c r="A128" s="177"/>
    </row>
    <row r="129" spans="1:15" ht="25.5">
      <c r="A129" s="177"/>
      <c r="B129" s="198"/>
      <c r="C129" s="198"/>
      <c r="D129" s="198"/>
      <c r="E129" s="198"/>
      <c r="F129" s="198"/>
      <c r="G129" s="198"/>
      <c r="H129" s="198"/>
      <c r="I129" s="198"/>
      <c r="J129" s="198"/>
      <c r="K129" s="198"/>
      <c r="L129" s="198"/>
    </row>
    <row r="130" spans="1:15">
      <c r="A130" s="177"/>
    </row>
    <row r="131" spans="1:15">
      <c r="A131" s="177"/>
      <c r="C131" s="2"/>
      <c r="D131" s="195"/>
      <c r="E131" s="195"/>
      <c r="F131" s="3"/>
      <c r="G131" s="3"/>
      <c r="H131" s="3"/>
      <c r="I131" s="12"/>
    </row>
    <row r="132" spans="1:15">
      <c r="A132" s="177"/>
      <c r="C132" s="46"/>
      <c r="D132" s="202"/>
      <c r="E132" s="202"/>
      <c r="F132" s="18"/>
      <c r="G132" s="19"/>
      <c r="H132" s="6"/>
      <c r="I132" s="17"/>
      <c r="O132" s="173"/>
    </row>
    <row r="133" spans="1:15">
      <c r="A133" s="177">
        <f t="shared" ref="A133:A147" si="9">O133</f>
        <v>0</v>
      </c>
      <c r="C133" s="46" t="str">
        <f>IF(O133=0,"",SUM($O$132:O133))</f>
        <v/>
      </c>
      <c r="D133" s="202" t="s">
        <v>169</v>
      </c>
      <c r="E133" s="202"/>
      <c r="F133" s="18">
        <f>'Исход. данные'!W51</f>
        <v>0</v>
      </c>
      <c r="G133" s="19">
        <v>7.0000000000000007E-2</v>
      </c>
      <c r="H133" s="6">
        <f>ROUNDUP(G133*F133+F133,0)</f>
        <v>0</v>
      </c>
      <c r="I133" s="17">
        <f>0.02973*H133</f>
        <v>0</v>
      </c>
      <c r="O133" s="173">
        <f t="shared" ref="O133:O147" si="10">IF(F133*1&gt;0,1,0)</f>
        <v>0</v>
      </c>
    </row>
    <row r="134" spans="1:15">
      <c r="A134" s="177"/>
      <c r="C134" s="46"/>
      <c r="D134" s="202"/>
      <c r="E134" s="202"/>
      <c r="F134" s="18"/>
      <c r="G134" s="19"/>
      <c r="H134" s="6"/>
      <c r="I134" s="17"/>
      <c r="O134" s="173"/>
    </row>
    <row r="135" spans="1:15">
      <c r="A135" s="177"/>
      <c r="C135" s="46"/>
      <c r="D135" s="202"/>
      <c r="E135" s="202"/>
      <c r="F135" s="18"/>
      <c r="G135" s="19"/>
      <c r="H135" s="6"/>
      <c r="I135" s="17"/>
      <c r="O135" s="173"/>
    </row>
    <row r="136" spans="1:15">
      <c r="A136" s="177"/>
      <c r="C136" s="46"/>
      <c r="D136" s="202"/>
      <c r="E136" s="202"/>
      <c r="F136" s="18"/>
      <c r="G136" s="19"/>
      <c r="H136" s="6"/>
      <c r="I136" s="17"/>
      <c r="O136" s="173"/>
    </row>
    <row r="137" spans="1:15">
      <c r="A137" s="177"/>
      <c r="C137" s="46"/>
      <c r="D137" s="202"/>
      <c r="E137" s="202"/>
      <c r="F137" s="18"/>
      <c r="G137" s="19"/>
      <c r="H137" s="6"/>
      <c r="I137" s="17"/>
      <c r="O137" s="173"/>
    </row>
    <row r="138" spans="1:15">
      <c r="A138" s="177">
        <f t="shared" si="9"/>
        <v>0</v>
      </c>
      <c r="C138" s="46" t="str">
        <f>IF(O138=0,"",SUM($O$132:O138))</f>
        <v/>
      </c>
      <c r="D138" s="205" t="s">
        <v>126</v>
      </c>
      <c r="E138" s="206"/>
      <c r="F138" s="18">
        <f>IF('Исход. данные'!C9=0,0,SUMIF(O7:O120,"Ш 8х70",P7:P120))</f>
        <v>0</v>
      </c>
      <c r="G138" s="19">
        <v>7.0000000000000007E-2</v>
      </c>
      <c r="H138" s="6">
        <f t="shared" ref="H135:H147" si="11">ROUNDUP(G138*F138+F138,0)</f>
        <v>0</v>
      </c>
      <c r="I138" s="17">
        <f>0.023*H138</f>
        <v>0</v>
      </c>
      <c r="O138" s="173">
        <f t="shared" si="10"/>
        <v>0</v>
      </c>
    </row>
    <row r="139" spans="1:15">
      <c r="A139" s="177">
        <f t="shared" si="9"/>
        <v>0</v>
      </c>
      <c r="C139" s="46" t="str">
        <f>IF(O139=0,"",SUM($O$132:O139))</f>
        <v/>
      </c>
      <c r="D139" s="205" t="s">
        <v>161</v>
      </c>
      <c r="E139" s="206"/>
      <c r="F139" s="18">
        <f>IF('Исход. данные'!C9=0,0,SUMIF(O7:O120,"Ш 8х90",P7:P120))</f>
        <v>0</v>
      </c>
      <c r="G139" s="19">
        <v>7.0000000000000007E-2</v>
      </c>
      <c r="H139" s="6">
        <f t="shared" si="11"/>
        <v>0</v>
      </c>
      <c r="I139" s="17"/>
      <c r="O139" s="173">
        <f t="shared" si="10"/>
        <v>0</v>
      </c>
    </row>
    <row r="140" spans="1:15">
      <c r="A140" s="177">
        <f t="shared" si="9"/>
        <v>0</v>
      </c>
      <c r="C140" s="46" t="str">
        <f>IF(O140=0,"",SUM($O$132:O140))</f>
        <v/>
      </c>
      <c r="D140" s="205" t="s">
        <v>127</v>
      </c>
      <c r="E140" s="206"/>
      <c r="F140" s="18">
        <f>F138+F139</f>
        <v>0</v>
      </c>
      <c r="G140" s="159">
        <v>7.0000000000000007E-2</v>
      </c>
      <c r="H140" s="11">
        <f t="shared" si="11"/>
        <v>0</v>
      </c>
      <c r="I140" s="17">
        <f>0.006104*H140</f>
        <v>0</v>
      </c>
      <c r="O140" s="173">
        <f t="shared" si="10"/>
        <v>0</v>
      </c>
    </row>
    <row r="141" spans="1:15">
      <c r="A141" s="177">
        <f t="shared" si="9"/>
        <v>0</v>
      </c>
      <c r="C141" s="46" t="str">
        <f>IF(O141=0,"",SUM($O$132:O141))</f>
        <v/>
      </c>
      <c r="D141" s="6" t="s">
        <v>46</v>
      </c>
      <c r="E141" s="6"/>
      <c r="F141" s="18">
        <f>F138+F139</f>
        <v>0</v>
      </c>
      <c r="G141" s="19">
        <v>7.0000000000000007E-2</v>
      </c>
      <c r="H141" s="6">
        <f t="shared" si="11"/>
        <v>0</v>
      </c>
      <c r="I141" s="17">
        <f>0.0049*H141</f>
        <v>0</v>
      </c>
      <c r="O141" s="173">
        <f t="shared" si="10"/>
        <v>0</v>
      </c>
    </row>
    <row r="142" spans="1:15" ht="30.75" customHeight="1">
      <c r="A142" s="177"/>
      <c r="C142" s="46"/>
      <c r="D142" s="203"/>
      <c r="E142" s="204"/>
      <c r="F142" s="156"/>
      <c r="G142" s="19"/>
      <c r="H142" s="71"/>
      <c r="I142" s="17"/>
      <c r="O142" s="173"/>
    </row>
    <row r="143" spans="1:15">
      <c r="A143" s="177"/>
      <c r="C143" s="46"/>
      <c r="D143" s="205"/>
      <c r="E143" s="206"/>
      <c r="F143" s="18"/>
      <c r="G143" s="19"/>
      <c r="H143" s="6"/>
      <c r="I143" s="17"/>
      <c r="O143" s="173"/>
    </row>
    <row r="144" spans="1:15">
      <c r="A144" s="177">
        <f t="shared" si="9"/>
        <v>0</v>
      </c>
      <c r="C144" s="46" t="str">
        <f>IF(O144=0,"",SUM($O$132:O144))</f>
        <v/>
      </c>
      <c r="D144" s="205" t="s">
        <v>37</v>
      </c>
      <c r="E144" s="206"/>
      <c r="F144" s="18">
        <f>SUMIF(O7:O120,"З 40х20",P7:P120)</f>
        <v>0</v>
      </c>
      <c r="G144" s="19">
        <v>0.1</v>
      </c>
      <c r="H144" s="6">
        <f t="shared" si="11"/>
        <v>0</v>
      </c>
      <c r="I144" s="17">
        <f>0.00518*H144</f>
        <v>0</v>
      </c>
      <c r="O144" s="173">
        <f t="shared" si="10"/>
        <v>0</v>
      </c>
    </row>
    <row r="145" spans="1:15">
      <c r="A145" s="177"/>
      <c r="C145" s="46"/>
      <c r="D145" s="205"/>
      <c r="E145" s="206"/>
      <c r="F145" s="18"/>
      <c r="G145" s="19"/>
      <c r="H145" s="6"/>
      <c r="I145" s="17"/>
      <c r="J145" s="152"/>
      <c r="O145" s="173"/>
    </row>
    <row r="146" spans="1:15">
      <c r="A146" s="177">
        <f t="shared" si="9"/>
        <v>0</v>
      </c>
      <c r="C146" s="46" t="str">
        <f>IF(O146=0,"",SUM($O$132:O146))</f>
        <v/>
      </c>
      <c r="D146" s="205" t="s">
        <v>167</v>
      </c>
      <c r="E146" s="206"/>
      <c r="F146" s="18">
        <f>IF(AND('Исход. данные'!C4="На стойку",'Исход. данные'!C8=1),'Исход. данные'!D51*2,0)</f>
        <v>0</v>
      </c>
      <c r="G146" s="19">
        <v>7.0000000000000007E-2</v>
      </c>
      <c r="H146" s="6">
        <f t="shared" si="11"/>
        <v>0</v>
      </c>
      <c r="I146" s="17"/>
      <c r="J146" s="152"/>
      <c r="O146" s="173">
        <f t="shared" si="10"/>
        <v>0</v>
      </c>
    </row>
    <row r="147" spans="1:15">
      <c r="A147" s="177">
        <f t="shared" si="9"/>
        <v>0</v>
      </c>
      <c r="C147" s="46" t="str">
        <f>IF(O147=0,"",SUM($O$132:O147))</f>
        <v/>
      </c>
      <c r="D147" s="11" t="s">
        <v>143</v>
      </c>
      <c r="E147" s="6" t="s">
        <v>117</v>
      </c>
      <c r="F147" s="6">
        <f>J18</f>
        <v>0</v>
      </c>
      <c r="G147" s="31"/>
      <c r="H147" s="11">
        <f t="shared" si="11"/>
        <v>0</v>
      </c>
      <c r="I147" s="17">
        <f>G18*H147</f>
        <v>0</v>
      </c>
      <c r="O147" s="173">
        <f t="shared" si="10"/>
        <v>0</v>
      </c>
    </row>
    <row r="148" spans="1:15">
      <c r="A148" s="177"/>
    </row>
    <row r="149" spans="1:15">
      <c r="A149" s="177"/>
      <c r="D149" s="207"/>
      <c r="E149" s="207"/>
      <c r="F149" s="16"/>
    </row>
    <row r="150" spans="1:15">
      <c r="A150" s="177"/>
      <c r="D150" s="207"/>
      <c r="E150" s="207"/>
      <c r="F150" s="16"/>
    </row>
    <row r="151" spans="1:15">
      <c r="A151" s="177"/>
      <c r="D151" s="208"/>
      <c r="E151" s="208"/>
      <c r="F151" s="16"/>
    </row>
    <row r="152" spans="1:15">
      <c r="A152" s="177"/>
    </row>
    <row r="153" spans="1:15">
      <c r="A153" s="177"/>
    </row>
    <row r="154" spans="1:15">
      <c r="A154" s="177"/>
      <c r="D154" s="32"/>
      <c r="E154" s="209"/>
      <c r="F154" s="209"/>
      <c r="G154" s="195"/>
      <c r="H154" s="195"/>
      <c r="I154" s="20"/>
    </row>
    <row r="155" spans="1:15">
      <c r="A155" s="177"/>
      <c r="D155" s="111"/>
      <c r="E155" s="195"/>
      <c r="F155" s="195"/>
      <c r="G155" s="195"/>
      <c r="H155" s="195"/>
      <c r="I155" s="33"/>
    </row>
    <row r="156" spans="1:15">
      <c r="A156" s="177"/>
      <c r="D156" s="111"/>
      <c r="E156" s="195"/>
      <c r="F156" s="195"/>
      <c r="G156" s="195"/>
      <c r="H156" s="195"/>
      <c r="I156" s="33"/>
    </row>
    <row r="157" spans="1:15">
      <c r="A157" s="177"/>
      <c r="D157" s="111"/>
      <c r="E157" s="188"/>
      <c r="F157" s="193"/>
      <c r="G157" s="188"/>
      <c r="H157" s="193"/>
      <c r="I157" s="20"/>
    </row>
    <row r="158" spans="1:15">
      <c r="A158" s="177"/>
      <c r="D158" s="111"/>
      <c r="E158" s="195"/>
      <c r="F158" s="195"/>
      <c r="G158" s="195"/>
      <c r="H158" s="195"/>
      <c r="I158" s="20"/>
    </row>
  </sheetData>
  <mergeCells count="32">
    <mergeCell ref="E157:F157"/>
    <mergeCell ref="G157:H157"/>
    <mergeCell ref="D134:E134"/>
    <mergeCell ref="E158:F158"/>
    <mergeCell ref="G158:H158"/>
    <mergeCell ref="D149:E149"/>
    <mergeCell ref="D150:E150"/>
    <mergeCell ref="D151:E151"/>
    <mergeCell ref="E154:F154"/>
    <mergeCell ref="G154:H154"/>
    <mergeCell ref="D140:E140"/>
    <mergeCell ref="D146:E146"/>
    <mergeCell ref="D137:E137"/>
    <mergeCell ref="D132:E132"/>
    <mergeCell ref="E155:F155"/>
    <mergeCell ref="G155:H155"/>
    <mergeCell ref="E156:F156"/>
    <mergeCell ref="G156:H156"/>
    <mergeCell ref="D135:E135"/>
    <mergeCell ref="D136:E136"/>
    <mergeCell ref="D142:E142"/>
    <mergeCell ref="D138:E138"/>
    <mergeCell ref="D133:E133"/>
    <mergeCell ref="D139:E139"/>
    <mergeCell ref="D143:E143"/>
    <mergeCell ref="D144:E144"/>
    <mergeCell ref="D145:E145"/>
    <mergeCell ref="B121:L121"/>
    <mergeCell ref="E123:F123"/>
    <mergeCell ref="D131:E131"/>
    <mergeCell ref="B129:L129"/>
    <mergeCell ref="D127:F12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&amp;R&amp;F
Лист &amp;P
Листов &amp;N</oddHeader>
    <oddFooter>&amp;R&amp;G
&amp;D</oddFooter>
  </headerFooter>
  <rowBreaks count="1" manualBreakCount="1">
    <brk id="120" min="1" max="12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2:Q43"/>
  <sheetViews>
    <sheetView tabSelected="1" view="pageBreakPreview" zoomScaleNormal="100" zoomScaleSheetLayoutView="100" workbookViewId="0">
      <selection activeCell="C36" sqref="C36"/>
    </sheetView>
  </sheetViews>
  <sheetFormatPr defaultRowHeight="12.75"/>
  <cols>
    <col min="1" max="1" width="4.7109375" style="22" customWidth="1"/>
    <col min="2" max="2" width="5.7109375" style="23" customWidth="1"/>
    <col min="3" max="3" width="59.5703125" style="22" customWidth="1"/>
    <col min="4" max="4" width="9" style="22" customWidth="1"/>
    <col min="5" max="5" width="5.140625" style="22" customWidth="1"/>
    <col min="6" max="6" width="9.140625" style="22"/>
    <col min="7" max="7" width="5.140625" style="22" customWidth="1"/>
    <col min="8" max="8" width="10.7109375" style="22" customWidth="1"/>
    <col min="9" max="9" width="4.28515625" style="22" customWidth="1"/>
    <col min="10" max="10" width="9.140625" style="22"/>
    <col min="11" max="11" width="4.5703125" style="22" customWidth="1"/>
    <col min="12" max="12" width="9.28515625" style="22" customWidth="1"/>
    <col min="13" max="13" width="4" style="22" customWidth="1"/>
    <col min="14" max="14" width="9.140625" style="22"/>
    <col min="15" max="15" width="5.7109375" style="22" customWidth="1"/>
    <col min="16" max="16" width="12.140625" style="22" customWidth="1"/>
    <col min="17" max="16384" width="9.140625" style="22"/>
  </cols>
  <sheetData>
    <row r="2" spans="1:17" ht="15.75">
      <c r="A2" s="21">
        <v>1</v>
      </c>
      <c r="B2" s="213" t="s">
        <v>19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7">
      <c r="A3" s="22">
        <v>1</v>
      </c>
    </row>
    <row r="4" spans="1:17" ht="18">
      <c r="A4" s="22">
        <v>1</v>
      </c>
      <c r="C4" s="24" t="s">
        <v>20</v>
      </c>
      <c r="D4" s="25">
        <f>'Исход. данные'!C3</f>
        <v>0</v>
      </c>
    </row>
    <row r="5" spans="1:17" ht="18">
      <c r="A5" s="22">
        <v>1</v>
      </c>
      <c r="C5" s="24" t="s">
        <v>39</v>
      </c>
      <c r="D5" s="26" t="s">
        <v>21</v>
      </c>
      <c r="E5" s="27">
        <f>Спецификация!F4</f>
        <v>0</v>
      </c>
      <c r="F5" s="27"/>
      <c r="G5" s="25"/>
    </row>
    <row r="6" spans="1:17" ht="18">
      <c r="A6" s="22">
        <v>1</v>
      </c>
      <c r="B6" s="183"/>
      <c r="C6" s="24" t="s">
        <v>180</v>
      </c>
      <c r="D6" s="26" t="s">
        <v>21</v>
      </c>
      <c r="E6" s="221">
        <f>Спецификация!F149</f>
        <v>0</v>
      </c>
      <c r="F6" s="221"/>
      <c r="G6" s="25" t="s">
        <v>25</v>
      </c>
    </row>
    <row r="7" spans="1:17">
      <c r="A7" s="22">
        <v>1</v>
      </c>
      <c r="M7" s="214" t="s">
        <v>22</v>
      </c>
      <c r="N7" s="214"/>
      <c r="O7" s="214"/>
    </row>
    <row r="8" spans="1:17" ht="34.5" customHeight="1">
      <c r="A8" s="22">
        <v>1</v>
      </c>
      <c r="B8" s="44" t="s">
        <v>23</v>
      </c>
      <c r="C8" s="45" t="s">
        <v>24</v>
      </c>
      <c r="D8" s="210" t="s">
        <v>38</v>
      </c>
      <c r="E8" s="210"/>
      <c r="F8" s="210"/>
      <c r="G8" s="210"/>
      <c r="H8" s="210" t="s">
        <v>144</v>
      </c>
      <c r="I8" s="210"/>
      <c r="J8" s="210"/>
      <c r="K8" s="210"/>
      <c r="L8" s="210" t="s">
        <v>145</v>
      </c>
      <c r="M8" s="210"/>
      <c r="N8" s="210"/>
      <c r="O8" s="210"/>
      <c r="P8" s="110" t="s">
        <v>134</v>
      </c>
    </row>
    <row r="9" spans="1:17" ht="18.75" customHeight="1">
      <c r="A9" s="22">
        <f>Q9</f>
        <v>1</v>
      </c>
      <c r="B9" s="46">
        <v>1</v>
      </c>
      <c r="C9" s="77" t="s">
        <v>121</v>
      </c>
      <c r="D9" s="47">
        <v>115.994</v>
      </c>
      <c r="E9" s="43" t="s">
        <v>17</v>
      </c>
      <c r="F9" s="48">
        <v>251.70697999999999</v>
      </c>
      <c r="G9" s="43" t="s">
        <v>25</v>
      </c>
      <c r="H9" s="48">
        <v>5.7997000000000005</v>
      </c>
      <c r="I9" s="43" t="s">
        <v>17</v>
      </c>
      <c r="J9" s="48">
        <v>12.585349000000001</v>
      </c>
      <c r="K9" s="43" t="s">
        <v>25</v>
      </c>
      <c r="L9" s="42">
        <v>121.7937</v>
      </c>
      <c r="M9" s="43" t="s">
        <v>17</v>
      </c>
      <c r="N9" s="42">
        <v>264.292329</v>
      </c>
      <c r="O9" s="43" t="s">
        <v>25</v>
      </c>
      <c r="P9" s="49"/>
      <c r="Q9" s="22">
        <f>IF(D9*1&gt;0,1,0)</f>
        <v>1</v>
      </c>
    </row>
    <row r="10" spans="1:17" ht="16.5" customHeight="1">
      <c r="A10" s="22">
        <f t="shared" ref="A10:A13" si="0">Q10</f>
        <v>0</v>
      </c>
      <c r="B10" s="46" t="s">
        <v>181</v>
      </c>
      <c r="C10" s="77" t="s">
        <v>122</v>
      </c>
      <c r="D10" s="47">
        <v>0</v>
      </c>
      <c r="E10" s="43" t="s">
        <v>17</v>
      </c>
      <c r="F10" s="48">
        <v>0</v>
      </c>
      <c r="G10" s="43" t="s">
        <v>25</v>
      </c>
      <c r="H10" s="48">
        <v>0</v>
      </c>
      <c r="I10" s="43" t="s">
        <v>17</v>
      </c>
      <c r="J10" s="48">
        <v>0</v>
      </c>
      <c r="K10" s="43" t="s">
        <v>25</v>
      </c>
      <c r="L10" s="42">
        <v>0</v>
      </c>
      <c r="M10" s="43" t="s">
        <v>17</v>
      </c>
      <c r="N10" s="42">
        <v>0</v>
      </c>
      <c r="O10" s="43" t="s">
        <v>25</v>
      </c>
      <c r="P10" s="49"/>
      <c r="Q10" s="22">
        <f>IF(D10*1&gt;0,1,0)</f>
        <v>0</v>
      </c>
    </row>
    <row r="11" spans="1:17" ht="19.5" customHeight="1">
      <c r="A11" s="22">
        <f t="shared" si="0"/>
        <v>1</v>
      </c>
      <c r="B11" s="46">
        <v>2</v>
      </c>
      <c r="C11" s="77" t="s">
        <v>123</v>
      </c>
      <c r="D11" s="47">
        <v>46.593999999999994</v>
      </c>
      <c r="E11" s="43" t="s">
        <v>17</v>
      </c>
      <c r="F11" s="48">
        <v>39.185553999999996</v>
      </c>
      <c r="G11" s="43" t="s">
        <v>25</v>
      </c>
      <c r="H11" s="48">
        <v>2.3296999999999999</v>
      </c>
      <c r="I11" s="43" t="s">
        <v>17</v>
      </c>
      <c r="J11" s="48">
        <v>1.9592776999999999</v>
      </c>
      <c r="K11" s="43" t="s">
        <v>25</v>
      </c>
      <c r="L11" s="42">
        <v>48.923699999999997</v>
      </c>
      <c r="M11" s="43" t="s">
        <v>17</v>
      </c>
      <c r="N11" s="42">
        <v>41.144831699999997</v>
      </c>
      <c r="O11" s="43" t="s">
        <v>25</v>
      </c>
      <c r="P11" s="49"/>
      <c r="Q11" s="22">
        <f>IF(D11*1&gt;0,1,0)</f>
        <v>1</v>
      </c>
    </row>
    <row r="12" spans="1:17" ht="14.25" customHeight="1">
      <c r="A12" s="22">
        <f t="shared" si="0"/>
        <v>1</v>
      </c>
      <c r="B12" s="46">
        <v>3</v>
      </c>
      <c r="C12" s="51" t="s">
        <v>26</v>
      </c>
      <c r="D12" s="42">
        <v>21.126619999999999</v>
      </c>
      <c r="E12" s="2" t="s">
        <v>18</v>
      </c>
      <c r="F12" s="42">
        <v>2.1126619999999998</v>
      </c>
      <c r="G12" s="151" t="s">
        <v>25</v>
      </c>
      <c r="H12" s="42" t="s">
        <v>21</v>
      </c>
      <c r="I12" s="43" t="s">
        <v>21</v>
      </c>
      <c r="J12" s="42" t="s">
        <v>21</v>
      </c>
      <c r="K12" s="43" t="s">
        <v>21</v>
      </c>
      <c r="L12" s="50">
        <v>21.126619999999999</v>
      </c>
      <c r="M12" s="18" t="s">
        <v>18</v>
      </c>
      <c r="N12" s="50">
        <v>2.1126619999999998</v>
      </c>
      <c r="O12" s="18" t="s">
        <v>25</v>
      </c>
      <c r="P12" s="49"/>
      <c r="Q12" s="22">
        <f>IF(D12*1&gt;0,1,0)</f>
        <v>1</v>
      </c>
    </row>
    <row r="13" spans="1:17" ht="29.25" customHeight="1">
      <c r="A13" s="22">
        <f t="shared" si="0"/>
        <v>1</v>
      </c>
      <c r="B13" s="46">
        <v>4</v>
      </c>
      <c r="C13" s="52" t="s">
        <v>40</v>
      </c>
      <c r="D13" s="42">
        <v>21.126619999999999</v>
      </c>
      <c r="E13" s="2" t="s">
        <v>18</v>
      </c>
      <c r="F13" s="42">
        <v>4.2253239999999996</v>
      </c>
      <c r="G13" s="2" t="s">
        <v>25</v>
      </c>
      <c r="H13" s="42" t="s">
        <v>21</v>
      </c>
      <c r="I13" s="43" t="s">
        <v>21</v>
      </c>
      <c r="J13" s="42" t="s">
        <v>21</v>
      </c>
      <c r="K13" s="43" t="s">
        <v>21</v>
      </c>
      <c r="L13" s="42">
        <v>21.126619999999999</v>
      </c>
      <c r="M13" s="156" t="s">
        <v>18</v>
      </c>
      <c r="N13" s="42">
        <v>4.2253239999999996</v>
      </c>
      <c r="O13" s="156" t="s">
        <v>25</v>
      </c>
      <c r="P13" s="49"/>
      <c r="Q13" s="22">
        <f>IF(D13*1&gt;0,1,0)</f>
        <v>1</v>
      </c>
    </row>
    <row r="14" spans="1:17" ht="14.25" customHeight="1">
      <c r="A14" s="22">
        <v>0</v>
      </c>
      <c r="B14" s="36"/>
      <c r="C14" s="37"/>
      <c r="D14" s="38"/>
      <c r="E14" s="39"/>
      <c r="F14" s="38"/>
      <c r="G14" s="39"/>
      <c r="H14" s="38"/>
      <c r="I14" s="39"/>
      <c r="J14" s="38"/>
      <c r="K14" s="39"/>
      <c r="L14" s="40"/>
      <c r="M14" s="41"/>
      <c r="N14" s="40"/>
      <c r="O14" s="41"/>
    </row>
    <row r="15" spans="1:17">
      <c r="A15" s="22">
        <v>1</v>
      </c>
    </row>
    <row r="16" spans="1:17">
      <c r="A16" s="22">
        <v>1</v>
      </c>
      <c r="M16" s="214" t="s">
        <v>28</v>
      </c>
      <c r="N16" s="214"/>
      <c r="O16" s="214"/>
    </row>
    <row r="17" spans="1:17" ht="39" customHeight="1">
      <c r="A17" s="22">
        <v>1</v>
      </c>
      <c r="B17" s="44" t="s">
        <v>23</v>
      </c>
      <c r="C17" s="54" t="s">
        <v>29</v>
      </c>
      <c r="D17" s="210" t="s">
        <v>42</v>
      </c>
      <c r="E17" s="210"/>
      <c r="F17" s="210"/>
      <c r="G17" s="210"/>
      <c r="H17" s="210" t="s">
        <v>41</v>
      </c>
      <c r="I17" s="210"/>
      <c r="J17" s="210"/>
      <c r="K17" s="210"/>
      <c r="L17" s="210" t="s">
        <v>43</v>
      </c>
      <c r="M17" s="210"/>
      <c r="N17" s="210"/>
      <c r="O17" s="210"/>
      <c r="P17" s="110" t="s">
        <v>134</v>
      </c>
    </row>
    <row r="18" spans="1:17">
      <c r="A18" s="22">
        <f>Q18</f>
        <v>1</v>
      </c>
      <c r="B18" s="46">
        <v>1</v>
      </c>
      <c r="C18" s="49" t="s">
        <v>168</v>
      </c>
      <c r="D18" s="212">
        <v>84</v>
      </c>
      <c r="E18" s="212"/>
      <c r="F18" s="212" t="s">
        <v>27</v>
      </c>
      <c r="G18" s="212"/>
      <c r="H18" s="211">
        <v>6</v>
      </c>
      <c r="I18" s="211"/>
      <c r="J18" s="212" t="s">
        <v>27</v>
      </c>
      <c r="K18" s="212"/>
      <c r="L18" s="211">
        <v>90</v>
      </c>
      <c r="M18" s="212"/>
      <c r="N18" s="212" t="s">
        <v>27</v>
      </c>
      <c r="O18" s="212"/>
      <c r="P18" s="49"/>
      <c r="Q18" s="22">
        <f t="shared" ref="Q18:Q35" si="1">IF(D18*1&gt;0,1,0)</f>
        <v>1</v>
      </c>
    </row>
    <row r="19" spans="1:17">
      <c r="A19" s="22">
        <f t="shared" ref="A19:A35" si="2">Q19</f>
        <v>0</v>
      </c>
      <c r="B19" s="46" t="s">
        <v>181</v>
      </c>
      <c r="C19" s="49" t="s">
        <v>169</v>
      </c>
      <c r="D19" s="212">
        <v>0</v>
      </c>
      <c r="E19" s="212"/>
      <c r="F19" s="212" t="s">
        <v>27</v>
      </c>
      <c r="G19" s="212"/>
      <c r="H19" s="211">
        <v>0</v>
      </c>
      <c r="I19" s="211"/>
      <c r="J19" s="212" t="s">
        <v>27</v>
      </c>
      <c r="K19" s="212"/>
      <c r="L19" s="211">
        <v>0</v>
      </c>
      <c r="M19" s="212"/>
      <c r="N19" s="212" t="s">
        <v>27</v>
      </c>
      <c r="O19" s="212"/>
      <c r="P19" s="49"/>
      <c r="Q19" s="22">
        <f t="shared" si="1"/>
        <v>0</v>
      </c>
    </row>
    <row r="20" spans="1:17">
      <c r="A20" s="22">
        <f t="shared" si="2"/>
        <v>1</v>
      </c>
      <c r="B20" s="46">
        <v>2</v>
      </c>
      <c r="C20" s="49" t="s">
        <v>171</v>
      </c>
      <c r="D20" s="212">
        <v>84</v>
      </c>
      <c r="E20" s="212"/>
      <c r="F20" s="212" t="s">
        <v>27</v>
      </c>
      <c r="G20" s="212"/>
      <c r="H20" s="211">
        <v>6</v>
      </c>
      <c r="I20" s="211"/>
      <c r="J20" s="212" t="s">
        <v>27</v>
      </c>
      <c r="K20" s="212"/>
      <c r="L20" s="211">
        <v>90</v>
      </c>
      <c r="M20" s="212"/>
      <c r="N20" s="212" t="s">
        <v>27</v>
      </c>
      <c r="O20" s="212"/>
      <c r="P20" s="49"/>
      <c r="Q20" s="22">
        <f t="shared" si="1"/>
        <v>1</v>
      </c>
    </row>
    <row r="21" spans="1:17">
      <c r="A21" s="22">
        <f t="shared" si="2"/>
        <v>1</v>
      </c>
      <c r="B21" s="46">
        <v>3</v>
      </c>
      <c r="C21" s="49" t="s">
        <v>174</v>
      </c>
      <c r="D21" s="212">
        <v>168</v>
      </c>
      <c r="E21" s="212"/>
      <c r="F21" s="212" t="s">
        <v>27</v>
      </c>
      <c r="G21" s="212"/>
      <c r="H21" s="211">
        <v>12</v>
      </c>
      <c r="I21" s="211"/>
      <c r="J21" s="212" t="s">
        <v>27</v>
      </c>
      <c r="K21" s="212"/>
      <c r="L21" s="211">
        <v>180</v>
      </c>
      <c r="M21" s="212"/>
      <c r="N21" s="212" t="s">
        <v>27</v>
      </c>
      <c r="O21" s="212"/>
      <c r="P21" s="49"/>
      <c r="Q21" s="22">
        <f t="shared" si="1"/>
        <v>1</v>
      </c>
    </row>
    <row r="22" spans="1:17">
      <c r="A22" s="22">
        <f t="shared" si="2"/>
        <v>1</v>
      </c>
      <c r="B22" s="46">
        <v>4</v>
      </c>
      <c r="C22" s="49" t="s">
        <v>125</v>
      </c>
      <c r="D22" s="212">
        <v>252</v>
      </c>
      <c r="E22" s="212"/>
      <c r="F22" s="212" t="s">
        <v>27</v>
      </c>
      <c r="G22" s="212"/>
      <c r="H22" s="211">
        <v>18</v>
      </c>
      <c r="I22" s="211"/>
      <c r="J22" s="212" t="s">
        <v>27</v>
      </c>
      <c r="K22" s="212"/>
      <c r="L22" s="211">
        <v>270</v>
      </c>
      <c r="M22" s="212"/>
      <c r="N22" s="212" t="s">
        <v>27</v>
      </c>
      <c r="O22" s="212"/>
      <c r="P22" s="49"/>
      <c r="Q22" s="22">
        <f t="shared" si="1"/>
        <v>1</v>
      </c>
    </row>
    <row r="23" spans="1:17">
      <c r="A23" s="22">
        <f t="shared" si="2"/>
        <v>1</v>
      </c>
      <c r="B23" s="46">
        <v>5</v>
      </c>
      <c r="C23" s="49" t="s">
        <v>173</v>
      </c>
      <c r="D23" s="212">
        <v>168</v>
      </c>
      <c r="E23" s="212"/>
      <c r="F23" s="212" t="s">
        <v>27</v>
      </c>
      <c r="G23" s="212"/>
      <c r="H23" s="211">
        <v>12</v>
      </c>
      <c r="I23" s="211"/>
      <c r="J23" s="212" t="s">
        <v>27</v>
      </c>
      <c r="K23" s="212"/>
      <c r="L23" s="211">
        <v>180</v>
      </c>
      <c r="M23" s="212"/>
      <c r="N23" s="212" t="s">
        <v>27</v>
      </c>
      <c r="O23" s="212"/>
      <c r="P23" s="49"/>
      <c r="Q23" s="22">
        <f t="shared" ref="Q23" si="3">IF(D23*1&gt;0,1,0)</f>
        <v>1</v>
      </c>
    </row>
    <row r="24" spans="1:17">
      <c r="A24" s="22">
        <f t="shared" si="2"/>
        <v>0</v>
      </c>
      <c r="B24" s="46" t="s">
        <v>181</v>
      </c>
      <c r="C24" s="49" t="s">
        <v>126</v>
      </c>
      <c r="D24" s="212">
        <v>0</v>
      </c>
      <c r="E24" s="212"/>
      <c r="F24" s="212" t="s">
        <v>27</v>
      </c>
      <c r="G24" s="212"/>
      <c r="H24" s="211">
        <v>0</v>
      </c>
      <c r="I24" s="211"/>
      <c r="J24" s="212" t="s">
        <v>27</v>
      </c>
      <c r="K24" s="212"/>
      <c r="L24" s="211">
        <v>0</v>
      </c>
      <c r="M24" s="212"/>
      <c r="N24" s="212" t="s">
        <v>27</v>
      </c>
      <c r="O24" s="212"/>
      <c r="P24" s="49"/>
      <c r="Q24" s="22">
        <f t="shared" si="1"/>
        <v>0</v>
      </c>
    </row>
    <row r="25" spans="1:17">
      <c r="A25" s="22">
        <f t="shared" si="2"/>
        <v>0</v>
      </c>
      <c r="B25" s="46" t="s">
        <v>181</v>
      </c>
      <c r="C25" s="49" t="s">
        <v>161</v>
      </c>
      <c r="D25" s="212">
        <v>0</v>
      </c>
      <c r="E25" s="212"/>
      <c r="F25" s="212" t="s">
        <v>27</v>
      </c>
      <c r="G25" s="212"/>
      <c r="H25" s="211">
        <v>0</v>
      </c>
      <c r="I25" s="211"/>
      <c r="J25" s="212" t="s">
        <v>27</v>
      </c>
      <c r="K25" s="212"/>
      <c r="L25" s="211">
        <v>0</v>
      </c>
      <c r="M25" s="212"/>
      <c r="N25" s="212" t="s">
        <v>27</v>
      </c>
      <c r="O25" s="212"/>
      <c r="P25" s="49"/>
      <c r="Q25" s="22">
        <f t="shared" ref="Q25" si="4">IF(D25*1&gt;0,1,0)</f>
        <v>0</v>
      </c>
    </row>
    <row r="26" spans="1:17">
      <c r="A26" s="22">
        <f t="shared" si="2"/>
        <v>0</v>
      </c>
      <c r="B26" s="46" t="s">
        <v>181</v>
      </c>
      <c r="C26" s="49" t="s">
        <v>127</v>
      </c>
      <c r="D26" s="212">
        <v>0</v>
      </c>
      <c r="E26" s="212"/>
      <c r="F26" s="212" t="s">
        <v>27</v>
      </c>
      <c r="G26" s="212"/>
      <c r="H26" s="211">
        <v>0</v>
      </c>
      <c r="I26" s="211"/>
      <c r="J26" s="212" t="s">
        <v>27</v>
      </c>
      <c r="K26" s="212"/>
      <c r="L26" s="211">
        <v>0</v>
      </c>
      <c r="M26" s="212"/>
      <c r="N26" s="212" t="s">
        <v>27</v>
      </c>
      <c r="O26" s="212"/>
      <c r="P26" s="49"/>
      <c r="Q26" s="22">
        <f t="shared" si="1"/>
        <v>0</v>
      </c>
    </row>
    <row r="27" spans="1:17">
      <c r="A27" s="22">
        <f t="shared" si="2"/>
        <v>0</v>
      </c>
      <c r="B27" s="46" t="s">
        <v>181</v>
      </c>
      <c r="C27" s="72" t="s">
        <v>46</v>
      </c>
      <c r="D27" s="212">
        <v>0</v>
      </c>
      <c r="E27" s="212"/>
      <c r="F27" s="212" t="s">
        <v>27</v>
      </c>
      <c r="G27" s="212"/>
      <c r="H27" s="211">
        <v>0</v>
      </c>
      <c r="I27" s="211"/>
      <c r="J27" s="212" t="s">
        <v>27</v>
      </c>
      <c r="K27" s="212"/>
      <c r="L27" s="211">
        <v>0</v>
      </c>
      <c r="M27" s="212"/>
      <c r="N27" s="212" t="s">
        <v>27</v>
      </c>
      <c r="O27" s="212"/>
      <c r="P27" s="49"/>
      <c r="Q27" s="22">
        <f t="shared" si="1"/>
        <v>0</v>
      </c>
    </row>
    <row r="28" spans="1:17" ht="27" customHeight="1">
      <c r="A28" s="22">
        <f t="shared" si="2"/>
        <v>1</v>
      </c>
      <c r="B28" s="46">
        <v>6</v>
      </c>
      <c r="C28" s="72" t="s">
        <v>172</v>
      </c>
      <c r="D28" s="212">
        <v>328</v>
      </c>
      <c r="E28" s="212"/>
      <c r="F28" s="212" t="s">
        <v>27</v>
      </c>
      <c r="G28" s="212"/>
      <c r="H28" s="211">
        <v>23</v>
      </c>
      <c r="I28" s="211"/>
      <c r="J28" s="212" t="s">
        <v>27</v>
      </c>
      <c r="K28" s="212"/>
      <c r="L28" s="211">
        <v>351</v>
      </c>
      <c r="M28" s="212"/>
      <c r="N28" s="212" t="s">
        <v>27</v>
      </c>
      <c r="O28" s="212"/>
      <c r="P28" s="49"/>
      <c r="Q28" s="22">
        <f t="shared" si="1"/>
        <v>1</v>
      </c>
    </row>
    <row r="29" spans="1:17">
      <c r="A29" s="22">
        <f t="shared" si="2"/>
        <v>1</v>
      </c>
      <c r="B29" s="46">
        <v>7</v>
      </c>
      <c r="C29" s="49" t="s">
        <v>88</v>
      </c>
      <c r="D29" s="212">
        <v>84</v>
      </c>
      <c r="E29" s="212"/>
      <c r="F29" s="212" t="s">
        <v>27</v>
      </c>
      <c r="G29" s="212"/>
      <c r="H29" s="211">
        <v>9</v>
      </c>
      <c r="I29" s="211"/>
      <c r="J29" s="212" t="s">
        <v>27</v>
      </c>
      <c r="K29" s="212"/>
      <c r="L29" s="211">
        <v>93</v>
      </c>
      <c r="M29" s="212"/>
      <c r="N29" s="212" t="s">
        <v>27</v>
      </c>
      <c r="O29" s="212"/>
      <c r="P29" s="49"/>
      <c r="Q29" s="22">
        <f t="shared" si="1"/>
        <v>1</v>
      </c>
    </row>
    <row r="30" spans="1:17">
      <c r="A30" s="22">
        <f t="shared" si="2"/>
        <v>0</v>
      </c>
      <c r="B30" s="46" t="s">
        <v>181</v>
      </c>
      <c r="C30" s="49" t="s">
        <v>37</v>
      </c>
      <c r="D30" s="212">
        <v>0</v>
      </c>
      <c r="E30" s="212"/>
      <c r="F30" s="212" t="s">
        <v>27</v>
      </c>
      <c r="G30" s="212"/>
      <c r="H30" s="211">
        <v>0</v>
      </c>
      <c r="I30" s="211"/>
      <c r="J30" s="212" t="s">
        <v>27</v>
      </c>
      <c r="K30" s="212"/>
      <c r="L30" s="211">
        <v>0</v>
      </c>
      <c r="M30" s="212"/>
      <c r="N30" s="212" t="s">
        <v>27</v>
      </c>
      <c r="O30" s="212"/>
      <c r="P30" s="49"/>
      <c r="Q30" s="22">
        <f t="shared" si="1"/>
        <v>0</v>
      </c>
    </row>
    <row r="31" spans="1:17">
      <c r="A31" s="22">
        <f t="shared" si="2"/>
        <v>1</v>
      </c>
      <c r="B31" s="46">
        <v>8</v>
      </c>
      <c r="C31" s="49" t="s">
        <v>86</v>
      </c>
      <c r="D31" s="212">
        <v>252</v>
      </c>
      <c r="E31" s="212"/>
      <c r="F31" s="212" t="s">
        <v>27</v>
      </c>
      <c r="G31" s="212"/>
      <c r="H31" s="211">
        <v>26</v>
      </c>
      <c r="I31" s="211"/>
      <c r="J31" s="212" t="s">
        <v>27</v>
      </c>
      <c r="K31" s="212"/>
      <c r="L31" s="211">
        <v>278</v>
      </c>
      <c r="M31" s="212"/>
      <c r="N31" s="212" t="s">
        <v>27</v>
      </c>
      <c r="O31" s="212"/>
      <c r="P31" s="49"/>
      <c r="Q31" s="22">
        <f t="shared" si="1"/>
        <v>1</v>
      </c>
    </row>
    <row r="32" spans="1:17">
      <c r="A32" s="22">
        <f t="shared" si="2"/>
        <v>0</v>
      </c>
      <c r="B32" s="46" t="s">
        <v>181</v>
      </c>
      <c r="C32" s="49" t="s">
        <v>167</v>
      </c>
      <c r="D32" s="212">
        <v>0</v>
      </c>
      <c r="E32" s="212"/>
      <c r="F32" s="212" t="s">
        <v>27</v>
      </c>
      <c r="G32" s="212"/>
      <c r="H32" s="211">
        <v>0</v>
      </c>
      <c r="I32" s="211"/>
      <c r="J32" s="212" t="s">
        <v>27</v>
      </c>
      <c r="K32" s="212"/>
      <c r="L32" s="211">
        <v>0</v>
      </c>
      <c r="M32" s="212"/>
      <c r="N32" s="212" t="s">
        <v>27</v>
      </c>
      <c r="O32" s="212"/>
      <c r="P32" s="49"/>
      <c r="Q32" s="22">
        <f t="shared" si="1"/>
        <v>0</v>
      </c>
    </row>
    <row r="33" spans="1:17">
      <c r="A33" s="22">
        <f t="shared" si="2"/>
        <v>1</v>
      </c>
      <c r="B33" s="46">
        <v>9</v>
      </c>
      <c r="C33" s="49" t="s">
        <v>182</v>
      </c>
      <c r="D33" s="216">
        <v>82</v>
      </c>
      <c r="E33" s="217"/>
      <c r="F33" s="212" t="s">
        <v>27</v>
      </c>
      <c r="G33" s="212"/>
      <c r="H33" s="216" t="s">
        <v>21</v>
      </c>
      <c r="I33" s="217"/>
      <c r="J33" s="212" t="s">
        <v>27</v>
      </c>
      <c r="K33" s="212"/>
      <c r="L33" s="216">
        <v>82</v>
      </c>
      <c r="M33" s="217"/>
      <c r="N33" s="212" t="s">
        <v>27</v>
      </c>
      <c r="O33" s="212"/>
      <c r="P33" s="49"/>
      <c r="Q33" s="22">
        <f t="shared" si="1"/>
        <v>1</v>
      </c>
    </row>
    <row r="34" spans="1:17">
      <c r="A34" s="22">
        <f t="shared" si="2"/>
        <v>1</v>
      </c>
      <c r="B34" s="46">
        <v>10</v>
      </c>
      <c r="C34" s="72" t="s">
        <v>183</v>
      </c>
      <c r="D34" s="216">
        <v>82</v>
      </c>
      <c r="E34" s="217"/>
      <c r="F34" s="216" t="s">
        <v>112</v>
      </c>
      <c r="G34" s="217"/>
      <c r="H34" s="216" t="s">
        <v>21</v>
      </c>
      <c r="I34" s="217"/>
      <c r="J34" s="216" t="s">
        <v>112</v>
      </c>
      <c r="K34" s="217"/>
      <c r="L34" s="216">
        <v>82</v>
      </c>
      <c r="M34" s="217"/>
      <c r="N34" s="216" t="s">
        <v>112</v>
      </c>
      <c r="O34" s="217"/>
      <c r="P34" s="49"/>
      <c r="Q34" s="22">
        <f t="shared" si="1"/>
        <v>1</v>
      </c>
    </row>
    <row r="35" spans="1:17">
      <c r="A35" s="22">
        <f t="shared" si="2"/>
        <v>0</v>
      </c>
      <c r="B35" s="46" t="s">
        <v>181</v>
      </c>
      <c r="C35" s="72" t="s">
        <v>184</v>
      </c>
      <c r="D35" s="212">
        <v>0</v>
      </c>
      <c r="E35" s="212"/>
      <c r="F35" s="212" t="s">
        <v>27</v>
      </c>
      <c r="G35" s="212"/>
      <c r="H35" s="211" t="s">
        <v>21</v>
      </c>
      <c r="I35" s="211"/>
      <c r="J35" s="212" t="s">
        <v>27</v>
      </c>
      <c r="K35" s="212"/>
      <c r="L35" s="218">
        <v>0</v>
      </c>
      <c r="M35" s="219"/>
      <c r="N35" s="212" t="s">
        <v>27</v>
      </c>
      <c r="O35" s="212"/>
      <c r="P35" s="49"/>
      <c r="Q35" s="22">
        <f t="shared" si="1"/>
        <v>0</v>
      </c>
    </row>
    <row r="36" spans="1:17">
      <c r="A36" s="22">
        <v>1</v>
      </c>
      <c r="B36" s="41"/>
      <c r="C36" s="37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7" ht="16.5" customHeight="1">
      <c r="A37" s="22">
        <v>1</v>
      </c>
      <c r="C37" s="28" t="s">
        <v>30</v>
      </c>
      <c r="D37" s="215">
        <f>Спецификация!E155</f>
        <v>0</v>
      </c>
      <c r="E37" s="215"/>
      <c r="F37" s="215"/>
      <c r="H37" s="168">
        <f ca="1">NOW()</f>
        <v>40590.447036689817</v>
      </c>
    </row>
    <row r="38" spans="1:17" ht="24" customHeight="1">
      <c r="A38" s="22">
        <v>1</v>
      </c>
      <c r="C38" s="28" t="s">
        <v>31</v>
      </c>
      <c r="D38" s="215">
        <f>Спецификация!E156</f>
        <v>0</v>
      </c>
      <c r="E38" s="215"/>
      <c r="F38" s="215"/>
      <c r="H38" s="168">
        <f ca="1">NOW()</f>
        <v>40590.447036689817</v>
      </c>
    </row>
    <row r="39" spans="1:17" ht="24" customHeight="1">
      <c r="A39" s="22">
        <v>1</v>
      </c>
      <c r="C39" s="28" t="s">
        <v>135</v>
      </c>
      <c r="D39" s="215">
        <f>Спецификация!E157</f>
        <v>0</v>
      </c>
      <c r="E39" s="215"/>
      <c r="F39" s="215"/>
    </row>
    <row r="40" spans="1:17" ht="25.5" customHeight="1">
      <c r="A40" s="22">
        <v>1</v>
      </c>
      <c r="C40" s="28" t="s">
        <v>32</v>
      </c>
      <c r="D40" s="215">
        <f>Спецификация!E158</f>
        <v>0</v>
      </c>
      <c r="E40" s="215"/>
      <c r="F40" s="215"/>
    </row>
    <row r="41" spans="1:17">
      <c r="A41" s="22">
        <v>1</v>
      </c>
      <c r="C41" s="29" t="s">
        <v>33</v>
      </c>
      <c r="K41" s="220" t="s">
        <v>34</v>
      </c>
      <c r="L41" s="220"/>
    </row>
    <row r="42" spans="1:17" ht="18.75" customHeight="1">
      <c r="A42" s="22">
        <v>1</v>
      </c>
      <c r="C42" s="30" t="s">
        <v>35</v>
      </c>
      <c r="K42" s="215" t="s">
        <v>36</v>
      </c>
      <c r="L42" s="215"/>
      <c r="M42" s="215"/>
      <c r="N42" s="215"/>
    </row>
    <row r="43" spans="1:17">
      <c r="A43" s="22">
        <v>1</v>
      </c>
    </row>
  </sheetData>
  <autoFilter ref="A2:A43">
    <filterColumn colId="0"/>
  </autoFilter>
  <mergeCells count="124">
    <mergeCell ref="N23:O23"/>
    <mergeCell ref="D25:E25"/>
    <mergeCell ref="F25:G25"/>
    <mergeCell ref="H25:I25"/>
    <mergeCell ref="J25:K25"/>
    <mergeCell ref="L25:M25"/>
    <mergeCell ref="N25:O25"/>
    <mergeCell ref="N18:O18"/>
    <mergeCell ref="L19:M19"/>
    <mergeCell ref="N19:O19"/>
    <mergeCell ref="D21:E21"/>
    <mergeCell ref="F21:G21"/>
    <mergeCell ref="H21:I21"/>
    <mergeCell ref="D22:E22"/>
    <mergeCell ref="F22:G22"/>
    <mergeCell ref="H22:I22"/>
    <mergeCell ref="J22:K22"/>
    <mergeCell ref="L22:M22"/>
    <mergeCell ref="N24:O24"/>
    <mergeCell ref="L20:M20"/>
    <mergeCell ref="N20:O20"/>
    <mergeCell ref="L35:M35"/>
    <mergeCell ref="D40:F40"/>
    <mergeCell ref="K41:L41"/>
    <mergeCell ref="D37:F37"/>
    <mergeCell ref="E6:F6"/>
    <mergeCell ref="D23:E23"/>
    <mergeCell ref="F23:G23"/>
    <mergeCell ref="H23:I23"/>
    <mergeCell ref="J23:K23"/>
    <mergeCell ref="L23:M23"/>
    <mergeCell ref="D30:E30"/>
    <mergeCell ref="F30:G30"/>
    <mergeCell ref="H30:I30"/>
    <mergeCell ref="J30:K30"/>
    <mergeCell ref="H24:I24"/>
    <mergeCell ref="J24:K24"/>
    <mergeCell ref="L26:M26"/>
    <mergeCell ref="J32:K32"/>
    <mergeCell ref="L32:M32"/>
    <mergeCell ref="H19:I19"/>
    <mergeCell ref="J19:K19"/>
    <mergeCell ref="M16:O16"/>
    <mergeCell ref="J20:K20"/>
    <mergeCell ref="N27:O27"/>
    <mergeCell ref="N32:O32"/>
    <mergeCell ref="K42:N42"/>
    <mergeCell ref="F33:G33"/>
    <mergeCell ref="J33:K33"/>
    <mergeCell ref="N33:O33"/>
    <mergeCell ref="F34:G34"/>
    <mergeCell ref="J34:K34"/>
    <mergeCell ref="N34:O34"/>
    <mergeCell ref="D33:E33"/>
    <mergeCell ref="D34:E34"/>
    <mergeCell ref="H33:I33"/>
    <mergeCell ref="H34:I34"/>
    <mergeCell ref="L33:M33"/>
    <mergeCell ref="L34:M34"/>
    <mergeCell ref="D39:F39"/>
    <mergeCell ref="F35:G35"/>
    <mergeCell ref="J35:K35"/>
    <mergeCell ref="N35:O35"/>
    <mergeCell ref="D35:E35"/>
    <mergeCell ref="H35:I35"/>
    <mergeCell ref="D38:F38"/>
    <mergeCell ref="D32:E32"/>
    <mergeCell ref="F32:G32"/>
    <mergeCell ref="H32:I32"/>
    <mergeCell ref="N29:O29"/>
    <mergeCell ref="D31:E31"/>
    <mergeCell ref="F31:G31"/>
    <mergeCell ref="H31:I31"/>
    <mergeCell ref="J31:K31"/>
    <mergeCell ref="L31:M31"/>
    <mergeCell ref="L30:M30"/>
    <mergeCell ref="N30:O30"/>
    <mergeCell ref="D29:E29"/>
    <mergeCell ref="F29:G29"/>
    <mergeCell ref="H29:I29"/>
    <mergeCell ref="J29:K29"/>
    <mergeCell ref="N31:O31"/>
    <mergeCell ref="L29:M29"/>
    <mergeCell ref="N28:O28"/>
    <mergeCell ref="N26:O26"/>
    <mergeCell ref="D27:E27"/>
    <mergeCell ref="F27:G27"/>
    <mergeCell ref="H27:I27"/>
    <mergeCell ref="J27:K27"/>
    <mergeCell ref="L27:M27"/>
    <mergeCell ref="L24:M24"/>
    <mergeCell ref="L28:M28"/>
    <mergeCell ref="D28:E28"/>
    <mergeCell ref="F28:G28"/>
    <mergeCell ref="H28:I28"/>
    <mergeCell ref="J28:K28"/>
    <mergeCell ref="H26:I26"/>
    <mergeCell ref="J26:K26"/>
    <mergeCell ref="D26:E26"/>
    <mergeCell ref="F26:G26"/>
    <mergeCell ref="D24:E24"/>
    <mergeCell ref="F24:G24"/>
    <mergeCell ref="L17:O17"/>
    <mergeCell ref="L18:M18"/>
    <mergeCell ref="N22:O22"/>
    <mergeCell ref="J21:K21"/>
    <mergeCell ref="L21:M21"/>
    <mergeCell ref="N21:O21"/>
    <mergeCell ref="B2:O2"/>
    <mergeCell ref="M7:O7"/>
    <mergeCell ref="D8:G8"/>
    <mergeCell ref="H8:K8"/>
    <mergeCell ref="L8:O8"/>
    <mergeCell ref="D20:E20"/>
    <mergeCell ref="F20:G20"/>
    <mergeCell ref="H20:I20"/>
    <mergeCell ref="D17:G17"/>
    <mergeCell ref="H17:K17"/>
    <mergeCell ref="D18:E18"/>
    <mergeCell ref="F18:G18"/>
    <mergeCell ref="H18:I18"/>
    <mergeCell ref="J18:K18"/>
    <mergeCell ref="D19:E19"/>
    <mergeCell ref="F19:G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>
    <oddHeader>&amp;R&amp;F
Лист &amp;P
Листов &amp;N
&amp;D</oddHeader>
    <oddFooter>&amp;R&amp;G
&amp;D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2:P47"/>
  <sheetViews>
    <sheetView workbookViewId="0">
      <selection activeCell="B2" sqref="B2"/>
    </sheetView>
  </sheetViews>
  <sheetFormatPr defaultRowHeight="15"/>
  <cols>
    <col min="1" max="1" width="3.85546875" customWidth="1"/>
    <col min="2" max="2" width="20.42578125" customWidth="1"/>
    <col min="3" max="3" width="19.28515625" customWidth="1"/>
    <col min="4" max="4" width="12.140625" customWidth="1"/>
    <col min="5" max="5" width="8.85546875" customWidth="1"/>
    <col min="6" max="6" width="8.7109375" customWidth="1"/>
    <col min="7" max="7" width="8.140625" customWidth="1"/>
    <col min="8" max="8" width="7.28515625" customWidth="1"/>
    <col min="9" max="9" width="7.140625" customWidth="1"/>
    <col min="10" max="10" width="8.28515625" customWidth="1"/>
    <col min="11" max="11" width="7" customWidth="1"/>
    <col min="12" max="12" width="11.5703125" customWidth="1"/>
    <col min="13" max="13" width="12.7109375" customWidth="1"/>
    <col min="14" max="14" width="9.28515625" customWidth="1"/>
  </cols>
  <sheetData>
    <row r="2" spans="1:16" ht="18">
      <c r="B2" s="81"/>
    </row>
    <row r="4" spans="1:16" ht="33" customHeight="1">
      <c r="A4" s="6"/>
      <c r="B4" s="6"/>
      <c r="C4" s="6"/>
      <c r="D4" s="6"/>
      <c r="E4" s="6"/>
      <c r="F4" s="6"/>
      <c r="G4" s="6"/>
      <c r="H4" s="6"/>
      <c r="I4" s="14"/>
      <c r="J4" s="14"/>
      <c r="K4" s="14"/>
      <c r="L4" s="14"/>
      <c r="M4" s="11"/>
      <c r="N4" s="78"/>
      <c r="O4" s="82"/>
    </row>
    <row r="5" spans="1:16">
      <c r="A5" s="46"/>
      <c r="B5" s="6"/>
      <c r="C5" s="6"/>
      <c r="D5" s="6"/>
      <c r="E5" s="6"/>
      <c r="F5" s="6"/>
      <c r="G5" s="6"/>
      <c r="H5" s="16"/>
      <c r="I5" s="6"/>
      <c r="J5" s="75"/>
      <c r="K5" s="73"/>
      <c r="L5" s="222"/>
      <c r="M5" s="6"/>
      <c r="N5" s="60"/>
      <c r="O5" s="83"/>
      <c r="P5" s="22"/>
    </row>
    <row r="6" spans="1:16" ht="15" customHeight="1">
      <c r="A6" s="46"/>
      <c r="B6" s="6"/>
      <c r="C6" s="6"/>
      <c r="D6" s="6"/>
      <c r="E6" s="6"/>
      <c r="F6" s="6"/>
      <c r="G6" s="6"/>
      <c r="H6" s="16"/>
      <c r="I6" s="6"/>
      <c r="J6" s="75"/>
      <c r="K6" s="73"/>
      <c r="L6" s="223"/>
      <c r="M6" s="6"/>
      <c r="N6" s="60"/>
      <c r="O6" s="83"/>
      <c r="P6" s="22"/>
    </row>
    <row r="7" spans="1:16" ht="15" customHeight="1">
      <c r="A7" s="46"/>
      <c r="B7" s="6"/>
      <c r="C7" s="6"/>
      <c r="D7" s="6"/>
      <c r="E7" s="6"/>
      <c r="F7" s="6"/>
      <c r="G7" s="6"/>
      <c r="H7" s="16"/>
      <c r="I7" s="6"/>
      <c r="J7" s="75"/>
      <c r="K7" s="73"/>
      <c r="L7" s="223"/>
      <c r="M7" s="6"/>
      <c r="N7" s="60"/>
      <c r="O7" s="83"/>
      <c r="P7" s="22"/>
    </row>
    <row r="8" spans="1:16" ht="15" customHeight="1">
      <c r="A8" s="46"/>
      <c r="B8" s="6"/>
      <c r="C8" s="6"/>
      <c r="D8" s="6"/>
      <c r="E8" s="6"/>
      <c r="F8" s="6"/>
      <c r="G8" s="6"/>
      <c r="H8" s="16"/>
      <c r="I8" s="6"/>
      <c r="J8" s="75"/>
      <c r="K8" s="73"/>
      <c r="L8" s="223"/>
      <c r="M8" s="6"/>
      <c r="N8" s="60"/>
      <c r="O8" s="83"/>
      <c r="P8" s="22"/>
    </row>
    <row r="9" spans="1:16" ht="15" customHeight="1">
      <c r="A9" s="46"/>
      <c r="B9" s="6"/>
      <c r="C9" s="6"/>
      <c r="D9" s="6"/>
      <c r="E9" s="6"/>
      <c r="F9" s="6"/>
      <c r="G9" s="6"/>
      <c r="H9" s="16"/>
      <c r="I9" s="6"/>
      <c r="J9" s="75"/>
      <c r="K9" s="73"/>
      <c r="L9" s="223"/>
      <c r="M9" s="6"/>
      <c r="N9" s="60"/>
      <c r="O9" s="83"/>
      <c r="P9" s="22"/>
    </row>
    <row r="10" spans="1:16" ht="15" customHeight="1">
      <c r="A10" s="46"/>
      <c r="B10" s="6"/>
      <c r="C10" s="6"/>
      <c r="D10" s="6"/>
      <c r="E10" s="6"/>
      <c r="F10" s="6"/>
      <c r="G10" s="6"/>
      <c r="H10" s="16"/>
      <c r="I10" s="6"/>
      <c r="J10" s="75"/>
      <c r="K10" s="73"/>
      <c r="L10" s="223"/>
      <c r="M10" s="6"/>
      <c r="N10" s="60"/>
      <c r="O10" s="83"/>
      <c r="P10" s="22"/>
    </row>
    <row r="11" spans="1:16" ht="15" customHeight="1">
      <c r="A11" s="46"/>
      <c r="B11" s="6"/>
      <c r="C11" s="6"/>
      <c r="D11" s="6"/>
      <c r="E11" s="6"/>
      <c r="F11" s="6"/>
      <c r="G11" s="6"/>
      <c r="H11" s="16"/>
      <c r="I11" s="6"/>
      <c r="J11" s="75"/>
      <c r="K11" s="73"/>
      <c r="L11" s="223"/>
      <c r="M11" s="6"/>
      <c r="N11" s="60"/>
      <c r="O11" s="83"/>
      <c r="P11" s="22"/>
    </row>
    <row r="12" spans="1:16" ht="15" customHeight="1">
      <c r="A12" s="46"/>
      <c r="B12" s="6"/>
      <c r="C12" s="6"/>
      <c r="D12" s="6"/>
      <c r="E12" s="6"/>
      <c r="F12" s="6"/>
      <c r="G12" s="6"/>
      <c r="H12" s="16"/>
      <c r="I12" s="6"/>
      <c r="J12" s="75"/>
      <c r="K12" s="73"/>
      <c r="L12" s="223"/>
      <c r="M12" s="6"/>
      <c r="N12" s="60"/>
      <c r="O12" s="83"/>
      <c r="P12" s="22"/>
    </row>
    <row r="13" spans="1:16" ht="15" customHeight="1">
      <c r="A13" s="46"/>
      <c r="B13" s="6"/>
      <c r="C13" s="6"/>
      <c r="D13" s="6"/>
      <c r="E13" s="6"/>
      <c r="F13" s="6"/>
      <c r="G13" s="6"/>
      <c r="H13" s="16"/>
      <c r="I13" s="6"/>
      <c r="J13" s="75"/>
      <c r="K13" s="73"/>
      <c r="L13" s="223"/>
      <c r="M13" s="6"/>
      <c r="N13" s="60"/>
      <c r="O13" s="83"/>
      <c r="P13" s="22"/>
    </row>
    <row r="14" spans="1:16" ht="15" customHeight="1">
      <c r="A14" s="46"/>
      <c r="B14" s="6"/>
      <c r="C14" s="6"/>
      <c r="D14" s="6"/>
      <c r="E14" s="6"/>
      <c r="F14" s="6"/>
      <c r="G14" s="6"/>
      <c r="H14" s="16"/>
      <c r="I14" s="6"/>
      <c r="J14" s="75"/>
      <c r="K14" s="73"/>
      <c r="L14" s="223"/>
      <c r="M14" s="6"/>
      <c r="N14" s="60"/>
      <c r="O14" s="83"/>
      <c r="P14" s="22"/>
    </row>
    <row r="15" spans="1:16" ht="15" customHeight="1">
      <c r="A15" s="46"/>
      <c r="B15" s="6"/>
      <c r="C15" s="6"/>
      <c r="D15" s="6"/>
      <c r="E15" s="6"/>
      <c r="F15" s="6"/>
      <c r="G15" s="6"/>
      <c r="H15" s="16"/>
      <c r="I15" s="6"/>
      <c r="J15" s="75"/>
      <c r="K15" s="73"/>
      <c r="L15" s="223"/>
      <c r="M15" s="6"/>
      <c r="N15" s="60"/>
      <c r="O15" s="83"/>
      <c r="P15" s="22"/>
    </row>
    <row r="16" spans="1:16" ht="15" customHeight="1">
      <c r="A16" s="46"/>
      <c r="B16" s="6"/>
      <c r="C16" s="6"/>
      <c r="D16" s="6"/>
      <c r="E16" s="6"/>
      <c r="F16" s="6"/>
      <c r="G16" s="6"/>
      <c r="H16" s="16"/>
      <c r="I16" s="6"/>
      <c r="J16" s="75"/>
      <c r="K16" s="73"/>
      <c r="L16" s="223"/>
      <c r="M16" s="6"/>
      <c r="N16" s="60"/>
      <c r="O16" s="83"/>
      <c r="P16" s="22"/>
    </row>
    <row r="17" spans="1:16" ht="15" customHeight="1">
      <c r="A17" s="46"/>
      <c r="B17" s="6"/>
      <c r="C17" s="6"/>
      <c r="D17" s="6"/>
      <c r="E17" s="6"/>
      <c r="F17" s="6"/>
      <c r="G17" s="6"/>
      <c r="H17" s="16"/>
      <c r="I17" s="6"/>
      <c r="J17" s="75"/>
      <c r="K17" s="73"/>
      <c r="L17" s="223"/>
      <c r="M17" s="6"/>
      <c r="N17" s="60"/>
      <c r="O17" s="83"/>
      <c r="P17" s="22"/>
    </row>
    <row r="18" spans="1:16" ht="15" customHeight="1">
      <c r="A18" s="46"/>
      <c r="B18" s="6"/>
      <c r="C18" s="6"/>
      <c r="D18" s="6"/>
      <c r="E18" s="6"/>
      <c r="F18" s="6"/>
      <c r="G18" s="6"/>
      <c r="H18" s="16"/>
      <c r="I18" s="6"/>
      <c r="J18" s="75"/>
      <c r="K18" s="73"/>
      <c r="L18" s="223"/>
      <c r="M18" s="6"/>
      <c r="N18" s="60"/>
      <c r="O18" s="83"/>
      <c r="P18" s="22"/>
    </row>
    <row r="19" spans="1:16" ht="15" customHeight="1">
      <c r="A19" s="46"/>
      <c r="B19" s="6"/>
      <c r="C19" s="6"/>
      <c r="D19" s="74"/>
      <c r="E19" s="6"/>
      <c r="F19" s="6"/>
      <c r="G19" s="6"/>
      <c r="H19" s="16"/>
      <c r="I19" s="6"/>
      <c r="J19" s="75"/>
      <c r="K19" s="73"/>
      <c r="L19" s="223"/>
      <c r="M19" s="6"/>
      <c r="N19" s="60"/>
      <c r="O19" s="83"/>
      <c r="P19" s="22"/>
    </row>
    <row r="20" spans="1:16" ht="15" customHeight="1">
      <c r="A20" s="46"/>
      <c r="B20" s="6"/>
      <c r="C20" s="6"/>
      <c r="D20" s="6"/>
      <c r="E20" s="6"/>
      <c r="F20" s="6"/>
      <c r="G20" s="6"/>
      <c r="H20" s="16"/>
      <c r="I20" s="6"/>
      <c r="J20" s="75"/>
      <c r="K20" s="73"/>
      <c r="L20" s="223"/>
      <c r="M20" s="6"/>
      <c r="N20" s="60"/>
      <c r="O20" s="83"/>
      <c r="P20" s="22"/>
    </row>
    <row r="21" spans="1:16">
      <c r="A21" s="46"/>
      <c r="B21" s="6"/>
      <c r="C21" s="6"/>
      <c r="D21" s="6"/>
      <c r="E21" s="6"/>
      <c r="F21" s="6"/>
      <c r="G21" s="6"/>
      <c r="H21" s="16"/>
      <c r="I21" s="6"/>
      <c r="J21" s="75"/>
      <c r="K21" s="73"/>
      <c r="L21" s="223"/>
      <c r="M21" s="6"/>
      <c r="N21" s="60"/>
      <c r="O21" s="83"/>
      <c r="P21" s="22"/>
    </row>
    <row r="22" spans="1:16">
      <c r="A22" s="46"/>
      <c r="B22" s="6"/>
      <c r="C22" s="6"/>
      <c r="D22" s="6"/>
      <c r="E22" s="6"/>
      <c r="F22" s="6"/>
      <c r="G22" s="6"/>
      <c r="H22" s="16"/>
      <c r="I22" s="6"/>
      <c r="J22" s="75"/>
      <c r="K22" s="73"/>
      <c r="L22" s="223"/>
      <c r="M22" s="6"/>
      <c r="N22" s="60"/>
      <c r="O22" s="83"/>
      <c r="P22" s="22"/>
    </row>
    <row r="23" spans="1:16" ht="15" customHeight="1">
      <c r="A23" s="46"/>
      <c r="B23" s="6"/>
      <c r="C23" s="6"/>
      <c r="D23" s="6"/>
      <c r="E23" s="6"/>
      <c r="F23" s="6"/>
      <c r="G23" s="6"/>
      <c r="H23" s="16"/>
      <c r="I23" s="6"/>
      <c r="J23" s="75"/>
      <c r="K23" s="73"/>
      <c r="L23" s="223"/>
      <c r="M23" s="6"/>
      <c r="N23" s="60"/>
      <c r="O23" s="83"/>
      <c r="P23" s="22"/>
    </row>
    <row r="24" spans="1:16">
      <c r="A24" s="46"/>
      <c r="B24" s="6"/>
      <c r="C24" s="6"/>
      <c r="D24" s="6"/>
      <c r="E24" s="6"/>
      <c r="F24" s="6"/>
      <c r="G24" s="6"/>
      <c r="H24" s="16"/>
      <c r="I24" s="6"/>
      <c r="J24" s="75"/>
      <c r="K24" s="73"/>
      <c r="L24" s="223"/>
      <c r="M24" s="6"/>
      <c r="N24" s="60"/>
      <c r="O24" s="83"/>
      <c r="P24" s="22"/>
    </row>
    <row r="25" spans="1:16">
      <c r="A25" s="46"/>
      <c r="B25" s="6"/>
      <c r="C25" s="6"/>
      <c r="D25" s="6"/>
      <c r="E25" s="6"/>
      <c r="F25" s="6"/>
      <c r="G25" s="6"/>
      <c r="H25" s="16"/>
      <c r="I25" s="6"/>
      <c r="J25" s="75"/>
      <c r="K25" s="73"/>
      <c r="L25" s="223"/>
      <c r="M25" s="6"/>
      <c r="N25" s="60"/>
      <c r="O25" s="83"/>
      <c r="P25" s="22"/>
    </row>
    <row r="26" spans="1:16">
      <c r="A26" s="46"/>
      <c r="B26" s="6"/>
      <c r="C26" s="6"/>
      <c r="D26" s="6"/>
      <c r="E26" s="6"/>
      <c r="F26" s="6"/>
      <c r="G26" s="6"/>
      <c r="H26" s="16"/>
      <c r="I26" s="6"/>
      <c r="J26" s="75"/>
      <c r="K26" s="73"/>
      <c r="L26" s="223"/>
      <c r="M26" s="6"/>
      <c r="N26" s="60"/>
      <c r="O26" s="83"/>
      <c r="P26" s="22"/>
    </row>
    <row r="27" spans="1:16" ht="15" customHeight="1">
      <c r="A27" s="46"/>
      <c r="B27" s="6"/>
      <c r="C27" s="6"/>
      <c r="D27" s="6"/>
      <c r="E27" s="6"/>
      <c r="F27" s="6"/>
      <c r="G27" s="6"/>
      <c r="H27" s="16"/>
      <c r="I27" s="6"/>
      <c r="J27" s="75"/>
      <c r="K27" s="73"/>
      <c r="L27" s="223"/>
      <c r="M27" s="6"/>
      <c r="N27" s="60"/>
      <c r="O27" s="83"/>
      <c r="P27" s="22"/>
    </row>
    <row r="28" spans="1:16" ht="15" customHeight="1">
      <c r="A28" s="46"/>
      <c r="B28" s="6"/>
      <c r="C28" s="6"/>
      <c r="D28" s="6"/>
      <c r="E28" s="6"/>
      <c r="F28" s="6"/>
      <c r="G28" s="6"/>
      <c r="H28" s="16"/>
      <c r="I28" s="6"/>
      <c r="J28" s="75"/>
      <c r="K28" s="73"/>
      <c r="L28" s="223"/>
      <c r="M28" s="6"/>
      <c r="N28" s="60"/>
      <c r="O28" s="83"/>
      <c r="P28" s="22"/>
    </row>
    <row r="29" spans="1:16" ht="15" customHeight="1">
      <c r="A29" s="46"/>
      <c r="B29" s="6"/>
      <c r="C29" s="6"/>
      <c r="D29" s="6"/>
      <c r="E29" s="6"/>
      <c r="F29" s="6"/>
      <c r="G29" s="6"/>
      <c r="H29" s="16"/>
      <c r="I29" s="6"/>
      <c r="J29" s="75"/>
      <c r="K29" s="73"/>
      <c r="L29" s="223"/>
      <c r="M29" s="6"/>
      <c r="N29" s="60"/>
      <c r="O29" s="83"/>
      <c r="P29" s="22"/>
    </row>
    <row r="30" spans="1:16">
      <c r="A30" s="46"/>
      <c r="B30" s="6"/>
      <c r="C30" s="6"/>
      <c r="D30" s="6"/>
      <c r="E30" s="6"/>
      <c r="F30" s="6"/>
      <c r="G30" s="6"/>
      <c r="H30" s="16"/>
      <c r="I30" s="6"/>
      <c r="J30" s="75"/>
      <c r="K30" s="73"/>
      <c r="L30" s="223"/>
      <c r="M30" s="6"/>
      <c r="N30" s="60"/>
      <c r="O30" s="83"/>
      <c r="P30" s="22"/>
    </row>
    <row r="31" spans="1:16" ht="15" customHeight="1">
      <c r="A31" s="46"/>
      <c r="B31" s="6"/>
      <c r="C31" s="6"/>
      <c r="D31" s="6"/>
      <c r="E31" s="6"/>
      <c r="F31" s="6"/>
      <c r="G31" s="6"/>
      <c r="H31" s="16"/>
      <c r="I31" s="6"/>
      <c r="J31" s="75"/>
      <c r="K31" s="73"/>
      <c r="L31" s="223"/>
      <c r="M31" s="6"/>
      <c r="N31" s="60"/>
      <c r="O31" s="83"/>
      <c r="P31" s="22"/>
    </row>
    <row r="32" spans="1:16" ht="15" customHeight="1">
      <c r="A32" s="46"/>
      <c r="B32" s="6"/>
      <c r="C32" s="6"/>
      <c r="D32" s="6"/>
      <c r="E32" s="6"/>
      <c r="F32" s="6"/>
      <c r="G32" s="6"/>
      <c r="H32" s="16"/>
      <c r="I32" s="6"/>
      <c r="J32" s="75"/>
      <c r="K32" s="73"/>
      <c r="L32" s="223"/>
      <c r="M32" s="6"/>
      <c r="N32" s="60"/>
      <c r="O32" s="83"/>
      <c r="P32" s="22"/>
    </row>
    <row r="33" spans="1:16">
      <c r="A33" s="46"/>
      <c r="B33" s="6"/>
      <c r="C33" s="6"/>
      <c r="D33" s="6"/>
      <c r="E33" s="6"/>
      <c r="F33" s="6"/>
      <c r="G33" s="6"/>
      <c r="H33" s="16"/>
      <c r="I33" s="6"/>
      <c r="J33" s="75"/>
      <c r="K33" s="73"/>
      <c r="L33" s="223"/>
      <c r="M33" s="6"/>
      <c r="N33" s="60"/>
      <c r="O33" s="83"/>
      <c r="P33" s="22"/>
    </row>
    <row r="34" spans="1:16">
      <c r="A34" s="46"/>
      <c r="B34" s="6"/>
      <c r="C34" s="6"/>
      <c r="D34" s="6"/>
      <c r="E34" s="6"/>
      <c r="F34" s="6"/>
      <c r="G34" s="6"/>
      <c r="H34" s="16"/>
      <c r="I34" s="6"/>
      <c r="J34" s="75"/>
      <c r="K34" s="73"/>
      <c r="L34" s="223"/>
      <c r="M34" s="6"/>
      <c r="N34" s="60"/>
      <c r="O34" s="83"/>
      <c r="P34" s="22"/>
    </row>
    <row r="35" spans="1:16">
      <c r="A35" s="46"/>
      <c r="B35" s="74"/>
      <c r="C35" s="74"/>
      <c r="D35" s="74"/>
      <c r="E35" s="6"/>
      <c r="F35" s="6"/>
      <c r="G35" s="6"/>
      <c r="H35" s="16"/>
      <c r="I35" s="74"/>
      <c r="J35" s="75"/>
      <c r="K35" s="73"/>
      <c r="L35" s="224"/>
      <c r="M35" s="6"/>
      <c r="N35" s="60"/>
      <c r="O35" s="83"/>
      <c r="P35" s="22"/>
    </row>
    <row r="36" spans="1:16" ht="34.5" customHeight="1">
      <c r="A36" s="46"/>
      <c r="B36" s="203"/>
      <c r="C36" s="204"/>
      <c r="D36" s="6"/>
      <c r="E36" s="6"/>
      <c r="F36" s="6"/>
      <c r="G36" s="6"/>
      <c r="H36" s="6"/>
      <c r="I36" s="6"/>
      <c r="J36" s="75"/>
      <c r="K36" s="73"/>
      <c r="L36" s="79"/>
      <c r="M36" s="6"/>
      <c r="N36" s="60"/>
      <c r="P36" s="22"/>
    </row>
    <row r="37" spans="1:16">
      <c r="A37" s="46"/>
      <c r="B37" s="6"/>
      <c r="C37" s="14"/>
      <c r="D37" s="6"/>
      <c r="E37" s="6"/>
      <c r="F37" s="6"/>
      <c r="G37" s="6"/>
      <c r="H37" s="6"/>
      <c r="I37" s="6"/>
      <c r="J37" s="75"/>
      <c r="K37" s="73"/>
      <c r="L37" s="75"/>
      <c r="M37" s="6"/>
      <c r="N37" s="60"/>
      <c r="P37" s="22"/>
    </row>
    <row r="38" spans="1:16">
      <c r="A38" s="46"/>
      <c r="B38" s="6"/>
      <c r="C38" s="6"/>
      <c r="D38" s="6"/>
      <c r="E38" s="6"/>
      <c r="F38" s="6"/>
      <c r="G38" s="6"/>
      <c r="H38" s="6"/>
      <c r="I38" s="6"/>
      <c r="J38" s="75"/>
      <c r="K38" s="73"/>
      <c r="L38" s="75"/>
      <c r="M38" s="6"/>
      <c r="N38" s="60"/>
      <c r="O38" s="83"/>
      <c r="P38" s="22"/>
    </row>
    <row r="40" spans="1:16" ht="18">
      <c r="C40" s="80"/>
    </row>
    <row r="42" spans="1:16">
      <c r="C42" s="12"/>
      <c r="D42" s="20"/>
      <c r="E42" s="20"/>
      <c r="F42" s="20"/>
      <c r="G42" s="12"/>
      <c r="H42" s="20"/>
    </row>
    <row r="43" spans="1:16">
      <c r="C43" s="20"/>
      <c r="D43" s="20"/>
      <c r="E43" s="20"/>
      <c r="F43" s="20"/>
      <c r="G43" s="6"/>
      <c r="H43" s="16"/>
    </row>
    <row r="44" spans="1:16">
      <c r="C44" s="20"/>
      <c r="D44" s="20"/>
      <c r="E44" s="20"/>
      <c r="F44" s="20"/>
      <c r="G44" s="6"/>
      <c r="H44" s="16"/>
    </row>
    <row r="45" spans="1:16">
      <c r="C45" s="20"/>
      <c r="D45" s="20"/>
      <c r="E45" s="20"/>
      <c r="F45" s="20"/>
      <c r="G45" s="18"/>
      <c r="H45" s="16"/>
    </row>
    <row r="46" spans="1:16">
      <c r="C46" s="20"/>
      <c r="D46" s="20"/>
      <c r="E46" s="20"/>
      <c r="F46" s="20"/>
      <c r="G46" s="73"/>
      <c r="H46" s="16"/>
    </row>
    <row r="47" spans="1:16">
      <c r="C47" s="20"/>
      <c r="D47" s="18"/>
      <c r="E47" s="18"/>
      <c r="F47" s="18"/>
      <c r="G47" s="73"/>
      <c r="H47" s="16"/>
    </row>
  </sheetData>
  <autoFilter ref="A2:A47">
    <filterColumn colId="0"/>
  </autoFilter>
  <mergeCells count="2">
    <mergeCell ref="L5:L35"/>
    <mergeCell ref="B36:C3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1"/>
  <sheetViews>
    <sheetView view="pageBreakPreview" topLeftCell="A34" zoomScale="90" zoomScaleNormal="100" zoomScaleSheetLayoutView="90" workbookViewId="0">
      <selection activeCell="H65" sqref="H65"/>
    </sheetView>
  </sheetViews>
  <sheetFormatPr defaultRowHeight="15"/>
  <cols>
    <col min="1" max="1" width="4.85546875" customWidth="1"/>
    <col min="2" max="2" width="3.85546875" customWidth="1"/>
    <col min="3" max="3" width="24" customWidth="1"/>
    <col min="4" max="4" width="23.28515625" customWidth="1"/>
    <col min="5" max="5" width="16.28515625" customWidth="1"/>
    <col min="6" max="6" width="9.85546875" customWidth="1"/>
    <col min="8" max="8" width="13.85546875" customWidth="1"/>
    <col min="9" max="9" width="13.28515625" customWidth="1"/>
  </cols>
  <sheetData>
    <row r="1" spans="1:10">
      <c r="A1">
        <v>1</v>
      </c>
    </row>
    <row r="2" spans="1:10" ht="15.75">
      <c r="A2">
        <v>1</v>
      </c>
      <c r="D2" s="103" t="s">
        <v>129</v>
      </c>
      <c r="E2" s="160">
        <f>'Исход. данные'!C3</f>
        <v>0</v>
      </c>
      <c r="F2" s="104"/>
      <c r="G2" s="105"/>
      <c r="H2" s="105"/>
    </row>
    <row r="3" spans="1:10" ht="15.75">
      <c r="A3">
        <v>1</v>
      </c>
      <c r="D3" s="103" t="s">
        <v>39</v>
      </c>
      <c r="E3" s="161">
        <f>Снабженцам!E5</f>
        <v>0</v>
      </c>
      <c r="G3" s="103"/>
      <c r="H3" s="160"/>
    </row>
    <row r="4" spans="1:10">
      <c r="A4">
        <v>1</v>
      </c>
    </row>
    <row r="5" spans="1:10" ht="18">
      <c r="A5">
        <v>1</v>
      </c>
      <c r="B5" s="109" t="s">
        <v>133</v>
      </c>
      <c r="C5" s="81"/>
    </row>
    <row r="6" spans="1:10">
      <c r="A6">
        <v>1</v>
      </c>
    </row>
    <row r="7" spans="1:10" ht="42.75" customHeight="1">
      <c r="A7">
        <v>1</v>
      </c>
      <c r="B7" s="86" t="s">
        <v>16</v>
      </c>
      <c r="C7" s="86" t="s">
        <v>2</v>
      </c>
      <c r="D7" s="86" t="s">
        <v>3</v>
      </c>
      <c r="E7" s="86" t="s">
        <v>45</v>
      </c>
      <c r="F7" s="107" t="s">
        <v>132</v>
      </c>
      <c r="G7" s="107" t="s">
        <v>7</v>
      </c>
      <c r="H7" s="96" t="s">
        <v>128</v>
      </c>
    </row>
    <row r="8" spans="1:10" ht="15" customHeight="1">
      <c r="A8">
        <f>J8</f>
        <v>1</v>
      </c>
      <c r="B8" s="46">
        <v>1</v>
      </c>
      <c r="C8" s="6" t="s">
        <v>47</v>
      </c>
      <c r="D8" s="6" t="s">
        <v>48</v>
      </c>
      <c r="E8" s="6" t="s">
        <v>91</v>
      </c>
      <c r="F8" s="75"/>
      <c r="G8" s="6">
        <v>42</v>
      </c>
      <c r="H8" s="6"/>
      <c r="J8" s="22">
        <f t="shared" ref="J8:J38" si="0">IF(G8*1&gt;0,1,0)</f>
        <v>1</v>
      </c>
    </row>
    <row r="9" spans="1:10">
      <c r="A9">
        <f t="shared" ref="A9:A61" si="1">J9</f>
        <v>0</v>
      </c>
      <c r="B9" s="46" t="s">
        <v>181</v>
      </c>
      <c r="C9" s="6" t="s">
        <v>113</v>
      </c>
      <c r="D9" s="6" t="s">
        <v>50</v>
      </c>
      <c r="E9" s="6" t="s">
        <v>179</v>
      </c>
      <c r="F9" s="75"/>
      <c r="G9" s="6">
        <v>0</v>
      </c>
      <c r="H9" s="6"/>
      <c r="J9" s="22">
        <f t="shared" si="0"/>
        <v>0</v>
      </c>
    </row>
    <row r="10" spans="1:10">
      <c r="A10">
        <f t="shared" si="1"/>
        <v>0</v>
      </c>
      <c r="B10" s="46" t="s">
        <v>181</v>
      </c>
      <c r="C10" s="6" t="s">
        <v>175</v>
      </c>
      <c r="D10" s="6" t="s">
        <v>50</v>
      </c>
      <c r="E10" s="6" t="s">
        <v>178</v>
      </c>
      <c r="F10" s="75"/>
      <c r="G10" s="6">
        <v>0</v>
      </c>
      <c r="H10" s="6"/>
      <c r="J10" s="22">
        <f t="shared" si="0"/>
        <v>0</v>
      </c>
    </row>
    <row r="11" spans="1:10">
      <c r="A11">
        <f t="shared" si="1"/>
        <v>0</v>
      </c>
      <c r="B11" s="46" t="s">
        <v>181</v>
      </c>
      <c r="C11" s="6" t="s">
        <v>81</v>
      </c>
      <c r="D11" s="6" t="s">
        <v>61</v>
      </c>
      <c r="E11" s="6" t="s">
        <v>93</v>
      </c>
      <c r="F11" s="75"/>
      <c r="G11" s="6">
        <v>0</v>
      </c>
      <c r="H11" s="6"/>
      <c r="J11" s="22">
        <f t="shared" si="0"/>
        <v>0</v>
      </c>
    </row>
    <row r="12" spans="1:10">
      <c r="A12">
        <f t="shared" si="1"/>
        <v>0</v>
      </c>
      <c r="B12" s="46" t="s">
        <v>181</v>
      </c>
      <c r="C12" s="6" t="s">
        <v>82</v>
      </c>
      <c r="D12" s="6" t="s">
        <v>55</v>
      </c>
      <c r="E12" s="6" t="s">
        <v>94</v>
      </c>
      <c r="F12" s="75"/>
      <c r="G12" s="6">
        <v>0</v>
      </c>
      <c r="H12" s="6"/>
      <c r="J12" s="22">
        <f t="shared" si="0"/>
        <v>0</v>
      </c>
    </row>
    <row r="13" spans="1:10">
      <c r="A13">
        <f t="shared" si="1"/>
        <v>0</v>
      </c>
      <c r="B13" s="46" t="s">
        <v>181</v>
      </c>
      <c r="C13" s="6" t="s">
        <v>83</v>
      </c>
      <c r="D13" s="6" t="s">
        <v>57</v>
      </c>
      <c r="E13" s="6" t="s">
        <v>95</v>
      </c>
      <c r="F13" s="75"/>
      <c r="G13" s="6">
        <v>0</v>
      </c>
      <c r="H13" s="6"/>
      <c r="J13" s="22">
        <f t="shared" si="0"/>
        <v>0</v>
      </c>
    </row>
    <row r="14" spans="1:10">
      <c r="A14">
        <f t="shared" si="1"/>
        <v>0</v>
      </c>
      <c r="B14" s="46" t="s">
        <v>181</v>
      </c>
      <c r="C14" s="6" t="s">
        <v>84</v>
      </c>
      <c r="D14" s="6" t="s">
        <v>59</v>
      </c>
      <c r="E14" s="6" t="s">
        <v>96</v>
      </c>
      <c r="F14" s="75"/>
      <c r="G14" s="6">
        <v>0</v>
      </c>
      <c r="H14" s="6"/>
      <c r="J14" s="22">
        <f t="shared" si="0"/>
        <v>0</v>
      </c>
    </row>
    <row r="15" spans="1:10">
      <c r="A15">
        <f t="shared" si="1"/>
        <v>0</v>
      </c>
      <c r="B15" s="46" t="s">
        <v>181</v>
      </c>
      <c r="C15" s="6" t="s">
        <v>149</v>
      </c>
      <c r="D15" s="6" t="s">
        <v>61</v>
      </c>
      <c r="E15" s="6" t="s">
        <v>153</v>
      </c>
      <c r="F15" s="75"/>
      <c r="G15" s="6">
        <v>0</v>
      </c>
      <c r="H15" s="6"/>
      <c r="J15" s="22">
        <f t="shared" si="0"/>
        <v>0</v>
      </c>
    </row>
    <row r="16" spans="1:10">
      <c r="A16">
        <f t="shared" si="1"/>
        <v>0</v>
      </c>
      <c r="B16" s="46" t="s">
        <v>181</v>
      </c>
      <c r="C16" s="6" t="s">
        <v>150</v>
      </c>
      <c r="D16" s="6" t="s">
        <v>55</v>
      </c>
      <c r="E16" s="6" t="s">
        <v>154</v>
      </c>
      <c r="F16" s="75"/>
      <c r="G16" s="6">
        <v>0</v>
      </c>
      <c r="H16" s="6"/>
      <c r="J16" s="22">
        <f t="shared" si="0"/>
        <v>0</v>
      </c>
    </row>
    <row r="17" spans="1:10">
      <c r="A17">
        <f t="shared" si="1"/>
        <v>0</v>
      </c>
      <c r="B17" s="46" t="s">
        <v>181</v>
      </c>
      <c r="C17" s="6" t="s">
        <v>151</v>
      </c>
      <c r="D17" s="6" t="s">
        <v>57</v>
      </c>
      <c r="E17" s="6" t="s">
        <v>155</v>
      </c>
      <c r="F17" s="75"/>
      <c r="G17" s="6">
        <v>0</v>
      </c>
      <c r="H17" s="6"/>
      <c r="J17" s="22">
        <f t="shared" si="0"/>
        <v>0</v>
      </c>
    </row>
    <row r="18" spans="1:10">
      <c r="A18">
        <f t="shared" si="1"/>
        <v>0</v>
      </c>
      <c r="B18" s="46" t="s">
        <v>181</v>
      </c>
      <c r="C18" s="6" t="s">
        <v>152</v>
      </c>
      <c r="D18" s="6" t="s">
        <v>59</v>
      </c>
      <c r="E18" s="6" t="s">
        <v>156</v>
      </c>
      <c r="F18" s="75"/>
      <c r="G18" s="6">
        <v>0</v>
      </c>
      <c r="H18" s="6"/>
      <c r="J18" s="22">
        <f t="shared" si="0"/>
        <v>0</v>
      </c>
    </row>
    <row r="19" spans="1:10">
      <c r="A19">
        <f t="shared" si="1"/>
        <v>0</v>
      </c>
      <c r="B19" s="46" t="s">
        <v>181</v>
      </c>
      <c r="C19" s="6" t="s">
        <v>157</v>
      </c>
      <c r="D19" s="6" t="s">
        <v>61</v>
      </c>
      <c r="E19" s="6" t="s">
        <v>163</v>
      </c>
      <c r="F19" s="75"/>
      <c r="G19" s="6">
        <v>0</v>
      </c>
      <c r="H19" s="6"/>
      <c r="J19" s="22">
        <f t="shared" si="0"/>
        <v>0</v>
      </c>
    </row>
    <row r="20" spans="1:10">
      <c r="A20">
        <f t="shared" si="1"/>
        <v>0</v>
      </c>
      <c r="B20" s="46" t="s">
        <v>181</v>
      </c>
      <c r="C20" s="6" t="s">
        <v>158</v>
      </c>
      <c r="D20" s="6" t="s">
        <v>55</v>
      </c>
      <c r="E20" s="6" t="s">
        <v>164</v>
      </c>
      <c r="F20" s="75"/>
      <c r="G20" s="6">
        <v>0</v>
      </c>
      <c r="H20" s="6"/>
      <c r="J20" s="22">
        <f t="shared" si="0"/>
        <v>0</v>
      </c>
    </row>
    <row r="21" spans="1:10">
      <c r="A21">
        <f t="shared" si="1"/>
        <v>0</v>
      </c>
      <c r="B21" s="46" t="s">
        <v>181</v>
      </c>
      <c r="C21" s="6" t="s">
        <v>159</v>
      </c>
      <c r="D21" s="6" t="s">
        <v>57</v>
      </c>
      <c r="E21" s="6" t="s">
        <v>165</v>
      </c>
      <c r="F21" s="75"/>
      <c r="G21" s="6">
        <v>0</v>
      </c>
      <c r="H21" s="6"/>
      <c r="J21" s="22">
        <f t="shared" si="0"/>
        <v>0</v>
      </c>
    </row>
    <row r="22" spans="1:10">
      <c r="A22">
        <f t="shared" si="1"/>
        <v>0</v>
      </c>
      <c r="B22" s="46" t="s">
        <v>181</v>
      </c>
      <c r="C22" s="6" t="s">
        <v>160</v>
      </c>
      <c r="D22" s="6" t="s">
        <v>59</v>
      </c>
      <c r="E22" s="6" t="s">
        <v>166</v>
      </c>
      <c r="F22" s="75"/>
      <c r="G22" s="6">
        <v>0</v>
      </c>
      <c r="H22" s="6"/>
      <c r="J22" s="22">
        <f t="shared" si="0"/>
        <v>0</v>
      </c>
    </row>
    <row r="23" spans="1:10">
      <c r="A23">
        <f t="shared" si="1"/>
        <v>1</v>
      </c>
      <c r="B23" s="46">
        <v>2</v>
      </c>
      <c r="C23" s="6" t="s">
        <v>62</v>
      </c>
      <c r="D23" s="6" t="s">
        <v>63</v>
      </c>
      <c r="E23" s="6" t="s">
        <v>97</v>
      </c>
      <c r="F23" s="75"/>
      <c r="G23" s="6">
        <v>1</v>
      </c>
      <c r="H23" s="6"/>
      <c r="J23" s="22">
        <f t="shared" si="0"/>
        <v>1</v>
      </c>
    </row>
    <row r="24" spans="1:10">
      <c r="A24">
        <f t="shared" si="1"/>
        <v>0</v>
      </c>
      <c r="B24" s="46" t="s">
        <v>181</v>
      </c>
      <c r="C24" s="6" t="s">
        <v>64</v>
      </c>
      <c r="D24" s="6" t="s">
        <v>63</v>
      </c>
      <c r="E24" s="6" t="s">
        <v>98</v>
      </c>
      <c r="F24" s="75"/>
      <c r="G24" s="6">
        <v>0</v>
      </c>
      <c r="H24" s="6"/>
      <c r="J24" s="22">
        <f t="shared" si="0"/>
        <v>0</v>
      </c>
    </row>
    <row r="25" spans="1:10">
      <c r="A25">
        <f t="shared" si="1"/>
        <v>1</v>
      </c>
      <c r="B25" s="46">
        <v>3</v>
      </c>
      <c r="C25" s="6" t="s">
        <v>69</v>
      </c>
      <c r="D25" s="6" t="s">
        <v>63</v>
      </c>
      <c r="E25" s="6" t="s">
        <v>99</v>
      </c>
      <c r="F25" s="75"/>
      <c r="G25" s="6">
        <v>20</v>
      </c>
      <c r="H25" s="6"/>
      <c r="J25" s="22">
        <f t="shared" si="0"/>
        <v>1</v>
      </c>
    </row>
    <row r="26" spans="1:10">
      <c r="A26">
        <f t="shared" si="1"/>
        <v>0</v>
      </c>
      <c r="B26" s="46" t="s">
        <v>181</v>
      </c>
      <c r="C26" s="6" t="s">
        <v>70</v>
      </c>
      <c r="D26" s="6" t="s">
        <v>63</v>
      </c>
      <c r="E26" s="6" t="s">
        <v>100</v>
      </c>
      <c r="F26" s="75"/>
      <c r="G26" s="6">
        <v>0</v>
      </c>
      <c r="H26" s="6"/>
      <c r="J26" s="22">
        <f t="shared" si="0"/>
        <v>0</v>
      </c>
    </row>
    <row r="27" spans="1:10">
      <c r="A27">
        <f t="shared" si="1"/>
        <v>0</v>
      </c>
      <c r="B27" s="46" t="s">
        <v>181</v>
      </c>
      <c r="C27" s="6" t="s">
        <v>72</v>
      </c>
      <c r="D27" s="6" t="s">
        <v>63</v>
      </c>
      <c r="E27" s="6" t="s">
        <v>101</v>
      </c>
      <c r="F27" s="75"/>
      <c r="G27" s="6">
        <v>0</v>
      </c>
      <c r="H27" s="6"/>
      <c r="J27" s="22">
        <f t="shared" si="0"/>
        <v>0</v>
      </c>
    </row>
    <row r="28" spans="1:10">
      <c r="A28">
        <f t="shared" si="1"/>
        <v>0</v>
      </c>
      <c r="B28" s="46" t="s">
        <v>181</v>
      </c>
      <c r="C28" s="6" t="s">
        <v>74</v>
      </c>
      <c r="D28" s="6" t="s">
        <v>63</v>
      </c>
      <c r="E28" s="6" t="s">
        <v>102</v>
      </c>
      <c r="F28" s="75"/>
      <c r="G28" s="6">
        <v>0</v>
      </c>
      <c r="H28" s="6"/>
      <c r="J28" s="22">
        <f t="shared" si="0"/>
        <v>0</v>
      </c>
    </row>
    <row r="29" spans="1:10">
      <c r="A29">
        <f t="shared" si="1"/>
        <v>0</v>
      </c>
      <c r="B29" s="46" t="s">
        <v>181</v>
      </c>
      <c r="C29" s="6" t="s">
        <v>76</v>
      </c>
      <c r="D29" s="6" t="s">
        <v>63</v>
      </c>
      <c r="E29" s="6" t="s">
        <v>103</v>
      </c>
      <c r="F29" s="75"/>
      <c r="G29" s="6">
        <v>0</v>
      </c>
      <c r="H29" s="6"/>
      <c r="J29" s="22">
        <f t="shared" si="0"/>
        <v>0</v>
      </c>
    </row>
    <row r="30" spans="1:10">
      <c r="A30">
        <f t="shared" si="1"/>
        <v>0</v>
      </c>
      <c r="B30" s="46" t="s">
        <v>181</v>
      </c>
      <c r="C30" s="6" t="s">
        <v>136</v>
      </c>
      <c r="D30" s="6" t="s">
        <v>63</v>
      </c>
      <c r="E30" s="6" t="s">
        <v>104</v>
      </c>
      <c r="F30" s="75"/>
      <c r="G30" s="6">
        <v>0</v>
      </c>
      <c r="H30" s="6"/>
      <c r="J30" s="22">
        <f t="shared" si="0"/>
        <v>0</v>
      </c>
    </row>
    <row r="31" spans="1:10">
      <c r="A31">
        <f t="shared" si="1"/>
        <v>0</v>
      </c>
      <c r="B31" s="46" t="s">
        <v>181</v>
      </c>
      <c r="C31" s="6" t="s">
        <v>138</v>
      </c>
      <c r="D31" s="6" t="s">
        <v>63</v>
      </c>
      <c r="E31" s="6" t="s">
        <v>105</v>
      </c>
      <c r="F31" s="75"/>
      <c r="G31" s="6">
        <v>0</v>
      </c>
      <c r="H31" s="6"/>
      <c r="J31" s="22">
        <f t="shared" si="0"/>
        <v>0</v>
      </c>
    </row>
    <row r="32" spans="1:10">
      <c r="A32">
        <f t="shared" si="1"/>
        <v>0</v>
      </c>
      <c r="B32" s="46" t="s">
        <v>181</v>
      </c>
      <c r="C32" s="6" t="s">
        <v>140</v>
      </c>
      <c r="D32" s="6" t="s">
        <v>63</v>
      </c>
      <c r="E32" s="6" t="s">
        <v>106</v>
      </c>
      <c r="F32" s="75"/>
      <c r="G32" s="6">
        <v>0</v>
      </c>
      <c r="H32" s="6"/>
      <c r="J32" s="22">
        <f t="shared" si="0"/>
        <v>0</v>
      </c>
    </row>
    <row r="33" spans="1:10">
      <c r="A33">
        <f t="shared" si="1"/>
        <v>0</v>
      </c>
      <c r="B33" s="46" t="s">
        <v>181</v>
      </c>
      <c r="C33" s="6" t="s">
        <v>78</v>
      </c>
      <c r="D33" s="6" t="s">
        <v>63</v>
      </c>
      <c r="E33" s="6" t="s">
        <v>107</v>
      </c>
      <c r="F33" s="75"/>
      <c r="G33" s="6">
        <v>0</v>
      </c>
      <c r="H33" s="6"/>
      <c r="J33" s="22">
        <f t="shared" si="0"/>
        <v>0</v>
      </c>
    </row>
    <row r="34" spans="1:10">
      <c r="A34">
        <f t="shared" si="1"/>
        <v>0</v>
      </c>
      <c r="B34" s="46" t="s">
        <v>181</v>
      </c>
      <c r="C34" s="6" t="s">
        <v>146</v>
      </c>
      <c r="D34" s="6" t="s">
        <v>63</v>
      </c>
      <c r="E34" s="6" t="s">
        <v>148</v>
      </c>
      <c r="F34" s="75"/>
      <c r="G34" s="6">
        <v>0</v>
      </c>
      <c r="H34" s="6"/>
      <c r="J34" s="22">
        <f t="shared" si="0"/>
        <v>0</v>
      </c>
    </row>
    <row r="35" spans="1:10">
      <c r="A35">
        <f t="shared" si="1"/>
        <v>0</v>
      </c>
      <c r="B35" s="46" t="s">
        <v>181</v>
      </c>
      <c r="C35" s="6" t="s">
        <v>60</v>
      </c>
      <c r="D35" s="6" t="s">
        <v>61</v>
      </c>
      <c r="E35" s="6" t="s">
        <v>108</v>
      </c>
      <c r="F35" s="75"/>
      <c r="G35" s="6">
        <v>0</v>
      </c>
      <c r="H35" s="6"/>
      <c r="J35" s="22">
        <f t="shared" si="0"/>
        <v>0</v>
      </c>
    </row>
    <row r="36" spans="1:10">
      <c r="A36">
        <f t="shared" si="1"/>
        <v>1</v>
      </c>
      <c r="B36" s="46">
        <v>4</v>
      </c>
      <c r="C36" s="6" t="s">
        <v>54</v>
      </c>
      <c r="D36" s="6" t="s">
        <v>55</v>
      </c>
      <c r="E36" s="6" t="s">
        <v>111</v>
      </c>
      <c r="F36" s="75"/>
      <c r="G36" s="6">
        <v>2</v>
      </c>
      <c r="H36" s="6"/>
      <c r="J36" s="22">
        <f t="shared" si="0"/>
        <v>1</v>
      </c>
    </row>
    <row r="37" spans="1:10">
      <c r="A37">
        <f t="shared" si="1"/>
        <v>0</v>
      </c>
      <c r="B37" s="46" t="s">
        <v>181</v>
      </c>
      <c r="C37" s="6" t="s">
        <v>56</v>
      </c>
      <c r="D37" s="6" t="s">
        <v>57</v>
      </c>
      <c r="E37" s="6" t="s">
        <v>109</v>
      </c>
      <c r="F37" s="75"/>
      <c r="G37" s="6">
        <v>0</v>
      </c>
      <c r="H37" s="6"/>
      <c r="J37" s="22">
        <f t="shared" si="0"/>
        <v>0</v>
      </c>
    </row>
    <row r="38" spans="1:10">
      <c r="A38">
        <f t="shared" si="1"/>
        <v>1</v>
      </c>
      <c r="B38" s="46">
        <v>5</v>
      </c>
      <c r="C38" s="6" t="s">
        <v>58</v>
      </c>
      <c r="D38" s="6" t="s">
        <v>59</v>
      </c>
      <c r="E38" s="6" t="s">
        <v>110</v>
      </c>
      <c r="F38" s="75"/>
      <c r="G38" s="6">
        <v>40</v>
      </c>
      <c r="H38" s="6"/>
      <c r="J38" s="22">
        <f t="shared" si="0"/>
        <v>1</v>
      </c>
    </row>
    <row r="39" spans="1:10">
      <c r="A39">
        <v>1</v>
      </c>
      <c r="I39" s="22"/>
    </row>
    <row r="40" spans="1:10">
      <c r="A40">
        <v>1</v>
      </c>
      <c r="I40" s="22"/>
    </row>
    <row r="41" spans="1:10" ht="18">
      <c r="A41">
        <v>1</v>
      </c>
      <c r="B41" s="106" t="s">
        <v>130</v>
      </c>
      <c r="C41" s="81"/>
      <c r="D41" s="81"/>
      <c r="E41" s="81"/>
      <c r="F41" s="81"/>
      <c r="G41" s="81"/>
      <c r="I41" s="22"/>
    </row>
    <row r="42" spans="1:10">
      <c r="A42">
        <v>1</v>
      </c>
      <c r="I42" s="22"/>
    </row>
    <row r="43" spans="1:10" ht="38.25">
      <c r="A43">
        <v>1</v>
      </c>
      <c r="B43" s="107" t="s">
        <v>131</v>
      </c>
      <c r="C43" s="228" t="s">
        <v>3</v>
      </c>
      <c r="D43" s="229"/>
      <c r="E43" s="230"/>
      <c r="F43" s="107" t="s">
        <v>132</v>
      </c>
      <c r="G43" s="107" t="s">
        <v>7</v>
      </c>
      <c r="H43" s="108" t="s">
        <v>142</v>
      </c>
      <c r="I43" s="108" t="s">
        <v>128</v>
      </c>
      <c r="J43" s="22"/>
    </row>
    <row r="44" spans="1:10">
      <c r="A44">
        <f t="shared" si="1"/>
        <v>1</v>
      </c>
      <c r="B44" s="46">
        <v>1</v>
      </c>
      <c r="C44" s="202" t="s">
        <v>168</v>
      </c>
      <c r="D44" s="202"/>
      <c r="E44" s="202"/>
      <c r="F44" s="6"/>
      <c r="G44" s="73">
        <v>90</v>
      </c>
      <c r="H44" s="6"/>
      <c r="I44" s="6"/>
      <c r="J44" s="22">
        <f t="shared" ref="J44:J61" si="2">IF(G44*1&gt;0,1,0)</f>
        <v>1</v>
      </c>
    </row>
    <row r="45" spans="1:10">
      <c r="A45">
        <f t="shared" si="1"/>
        <v>0</v>
      </c>
      <c r="B45" s="46" t="s">
        <v>181</v>
      </c>
      <c r="C45" s="202" t="s">
        <v>169</v>
      </c>
      <c r="D45" s="202"/>
      <c r="E45" s="202"/>
      <c r="F45" s="6"/>
      <c r="G45" s="73">
        <v>0</v>
      </c>
      <c r="H45" s="6"/>
      <c r="I45" s="6"/>
      <c r="J45" s="22">
        <f t="shared" si="2"/>
        <v>0</v>
      </c>
    </row>
    <row r="46" spans="1:10">
      <c r="A46">
        <f t="shared" si="1"/>
        <v>1</v>
      </c>
      <c r="B46" s="46">
        <v>2</v>
      </c>
      <c r="C46" s="202" t="s">
        <v>171</v>
      </c>
      <c r="D46" s="202"/>
      <c r="E46" s="202"/>
      <c r="F46" s="6"/>
      <c r="G46" s="73">
        <v>90</v>
      </c>
      <c r="H46" s="6"/>
      <c r="I46" s="6"/>
      <c r="J46" s="22">
        <f t="shared" si="2"/>
        <v>1</v>
      </c>
    </row>
    <row r="47" spans="1:10">
      <c r="A47">
        <f t="shared" si="1"/>
        <v>1</v>
      </c>
      <c r="B47" s="46">
        <v>3</v>
      </c>
      <c r="C47" s="202" t="s">
        <v>174</v>
      </c>
      <c r="D47" s="202"/>
      <c r="E47" s="202"/>
      <c r="F47" s="6"/>
      <c r="G47" s="73">
        <v>180</v>
      </c>
      <c r="H47" s="6"/>
      <c r="I47" s="6"/>
      <c r="J47" s="22">
        <f t="shared" si="2"/>
        <v>1</v>
      </c>
    </row>
    <row r="48" spans="1:10">
      <c r="A48">
        <f t="shared" si="1"/>
        <v>1</v>
      </c>
      <c r="B48" s="46">
        <v>4</v>
      </c>
      <c r="C48" s="202" t="s">
        <v>125</v>
      </c>
      <c r="D48" s="202"/>
      <c r="E48" s="202"/>
      <c r="F48" s="6"/>
      <c r="G48" s="73">
        <v>270</v>
      </c>
      <c r="H48" s="6"/>
      <c r="I48" s="6"/>
      <c r="J48" s="22">
        <f t="shared" si="2"/>
        <v>1</v>
      </c>
    </row>
    <row r="49" spans="1:10">
      <c r="A49">
        <f t="shared" si="1"/>
        <v>1</v>
      </c>
      <c r="B49" s="46">
        <v>5</v>
      </c>
      <c r="C49" s="202" t="s">
        <v>173</v>
      </c>
      <c r="D49" s="202"/>
      <c r="E49" s="202"/>
      <c r="F49" s="6"/>
      <c r="G49" s="73">
        <v>180</v>
      </c>
      <c r="H49" s="6"/>
      <c r="I49" s="6"/>
      <c r="J49" s="22">
        <f t="shared" ref="J49" si="3">IF(G49*1&gt;0,1,0)</f>
        <v>1</v>
      </c>
    </row>
    <row r="50" spans="1:10">
      <c r="A50">
        <f t="shared" si="1"/>
        <v>0</v>
      </c>
      <c r="B50" s="46" t="s">
        <v>181</v>
      </c>
      <c r="C50" s="202" t="s">
        <v>126</v>
      </c>
      <c r="D50" s="202"/>
      <c r="E50" s="202"/>
      <c r="F50" s="6"/>
      <c r="G50" s="73">
        <v>0</v>
      </c>
      <c r="H50" s="6"/>
      <c r="I50" s="6"/>
      <c r="J50" s="22">
        <f t="shared" si="2"/>
        <v>0</v>
      </c>
    </row>
    <row r="51" spans="1:10">
      <c r="A51">
        <f t="shared" si="1"/>
        <v>0</v>
      </c>
      <c r="B51" s="46" t="s">
        <v>181</v>
      </c>
      <c r="C51" s="202" t="s">
        <v>161</v>
      </c>
      <c r="D51" s="202"/>
      <c r="E51" s="202"/>
      <c r="F51" s="6"/>
      <c r="G51" s="73">
        <v>0</v>
      </c>
      <c r="H51" s="6"/>
      <c r="I51" s="6"/>
      <c r="J51" s="22">
        <f t="shared" ref="J51" si="4">IF(G51*1&gt;0,1,0)</f>
        <v>0</v>
      </c>
    </row>
    <row r="52" spans="1:10">
      <c r="A52">
        <f t="shared" si="1"/>
        <v>0</v>
      </c>
      <c r="B52" s="46" t="s">
        <v>181</v>
      </c>
      <c r="C52" s="202" t="s">
        <v>127</v>
      </c>
      <c r="D52" s="202"/>
      <c r="E52" s="202"/>
      <c r="F52" s="6"/>
      <c r="G52" s="73">
        <v>0</v>
      </c>
      <c r="H52" s="6"/>
      <c r="I52" s="6"/>
      <c r="J52" s="22">
        <f t="shared" si="2"/>
        <v>0</v>
      </c>
    </row>
    <row r="53" spans="1:10">
      <c r="A53">
        <f t="shared" si="1"/>
        <v>0</v>
      </c>
      <c r="B53" s="46" t="s">
        <v>181</v>
      </c>
      <c r="C53" s="202" t="s">
        <v>46</v>
      </c>
      <c r="D53" s="202"/>
      <c r="E53" s="202"/>
      <c r="F53" s="6"/>
      <c r="G53" s="73">
        <v>0</v>
      </c>
      <c r="H53" s="6"/>
      <c r="I53" s="6"/>
      <c r="J53" s="22">
        <f t="shared" si="2"/>
        <v>0</v>
      </c>
    </row>
    <row r="54" spans="1:10" ht="28.5" customHeight="1">
      <c r="A54">
        <f t="shared" si="1"/>
        <v>1</v>
      </c>
      <c r="B54" s="46">
        <v>6</v>
      </c>
      <c r="C54" s="225" t="s">
        <v>172</v>
      </c>
      <c r="D54" s="226"/>
      <c r="E54" s="227"/>
      <c r="F54" s="6"/>
      <c r="G54" s="73">
        <v>351</v>
      </c>
      <c r="H54" s="6"/>
      <c r="I54" s="6"/>
      <c r="J54" s="22">
        <f t="shared" si="2"/>
        <v>1</v>
      </c>
    </row>
    <row r="55" spans="1:10">
      <c r="A55">
        <f t="shared" si="1"/>
        <v>1</v>
      </c>
      <c r="B55" s="46">
        <v>7</v>
      </c>
      <c r="C55" s="202" t="s">
        <v>88</v>
      </c>
      <c r="D55" s="202"/>
      <c r="E55" s="202"/>
      <c r="F55" s="6"/>
      <c r="G55" s="73">
        <v>93</v>
      </c>
      <c r="H55" s="73">
        <v>93</v>
      </c>
      <c r="I55" s="6"/>
      <c r="J55" s="22">
        <f t="shared" si="2"/>
        <v>1</v>
      </c>
    </row>
    <row r="56" spans="1:10">
      <c r="A56">
        <f t="shared" si="1"/>
        <v>0</v>
      </c>
      <c r="B56" s="46" t="s">
        <v>181</v>
      </c>
      <c r="C56" s="202" t="s">
        <v>37</v>
      </c>
      <c r="D56" s="202"/>
      <c r="E56" s="202"/>
      <c r="F56" s="6"/>
      <c r="G56" s="73">
        <v>0</v>
      </c>
      <c r="H56" s="6"/>
      <c r="I56" s="6"/>
      <c r="J56" s="22">
        <f t="shared" si="2"/>
        <v>0</v>
      </c>
    </row>
    <row r="57" spans="1:10">
      <c r="A57">
        <f t="shared" si="1"/>
        <v>1</v>
      </c>
      <c r="B57" s="46">
        <v>8</v>
      </c>
      <c r="C57" s="202" t="s">
        <v>86</v>
      </c>
      <c r="D57" s="202"/>
      <c r="E57" s="202"/>
      <c r="F57" s="6"/>
      <c r="G57" s="73">
        <v>278</v>
      </c>
      <c r="H57" s="73">
        <v>185</v>
      </c>
      <c r="I57" s="6"/>
      <c r="J57" s="22">
        <f t="shared" si="2"/>
        <v>1</v>
      </c>
    </row>
    <row r="58" spans="1:10">
      <c r="A58">
        <f t="shared" si="1"/>
        <v>0</v>
      </c>
      <c r="B58" s="46" t="s">
        <v>181</v>
      </c>
      <c r="C58" s="202" t="s">
        <v>167</v>
      </c>
      <c r="D58" s="202"/>
      <c r="E58" s="202"/>
      <c r="F58" s="6"/>
      <c r="G58" s="73">
        <v>0</v>
      </c>
      <c r="H58" s="73"/>
      <c r="I58" s="6"/>
      <c r="J58" s="22">
        <f t="shared" si="2"/>
        <v>0</v>
      </c>
    </row>
    <row r="59" spans="1:10">
      <c r="A59">
        <f t="shared" si="1"/>
        <v>1</v>
      </c>
      <c r="B59" s="46">
        <v>9</v>
      </c>
      <c r="C59" s="202" t="s">
        <v>182</v>
      </c>
      <c r="D59" s="202"/>
      <c r="E59" s="202"/>
      <c r="F59" s="6"/>
      <c r="G59" s="73">
        <v>82</v>
      </c>
      <c r="H59" s="6"/>
      <c r="I59" s="6"/>
      <c r="J59" s="22">
        <f t="shared" si="2"/>
        <v>1</v>
      </c>
    </row>
    <row r="60" spans="1:10">
      <c r="A60">
        <f t="shared" si="1"/>
        <v>1</v>
      </c>
      <c r="B60" s="46">
        <v>10</v>
      </c>
      <c r="C60" s="202" t="s">
        <v>183</v>
      </c>
      <c r="D60" s="202"/>
      <c r="E60" s="202"/>
      <c r="F60" s="6"/>
      <c r="G60" s="73">
        <v>82</v>
      </c>
      <c r="H60" s="6"/>
      <c r="I60" s="6"/>
      <c r="J60" s="22">
        <f t="shared" si="2"/>
        <v>1</v>
      </c>
    </row>
    <row r="61" spans="1:10">
      <c r="A61">
        <f t="shared" si="1"/>
        <v>0</v>
      </c>
      <c r="B61" s="46" t="s">
        <v>181</v>
      </c>
      <c r="C61" s="202" t="s">
        <v>184</v>
      </c>
      <c r="D61" s="202"/>
      <c r="E61" s="202"/>
      <c r="F61" s="6"/>
      <c r="G61" s="73">
        <v>0</v>
      </c>
      <c r="H61" s="73">
        <v>0</v>
      </c>
      <c r="I61" s="6"/>
      <c r="J61" s="22">
        <f t="shared" si="2"/>
        <v>0</v>
      </c>
    </row>
  </sheetData>
  <autoFilter ref="A1:A61">
    <filterColumn colId="0"/>
  </autoFilter>
  <mergeCells count="19">
    <mergeCell ref="C54:E54"/>
    <mergeCell ref="C43:E43"/>
    <mergeCell ref="C44:E44"/>
    <mergeCell ref="C46:E46"/>
    <mergeCell ref="C47:E47"/>
    <mergeCell ref="C48:E48"/>
    <mergeCell ref="C50:E50"/>
    <mergeCell ref="C52:E52"/>
    <mergeCell ref="C53:E53"/>
    <mergeCell ref="C45:E45"/>
    <mergeCell ref="C51:E51"/>
    <mergeCell ref="C49:E49"/>
    <mergeCell ref="C61:E61"/>
    <mergeCell ref="C55:E55"/>
    <mergeCell ref="C56:E56"/>
    <mergeCell ref="C57:E57"/>
    <mergeCell ref="C59:E59"/>
    <mergeCell ref="C60:E60"/>
    <mergeCell ref="C58:E58"/>
  </mergeCells>
  <phoneticPr fontId="0" type="noConversion"/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F54"/>
  <sheetViews>
    <sheetView workbookViewId="0">
      <selection activeCell="B1" sqref="B1:G53"/>
    </sheetView>
  </sheetViews>
  <sheetFormatPr defaultRowHeight="15"/>
  <cols>
    <col min="2" max="2" width="3.85546875" customWidth="1"/>
    <col min="3" max="3" width="23.28515625" customWidth="1"/>
    <col min="4" max="4" width="16.28515625" customWidth="1"/>
  </cols>
  <sheetData>
    <row r="1" spans="1:6">
      <c r="A1">
        <v>1</v>
      </c>
      <c r="B1" s="109"/>
    </row>
    <row r="2" spans="1:6">
      <c r="A2">
        <v>1</v>
      </c>
    </row>
    <row r="3" spans="1:6" ht="31.5" hidden="1" customHeight="1">
      <c r="B3" s="6" t="s">
        <v>16</v>
      </c>
      <c r="C3" s="6" t="s">
        <v>3</v>
      </c>
      <c r="D3" s="6" t="s">
        <v>45</v>
      </c>
      <c r="E3" s="14" t="s">
        <v>44</v>
      </c>
    </row>
    <row r="4" spans="1:6" ht="15" customHeight="1">
      <c r="A4">
        <f>IF(E4&lt;&gt;0,1,0)</f>
        <v>0</v>
      </c>
      <c r="B4" s="46"/>
      <c r="C4" s="6"/>
      <c r="D4" s="6"/>
      <c r="E4" s="6"/>
      <c r="F4" s="22"/>
    </row>
    <row r="5" spans="1:6" hidden="1">
      <c r="A5">
        <f t="shared" ref="A5:A53" si="0">IF(E5&lt;&gt;0,1,0)</f>
        <v>0</v>
      </c>
      <c r="B5" s="46" t="str">
        <f>IF(F5=0,"",SUM(F$4:$F5))</f>
        <v/>
      </c>
      <c r="C5" s="6" t="str">
        <f>Спецификация!E14</f>
        <v>Адаптер</v>
      </c>
      <c r="D5" s="6" t="s">
        <v>92</v>
      </c>
      <c r="E5" s="6">
        <f>Спецификация!J14</f>
        <v>0</v>
      </c>
      <c r="F5" s="22">
        <f t="shared" ref="F4:F33" si="1">IF(E5*1&gt;0,1,0)</f>
        <v>0</v>
      </c>
    </row>
    <row r="6" spans="1:6" hidden="1">
      <c r="A6">
        <f t="shared" si="0"/>
        <v>0</v>
      </c>
      <c r="B6" s="46" t="str">
        <f>IF(F6=0,"",SUM(F$4:$F6))</f>
        <v/>
      </c>
      <c r="C6" s="6" t="str">
        <f>Спецификация!E22</f>
        <v>Адаптер</v>
      </c>
      <c r="D6" s="6" t="s">
        <v>178</v>
      </c>
      <c r="E6" s="6">
        <f>Спецификация!J22</f>
        <v>0</v>
      </c>
      <c r="F6" s="22">
        <f t="shared" si="1"/>
        <v>0</v>
      </c>
    </row>
    <row r="7" spans="1:6" hidden="1">
      <c r="A7">
        <f t="shared" si="0"/>
        <v>0</v>
      </c>
      <c r="B7" s="46" t="str">
        <f>IF(F7=0,"",SUM(F$4:$F7))</f>
        <v/>
      </c>
      <c r="C7" s="6" t="str">
        <f>Спецификация!E30</f>
        <v>Направляющая Н1</v>
      </c>
      <c r="D7" s="6">
        <f>Укладка!D8</f>
        <v>0</v>
      </c>
      <c r="E7" s="6">
        <f>Спецификация!J30</f>
        <v>0</v>
      </c>
      <c r="F7" s="22">
        <f t="shared" si="1"/>
        <v>0</v>
      </c>
    </row>
    <row r="8" spans="1:6" hidden="1">
      <c r="A8">
        <f t="shared" si="0"/>
        <v>0</v>
      </c>
      <c r="B8" s="46" t="str">
        <f>IF(F8=0,"",SUM(F$4:$F8))</f>
        <v/>
      </c>
      <c r="C8" s="6" t="str">
        <f>Спецификация!E31</f>
        <v>Направляющая Н2</v>
      </c>
      <c r="D8" s="6">
        <f>Укладка!D9</f>
        <v>0</v>
      </c>
      <c r="E8" s="6">
        <f>Спецификация!J31</f>
        <v>0</v>
      </c>
      <c r="F8" s="22">
        <f t="shared" si="1"/>
        <v>0</v>
      </c>
    </row>
    <row r="9" spans="1:6" hidden="1">
      <c r="A9">
        <f t="shared" si="0"/>
        <v>0</v>
      </c>
      <c r="B9" s="46" t="str">
        <f>IF(F9=0,"",SUM(F$4:$F9))</f>
        <v/>
      </c>
      <c r="C9" s="6" t="str">
        <f>Спецификация!E32</f>
        <v>Направляющая Н3</v>
      </c>
      <c r="D9" s="6">
        <f>Укладка!D10</f>
        <v>0</v>
      </c>
      <c r="E9" s="6">
        <f>Спецификация!J32</f>
        <v>0</v>
      </c>
      <c r="F9" s="22">
        <f t="shared" si="1"/>
        <v>0</v>
      </c>
    </row>
    <row r="10" spans="1:6" hidden="1">
      <c r="A10">
        <f t="shared" si="0"/>
        <v>0</v>
      </c>
      <c r="B10" s="46" t="str">
        <f>IF(F10=0,"",SUM(F$4:$F10))</f>
        <v/>
      </c>
      <c r="C10" s="6" t="str">
        <f>Спецификация!E33</f>
        <v>Направляющая Н4</v>
      </c>
      <c r="D10" s="6">
        <f>Укладка!D11</f>
        <v>0</v>
      </c>
      <c r="E10" s="6">
        <f>Спецификация!J33</f>
        <v>0</v>
      </c>
      <c r="F10" s="22">
        <f t="shared" si="1"/>
        <v>0</v>
      </c>
    </row>
    <row r="11" spans="1:6" hidden="1">
      <c r="A11">
        <f t="shared" si="0"/>
        <v>0</v>
      </c>
      <c r="B11" s="46" t="str">
        <f>IF(F11=0,"",SUM(F$4:$F11))</f>
        <v/>
      </c>
      <c r="C11" s="6" t="str">
        <f>Спецификация!E34</f>
        <v>Направляющая Н1</v>
      </c>
      <c r="D11" s="6">
        <f>Укладка!D12</f>
        <v>0</v>
      </c>
      <c r="E11" s="6">
        <f>Спецификация!J34</f>
        <v>0</v>
      </c>
      <c r="F11" s="22">
        <f t="shared" si="1"/>
        <v>0</v>
      </c>
    </row>
    <row r="12" spans="1:6" hidden="1">
      <c r="A12">
        <f t="shared" si="0"/>
        <v>0</v>
      </c>
      <c r="B12" s="46" t="str">
        <f>IF(F12=0,"",SUM(F$4:$F12))</f>
        <v/>
      </c>
      <c r="C12" s="6" t="str">
        <f>Спецификация!E35</f>
        <v>Направляющая Н2</v>
      </c>
      <c r="D12" s="6">
        <f>Укладка!D13</f>
        <v>0</v>
      </c>
      <c r="E12" s="6">
        <f>Спецификация!J35</f>
        <v>0</v>
      </c>
      <c r="F12" s="22">
        <f t="shared" si="1"/>
        <v>0</v>
      </c>
    </row>
    <row r="13" spans="1:6" hidden="1">
      <c r="A13">
        <f t="shared" si="0"/>
        <v>0</v>
      </c>
      <c r="B13" s="46" t="str">
        <f>IF(F13=0,"",SUM(F$4:$F13))</f>
        <v/>
      </c>
      <c r="C13" s="6" t="str">
        <f>Спецификация!E36</f>
        <v>Направляющая Н3</v>
      </c>
      <c r="D13" s="6">
        <f>Укладка!D14</f>
        <v>0</v>
      </c>
      <c r="E13" s="6">
        <f>Спецификация!J36</f>
        <v>0</v>
      </c>
      <c r="F13" s="22">
        <f t="shared" si="1"/>
        <v>0</v>
      </c>
    </row>
    <row r="14" spans="1:6" hidden="1">
      <c r="A14">
        <f t="shared" si="0"/>
        <v>0</v>
      </c>
      <c r="B14" s="46" t="str">
        <f>IF(F14=0,"",SUM(F$4:$F14))</f>
        <v/>
      </c>
      <c r="C14" s="6" t="str">
        <f>Спецификация!E37</f>
        <v>Направляющая Н4</v>
      </c>
      <c r="D14" s="6">
        <f>Укладка!D15</f>
        <v>0</v>
      </c>
      <c r="E14" s="6">
        <f>Спецификация!J37</f>
        <v>0</v>
      </c>
      <c r="F14" s="22">
        <f t="shared" si="1"/>
        <v>0</v>
      </c>
    </row>
    <row r="15" spans="1:6" hidden="1">
      <c r="A15">
        <f t="shared" si="0"/>
        <v>0</v>
      </c>
      <c r="B15" s="46" t="str">
        <f>IF(F15=0,"",SUM(F$4:$F15))</f>
        <v/>
      </c>
      <c r="C15" s="6" t="str">
        <f>Спецификация!E38</f>
        <v>Направляющая Н1</v>
      </c>
      <c r="D15" s="6">
        <f>Укладка!D16</f>
        <v>0</v>
      </c>
      <c r="E15" s="6">
        <f>Спецификация!J38</f>
        <v>0</v>
      </c>
      <c r="F15" s="22">
        <f t="shared" si="1"/>
        <v>0</v>
      </c>
    </row>
    <row r="16" spans="1:6" hidden="1">
      <c r="A16">
        <f t="shared" si="0"/>
        <v>0</v>
      </c>
      <c r="B16" s="46" t="str">
        <f>IF(F16=0,"",SUM(F$4:$F16))</f>
        <v/>
      </c>
      <c r="C16" s="6" t="str">
        <f>Спецификация!E39</f>
        <v>Направляющая Н2</v>
      </c>
      <c r="D16" s="6">
        <f>Укладка!D17</f>
        <v>0</v>
      </c>
      <c r="E16" s="6">
        <f>Спецификация!J39</f>
        <v>0</v>
      </c>
      <c r="F16" s="22">
        <f t="shared" si="1"/>
        <v>0</v>
      </c>
    </row>
    <row r="17" spans="1:6" hidden="1">
      <c r="A17">
        <f t="shared" si="0"/>
        <v>0</v>
      </c>
      <c r="B17" s="46" t="str">
        <f>IF(F17=0,"",SUM(F$4:$F17))</f>
        <v/>
      </c>
      <c r="C17" s="6" t="str">
        <f>Спецификация!E40</f>
        <v>Направляющая Н3</v>
      </c>
      <c r="D17" s="6">
        <f>Укладка!D18</f>
        <v>0</v>
      </c>
      <c r="E17" s="6">
        <f>Спецификация!J40</f>
        <v>0</v>
      </c>
      <c r="F17" s="22">
        <f t="shared" si="1"/>
        <v>0</v>
      </c>
    </row>
    <row r="18" spans="1:6" hidden="1">
      <c r="A18">
        <f t="shared" si="0"/>
        <v>0</v>
      </c>
      <c r="B18" s="46" t="str">
        <f>IF(F18=0,"",SUM(F$4:$F18))</f>
        <v/>
      </c>
      <c r="C18" s="6" t="str">
        <f>Спецификация!E41</f>
        <v>Направляющая Н4</v>
      </c>
      <c r="D18" s="6">
        <f>Укладка!D19</f>
        <v>0</v>
      </c>
      <c r="E18" s="6">
        <f>Спецификация!J41</f>
        <v>0</v>
      </c>
      <c r="F18" s="22">
        <f t="shared" si="1"/>
        <v>0</v>
      </c>
    </row>
    <row r="19" spans="1:6">
      <c r="A19">
        <f t="shared" si="0"/>
        <v>0</v>
      </c>
      <c r="B19" s="46"/>
      <c r="C19" s="6"/>
      <c r="D19" s="6"/>
      <c r="E19" s="6"/>
      <c r="F19" s="22"/>
    </row>
    <row r="20" spans="1:6" hidden="1">
      <c r="A20">
        <f t="shared" si="0"/>
        <v>0</v>
      </c>
      <c r="B20" s="46" t="str">
        <f>IF(F20=0,"",SUM(F$4:$F20))</f>
        <v/>
      </c>
      <c r="C20" s="6" t="s">
        <v>63</v>
      </c>
      <c r="D20" s="6" t="s">
        <v>98</v>
      </c>
      <c r="E20" s="6">
        <f>Спецификация!J50</f>
        <v>0</v>
      </c>
      <c r="F20" s="22">
        <f t="shared" si="1"/>
        <v>0</v>
      </c>
    </row>
    <row r="21" spans="1:6">
      <c r="A21">
        <f t="shared" si="0"/>
        <v>0</v>
      </c>
      <c r="B21" s="46"/>
      <c r="C21" s="6"/>
      <c r="D21" s="6"/>
      <c r="E21" s="6"/>
      <c r="F21" s="22"/>
    </row>
    <row r="22" spans="1:6" hidden="1">
      <c r="A22">
        <f t="shared" si="0"/>
        <v>0</v>
      </c>
      <c r="B22" s="46" t="str">
        <f>IF(F22=0,"",SUM(F$4:$F22))</f>
        <v/>
      </c>
      <c r="C22" s="6" t="s">
        <v>63</v>
      </c>
      <c r="D22" s="6" t="s">
        <v>100</v>
      </c>
      <c r="E22" s="6">
        <f>Спецификация!J62</f>
        <v>0</v>
      </c>
      <c r="F22" s="22">
        <f t="shared" si="1"/>
        <v>0</v>
      </c>
    </row>
    <row r="23" spans="1:6" hidden="1">
      <c r="A23">
        <f t="shared" si="0"/>
        <v>0</v>
      </c>
      <c r="B23" s="46" t="str">
        <f>IF(F23=0,"",SUM(F$4:$F23))</f>
        <v/>
      </c>
      <c r="C23" s="6" t="s">
        <v>63</v>
      </c>
      <c r="D23" s="6" t="s">
        <v>101</v>
      </c>
      <c r="E23" s="6">
        <f>Спецификация!J68</f>
        <v>0</v>
      </c>
      <c r="F23" s="22">
        <f t="shared" si="1"/>
        <v>0</v>
      </c>
    </row>
    <row r="24" spans="1:6" hidden="1">
      <c r="A24">
        <f t="shared" si="0"/>
        <v>0</v>
      </c>
      <c r="B24" s="46" t="str">
        <f>IF(F24=0,"",SUM(F$4:$F24))</f>
        <v/>
      </c>
      <c r="C24" s="6" t="s">
        <v>63</v>
      </c>
      <c r="D24" s="6" t="s">
        <v>102</v>
      </c>
      <c r="E24" s="6">
        <f>Спецификация!J74</f>
        <v>0</v>
      </c>
      <c r="F24" s="22">
        <f t="shared" si="1"/>
        <v>0</v>
      </c>
    </row>
    <row r="25" spans="1:6" hidden="1">
      <c r="A25">
        <f t="shared" si="0"/>
        <v>0</v>
      </c>
      <c r="B25" s="46" t="str">
        <f>IF(F25=0,"",SUM(F$4:$F25))</f>
        <v/>
      </c>
      <c r="C25" s="6" t="s">
        <v>63</v>
      </c>
      <c r="D25" s="6" t="s">
        <v>103</v>
      </c>
      <c r="E25" s="6">
        <f>Спецификация!J80</f>
        <v>0</v>
      </c>
      <c r="F25" s="22">
        <f t="shared" si="1"/>
        <v>0</v>
      </c>
    </row>
    <row r="26" spans="1:6" hidden="1">
      <c r="A26">
        <f t="shared" si="0"/>
        <v>0</v>
      </c>
      <c r="B26" s="46" t="str">
        <f>IF(F26=0,"",SUM(F$4:$F26))</f>
        <v/>
      </c>
      <c r="C26" s="6" t="s">
        <v>63</v>
      </c>
      <c r="D26" s="6" t="s">
        <v>104</v>
      </c>
      <c r="E26" s="6">
        <f>Спецификация!J86</f>
        <v>0</v>
      </c>
      <c r="F26" s="22">
        <f t="shared" si="1"/>
        <v>0</v>
      </c>
    </row>
    <row r="27" spans="1:6" hidden="1">
      <c r="A27">
        <f t="shared" si="0"/>
        <v>0</v>
      </c>
      <c r="B27" s="46" t="str">
        <f>IF(F27=0,"",SUM(F$4:$F27))</f>
        <v/>
      </c>
      <c r="C27" s="6" t="s">
        <v>63</v>
      </c>
      <c r="D27" s="6" t="s">
        <v>105</v>
      </c>
      <c r="E27" s="6">
        <f>Спецификация!J92</f>
        <v>0</v>
      </c>
      <c r="F27" s="22">
        <f t="shared" si="1"/>
        <v>0</v>
      </c>
    </row>
    <row r="28" spans="1:6" hidden="1">
      <c r="A28">
        <f t="shared" si="0"/>
        <v>0</v>
      </c>
      <c r="B28" s="46" t="str">
        <f>IF(F28=0,"",SUM(F$4:$F28))</f>
        <v/>
      </c>
      <c r="C28" s="6" t="s">
        <v>63</v>
      </c>
      <c r="D28" s="6" t="s">
        <v>106</v>
      </c>
      <c r="E28" s="6">
        <f>Спецификация!J98</f>
        <v>0</v>
      </c>
      <c r="F28" s="22">
        <f t="shared" si="1"/>
        <v>0</v>
      </c>
    </row>
    <row r="29" spans="1:6" hidden="1">
      <c r="A29">
        <f t="shared" si="0"/>
        <v>0</v>
      </c>
      <c r="B29" s="46" t="str">
        <f>IF(F29=0,"",SUM(F$4:$F29))</f>
        <v/>
      </c>
      <c r="C29" s="6" t="s">
        <v>63</v>
      </c>
      <c r="D29" s="6" t="s">
        <v>107</v>
      </c>
      <c r="E29" s="6">
        <f>Спецификация!J104</f>
        <v>0</v>
      </c>
      <c r="F29" s="22">
        <f t="shared" si="1"/>
        <v>0</v>
      </c>
    </row>
    <row r="30" spans="1:6" hidden="1">
      <c r="A30">
        <f t="shared" si="0"/>
        <v>0</v>
      </c>
      <c r="B30" s="46" t="str">
        <f>IF(F30=0,"",SUM(F$4:$F30))</f>
        <v/>
      </c>
      <c r="C30" s="6" t="str">
        <f>Спецификация!E116</f>
        <v>Направляющая Н1</v>
      </c>
      <c r="D30" s="6" t="s">
        <v>108</v>
      </c>
      <c r="E30" s="6">
        <f>Спецификация!J116</f>
        <v>0</v>
      </c>
      <c r="F30" s="22">
        <f t="shared" si="1"/>
        <v>0</v>
      </c>
    </row>
    <row r="31" spans="1:6">
      <c r="A31">
        <f t="shared" si="0"/>
        <v>0</v>
      </c>
      <c r="B31" s="46"/>
      <c r="C31" s="6"/>
      <c r="D31" s="6"/>
      <c r="E31" s="6"/>
      <c r="F31" s="22"/>
    </row>
    <row r="32" spans="1:6" hidden="1">
      <c r="A32">
        <f t="shared" si="0"/>
        <v>0</v>
      </c>
      <c r="B32" s="46" t="str">
        <f>IF(F32=0,"",SUM(F$4:$F32))</f>
        <v/>
      </c>
      <c r="C32" s="6" t="str">
        <f>Спецификация!E118</f>
        <v>Направляющая Н3</v>
      </c>
      <c r="D32" s="6" t="s">
        <v>109</v>
      </c>
      <c r="E32" s="6">
        <f>Спецификация!J118</f>
        <v>0</v>
      </c>
      <c r="F32" s="22">
        <f t="shared" si="1"/>
        <v>0</v>
      </c>
    </row>
    <row r="33" spans="1:6">
      <c r="A33">
        <f t="shared" si="0"/>
        <v>0</v>
      </c>
      <c r="B33" s="46"/>
      <c r="C33" s="6"/>
      <c r="D33" s="6"/>
      <c r="E33" s="6"/>
      <c r="F33" s="22"/>
    </row>
    <row r="34" spans="1:6">
      <c r="A34">
        <v>1</v>
      </c>
      <c r="F34" s="22"/>
    </row>
    <row r="35" spans="1:6">
      <c r="A35">
        <v>1</v>
      </c>
      <c r="F35" s="22"/>
    </row>
    <row r="36" spans="1:6" ht="18">
      <c r="A36">
        <v>1</v>
      </c>
      <c r="B36" s="106"/>
      <c r="C36" s="81"/>
      <c r="D36" s="81"/>
      <c r="E36" s="81"/>
      <c r="F36" s="22"/>
    </row>
    <row r="37" spans="1:6">
      <c r="A37">
        <v>1</v>
      </c>
      <c r="F37" s="22"/>
    </row>
    <row r="38" spans="1:6">
      <c r="A38">
        <f t="shared" si="0"/>
        <v>0</v>
      </c>
      <c r="B38" s="107"/>
      <c r="C38" s="229"/>
      <c r="D38" s="230"/>
      <c r="E38" s="107"/>
      <c r="F38" s="22"/>
    </row>
    <row r="39" spans="1:6">
      <c r="A39">
        <f t="shared" si="0"/>
        <v>0</v>
      </c>
      <c r="B39" s="46"/>
      <c r="C39" s="225"/>
      <c r="D39" s="227"/>
      <c r="E39" s="73"/>
      <c r="F39" s="22"/>
    </row>
    <row r="40" spans="1:6" hidden="1">
      <c r="A40">
        <f t="shared" si="0"/>
        <v>0</v>
      </c>
      <c r="B40" s="46" t="str">
        <f>IF(F40=0,"",SUM(F$39:$F40))</f>
        <v/>
      </c>
      <c r="C40" s="225" t="str">
        <f>Снабженцам!C19</f>
        <v>Болт М8х80 ГОСТ 7805-70</v>
      </c>
      <c r="D40" s="227"/>
      <c r="E40" s="73">
        <f>Снабженцам!D19</f>
        <v>0</v>
      </c>
      <c r="F40" s="22">
        <f t="shared" ref="F39:F53" si="2">IF(E40*1&gt;0,1,0)</f>
        <v>0</v>
      </c>
    </row>
    <row r="41" spans="1:6" ht="15" customHeight="1">
      <c r="A41">
        <f t="shared" si="0"/>
        <v>0</v>
      </c>
      <c r="B41" s="46"/>
      <c r="C41" s="225"/>
      <c r="D41" s="227"/>
      <c r="E41" s="73"/>
      <c r="F41" s="22"/>
    </row>
    <row r="42" spans="1:6">
      <c r="A42">
        <f t="shared" si="0"/>
        <v>0</v>
      </c>
      <c r="B42" s="46"/>
      <c r="C42" s="225"/>
      <c r="D42" s="227"/>
      <c r="E42" s="73"/>
      <c r="F42" s="22"/>
    </row>
    <row r="43" spans="1:6">
      <c r="A43">
        <f t="shared" si="0"/>
        <v>0</v>
      </c>
      <c r="B43" s="46"/>
      <c r="C43" s="225"/>
      <c r="D43" s="227"/>
      <c r="E43" s="73"/>
      <c r="F43" s="22"/>
    </row>
    <row r="44" spans="1:6">
      <c r="A44">
        <f t="shared" si="0"/>
        <v>0</v>
      </c>
      <c r="B44" s="46"/>
      <c r="C44" s="225"/>
      <c r="D44" s="227"/>
      <c r="E44" s="73"/>
      <c r="F44" s="22"/>
    </row>
    <row r="45" spans="1:6" hidden="1">
      <c r="A45">
        <f t="shared" si="0"/>
        <v>0</v>
      </c>
      <c r="B45" s="46" t="str">
        <f>IF(F45=0,"",SUM(F$39:$F45))</f>
        <v/>
      </c>
      <c r="C45" s="225" t="str">
        <f>Снабженцам!C24</f>
        <v>Шуруп 8х70 ГОСТ 11473-75</v>
      </c>
      <c r="D45" s="227"/>
      <c r="E45" s="73">
        <f>Снабженцам!D24</f>
        <v>0</v>
      </c>
      <c r="F45" s="22">
        <f t="shared" si="2"/>
        <v>0</v>
      </c>
    </row>
    <row r="46" spans="1:6" hidden="1">
      <c r="A46">
        <f t="shared" si="0"/>
        <v>0</v>
      </c>
      <c r="B46" s="46" t="str">
        <f>IF(F46=0,"",SUM(F$39:$F46))</f>
        <v/>
      </c>
      <c r="C46" s="225" t="str">
        <f>Снабженцам!C26</f>
        <v>Шайба 8 ГОСТ 6958-78</v>
      </c>
      <c r="D46" s="227"/>
      <c r="E46" s="73">
        <f>Снабженцам!D26</f>
        <v>0</v>
      </c>
      <c r="F46" s="22">
        <f t="shared" si="2"/>
        <v>0</v>
      </c>
    </row>
    <row r="47" spans="1:6" hidden="1">
      <c r="A47">
        <f t="shared" si="0"/>
        <v>0</v>
      </c>
      <c r="B47" s="46" t="str">
        <f>IF(F47=0,"",SUM(F$39:$F47))</f>
        <v/>
      </c>
      <c r="C47" s="225" t="str">
        <f>Снабженцам!C27</f>
        <v>Дюбель полипропиленовый (РД) d12х70</v>
      </c>
      <c r="D47" s="227"/>
      <c r="E47" s="73">
        <f>Снабженцам!D27</f>
        <v>0</v>
      </c>
      <c r="F47" s="22">
        <f t="shared" si="2"/>
        <v>0</v>
      </c>
    </row>
    <row r="48" spans="1:6" ht="30.75" customHeight="1">
      <c r="A48">
        <f t="shared" si="0"/>
        <v>0</v>
      </c>
      <c r="B48" s="46"/>
      <c r="C48" s="225"/>
      <c r="D48" s="227"/>
      <c r="E48" s="73"/>
      <c r="F48" s="22"/>
    </row>
    <row r="49" spans="1:6" hidden="1">
      <c r="A49">
        <f t="shared" si="0"/>
        <v>0</v>
      </c>
      <c r="B49" s="46" t="str">
        <f>IF(F49=0,"",SUM(F$39:$F49))</f>
        <v/>
      </c>
      <c r="C49" s="225" t="str">
        <f>Снабженцам!C30</f>
        <v>Заглушка пластмассовая 40х20</v>
      </c>
      <c r="D49" s="227"/>
      <c r="E49" s="73">
        <f>Снабженцам!D30</f>
        <v>0</v>
      </c>
      <c r="F49" s="22">
        <f t="shared" si="2"/>
        <v>0</v>
      </c>
    </row>
    <row r="50" spans="1:6">
      <c r="A50">
        <f t="shared" si="0"/>
        <v>0</v>
      </c>
      <c r="B50" s="46"/>
      <c r="C50" s="225"/>
      <c r="D50" s="227"/>
      <c r="E50" s="73"/>
      <c r="F50" s="22"/>
    </row>
    <row r="51" spans="1:6" hidden="1">
      <c r="A51">
        <f t="shared" si="0"/>
        <v>0</v>
      </c>
      <c r="B51" s="46" t="str">
        <f>IF(F51=0,"",SUM(F$39:$F51))</f>
        <v/>
      </c>
      <c r="C51" s="225" t="str">
        <f>Снабженцам!C32</f>
        <v>Прокладка K-Flex 25х35</v>
      </c>
      <c r="D51" s="227"/>
      <c r="E51" s="73">
        <f>Комплектация!G58-Комплектация!H58</f>
        <v>0</v>
      </c>
      <c r="F51" s="22">
        <f t="shared" si="2"/>
        <v>0</v>
      </c>
    </row>
    <row r="52" spans="1:6">
      <c r="A52">
        <f t="shared" si="0"/>
        <v>0</v>
      </c>
      <c r="B52" s="46"/>
      <c r="C52" s="225"/>
      <c r="D52" s="227"/>
      <c r="E52" s="73"/>
      <c r="F52" s="22"/>
    </row>
    <row r="53" spans="1:6" ht="27" customHeight="1">
      <c r="A53">
        <f t="shared" si="0"/>
        <v>0</v>
      </c>
      <c r="B53" s="46"/>
      <c r="C53" s="225"/>
      <c r="D53" s="227"/>
      <c r="E53" s="73"/>
      <c r="F53" s="22"/>
    </row>
    <row r="54" spans="1:6" hidden="1">
      <c r="C54" s="201"/>
      <c r="D54" s="201"/>
    </row>
  </sheetData>
  <autoFilter ref="A1:A54">
    <filterColumn colId="0">
      <filters>
        <filter val="1"/>
      </filters>
    </filterColumn>
  </autoFilter>
  <mergeCells count="17">
    <mergeCell ref="C43:D43"/>
    <mergeCell ref="C51:D51"/>
    <mergeCell ref="C40:D40"/>
    <mergeCell ref="C38:D38"/>
    <mergeCell ref="C48:D48"/>
    <mergeCell ref="C45:D45"/>
    <mergeCell ref="C46:D46"/>
    <mergeCell ref="C47:D47"/>
    <mergeCell ref="C39:D39"/>
    <mergeCell ref="C41:D41"/>
    <mergeCell ref="C42:D42"/>
    <mergeCell ref="C44:D44"/>
    <mergeCell ref="C54:D54"/>
    <mergeCell ref="C49:D49"/>
    <mergeCell ref="C50:D50"/>
    <mergeCell ref="C52:D52"/>
    <mergeCell ref="C53:D5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Исход. данные</vt:lpstr>
      <vt:lpstr>Спецификация</vt:lpstr>
      <vt:lpstr>Снабженцам</vt:lpstr>
      <vt:lpstr>Укладка</vt:lpstr>
      <vt:lpstr>Комплектация</vt:lpstr>
      <vt:lpstr>Паспорт</vt:lpstr>
      <vt:lpstr>'Исход. данные'!Область_печати</vt:lpstr>
      <vt:lpstr>Комплектация!Область_печати</vt:lpstr>
      <vt:lpstr>Снабженцам!Область_печати</vt:lpstr>
      <vt:lpstr>Спецификация!Область_печати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миниальная секция 950</dc:title>
  <dc:creator>Чирков Андрей</dc:creator>
  <dc:description>Минимальная секция в ряду на 2 места при кол-ве мест более 4. Возможна установка отдельностоящего 1 места.  </dc:description>
  <cp:lastModifiedBy>Чирков Андрей</cp:lastModifiedBy>
  <cp:lastPrinted>2011-01-20T10:37:31Z</cp:lastPrinted>
  <dcterms:created xsi:type="dcterms:W3CDTF">2008-08-06T04:23:49Z</dcterms:created>
  <dcterms:modified xsi:type="dcterms:W3CDTF">2011-02-16T07:45:54Z</dcterms:modified>
</cp:coreProperties>
</file>