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autoCompressPictures="0"/>
  <bookViews>
    <workbookView xWindow="480" yWindow="260" windowWidth="21840" windowHeight="10360"/>
  </bookViews>
  <sheets>
    <sheet name="Лист1" sheetId="1" r:id="rId1"/>
  </sheets>
  <calcPr calcId="140001" concurrentCalc="0"/>
  <pivotCaches>
    <pivotCache cacheId="27" r:id="rId2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2" i="1" l="1" a="1"/>
  <c r="Q62" i="1"/>
  <c r="Q63" i="1" a="1"/>
  <c r="Q63" i="1"/>
  <c r="Q64" i="1" a="1"/>
  <c r="Q64" i="1"/>
  <c r="Q61" i="1" a="1"/>
  <c r="Q61" i="1"/>
  <c r="J54" i="1"/>
  <c r="J55" i="1"/>
  <c r="J56" i="1"/>
  <c r="J57" i="1"/>
  <c r="J58" i="1"/>
  <c r="J59" i="1"/>
  <c r="J60" i="1"/>
  <c r="J61" i="1"/>
  <c r="I54" i="1" a="1"/>
  <c r="I54" i="1"/>
  <c r="I55" i="1" a="1"/>
  <c r="I55" i="1"/>
  <c r="I60" i="1" a="1"/>
  <c r="I60" i="1"/>
  <c r="I64" i="1" a="1"/>
  <c r="I64" i="1"/>
  <c r="I67" i="1" a="1"/>
  <c r="I67" i="1"/>
  <c r="J62" i="1"/>
  <c r="J63" i="1"/>
  <c r="J64" i="1"/>
  <c r="J65" i="1"/>
  <c r="J66" i="1"/>
  <c r="J67" i="1"/>
  <c r="J68" i="1"/>
  <c r="J69" i="1"/>
  <c r="J70" i="1"/>
  <c r="J71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45" i="1"/>
  <c r="S52" i="1"/>
  <c r="H41" i="1"/>
  <c r="H42" i="1"/>
  <c r="H43" i="1"/>
  <c r="H44" i="1"/>
  <c r="I43" i="1"/>
  <c r="I23" i="1"/>
  <c r="J23" i="1"/>
  <c r="I22" i="1"/>
  <c r="J22" i="1"/>
  <c r="I21" i="1"/>
  <c r="J21" i="1"/>
  <c r="I20" i="1"/>
  <c r="J20" i="1"/>
  <c r="I19" i="1"/>
  <c r="J19" i="1"/>
  <c r="I41" i="1"/>
  <c r="I42" i="1"/>
  <c r="I44" i="1"/>
  <c r="I45" i="1"/>
  <c r="J43" i="1"/>
  <c r="J42" i="1"/>
  <c r="J44" i="1"/>
  <c r="J45" i="1"/>
  <c r="J41" i="1"/>
  <c r="S50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H38" i="1"/>
  <c r="H39" i="1"/>
  <c r="H40" i="1"/>
  <c r="J18" i="1"/>
  <c r="J17" i="1"/>
  <c r="J16" i="1"/>
  <c r="I38" i="1"/>
  <c r="I39" i="1"/>
  <c r="I40" i="1"/>
  <c r="Q9" i="1"/>
  <c r="J39" i="1"/>
  <c r="J40" i="1"/>
  <c r="J38" i="1"/>
  <c r="Q7" i="1"/>
  <c r="Q8" i="1"/>
  <c r="Q6" i="1"/>
  <c r="S49" i="1"/>
  <c r="S51" i="1"/>
  <c r="J6" i="1"/>
  <c r="J7" i="1"/>
  <c r="J8" i="1"/>
  <c r="J9" i="1"/>
  <c r="J10" i="1"/>
  <c r="J11" i="1"/>
  <c r="J12" i="1"/>
  <c r="J13" i="1"/>
  <c r="J14" i="1"/>
  <c r="J15" i="1"/>
  <c r="R9" i="1"/>
  <c r="S9" i="1"/>
  <c r="R6" i="1"/>
  <c r="R7" i="1"/>
  <c r="R8" i="1"/>
  <c r="H37" i="1"/>
  <c r="H36" i="1"/>
  <c r="H35" i="1"/>
  <c r="H34" i="1"/>
  <c r="J34" i="1"/>
  <c r="I34" i="1"/>
  <c r="I35" i="1"/>
  <c r="I36" i="1"/>
  <c r="I37" i="1"/>
  <c r="J37" i="1"/>
  <c r="J35" i="1"/>
  <c r="J36" i="1"/>
  <c r="H28" i="1"/>
  <c r="H29" i="1"/>
  <c r="H30" i="1"/>
  <c r="I29" i="1"/>
  <c r="H31" i="1"/>
  <c r="H32" i="1"/>
  <c r="H33" i="1"/>
  <c r="I30" i="1"/>
  <c r="I31" i="1"/>
  <c r="I32" i="1"/>
  <c r="I33" i="1"/>
  <c r="I28" i="1"/>
  <c r="Q30" i="1"/>
  <c r="Q31" i="1"/>
  <c r="J33" i="1"/>
  <c r="J29" i="1"/>
  <c r="J28" i="1"/>
  <c r="J32" i="1"/>
  <c r="J31" i="1"/>
  <c r="J30" i="1"/>
  <c r="R28" i="1"/>
  <c r="Q28" i="1"/>
  <c r="R30" i="1"/>
  <c r="S30" i="1"/>
  <c r="R31" i="1"/>
  <c r="S31" i="1"/>
  <c r="S8" i="1"/>
  <c r="S6" i="1"/>
  <c r="Q29" i="1"/>
  <c r="S7" i="1"/>
  <c r="R29" i="1"/>
  <c r="S29" i="1"/>
  <c r="S28" i="1"/>
  <c r="I56" i="1" a="1"/>
  <c r="I56" i="1"/>
  <c r="I57" i="1" a="1"/>
  <c r="I57" i="1"/>
  <c r="I58" i="1" a="1"/>
  <c r="I58" i="1"/>
  <c r="I59" i="1" a="1"/>
  <c r="I59" i="1"/>
  <c r="I61" i="1" a="1"/>
  <c r="I61" i="1"/>
  <c r="I62" i="1" a="1"/>
  <c r="I62" i="1"/>
  <c r="I63" i="1" a="1"/>
  <c r="I63" i="1"/>
  <c r="I65" i="1" a="1"/>
  <c r="I65" i="1"/>
  <c r="I66" i="1" a="1"/>
  <c r="I66" i="1"/>
  <c r="I68" i="1" a="1"/>
  <c r="I68" i="1"/>
  <c r="I69" i="1" a="1"/>
  <c r="I69" i="1"/>
  <c r="I70" i="1" a="1"/>
  <c r="I70" i="1"/>
  <c r="I71" i="1" a="1"/>
  <c r="I71" i="1"/>
  <c r="P61" i="1" a="1"/>
  <c r="P61" i="1"/>
  <c r="P62" i="1" a="1"/>
  <c r="P62" i="1"/>
  <c r="P63" i="1" a="1"/>
  <c r="P63" i="1"/>
  <c r="P64" i="1" a="1"/>
  <c r="P64" i="1"/>
</calcChain>
</file>

<file path=xl/sharedStrings.xml><?xml version="1.0" encoding="utf-8"?>
<sst xmlns="http://schemas.openxmlformats.org/spreadsheetml/2006/main" count="181" uniqueCount="32">
  <si>
    <t>Начало</t>
  </si>
  <si>
    <t>конец</t>
  </si>
  <si>
    <t>Наименование</t>
  </si>
  <si>
    <t>Разница</t>
  </si>
  <si>
    <t>Время</t>
  </si>
  <si>
    <t>Как можно автоматизировать 2 табличку?</t>
  </si>
  <si>
    <t>От</t>
  </si>
  <si>
    <t>До</t>
  </si>
  <si>
    <t>Названия строк</t>
  </si>
  <si>
    <t>Максимум  От</t>
  </si>
  <si>
    <t>Максимум До</t>
  </si>
  <si>
    <t>Столбец1</t>
  </si>
  <si>
    <t>\/</t>
  </si>
  <si>
    <t>/\</t>
  </si>
  <si>
    <t>Столбец18</t>
  </si>
  <si>
    <t>Столбец2</t>
  </si>
  <si>
    <t>Характеристика_1</t>
  </si>
  <si>
    <t>Характеристика_2</t>
  </si>
  <si>
    <t>Характеристика_bnju</t>
  </si>
  <si>
    <t>Название 1</t>
  </si>
  <si>
    <t>Название 2</t>
  </si>
  <si>
    <t>Название 3</t>
  </si>
  <si>
    <t>Должно получиться так:</t>
  </si>
  <si>
    <t>Немного модернизировал 1 и 2 таблицу</t>
  </si>
  <si>
    <t>Каждый день характеристика_1 падает на значение характеристика_2</t>
  </si>
  <si>
    <t>Название 4</t>
  </si>
  <si>
    <t>Пользователь(которого я отслеживаю), может прибавить характиристику_1 на значение кратное 10, но за каждые 10 прибавляется по 1 к характеристике_2</t>
  </si>
  <si>
    <t>Нужно определить, в какой промежуток времени поменялось значение характеристики 1, с учетом значения характеристики_2</t>
  </si>
  <si>
    <t>После я немного изменил табличку, в колонке характеристика_итог вставил формулу, которая говорит, поменялось ли значение или нет</t>
  </si>
  <si>
    <t>Теперь просто в колонках от и до нужно указать время</t>
  </si>
  <si>
    <t>Время, которое получилось в итоге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</si>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</sst>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\ h:mm;@"/>
    <numFmt numFmtId="165" formatCode="[$-F400]h:mm:ss\ AM/PM"/>
    <numFmt numFmtId="166" formatCode="[$-F400]h:mm:ss;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3" xfId="0" applyBorder="1"/>
    <xf numFmtId="165" fontId="0" fillId="0" borderId="0" xfId="0" applyNumberFormat="1"/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20" fontId="0" fillId="0" borderId="0" xfId="0" applyNumberFormat="1" applyBorder="1"/>
    <xf numFmtId="0" fontId="0" fillId="0" borderId="7" xfId="0" applyBorder="1"/>
    <xf numFmtId="16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 applyFill="1"/>
    <xf numFmtId="164" fontId="0" fillId="0" borderId="1" xfId="0" applyNumberFormat="1" applyFont="1" applyFill="1" applyBorder="1"/>
    <xf numFmtId="164" fontId="0" fillId="0" borderId="4" xfId="0" applyNumberFormat="1" applyFont="1" applyFill="1" applyBorder="1"/>
    <xf numFmtId="0" fontId="0" fillId="0" borderId="1" xfId="0" applyNumberFormat="1" applyFont="1" applyFill="1" applyBorder="1"/>
    <xf numFmtId="0" fontId="0" fillId="0" borderId="0" xfId="0" applyNumberFormat="1"/>
    <xf numFmtId="164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1" applyNumberFormat="1" applyFont="1" applyFill="1" applyBorder="1"/>
    <xf numFmtId="0" fontId="0" fillId="0" borderId="0" xfId="1" applyNumberFormat="1" applyFont="1" applyFill="1" applyBorder="1"/>
    <xf numFmtId="0" fontId="0" fillId="4" borderId="0" xfId="1" applyNumberFormat="1" applyFont="1" applyFill="1"/>
    <xf numFmtId="164" fontId="0" fillId="3" borderId="1" xfId="0" applyNumberFormat="1" applyFont="1" applyFill="1" applyBorder="1"/>
    <xf numFmtId="164" fontId="0" fillId="0" borderId="1" xfId="0" applyNumberFormat="1" applyFont="1" applyBorder="1"/>
    <xf numFmtId="164" fontId="0" fillId="3" borderId="4" xfId="0" applyNumberFormat="1" applyFont="1" applyFill="1" applyBorder="1"/>
    <xf numFmtId="164" fontId="0" fillId="0" borderId="4" xfId="0" applyNumberFormat="1" applyFont="1" applyBorder="1"/>
    <xf numFmtId="164" fontId="0" fillId="0" borderId="0" xfId="0" applyNumberFormat="1" applyFill="1"/>
    <xf numFmtId="0" fontId="0" fillId="0" borderId="0" xfId="1" applyNumberFormat="1" applyFont="1" applyFill="1"/>
    <xf numFmtId="0" fontId="0" fillId="0" borderId="0" xfId="0" applyNumberFormat="1" applyFill="1"/>
    <xf numFmtId="165" fontId="0" fillId="0" borderId="6" xfId="0" applyNumberFormat="1" applyBorder="1"/>
    <xf numFmtId="0" fontId="0" fillId="0" borderId="2" xfId="0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165" fontId="0" fillId="0" borderId="0" xfId="0" applyNumberFormat="1" applyBorder="1"/>
    <xf numFmtId="0" fontId="0" fillId="3" borderId="14" xfId="0" applyFont="1" applyFill="1" applyBorder="1"/>
    <xf numFmtId="0" fontId="0" fillId="0" borderId="14" xfId="0" applyFont="1" applyBorder="1"/>
    <xf numFmtId="0" fontId="0" fillId="0" borderId="2" xfId="0" applyFont="1" applyBorder="1"/>
    <xf numFmtId="0" fontId="0" fillId="0" borderId="12" xfId="0" applyFont="1" applyBorder="1"/>
    <xf numFmtId="165" fontId="0" fillId="0" borderId="13" xfId="0" applyNumberFormat="1" applyBorder="1"/>
    <xf numFmtId="0" fontId="0" fillId="0" borderId="0" xfId="0" applyNumberFormat="1" applyBorder="1"/>
    <xf numFmtId="0" fontId="0" fillId="0" borderId="0" xfId="0" applyAlignment="1">
      <alignment horizontal="center"/>
    </xf>
    <xf numFmtId="165" fontId="0" fillId="4" borderId="0" xfId="0" applyNumberFormat="1" applyFill="1"/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64">
    <dxf>
      <numFmt numFmtId="165" formatCode="[$-F400]h:mm:ss\ AM/PM"/>
      <fill>
        <patternFill patternType="solid">
          <fgColor indexed="64"/>
          <bgColor rgb="FFFFFF00"/>
        </patternFill>
      </fill>
    </dxf>
    <dxf>
      <numFmt numFmtId="166" formatCode="[$-F400]h:mm:ss;;"/>
      <fill>
        <patternFill patternType="none">
          <fgColor indexed="64"/>
          <bgColor auto="1"/>
        </patternFill>
      </fill>
    </dxf>
    <dxf>
      <numFmt numFmtId="166" formatCode="[$-F400]h:mm:ss;;"/>
      <fill>
        <patternFill patternType="none">
          <fgColor indexed="64"/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65" formatCode="[$-F400]h:mm:ss\ AM/PM"/>
      <fill>
        <patternFill patternType="solid">
          <fgColor indexed="64"/>
          <bgColor rgb="FFFFFF00"/>
        </patternFill>
      </fill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border outline="0">
        <left style="thin">
          <color indexed="64"/>
        </left>
      </border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border outline="0">
        <left style="thin">
          <color indexed="64"/>
        </left>
      </border>
    </dxf>
    <dxf>
      <numFmt numFmtId="166" formatCode="[$-F400]h:mm:ss;;"/>
    </dxf>
    <dxf>
      <numFmt numFmtId="166" formatCode="[$-F400]h:mm:ss;;"/>
    </dxf>
    <dxf>
      <numFmt numFmtId="0" formatCode="General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166" formatCode="[$-F400]h:mm:ss;;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border outline="0">
        <left style="thin">
          <color indexed="64"/>
        </left>
      </border>
    </dxf>
    <dxf>
      <numFmt numFmtId="25" formatCode="h:mm"/>
    </dxf>
    <dxf>
      <border outline="0">
        <left style="thin">
          <color indexed="64"/>
        </left>
      </border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border outline="0">
        <left style="thin">
          <color indexed="64"/>
        </left>
      </border>
    </dxf>
    <dxf>
      <numFmt numFmtId="166" formatCode="[$-F400]h:mm:ss;;"/>
      <fill>
        <patternFill patternType="none">
          <fgColor indexed="64"/>
          <bgColor auto="1"/>
        </patternFill>
      </fill>
    </dxf>
    <dxf>
      <numFmt numFmtId="166" formatCode="[$-F400]h:mm:ss;;"/>
      <fill>
        <patternFill patternType="none">
          <fgColor indexed="64"/>
          <bgColor auto="1"/>
        </patternFill>
      </fill>
    </dxf>
    <dxf>
      <numFmt numFmtId="0" formatCode="General"/>
      <fill>
        <patternFill patternType="solid">
          <fgColor indexed="64"/>
          <bgColor rgb="FFFFFF00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" refreshedDate="42340.390406365739" createdVersion="4" refreshedVersion="4" minRefreshableVersion="3" recordCount="18">
  <cacheSource type="worksheet">
    <worksheetSource name="База"/>
  </cacheSource>
  <cacheFields count="10">
    <cacheField name="Начало" numFmtId="164">
      <sharedItems containsSemiMixedTypes="0" containsNonDate="0" containsDate="1" containsString="0" minDate="2015-11-28T11:05:00" maxDate="2015-12-01T12:00:00"/>
    </cacheField>
    <cacheField name="Столбец1" numFmtId="164">
      <sharedItems containsBlank="1"/>
    </cacheField>
    <cacheField name="конец" numFmtId="164">
      <sharedItems containsSemiMixedTypes="0" containsNonDate="0" containsDate="1" containsString="0" minDate="2015-11-28T11:33:00" maxDate="2015-12-01T12:00:00"/>
    </cacheField>
    <cacheField name="Столбец18" numFmtId="164">
      <sharedItems containsBlank="1"/>
    </cacheField>
    <cacheField name="Наименование" numFmtId="0">
      <sharedItems containsMixedTypes="1" containsNumber="1" containsInteger="1" minValue="1" maxValue="3" count="7">
        <s v="Название 1"/>
        <s v="Название 2"/>
        <s v="Название 3"/>
        <s v="Название 4"/>
        <n v="3" u="1"/>
        <n v="2" u="1"/>
        <n v="1" u="1"/>
      </sharedItems>
    </cacheField>
    <cacheField name="Характеристика_1" numFmtId="0">
      <sharedItems containsSemiMixedTypes="0" containsString="0" containsNumber="1" containsInteger="1" minValue="36" maxValue="100"/>
    </cacheField>
    <cacheField name="Характеристика_2" numFmtId="0">
      <sharedItems containsSemiMixedTypes="0" containsString="0" containsNumber="1" containsInteger="1" minValue="5" maxValue="27"/>
    </cacheField>
    <cacheField name="Характеристика_bnju" numFmtId="0">
      <sharedItems containsSemiMixedTypes="0" containsString="0" containsNumber="1" containsInteger="1" minValue="36" maxValue="90"/>
    </cacheField>
    <cacheField name="От" numFmtId="166">
      <sharedItems containsSemiMixedTypes="0" containsNonDate="0" containsDate="1" containsString="0" minDate="1899-12-30T00:00:00" maxDate="1899-12-30T19:34:59"/>
    </cacheField>
    <cacheField name="До" numFmtId="166">
      <sharedItems containsSemiMixedTypes="0" containsNonDate="0" containsDate="1" containsString="0" minDate="1899-12-30T00:00:00" maxDate="1899-12-3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d v="2015-11-28T11:33:00"/>
    <s v="\/"/>
    <d v="2015-11-28T13:38:00"/>
    <s v="/\"/>
    <x v="0"/>
    <n v="73"/>
    <n v="23"/>
    <n v="73"/>
    <d v="1899-12-30T13:38:00"/>
    <d v="1899-12-30T00:00:00"/>
  </r>
  <r>
    <d v="2015-11-28T14:50:00"/>
    <s v="\/"/>
    <d v="2015-11-28T17:24:00"/>
    <s v="/\"/>
    <x v="0"/>
    <n v="50"/>
    <n v="23"/>
    <n v="50"/>
    <d v="1899-12-30T00:00:00"/>
    <d v="1899-12-30T14:50:00"/>
  </r>
  <r>
    <d v="2015-11-28T22:06:00"/>
    <s v="\/"/>
    <d v="2015-11-29T11:27:00"/>
    <s v="/\"/>
    <x v="0"/>
    <n v="60"/>
    <n v="24"/>
    <n v="50"/>
    <d v="1899-12-30T11:27:00"/>
    <d v="1899-12-30T00:00:00"/>
  </r>
  <r>
    <d v="2015-11-29T14:45:00"/>
    <s v="\/"/>
    <d v="2015-11-29T17:56:00"/>
    <s v="/\"/>
    <x v="0"/>
    <n v="36"/>
    <n v="24"/>
    <n v="36"/>
    <d v="1899-12-30T00:00:00"/>
    <d v="1899-12-30T14:45:00"/>
  </r>
  <r>
    <d v="2015-11-29T18:03:00"/>
    <s v="\/"/>
    <d v="2015-11-29T18:16:00"/>
    <s v="/\"/>
    <x v="0"/>
    <n v="46"/>
    <n v="25"/>
    <n v="36"/>
    <d v="1899-12-30T18:16:00"/>
    <d v="1899-12-30T00:00:00"/>
  </r>
  <r>
    <d v="2015-11-29T20:09:00"/>
    <s v="\/"/>
    <d v="2015-11-29T20:09:00"/>
    <s v="/\"/>
    <x v="0"/>
    <n v="66"/>
    <n v="27"/>
    <n v="46"/>
    <d v="1899-12-30T00:00:00"/>
    <d v="1899-12-30T20:09:00"/>
  </r>
  <r>
    <d v="2015-11-28T11:33:00"/>
    <m/>
    <d v="2015-11-28T11:33:00"/>
    <m/>
    <x v="1"/>
    <n v="100"/>
    <n v="10"/>
    <n v="46"/>
    <d v="1899-12-30T11:33:00"/>
    <d v="1899-12-30T00:00:00"/>
  </r>
  <r>
    <d v="2015-11-29T14:45:00"/>
    <m/>
    <d v="2015-11-29T14:46:00"/>
    <m/>
    <x v="1"/>
    <n v="90"/>
    <n v="10"/>
    <n v="90"/>
    <d v="1899-12-30T14:46:00"/>
    <d v="1899-12-30T14:45:00"/>
  </r>
  <r>
    <d v="2015-11-30T12:13:00"/>
    <m/>
    <d v="2015-11-30T12:13:00"/>
    <m/>
    <x v="1"/>
    <n v="80"/>
    <n v="10"/>
    <n v="80"/>
    <d v="1899-12-30T00:00:00"/>
    <d v="1899-12-30T12:13:00"/>
  </r>
  <r>
    <d v="2015-12-01T12:00:00"/>
    <m/>
    <d v="2015-12-01T12:00:00"/>
    <m/>
    <x v="1"/>
    <n v="80"/>
    <n v="10"/>
    <n v="80"/>
    <d v="1899-12-30T00:00:00"/>
    <d v="1899-12-30T00:00:00"/>
  </r>
  <r>
    <d v="2015-11-28T11:05:00"/>
    <m/>
    <d v="2015-11-28T16:13:00"/>
    <m/>
    <x v="2"/>
    <n v="65"/>
    <n v="5"/>
    <n v="80"/>
    <d v="1899-12-30T16:13:00"/>
    <d v="1899-12-30T00:00:00"/>
  </r>
  <r>
    <d v="2015-11-28T19:31:00"/>
    <m/>
    <d v="2015-11-29T18:30:00"/>
    <m/>
    <x v="2"/>
    <n v="60"/>
    <n v="5"/>
    <n v="60"/>
    <d v="1899-12-30T18:30:00"/>
    <d v="1899-12-30T19:31:00"/>
  </r>
  <r>
    <d v="2015-11-29T18:35:53"/>
    <m/>
    <d v="2015-11-29T19:34:58"/>
    <m/>
    <x v="2"/>
    <n v="55"/>
    <n v="5"/>
    <n v="55"/>
    <d v="1899-12-30T00:00:00"/>
    <d v="1899-12-30T18:35:53"/>
  </r>
  <r>
    <d v="2015-11-28T11:05:00"/>
    <m/>
    <d v="2015-11-28T16:13:00"/>
    <m/>
    <x v="3"/>
    <n v="80"/>
    <n v="20"/>
    <n v="60"/>
    <d v="1899-12-30T00:00:00"/>
    <d v="1899-12-30T00:00:00"/>
  </r>
  <r>
    <d v="2015-11-28T19:31:00"/>
    <m/>
    <d v="2015-11-29T17:59:15"/>
    <m/>
    <x v="3"/>
    <n v="60"/>
    <n v="20"/>
    <n v="60"/>
    <d v="1899-12-30T17:59:15"/>
    <d v="1899-12-30T00:00:00"/>
  </r>
  <r>
    <d v="2015-11-29T18:05:58"/>
    <m/>
    <d v="2015-11-29T18:36:58"/>
    <m/>
    <x v="3"/>
    <n v="40"/>
    <n v="20"/>
    <n v="40"/>
    <d v="1899-12-30T00:00:00"/>
    <d v="1899-12-30T18:05:58"/>
  </r>
  <r>
    <d v="2015-11-29T19:34:59"/>
    <m/>
    <d v="2015-11-29T19:34:59"/>
    <m/>
    <x v="3"/>
    <n v="60"/>
    <n v="22"/>
    <n v="40"/>
    <d v="1899-12-30T19:34:59"/>
    <d v="1899-12-30T00:00:00"/>
  </r>
  <r>
    <d v="2015-11-30T18:01:00"/>
    <m/>
    <d v="2015-11-30T18:01:00"/>
    <m/>
    <x v="3"/>
    <n v="38"/>
    <n v="22"/>
    <n v="38"/>
    <d v="1899-12-30T00:00:00"/>
    <d v="1899-12-30T18:01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7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>
  <location ref="U6:W11" firstHeaderRow="1" firstDataRow="2" firstDataCol="1"/>
  <pivotFields count="10">
    <pivotField numFmtId="164" showAll="0"/>
    <pivotField showAll="0" defaultSubtotal="0"/>
    <pivotField numFmtId="164" showAll="0"/>
    <pivotField showAll="0" defaultSubtotal="0"/>
    <pivotField axis="axisRow" showAll="0">
      <items count="8">
        <item m="1" x="6"/>
        <item m="1" x="5"/>
        <item m="1" x="4"/>
        <item x="0"/>
        <item x="1"/>
        <item x="2"/>
        <item x="3"/>
        <item t="default"/>
      </items>
    </pivotField>
    <pivotField showAll="0" defaultSubtotal="0"/>
    <pivotField showAll="0" defaultSubtotal="0"/>
    <pivotField showAll="0" defaultSubtotal="0"/>
    <pivotField dataField="1" numFmtId="166" showAll="0" defaultSubtotal="0"/>
    <pivotField dataField="1" numFmtId="166" showAll="0" defaultSubtotal="0"/>
  </pivotFields>
  <rowFields count="1">
    <field x="4"/>
  </rowFields>
  <rowItems count="4">
    <i>
      <x v="3"/>
    </i>
    <i>
      <x v="4"/>
    </i>
    <i>
      <x v="5"/>
    </i>
    <i>
      <x v="6"/>
    </i>
  </rowItems>
  <colFields count="1">
    <field x="-2"/>
  </colFields>
  <colItems count="2">
    <i>
      <x/>
    </i>
    <i i="1">
      <x v="1"/>
    </i>
  </colItems>
  <dataFields count="2">
    <dataField name="Максимум  От" fld="8" subtotal="max" baseField="2" baseItem="0" numFmtId="165"/>
    <dataField name="Максимум До" fld="9" subtotal="max" baseField="2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База" displayName="База" ref="A27:J45" totalsRowShown="0" dataDxfId="63">
  <autoFilter ref="A27:J45"/>
  <tableColumns count="10">
    <tableColumn id="1" name="Начало" dataDxfId="62"/>
    <tableColumn id="7" name="Столбец1" dataDxfId="61"/>
    <tableColumn id="16" name="конец" dataDxfId="60"/>
    <tableColumn id="15" name="Столбец18" dataDxfId="59"/>
    <tableColumn id="14" name="Наименование" dataDxfId="58"/>
    <tableColumn id="10" name="Характеристика_1" dataDxfId="57" dataCellStyle="Процентный"/>
    <tableColumn id="9" name="Характеристика_2" dataDxfId="56"/>
    <tableColumn id="4" name="Характеристика_bnju" dataDxfId="55" dataCellStyle="Процентный">
      <calculatedColumnFormula>IFERROR(IF(IF(LOOKUP(2,1/($E$27:E27=База[Наименование]),$F$27:F27)-LOOKUP(2,1/($E$27:E27=База[Наименование]),$G$27:G27)=База[[#This Row],[Характеристика_1]],1,0)=0,IF((База[[#This Row],[Характеристика_2]]-LOOKUP(2,1/($E$27:E27=База[Наименование]),$G$27:G27))*10+LOOKUP(2,1/($E$27:E27=База[Наименование]),$F$27:F27)-LOOKUP(2,1/($E$27:E27=База[Наименование]),$G$27:G27)=База[[#This Row],[Характеристика_1]],База[[#This Row],[Характеристика_1]]-0.1,LOOKUP(2,1/($E$27:E27=База[Наименование]),$F$27:F27)),База[[#This Row],[Характеристика_1]]),База[[#This Row],[Характеристика_1]])</calculatedColumnFormula>
    </tableColumn>
    <tableColumn id="6" name="От" dataDxfId="54">
      <calculatedColumnFormula>MOD(База[[#This Row],[конец]],1)*(IFERROR(INDEX(H29:$H$46,MATCH(База[[#This Row],[Наименование]],E29:$E$46,0))-База[[#This Row],[Характеристика_bnju]],0)&lt;&gt;0)</calculatedColumnFormula>
    </tableColumn>
    <tableColumn id="5" name="До" dataDxfId="53">
      <calculatedColumnFormula>MOD(База[[#This Row],[Начало]],1)*(IFERROR(LOOKUP(2,1/(База[[#This Row],[Наименование]]=$E$27:E27),$H$27:H27)-База[[#This Row],[Характеристика_bnju]],0)&lt;&gt;0)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Итог" displayName="Итог" ref="M27:S31" totalsRowShown="0" tableBorderDxfId="52">
  <autoFilter ref="M27:S31"/>
  <tableColumns count="7">
    <tableColumn id="7" name="конец" dataDxfId="51"/>
    <tableColumn id="6" name="Характеристика_1" dataDxfId="50"/>
    <tableColumn id="5" name="Характеристика_2" dataDxfId="49"/>
    <tableColumn id="1" name="Наименование"/>
    <tableColumn id="2" name="От" dataDxfId="48">
      <calculatedColumnFormula>IFERROR(LOOKUP(2,1/(Итог[[#This Row],[Наименование]]=База[Наименование])/(База[От]&gt;0),База[От]),INDEX(MOD(База[конец],1),MATCH(Итог[[#This Row],[Наименование]],База[Наименование],0)))</calculatedColumnFormula>
    </tableColumn>
    <tableColumn id="3" name="До" dataDxfId="47">
      <calculatedColumnFormula>IFERROR(LOOKUP(2,1/(Итог[[#This Row],[Наименование]]=База[Наименование])/(База[До]&gt;0),База[До]),INDEX(MOD(База[Начало],1),MATCH(Итог[[#This Row],[Наименование]],База[Наименование],0)))</calculatedColumnFormula>
    </tableColumn>
    <tableColumn id="4" name="Разница" dataDxfId="46">
      <calculatedColumnFormula>IF(Итог[[#This Row],[От]]&gt;=Итог[[#This Row],[До]],0.999988425925926+Итог[[#This Row],[До]]-Итог[[#This Row],[От]],Итог[[#This Row],[До]]-Итог[[#This Row],[От]])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U12:V15" totalsRowShown="0" tableBorderDxfId="45">
  <autoFilter ref="U12:V15"/>
  <tableColumns count="2">
    <tableColumn id="1" name="Наименование"/>
    <tableColumn id="2" name="Время" dataDxfId="4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Итог67" displayName="Итог67" ref="M5:S9" totalsRowShown="0" tableBorderDxfId="43">
  <autoFilter ref="M5:S9"/>
  <tableColumns count="7">
    <tableColumn id="7" name="конец" dataDxfId="42"/>
    <tableColumn id="6" name="Характеристика_1" dataDxfId="41"/>
    <tableColumn id="5" name="Характеристика_2" dataDxfId="40"/>
    <tableColumn id="1" name="Наименование"/>
    <tableColumn id="2" name="От" dataDxfId="39">
      <calculatedColumnFormula>LOOKUP(2,1/(Итог67[[#This Row],[Наименование]]=Таблица1[Наименование])/(Таблица1[От]&gt;0),Таблица1[От])</calculatedColumnFormula>
    </tableColumn>
    <tableColumn id="3" name="До" dataDxfId="38">
      <calculatedColumnFormula>LOOKUP(2,1/(Итог67[[#This Row],[Наименование]]=Таблица1[Наименование])/(Таблица1[До]&gt;0),Таблица1[До])</calculatedColumnFormula>
    </tableColumn>
    <tableColumn id="4" name="Разница" dataDxfId="37">
      <calculatedColumnFormula>IF(Итог67[[#This Row],[От]]&gt;=Итог67[[#This Row],[До]],0.999988425925926+Итог67[[#This Row],[До]]-Итог67[[#This Row],[От]],Итог67[[#This Row],[До]]-Итог67[[#This Row],[От]])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Таблица1" displayName="Таблица1" ref="A5:J23" totalsRowShown="0">
  <autoFilter ref="A5:J23"/>
  <tableColumns count="10">
    <tableColumn id="1" name="Начало" dataDxfId="36"/>
    <tableColumn id="2" name="Столбец1" dataDxfId="35"/>
    <tableColumn id="3" name="конец" dataDxfId="34"/>
    <tableColumn id="4" name="Столбец2" dataDxfId="33"/>
    <tableColumn id="6" name="Наименование" dataDxfId="32"/>
    <tableColumn id="5" name="Характеристика_1" dataDxfId="31"/>
    <tableColumn id="7" name="Характеристика_2" dataDxfId="30"/>
    <tableColumn id="8" name="Характеристика_bnju" dataDxfId="29"/>
    <tableColumn id="9" name="От" dataDxfId="28">
      <calculatedColumnFormula>MOD(Таблица1[[#This Row],[конец]],1)*(IFERROR(INDEX(F7:$F$24,MATCH(Таблица1[[#This Row],[Наименование]],E7:$E$24,0))-Таблица1[[#This Row],[Характеристика_1]],0)&lt;&gt;0)</calculatedColumnFormula>
    </tableColumn>
    <tableColumn id="10" name="До" dataDxfId="27">
      <calculatedColumnFormula>MOD(Таблица1[[#This Row],[Начало]],1)*(IFERROR(LOOKUP(2,1/(Таблица1[[#This Row],[Наименование]]=$E$5:E5),$F$5:F5)-Таблица1[[#This Row],[Характеристика_1]],0)&lt;&gt;0)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Итог676" displayName="Итог676" ref="M48:S52" totalsRowShown="0" tableBorderDxfId="26">
  <autoFilter ref="M48:S52"/>
  <tableColumns count="7">
    <tableColumn id="7" name="конец" dataDxfId="25"/>
    <tableColumn id="6" name="Характеристика_1" dataDxfId="24"/>
    <tableColumn id="5" name="Характеристика_2" dataDxfId="23"/>
    <tableColumn id="1" name="Наименование"/>
    <tableColumn id="2" name="От" dataDxfId="22">
      <calculatedColumnFormula>IFERROR(LOOKUP(2,1/(Итог676[[#This Row],[Наименование]]=База[Наименование])/(База[От]&gt;0),База[От]),INDEX(MOD(База[конец],1),MATCH(Итог676[[#This Row],[Наименование]],База[Наименование],0)))</calculatedColumnFormula>
    </tableColumn>
    <tableColumn id="3" name="До" dataDxfId="21">
      <calculatedColumnFormula>IFERROR(LOOKUP(2,1/(Итог676[[#This Row],[Наименование]]=База[Наименование])/(Таблица1[До]&gt;0),Таблица1[До]),INDEX(MOD(Таблица1[Начало],1),MATCH(Итог676[[#This Row],[Наименование]],Таблица1[Наименование],0)))</calculatedColumnFormula>
    </tableColumn>
    <tableColumn id="4" name="Разница" dataDxfId="20">
      <calculatedColumnFormula>IF(Итог676[[#This Row],[От]]&gt;=Итог676[[#This Row],[До]],0.999988425925926+Итог676[[#This Row],[До]]-Итог676[[#This Row],[От]],Итог676[[#This Row],[До]]-Итог676[[#This Row],[От]])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База5" displayName="База5" ref="A53:J71" totalsRowShown="0" dataDxfId="19">
  <autoFilter ref="A53:J71"/>
  <tableColumns count="10">
    <tableColumn id="1" name="Начало" dataDxfId="18"/>
    <tableColumn id="7" name="Столбец1" dataDxfId="17"/>
    <tableColumn id="16" name="конец" dataDxfId="16"/>
    <tableColumn id="15" name="Столбец18" dataDxfId="15"/>
    <tableColumn id="14" name="Наименование" dataDxfId="14"/>
    <tableColumn id="10" name="Характеристика_1" dataDxfId="13" dataCellStyle="Процентный"/>
    <tableColumn id="9" name="Характеристика_2" dataDxfId="12"/>
    <tableColumn id="4" name="Характеристика_bnju" dataDxfId="5" dataCellStyle="Процентный">
      <calculatedColumnFormula>IFERROR(IF(LOOKUP(2,1/($E$53:E53=База5[[#This Row],[Наименование]]),$F$53:F53)-LOOKUP(2,1/($E$53:E53=База5[[#This Row],[Наименование]]),$G$53:G53)=База5[[#This Row],[Характеристика_1]],"Поменялось","Нет"),"1 проверка")</calculatedColumnFormula>
    </tableColumn>
    <tableColumn id="6" name="От" dataDxfId="1">
      <calculatedColumnFormula array="1">IF(База5[[#This Row],[Характеристика_bnju]]="Поменялось",IF(MOD(OFFSET(База5[[#This Row],[конец]],-1,),1)&lt;=MIN(IF((База5[[#This Row],[Наименование]]=$E$53:E53)*($J$53:J53&gt;0),$J$53:J53,9^9)),MAX(MOD(OFFSET(База5[[#This Row],[конец]],-1,),1),IF(База5[[#This Row],[Наименование]]=$E$53:E53,$I$53:I53)),0),IF(База5[[#This Row],[Характеристика_bnju]]="Нет",IF(MOD(OFFSET(База5[[#This Row],[конец]],-1,),1)&lt;=MIN(IF((База5[[#This Row],[Наименование]]=$E$53:E53)*($J$53:J53&gt;0),$J$53:J53,9^9)),MOD(База5[[#This Row],[конец]],1),0),0))</calculatedColumnFormula>
    </tableColumn>
    <tableColumn id="5" name="До" dataDxfId="2">
      <calculatedColumnFormula>IF(База5[[#This Row],[Характеристика_bnju]]="Поменялось",MOD(База5[[#This Row],[Начало]],1),0)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Итог9" displayName="Итог9" ref="L60:R64" totalsRowShown="0" tableBorderDxfId="11">
  <autoFilter ref="L60:R64"/>
  <tableColumns count="7">
    <tableColumn id="7" name="конец" dataDxfId="10"/>
    <tableColumn id="6" name="Характеристика_1" dataDxfId="9"/>
    <tableColumn id="5" name="Характеристика_2" dataDxfId="8"/>
    <tableColumn id="1" name="Наименование"/>
    <tableColumn id="2" name="От" dataDxfId="6">
      <calculatedColumnFormula array="1">MAX(IF((Итог9[[#This Row],[Наименование]]=База5[Наименование])*(База5[От]&gt;0),База5[От]))</calculatedColumnFormula>
    </tableColumn>
    <tableColumn id="3" name="До" dataDxfId="0">
      <calculatedColumnFormula array="1">MIN(IF((Итог9[[#This Row],[Наименование]]=База5[Наименование])*(База5[До]&gt;0),База5[До]))</calculatedColumnFormula>
    </tableColumn>
    <tableColumn id="4" name="Разница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4" Type="http://schemas.openxmlformats.org/officeDocument/2006/relationships/table" Target="../tables/table3.xml"/><Relationship Id="rId5" Type="http://schemas.openxmlformats.org/officeDocument/2006/relationships/table" Target="../tables/table4.xml"/><Relationship Id="rId6" Type="http://schemas.openxmlformats.org/officeDocument/2006/relationships/table" Target="../tables/table5.xml"/><Relationship Id="rId7" Type="http://schemas.openxmlformats.org/officeDocument/2006/relationships/table" Target="../tables/table6.xml"/><Relationship Id="rId8" Type="http://schemas.openxmlformats.org/officeDocument/2006/relationships/table" Target="../tables/table7.xml"/><Relationship Id="rId9" Type="http://schemas.openxmlformats.org/officeDocument/2006/relationships/table" Target="../tables/table8.xml"/><Relationship Id="rId1" Type="http://schemas.openxmlformats.org/officeDocument/2006/relationships/pivotTable" Target="../pivotTables/pivotTable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tabSelected="1" topLeftCell="J46" zoomScale="125" zoomScaleNormal="125" zoomScalePageLayoutView="125" workbookViewId="0">
      <selection activeCell="P61" sqref="P61"/>
    </sheetView>
  </sheetViews>
  <sheetFormatPr baseColWidth="10" defaultColWidth="8.83203125" defaultRowHeight="14" outlineLevelRow="1" x14ac:dyDescent="0"/>
  <cols>
    <col min="1" max="1" width="14.5" customWidth="1"/>
    <col min="2" max="2" width="2.6640625" style="1" customWidth="1"/>
    <col min="3" max="3" width="12.83203125" style="1" customWidth="1"/>
    <col min="4" max="4" width="2.83203125" style="1" customWidth="1"/>
    <col min="5" max="5" width="34.5" style="1" customWidth="1"/>
    <col min="6" max="7" width="20.33203125" style="1" bestFit="1" customWidth="1"/>
    <col min="8" max="8" width="17.83203125" bestFit="1" customWidth="1"/>
    <col min="9" max="9" width="8.1640625" bestFit="1" customWidth="1"/>
    <col min="10" max="10" width="10.6640625" bestFit="1" customWidth="1"/>
    <col min="11" max="11" width="10.6640625" style="1" customWidth="1"/>
    <col min="12" max="17" width="14.33203125" style="1" customWidth="1"/>
    <col min="18" max="18" width="14.1640625" bestFit="1" customWidth="1"/>
    <col min="21" max="21" width="16.33203125" customWidth="1"/>
    <col min="22" max="22" width="12.83203125" customWidth="1"/>
    <col min="23" max="23" width="12.6640625" customWidth="1"/>
    <col min="25" max="25" width="40" bestFit="1" customWidth="1"/>
  </cols>
  <sheetData>
    <row r="1" spans="1:25" s="1" customFormat="1" hidden="1" outlineLevel="1"/>
    <row r="2" spans="1:25" s="1" customFormat="1" hidden="1" outlineLevel="1"/>
    <row r="3" spans="1:25" s="1" customFormat="1" hidden="1" outlineLevel="1"/>
    <row r="4" spans="1:25" s="1" customFormat="1" hidden="1" outlineLevel="1">
      <c r="M4" s="33"/>
      <c r="N4" s="5"/>
    </row>
    <row r="5" spans="1:25" s="1" customFormat="1" hidden="1" outlineLevel="1">
      <c r="A5" s="5" t="s">
        <v>0</v>
      </c>
      <c r="B5" s="1" t="s">
        <v>11</v>
      </c>
      <c r="C5" s="5" t="s">
        <v>1</v>
      </c>
      <c r="D5" s="1" t="s">
        <v>15</v>
      </c>
      <c r="E5" s="1" t="s">
        <v>2</v>
      </c>
      <c r="F5" s="1" t="s">
        <v>16</v>
      </c>
      <c r="G5" s="1" t="s">
        <v>17</v>
      </c>
      <c r="H5" t="s">
        <v>18</v>
      </c>
      <c r="I5" s="1" t="s">
        <v>6</v>
      </c>
      <c r="J5" s="11" t="s">
        <v>7</v>
      </c>
      <c r="K5" s="11"/>
      <c r="M5" s="1" t="s">
        <v>1</v>
      </c>
      <c r="N5" s="1" t="s">
        <v>16</v>
      </c>
      <c r="O5" s="1" t="s">
        <v>17</v>
      </c>
      <c r="P5" s="2" t="s">
        <v>2</v>
      </c>
      <c r="Q5" s="2" t="s">
        <v>6</v>
      </c>
      <c r="R5" s="2" t="s">
        <v>7</v>
      </c>
      <c r="S5" s="2" t="s">
        <v>3</v>
      </c>
    </row>
    <row r="6" spans="1:25" hidden="1" outlineLevel="1">
      <c r="A6" s="26">
        <v>42336.481249999997</v>
      </c>
      <c r="B6" s="28" t="s">
        <v>12</v>
      </c>
      <c r="C6" s="24">
        <v>42336.568055555559</v>
      </c>
      <c r="D6" s="3"/>
      <c r="E6" s="14" t="s">
        <v>19</v>
      </c>
      <c r="F6" s="30">
        <v>73</v>
      </c>
      <c r="G6" s="18">
        <v>23</v>
      </c>
      <c r="H6" s="18"/>
      <c r="I6" s="11">
        <f>MOD(Таблица1[[#This Row],[конец]],1)*(IFERROR(INDEX(F7:$F$24,MATCH(Таблица1[[#This Row],[Наименование]],E7:$E$24,0))-Таблица1[[#This Row],[Характеристика_1]],0)&lt;&gt;0)</f>
        <v>0.56805555555911269</v>
      </c>
      <c r="J6" s="11">
        <f>MOD(Таблица1[[#This Row],[Начало]],1)*(IFERROR(LOOKUP(2,1/(Таблица1[[#This Row],[Наименование]]=$E$5:E5),$F$5:F5)-Таблица1[[#This Row],[Характеристика_1]],0)&lt;&gt;0)</f>
        <v>0</v>
      </c>
      <c r="K6" s="11"/>
      <c r="M6" s="5"/>
      <c r="N6" s="5"/>
      <c r="O6" s="5"/>
      <c r="P6" s="1" t="s">
        <v>19</v>
      </c>
      <c r="Q6" s="5">
        <f>LOOKUP(2,1/(Итог67[[#This Row],[Наименование]]=Таблица1[Наименование])/(Таблица1[От]&gt;0),Таблица1[От])</f>
        <v>0.76111111111094942</v>
      </c>
      <c r="R6" s="5">
        <f>LOOKUP(2,1/(Итог67[[#This Row],[Наименование]]=Таблица1[Наименование])/(Таблица1[До]&gt;0),Таблица1[До])</f>
        <v>0.83958333333430346</v>
      </c>
      <c r="S6" s="5">
        <f>IF(Итог67[[#This Row],[От]]&gt;=Итог67[[#This Row],[До]],0.999988425925926+Итог67[[#This Row],[До]]-Итог67[[#This Row],[От]],Итог67[[#This Row],[До]]-Итог67[[#This Row],[От]])</f>
        <v>7.8472222223354038E-2</v>
      </c>
      <c r="V6" s="12" t="s">
        <v>31</v>
      </c>
    </row>
    <row r="7" spans="1:25" hidden="1" outlineLevel="1">
      <c r="A7" s="26">
        <v>42336.618055555555</v>
      </c>
      <c r="B7" s="28" t="s">
        <v>12</v>
      </c>
      <c r="C7" s="24">
        <v>42336.724999999999</v>
      </c>
      <c r="D7" s="3"/>
      <c r="E7" s="14" t="s">
        <v>19</v>
      </c>
      <c r="F7" s="30">
        <v>50</v>
      </c>
      <c r="G7" s="18">
        <v>23</v>
      </c>
      <c r="H7" s="18"/>
      <c r="I7" s="11">
        <f>MOD(Таблица1[[#This Row],[конец]],1)*(IFERROR(INDEX(F8:$F$24,MATCH(Таблица1[[#This Row],[Наименование]],E8:$E$24,0))-Таблица1[[#This Row],[Характеристика_1]],0)&lt;&gt;0)</f>
        <v>0.72499999999854481</v>
      </c>
      <c r="J7" s="11">
        <f>MOD(Таблица1[[#This Row],[Начало]],1)*(IFERROR(LOOKUP(2,1/(Таблица1[[#This Row],[Наименование]]=$E$5:E6),$F$5:F6)-Таблица1[[#This Row],[Характеристика_1]],0)&lt;&gt;0)</f>
        <v>0.61805555555474712</v>
      </c>
      <c r="K7" s="11"/>
      <c r="M7" s="5"/>
      <c r="N7" s="5"/>
      <c r="O7" s="5"/>
      <c r="P7" s="1" t="s">
        <v>20</v>
      </c>
      <c r="Q7" s="5">
        <f>LOOKUP(2,1/(Итог67[[#This Row],[Наименование]]=Таблица1[Наименование])/(Таблица1[От]&gt;0),Таблица1[От])</f>
        <v>0.61527777777519077</v>
      </c>
      <c r="R7" s="5">
        <f>LOOKUP(2,1/(Итог67[[#This Row],[Наименование]]=Таблица1[Наименование])/(Таблица1[До]&gt;0),Таблица1[До])</f>
        <v>0.50902777777810115</v>
      </c>
      <c r="S7" s="31">
        <f>IF(Итог67[[#This Row],[От]]&gt;=Итог67[[#This Row],[До]],0.999988425925926+Итог67[[#This Row],[До]]-Итог67[[#This Row],[От]],Итог67[[#This Row],[До]]-Итог67[[#This Row],[От]])</f>
        <v>0.89373842592883634</v>
      </c>
      <c r="U7" s="12" t="s">
        <v>8</v>
      </c>
      <c r="V7" s="1" t="s">
        <v>9</v>
      </c>
      <c r="W7" s="1" t="s">
        <v>10</v>
      </c>
    </row>
    <row r="8" spans="1:25" hidden="1" outlineLevel="1">
      <c r="A8" s="26">
        <v>42336.92083333333</v>
      </c>
      <c r="B8" s="28" t="s">
        <v>12</v>
      </c>
      <c r="C8" s="24">
        <v>42337.477083333331</v>
      </c>
      <c r="D8" s="3"/>
      <c r="E8" s="14" t="s">
        <v>19</v>
      </c>
      <c r="F8" s="30">
        <v>60</v>
      </c>
      <c r="G8" s="18">
        <v>24</v>
      </c>
      <c r="H8" s="18"/>
      <c r="I8" s="11">
        <f>MOD(Таблица1[[#This Row],[конец]],1)*(IFERROR(INDEX(F9:$F$24,MATCH(Таблица1[[#This Row],[Наименование]],E9:$E$24,0))-Таблица1[[#This Row],[Характеристика_1]],0)&lt;&gt;0)</f>
        <v>0.47708333333139308</v>
      </c>
      <c r="J8" s="11">
        <f>MOD(Таблица1[[#This Row],[Начало]],1)*(IFERROR(LOOKUP(2,1/(Таблица1[[#This Row],[Наименование]]=$E$5:E7),$F$5:F7)-Таблица1[[#This Row],[Характеристика_1]],0)&lt;&gt;0)</f>
        <v>0.92083333332993789</v>
      </c>
      <c r="K8" s="11"/>
      <c r="M8" s="5"/>
      <c r="N8" s="5"/>
      <c r="O8" s="5"/>
      <c r="P8" s="1" t="s">
        <v>21</v>
      </c>
      <c r="Q8" s="5">
        <f>LOOKUP(2,1/(Итог67[[#This Row],[Наименование]]=Таблица1[Наименование])/(Таблица1[От]&gt;0),Таблица1[От])</f>
        <v>0.77083333333575865</v>
      </c>
      <c r="R8" s="5">
        <f>LOOKUP(2,1/(Итог67[[#This Row],[Наименование]]=Таблица1[Наименование])/(Таблица1[До]&gt;0),Таблица1[До])</f>
        <v>0.77491898147854954</v>
      </c>
      <c r="S8" s="5">
        <f>IF(Итог67[[#This Row],[От]]&gt;=Итог67[[#This Row],[До]],0.999988425925926+Итог67[[#This Row],[До]]-Итог67[[#This Row],[От]],Итог67[[#This Row],[До]]-Итог67[[#This Row],[От]])</f>
        <v>4.0856481427908875E-3</v>
      </c>
      <c r="U8" s="13" t="s">
        <v>19</v>
      </c>
      <c r="V8" s="5">
        <v>0.76111111111111107</v>
      </c>
      <c r="W8" s="5">
        <v>0.83958333333333324</v>
      </c>
    </row>
    <row r="9" spans="1:25" hidden="1" outlineLevel="1">
      <c r="A9" s="24">
        <v>42337.614583333336</v>
      </c>
      <c r="B9" s="28" t="s">
        <v>12</v>
      </c>
      <c r="C9" s="25">
        <v>42337.74722222222</v>
      </c>
      <c r="D9" s="3"/>
      <c r="E9" s="14" t="s">
        <v>19</v>
      </c>
      <c r="F9" s="30">
        <v>36</v>
      </c>
      <c r="G9" s="18">
        <v>24</v>
      </c>
      <c r="H9" s="18"/>
      <c r="I9" s="11">
        <f>MOD(Таблица1[[#This Row],[конец]],1)*(IFERROR(INDEX(F10:$F$24,MATCH(Таблица1[[#This Row],[Наименование]],E10:$E$24,0))-Таблица1[[#This Row],[Характеристика_1]],0)&lt;&gt;0)</f>
        <v>0.74722222222044365</v>
      </c>
      <c r="J9" s="11">
        <f>MOD(Таблица1[[#This Row],[Начало]],1)*(IFERROR(LOOKUP(2,1/(Таблица1[[#This Row],[Наименование]]=$E$5:E8),$F$5:F8)-Таблица1[[#This Row],[Характеристика_1]],0)&lt;&gt;0)</f>
        <v>0.61458333333575865</v>
      </c>
      <c r="K9" s="11"/>
      <c r="M9" s="5"/>
      <c r="N9" s="5"/>
      <c r="O9" s="5"/>
      <c r="P9" s="1" t="s">
        <v>25</v>
      </c>
      <c r="Q9" s="5">
        <f>LOOKUP(2,1/(Итог67[[#This Row],[Наименование]]=Таблица1[Наименование])/(Таблица1[От]&gt;0),Таблица1[От])</f>
        <v>0.81596064814948477</v>
      </c>
      <c r="R9" s="5">
        <f>LOOKUP(2,1/(Итог67[[#This Row],[Наименование]]=Таблица1[Наименование])/(Таблица1[До]&gt;0),Таблица1[До])</f>
        <v>0.75069444444670808</v>
      </c>
      <c r="S9" s="5">
        <f>IF(Итог67[[#This Row],[От]]&gt;=Итог67[[#This Row],[До]],0.999988425925926+Итог67[[#This Row],[До]]-Итог67[[#This Row],[От]],Итог67[[#This Row],[До]]-Итог67[[#This Row],[От]])</f>
        <v>0.93472222222314927</v>
      </c>
      <c r="U9" s="13" t="s">
        <v>20</v>
      </c>
      <c r="V9" s="5">
        <v>0.61527777777777781</v>
      </c>
      <c r="W9" s="5">
        <v>0.61458333333333337</v>
      </c>
    </row>
    <row r="10" spans="1:25" hidden="1" outlineLevel="1">
      <c r="A10" s="24">
        <v>42337.752083333333</v>
      </c>
      <c r="B10" s="28" t="s">
        <v>12</v>
      </c>
      <c r="C10" s="25">
        <v>42337.761111111111</v>
      </c>
      <c r="D10" s="3"/>
      <c r="E10" s="14" t="s">
        <v>19</v>
      </c>
      <c r="F10" s="30">
        <v>46</v>
      </c>
      <c r="G10" s="18">
        <v>25</v>
      </c>
      <c r="H10" s="18"/>
      <c r="I10" s="11">
        <f>MOD(Таблица1[[#This Row],[конец]],1)*(IFERROR(INDEX(F11:$F$24,MATCH(Таблица1[[#This Row],[Наименование]],E11:$E$24,0))-Таблица1[[#This Row],[Характеристика_1]],0)&lt;&gt;0)</f>
        <v>0.76111111111094942</v>
      </c>
      <c r="J10" s="11">
        <f>MOD(Таблица1[[#This Row],[Начало]],1)*(IFERROR(LOOKUP(2,1/(Таблица1[[#This Row],[Наименование]]=$E$5:E9),$F$5:F9)-Таблица1[[#This Row],[Характеристика_1]],0)&lt;&gt;0)</f>
        <v>0.75208333333284827</v>
      </c>
      <c r="K10" s="11"/>
      <c r="U10" s="13" t="s">
        <v>21</v>
      </c>
      <c r="V10" s="5">
        <v>0.77083333333333337</v>
      </c>
      <c r="W10" s="5">
        <v>0.81319444444444444</v>
      </c>
    </row>
    <row r="11" spans="1:25" hidden="1" outlineLevel="1">
      <c r="A11" s="24">
        <v>42337.839583333334</v>
      </c>
      <c r="B11" s="28" t="s">
        <v>12</v>
      </c>
      <c r="C11" s="25">
        <v>42337.839583333334</v>
      </c>
      <c r="D11" s="3"/>
      <c r="E11" s="14" t="s">
        <v>19</v>
      </c>
      <c r="F11" s="30">
        <v>66</v>
      </c>
      <c r="G11" s="18">
        <v>27</v>
      </c>
      <c r="H11" s="18"/>
      <c r="I11" s="11">
        <f>MOD(Таблица1[[#This Row],[конец]],1)*(IFERROR(INDEX(F12:$F$24,MATCH(Таблица1[[#This Row],[Наименование]],E12:$E$24,0))-Таблица1[[#This Row],[Характеристика_1]],0)&lt;&gt;0)</f>
        <v>0</v>
      </c>
      <c r="J11" s="11">
        <f>MOD(Таблица1[[#This Row],[Начало]],1)*(IFERROR(LOOKUP(2,1/(Таблица1[[#This Row],[Наименование]]=$E$5:E10),$F$5:F10)-Таблица1[[#This Row],[Характеристика_1]],0)&lt;&gt;0)</f>
        <v>0.83958333333430346</v>
      </c>
      <c r="K11" s="11"/>
      <c r="U11" s="13" t="s">
        <v>25</v>
      </c>
      <c r="V11" s="5">
        <v>0.81596064814814817</v>
      </c>
      <c r="W11" s="5">
        <v>0.75414351851851846</v>
      </c>
      <c r="X11" s="2"/>
      <c r="Y11" s="7"/>
    </row>
    <row r="12" spans="1:25" hidden="1" outlineLevel="1">
      <c r="A12" s="26">
        <v>42336.481249999997</v>
      </c>
      <c r="B12" s="28"/>
      <c r="C12" s="24">
        <v>42336.481249999997</v>
      </c>
      <c r="D12" s="3"/>
      <c r="E12" s="14" t="s">
        <v>20</v>
      </c>
      <c r="F12" s="30">
        <v>100</v>
      </c>
      <c r="G12" s="18">
        <v>10</v>
      </c>
      <c r="H12" s="18"/>
      <c r="I12" s="11">
        <f>MOD(Таблица1[[#This Row],[конец]],1)*(IFERROR(INDEX(F13:$F$24,MATCH(Таблица1[[#This Row],[Наименование]],E13:$E$24,0))-Таблица1[[#This Row],[Характеристика_1]],0)&lt;&gt;0)</f>
        <v>0.48124999999708962</v>
      </c>
      <c r="J12" s="11">
        <f>MOD(Таблица1[[#This Row],[Начало]],1)*(IFERROR(LOOKUP(2,1/(Таблица1[[#This Row],[Наименование]]=$E$5:E11),$F$5:F11)-Таблица1[[#This Row],[Характеристика_1]],0)&lt;&gt;0)</f>
        <v>0</v>
      </c>
      <c r="K12" s="11"/>
      <c r="U12" s="2" t="s">
        <v>2</v>
      </c>
      <c r="V12" s="2" t="s">
        <v>4</v>
      </c>
      <c r="W12" s="2"/>
      <c r="X12" s="2"/>
      <c r="Y12" s="8" t="s">
        <v>5</v>
      </c>
    </row>
    <row r="13" spans="1:25" hidden="1" outlineLevel="1">
      <c r="A13" s="26">
        <v>42337.614583333336</v>
      </c>
      <c r="B13" s="28"/>
      <c r="C13" s="24">
        <v>42337.615277777775</v>
      </c>
      <c r="D13" s="3"/>
      <c r="E13" s="14" t="s">
        <v>20</v>
      </c>
      <c r="F13" s="30">
        <v>90</v>
      </c>
      <c r="G13" s="18">
        <v>10</v>
      </c>
      <c r="H13" s="18"/>
      <c r="I13" s="11">
        <f>MOD(Таблица1[[#This Row],[конец]],1)*(IFERROR(INDEX(F14:$F$24,MATCH(Таблица1[[#This Row],[Наименование]],E14:$E$24,0))-Таблица1[[#This Row],[Характеристика_1]],0)&lt;&gt;0)</f>
        <v>0.61527777777519077</v>
      </c>
      <c r="J13" s="11">
        <f>MOD(Таблица1[[#This Row],[Начало]],1)*(IFERROR(LOOKUP(2,1/(Таблица1[[#This Row],[Наименование]]=$E$5:E12),$F$5:F12)-Таблица1[[#This Row],[Характеристика_1]],0)&lt;&gt;0)</f>
        <v>0.61458333333575865</v>
      </c>
      <c r="K13" s="11"/>
      <c r="U13" s="2">
        <v>1</v>
      </c>
      <c r="V13" s="9">
        <v>2.1527777777777781E-2</v>
      </c>
      <c r="W13" s="2"/>
      <c r="X13" s="2"/>
      <c r="Y13" s="7"/>
    </row>
    <row r="14" spans="1:25" hidden="1" outlineLevel="1">
      <c r="A14" s="26">
        <v>42338.509027777778</v>
      </c>
      <c r="B14" s="28"/>
      <c r="C14" s="24">
        <v>42338.509027777778</v>
      </c>
      <c r="D14" s="3"/>
      <c r="E14" s="14" t="s">
        <v>20</v>
      </c>
      <c r="F14" s="30">
        <v>80</v>
      </c>
      <c r="G14" s="18">
        <v>10</v>
      </c>
      <c r="H14" s="18"/>
      <c r="I14" s="11">
        <f>MOD(Таблица1[[#This Row],[конец]],1)*(IFERROR(INDEX(F15:$F$24,MATCH(Таблица1[[#This Row],[Наименование]],E15:$E$24,0))-Таблица1[[#This Row],[Характеристика_1]],0)&lt;&gt;0)</f>
        <v>0</v>
      </c>
      <c r="J14" s="11">
        <f>MOD(Таблица1[[#This Row],[Начало]],1)*(IFERROR(LOOKUP(2,1/(Таблица1[[#This Row],[Наименование]]=$E$5:E13),$F$5:F13)-Таблица1[[#This Row],[Характеристика_1]],0)&lt;&gt;0)</f>
        <v>0.50902777777810115</v>
      </c>
      <c r="K14" s="11"/>
      <c r="U14" s="2">
        <v>2</v>
      </c>
      <c r="V14" s="9">
        <v>0.85486111111111107</v>
      </c>
      <c r="W14" s="2"/>
      <c r="X14" s="2"/>
      <c r="Y14" s="7"/>
    </row>
    <row r="15" spans="1:25" hidden="1" outlineLevel="1">
      <c r="A15" s="27">
        <v>42339.5</v>
      </c>
      <c r="B15" s="28"/>
      <c r="C15" s="25">
        <v>42339.5</v>
      </c>
      <c r="D15" s="3"/>
      <c r="E15" s="14" t="s">
        <v>20</v>
      </c>
      <c r="F15" s="30">
        <v>80</v>
      </c>
      <c r="G15" s="18">
        <v>11</v>
      </c>
      <c r="H15" s="18"/>
      <c r="I15" s="11">
        <f>MOD(Таблица1[[#This Row],[конец]],1)*(IFERROR(INDEX(F16:$F$24,MATCH(Таблица1[[#This Row],[Наименование]],E16:$E$24,0))-Таблица1[[#This Row],[Характеристика_1]],0)&lt;&gt;0)</f>
        <v>0</v>
      </c>
      <c r="J15" s="11">
        <f>MOD(Таблица1[[#This Row],[Начало]],1)*(IFERROR(LOOKUP(2,1/(Таблица1[[#This Row],[Наименование]]=$E$5:E14),$F$5:F14)-Таблица1[[#This Row],[Характеристика_1]],0)&lt;&gt;0)</f>
        <v>0</v>
      </c>
      <c r="K15" s="11"/>
      <c r="U15" s="2">
        <v>3</v>
      </c>
      <c r="V15" s="9">
        <v>0.60486111111111118</v>
      </c>
      <c r="W15" s="2"/>
      <c r="X15" s="2"/>
      <c r="Y15" s="7"/>
    </row>
    <row r="16" spans="1:25" s="1" customFormat="1" hidden="1" outlineLevel="1">
      <c r="A16" s="19">
        <v>42336.461805555555</v>
      </c>
      <c r="B16" s="28"/>
      <c r="C16" s="19">
        <v>42336.675694444442</v>
      </c>
      <c r="D16" s="3"/>
      <c r="E16" s="14" t="s">
        <v>21</v>
      </c>
      <c r="F16" s="30">
        <v>65</v>
      </c>
      <c r="G16" s="18">
        <v>5</v>
      </c>
      <c r="H16" s="18"/>
      <c r="I16" s="11">
        <f>MOD(Таблица1[[#This Row],[конец]],1)*(IFERROR(INDEX(F17:$F$24,MATCH(Таблица1[[#This Row],[Наименование]],E17:$E$24,0))-Таблица1[[#This Row],[Характеристика_1]],0)&lt;&gt;0)</f>
        <v>0.6756944444423425</v>
      </c>
      <c r="J16" s="11">
        <f>MOD(Таблица1[[#This Row],[Начало]],1)*(IFERROR(LOOKUP(2,1/(Таблица1[[#This Row],[Наименование]]=$E$5:E15),$F$5:F15)-Таблица1[[#This Row],[Характеристика_1]],0)&lt;&gt;0)</f>
        <v>0</v>
      </c>
      <c r="K16" s="11"/>
      <c r="U16" s="2"/>
      <c r="V16" s="9"/>
      <c r="W16" s="2"/>
      <c r="X16" s="2"/>
      <c r="Y16" s="2"/>
    </row>
    <row r="17" spans="1:25" s="1" customFormat="1" hidden="1" outlineLevel="1">
      <c r="A17" s="19">
        <v>42336.813194444447</v>
      </c>
      <c r="B17" s="28"/>
      <c r="C17" s="19">
        <v>42337.770833333336</v>
      </c>
      <c r="D17" s="3"/>
      <c r="E17" s="14" t="s">
        <v>21</v>
      </c>
      <c r="F17" s="30">
        <v>60</v>
      </c>
      <c r="G17" s="18">
        <v>5</v>
      </c>
      <c r="H17" s="18"/>
      <c r="I17" s="11">
        <f>MOD(Таблица1[[#This Row],[конец]],1)*(IFERROR(INDEX(F18:$F$24,MATCH(Таблица1[[#This Row],[Наименование]],E18:$E$24,0))-Таблица1[[#This Row],[Характеристика_1]],0)&lt;&gt;0)</f>
        <v>0.77083333333575865</v>
      </c>
      <c r="J17" s="11">
        <f>MOD(Таблица1[[#This Row],[Начало]],1)*(IFERROR(LOOKUP(2,1/(Таблица1[[#This Row],[Наименование]]=$E$5:E16),$F$5:F16)-Таблица1[[#This Row],[Характеристика_1]],0)&lt;&gt;0)</f>
        <v>0.81319444444670808</v>
      </c>
      <c r="K17" s="11"/>
      <c r="U17" s="2"/>
      <c r="V17" s="9"/>
      <c r="W17" s="2"/>
      <c r="X17" s="2"/>
      <c r="Y17" s="2"/>
    </row>
    <row r="18" spans="1:25" s="1" customFormat="1" hidden="1" outlineLevel="1">
      <c r="A18" s="19">
        <v>42337.774918981479</v>
      </c>
      <c r="B18" s="28"/>
      <c r="C18" s="19">
        <v>42337.815949074073</v>
      </c>
      <c r="D18" s="3"/>
      <c r="E18" s="14" t="s">
        <v>21</v>
      </c>
      <c r="F18" s="30">
        <v>55</v>
      </c>
      <c r="G18" s="18">
        <v>5</v>
      </c>
      <c r="H18" s="18"/>
      <c r="I18" s="11">
        <f>MOD(Таблица1[[#This Row],[конец]],1)*(IFERROR(INDEX(F24:$F$24,MATCH(Таблица1[[#This Row],[Наименование]],E24:$E$24,0))-Таблица1[[#This Row],[Характеристика_1]],0)&lt;&gt;0)</f>
        <v>0</v>
      </c>
      <c r="J18" s="11">
        <f>MOD(Таблица1[[#This Row],[Начало]],1)*(IFERROR(LOOKUP(2,1/(Таблица1[[#This Row],[Наименование]]=$E$5:E17),$F$5:F17)-Таблица1[[#This Row],[Характеристика_1]],0)&lt;&gt;0)</f>
        <v>0.77491898147854954</v>
      </c>
      <c r="K18" s="11"/>
      <c r="U18" s="2"/>
      <c r="V18" s="9"/>
      <c r="W18" s="2"/>
      <c r="X18" s="2"/>
      <c r="Y18" s="2"/>
    </row>
    <row r="19" spans="1:25" s="1" customFormat="1" hidden="1" outlineLevel="1">
      <c r="A19" s="19">
        <v>42336.461805555555</v>
      </c>
      <c r="B19" s="28"/>
      <c r="C19" s="19">
        <v>42336.675694444442</v>
      </c>
      <c r="D19" s="3"/>
      <c r="E19" s="14" t="s">
        <v>25</v>
      </c>
      <c r="F19" s="30">
        <v>80</v>
      </c>
      <c r="G19" s="18">
        <v>20</v>
      </c>
      <c r="H19" s="18"/>
      <c r="I19" s="11">
        <f>MOD(Таблица1[[#This Row],[конец]],1)*(IFERROR(INDEX(F20:$F$24,MATCH(Таблица1[[#This Row],[Наименование]],E20:$E$24,0))-Таблица1[[#This Row],[Характеристика_1]],0)&lt;&gt;0)</f>
        <v>0.6756944444423425</v>
      </c>
      <c r="J19" s="11">
        <f>MOD(Таблица1[[#This Row],[Начало]],1)*(IFERROR(LOOKUP(2,1/(Таблица1[[#This Row],[Наименование]]=$E$5:E18),$F$5:F18)-Таблица1[[#This Row],[Характеристика_1]],0)&lt;&gt;0)</f>
        <v>0</v>
      </c>
      <c r="K19" s="11"/>
      <c r="U19" s="2"/>
      <c r="V19" s="9"/>
      <c r="W19" s="2"/>
      <c r="X19" s="2"/>
      <c r="Y19" s="2"/>
    </row>
    <row r="20" spans="1:25" s="1" customFormat="1" hidden="1" outlineLevel="1">
      <c r="A20" s="19">
        <v>42336.813194444447</v>
      </c>
      <c r="B20" s="28"/>
      <c r="C20" s="19">
        <v>42337.749479166669</v>
      </c>
      <c r="D20" s="3"/>
      <c r="E20" s="14" t="s">
        <v>25</v>
      </c>
      <c r="F20" s="30">
        <v>60</v>
      </c>
      <c r="G20" s="18">
        <v>20</v>
      </c>
      <c r="H20" s="18"/>
      <c r="I20" s="11">
        <f>MOD(Таблица1[[#This Row],[конец]],1)*(IFERROR(INDEX(F21:$F$24,MATCH(Таблица1[[#This Row],[Наименование]],E21:$E$24,0))-Таблица1[[#This Row],[Характеристика_1]],0)&lt;&gt;0)</f>
        <v>0.74947916666860692</v>
      </c>
      <c r="J20" s="11">
        <f>MOD(Таблица1[[#This Row],[Начало]],1)*(IFERROR(LOOKUP(2,1/(Таблица1[[#This Row],[Наименование]]=$E$5:E19),$F$5:F19)-Таблица1[[#This Row],[Характеристика_1]],0)&lt;&gt;0)</f>
        <v>0.81319444444670808</v>
      </c>
      <c r="K20" s="11"/>
      <c r="U20" s="2"/>
      <c r="V20" s="9"/>
      <c r="W20" s="2"/>
      <c r="X20" s="2"/>
      <c r="Y20" s="2"/>
    </row>
    <row r="21" spans="1:25" s="1" customFormat="1" hidden="1" outlineLevel="1">
      <c r="A21" s="19">
        <v>42337.754143518519</v>
      </c>
      <c r="B21" s="28"/>
      <c r="C21" s="19">
        <v>42337.775671296295</v>
      </c>
      <c r="D21" s="3"/>
      <c r="E21" s="14" t="s">
        <v>25</v>
      </c>
      <c r="F21" s="30">
        <v>40</v>
      </c>
      <c r="G21" s="18">
        <v>20</v>
      </c>
      <c r="H21" s="18"/>
      <c r="I21" s="11">
        <f>MOD(Таблица1[[#This Row],[конец]],1)*(IFERROR(INDEX(F22:$F$24,MATCH(Таблица1[[#This Row],[Наименование]],E22:$E$24,0))-Таблица1[[#This Row],[Характеристика_1]],0)&lt;&gt;0)</f>
        <v>0.77567129629460396</v>
      </c>
      <c r="J21" s="11">
        <f>MOD(Таблица1[[#This Row],[Начало]],1)*(IFERROR(LOOKUP(2,1/(Таблица1[[#This Row],[Наименование]]=$E$5:E20),$F$5:F20)-Таблица1[[#This Row],[Характеристика_1]],0)&lt;&gt;0)</f>
        <v>0.75414351851941319</v>
      </c>
      <c r="K21" s="11"/>
      <c r="U21" s="2"/>
      <c r="V21" s="9"/>
      <c r="W21" s="2"/>
      <c r="X21" s="2"/>
      <c r="Y21" s="2"/>
    </row>
    <row r="22" spans="1:25" s="1" customFormat="1" hidden="1" outlineLevel="1">
      <c r="A22" s="19">
        <v>42337.815960648149</v>
      </c>
      <c r="B22" s="28"/>
      <c r="C22" s="19">
        <v>42337.815960648149</v>
      </c>
      <c r="D22" s="3"/>
      <c r="E22" s="14" t="s">
        <v>25</v>
      </c>
      <c r="F22" s="30">
        <v>60</v>
      </c>
      <c r="G22" s="18">
        <v>22</v>
      </c>
      <c r="H22" s="18"/>
      <c r="I22" s="11">
        <f>MOD(Таблица1[[#This Row],[конец]],1)*(IFERROR(INDEX(F23:$F$24,MATCH(Таблица1[[#This Row],[Наименование]],E23:$E$24,0))-Таблица1[[#This Row],[Характеристика_1]],0)&lt;&gt;0)</f>
        <v>0.81596064814948477</v>
      </c>
      <c r="J22" s="11">
        <f>MOD(Таблица1[[#This Row],[Начало]],1)*(IFERROR(LOOKUP(2,1/(Таблица1[[#This Row],[Наименование]]=$E$5:E21),$F$5:F21)-Таблица1[[#This Row],[Характеристика_1]],0)&lt;&gt;0)</f>
        <v>0.81596064814948477</v>
      </c>
      <c r="K22" s="11"/>
      <c r="U22" s="2"/>
      <c r="V22" s="9"/>
      <c r="W22" s="2"/>
      <c r="X22" s="2"/>
      <c r="Y22" s="2"/>
    </row>
    <row r="23" spans="1:25" s="1" customFormat="1" hidden="1" outlineLevel="1">
      <c r="A23" s="19">
        <v>42338.750694444447</v>
      </c>
      <c r="B23" s="28"/>
      <c r="C23" s="19">
        <v>42338.750694444447</v>
      </c>
      <c r="D23" s="3"/>
      <c r="E23" s="14" t="s">
        <v>25</v>
      </c>
      <c r="F23" s="30">
        <v>38</v>
      </c>
      <c r="G23" s="18">
        <v>22</v>
      </c>
      <c r="H23" s="18"/>
      <c r="I23" s="11">
        <f>MOD(Таблица1[[#This Row],[конец]],1)*(IFERROR(INDEX(F24:$F$24,MATCH(Таблица1[[#This Row],[Наименование]],E24:$E$24,0))-Таблица1[[#This Row],[Характеристика_1]],0)&lt;&gt;0)</f>
        <v>0</v>
      </c>
      <c r="J23" s="11">
        <f>MOD(Таблица1[[#This Row],[Начало]],1)*(IFERROR(LOOKUP(2,1/(Таблица1[[#This Row],[Наименование]]=$E$5:E22),$F$5:F22)-Таблица1[[#This Row],[Характеристика_1]],0)&lt;&gt;0)</f>
        <v>0.75069444444670808</v>
      </c>
      <c r="K23" s="11"/>
      <c r="U23" s="2"/>
      <c r="V23" s="9"/>
      <c r="W23" s="2"/>
      <c r="X23" s="2"/>
      <c r="Y23" s="2"/>
    </row>
    <row r="24" spans="1:25" hidden="1" outlineLevel="1"/>
    <row r="25" spans="1:25" hidden="1" outlineLevel="1">
      <c r="A25" s="50" t="s">
        <v>23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</row>
    <row r="26" spans="1:25" s="1" customFormat="1" hidden="1" outlineLevel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</row>
    <row r="27" spans="1:25" hidden="1" outlineLevel="1">
      <c r="A27" s="5" t="s">
        <v>0</v>
      </c>
      <c r="B27" s="5" t="s">
        <v>11</v>
      </c>
      <c r="C27" s="5" t="s">
        <v>1</v>
      </c>
      <c r="D27" s="5" t="s">
        <v>14</v>
      </c>
      <c r="E27" s="1" t="s">
        <v>2</v>
      </c>
      <c r="F27" s="5" t="s">
        <v>16</v>
      </c>
      <c r="G27" s="5" t="s">
        <v>17</v>
      </c>
      <c r="H27" s="1" t="s">
        <v>18</v>
      </c>
      <c r="I27" t="s">
        <v>6</v>
      </c>
      <c r="J27" s="11" t="s">
        <v>7</v>
      </c>
      <c r="K27" s="11"/>
      <c r="M27" s="1" t="s">
        <v>1</v>
      </c>
      <c r="N27" s="1" t="s">
        <v>16</v>
      </c>
      <c r="O27" s="1" t="s">
        <v>17</v>
      </c>
      <c r="P27" s="2" t="s">
        <v>2</v>
      </c>
      <c r="Q27" s="2" t="s">
        <v>6</v>
      </c>
      <c r="R27" s="2" t="s">
        <v>7</v>
      </c>
      <c r="S27" s="2" t="s">
        <v>3</v>
      </c>
    </row>
    <row r="28" spans="1:25" hidden="1" outlineLevel="1">
      <c r="A28" s="16">
        <v>42336.481249999997</v>
      </c>
      <c r="B28" s="15" t="s">
        <v>12</v>
      </c>
      <c r="C28" s="15">
        <v>42336.568055555559</v>
      </c>
      <c r="D28" s="15" t="s">
        <v>13</v>
      </c>
      <c r="E28" s="3" t="s">
        <v>19</v>
      </c>
      <c r="F28" s="21">
        <v>73</v>
      </c>
      <c r="G28" s="17">
        <v>23</v>
      </c>
      <c r="H28" s="23">
        <f>IFERROR(IF(IF(LOOKUP(2,1/($E$27:E27=База[Наименование]),$F$27:F27)-LOOKUP(2,1/($E$27:E27=База[Наименование]),$G$27:G27)=База[[#This Row],[Характеристика_1]],1,0)=0,IF((База[[#This Row],[Характеристика_2]]-LOOKUP(2,1/($E$27:E27=База[Наименование]),$G$27:G27))*10+LOOKUP(2,1/($E$27:E27=База[Наименование]),$F$27:F27)-LOOKUP(2,1/($E$27:E27=База[Наименование]),$G$27:G27)=База[[#This Row],[Характеристика_1]],База[[#This Row],[Характеристика_1]]-0.1,LOOKUP(2,1/($E$27:E27=База[Наименование]),$F$27:F27)),База[[#This Row],[Характеристика_1]]),База[[#This Row],[Характеристика_1]])</f>
        <v>73</v>
      </c>
      <c r="I28" s="14">
        <f>MOD(База[[#This Row],[конец]],1)*(IFERROR(INDEX(H29:$H$46,MATCH(База[[#This Row],[Наименование]],E29:$E$46,0))-База[[#This Row],[Характеристика_bnju]],0)&lt;&gt;0)</f>
        <v>0.56805555555911269</v>
      </c>
      <c r="J28" s="14">
        <f>MOD(База[[#This Row],[Начало]],1)*(IFERROR(LOOKUP(2,1/(База[[#This Row],[Наименование]]=$E$27:E27),$H$27:H27)-База[[#This Row],[Характеристика_bnju]],0)&lt;&gt;0)</f>
        <v>0</v>
      </c>
      <c r="K28" s="14"/>
      <c r="M28" s="5"/>
      <c r="N28" s="5"/>
      <c r="O28" s="5"/>
      <c r="P28" s="1" t="s">
        <v>19</v>
      </c>
      <c r="Q28" s="5">
        <f>IFERROR(LOOKUP(2,1/(Итог[[#This Row],[Наименование]]=База[Наименование])/(База[От]&gt;0),База[От]),INDEX(MOD(База[конец],1),MATCH(Итог[[#This Row],[Наименование]],База[Наименование],0)))</f>
        <v>0.76111111111094942</v>
      </c>
      <c r="R28" s="5">
        <f>IFERROR(LOOKUP(2,1/(Итог[[#This Row],[Наименование]]=База[Наименование])/(База[До]&gt;0),База[До]),INDEX(MOD(База[Начало],1),MATCH(Итог[[#This Row],[Наименование]],База[Наименование],0)))</f>
        <v>0.83958333333430346</v>
      </c>
      <c r="S28" s="5">
        <f>IF(Итог[[#This Row],[От]]&gt;=Итог[[#This Row],[До]],0.999988425925926+Итог[[#This Row],[До]]-Итог[[#This Row],[От]],Итог[[#This Row],[До]]-Итог[[#This Row],[От]])</f>
        <v>7.8472222223354038E-2</v>
      </c>
    </row>
    <row r="29" spans="1:25" hidden="1" outlineLevel="1">
      <c r="A29" s="16">
        <v>42336.618055555555</v>
      </c>
      <c r="B29" s="15" t="s">
        <v>12</v>
      </c>
      <c r="C29" s="15">
        <v>42336.724999999999</v>
      </c>
      <c r="D29" s="15" t="s">
        <v>13</v>
      </c>
      <c r="E29" s="3" t="s">
        <v>19</v>
      </c>
      <c r="F29" s="21">
        <v>50</v>
      </c>
      <c r="G29" s="17">
        <v>23</v>
      </c>
      <c r="H29" s="23">
        <f>IFERROR(IF(IF(LOOKUP(2,1/($E$27:E28=База[Наименование]),$F$27:F28)-LOOKUP(2,1/($E$27:E28=База[Наименование]),$G$27:G28)=База[[#This Row],[Характеристика_1]],1,0)=0,IF((База[[#This Row],[Характеристика_2]]-LOOKUP(2,1/($E$27:E28=База[Наименование]),$G$27:G28))*10+LOOKUP(2,1/($E$27:E28=База[Наименование]),$F$27:F28)-LOOKUP(2,1/($E$27:E28=База[Наименование]),$G$27:G28)=База[[#This Row],[Характеристика_1]],База[[#This Row],[Характеристика_1]]-0.1,LOOKUP(2,1/($E$27:E28=База[Наименование]),$F$27:F28)),База[[#This Row],[Характеристика_1]]),База[[#This Row],[Характеристика_1]])</f>
        <v>50</v>
      </c>
      <c r="I29" s="14">
        <f>MOD(База[[#This Row],[конец]],1)*(IFERROR(INDEX(H30:$H$46,MATCH(База[[#This Row],[Наименование]],E30:$E$46,0))-База[[#This Row],[Характеристика_bnju]],0)&lt;&gt;0)</f>
        <v>0</v>
      </c>
      <c r="J29" s="14">
        <f>MOD(База[[#This Row],[Начало]],1)*(IFERROR(LOOKUP(2,1/(База[[#This Row],[Наименование]]=$E$27:E28),$H$27:H28)-База[[#This Row],[Характеристика_bnju]],0)&lt;&gt;0)</f>
        <v>0.61805555555474712</v>
      </c>
      <c r="K29" s="14"/>
      <c r="M29" s="5"/>
      <c r="N29" s="5"/>
      <c r="O29" s="5"/>
      <c r="P29" s="1" t="s">
        <v>20</v>
      </c>
      <c r="Q29" s="5">
        <f>IFERROR(LOOKUP(2,1/(Итог[[#This Row],[Наименование]]=База[Наименование])/(База[От]&gt;0),База[От]),INDEX(MOD(База[конец],1),MATCH(Итог[[#This Row],[Наименование]],База[Наименование],0)))</f>
        <v>0.61527777777519077</v>
      </c>
      <c r="R29" s="5">
        <f>IFERROR(LOOKUP(2,1/(Итог[[#This Row],[Наименование]]=База[Наименование])/(База[До]&gt;0),База[До]),INDEX(MOD(База[Начало],1),MATCH(Итог[[#This Row],[Наименование]],База[Наименование],0)))</f>
        <v>0.50902777777810115</v>
      </c>
      <c r="S29" s="31">
        <f>IF(Итог[[#This Row],[От]]&gt;=Итог[[#This Row],[До]],0.999988425925926+Итог[[#This Row],[До]]-Итог[[#This Row],[От]],Итог[[#This Row],[До]]-Итог[[#This Row],[От]])</f>
        <v>0.89373842592883634</v>
      </c>
    </row>
    <row r="30" spans="1:25" hidden="1" outlineLevel="1">
      <c r="A30" s="19">
        <v>42336.92083333333</v>
      </c>
      <c r="B30" s="19" t="s">
        <v>12</v>
      </c>
      <c r="C30" s="19">
        <v>42337.477083333331</v>
      </c>
      <c r="D30" s="19" t="s">
        <v>13</v>
      </c>
      <c r="E30" s="3" t="s">
        <v>19</v>
      </c>
      <c r="F30" s="22">
        <v>60</v>
      </c>
      <c r="G30" s="20">
        <v>24</v>
      </c>
      <c r="H30" s="23">
        <f>IFERROR(IF(IF(LOOKUP(2,1/($E$27:E29=База[Наименование]),$F$27:F29)-LOOKUP(2,1/($E$27:E29=База[Наименование]),$G$27:G29)=База[[#This Row],[Характеристика_1]],1,0)=0,IF((База[[#This Row],[Характеристика_2]]-LOOKUP(2,1/($E$27:E29=База[Наименование]),$G$27:G29))*10+LOOKUP(2,1/($E$27:E29=База[Наименование]),$F$27:F29)-LOOKUP(2,1/($E$27:E29=База[Наименование]),$G$27:G29)=База[[#This Row],[Характеристика_1]],База[[#This Row],[Характеристика_1]]-0.1,LOOKUP(2,1/($E$27:E29=База[Наименование]),$F$27:F29)),База[[#This Row],[Характеристика_1]]),База[[#This Row],[Характеристика_1]])</f>
        <v>50</v>
      </c>
      <c r="I30" s="14">
        <f>MOD(База[[#This Row],[конец]],1)*(IFERROR(INDEX(H31:$H$46,MATCH(База[[#This Row],[Наименование]],E31:$E$46,0))-База[[#This Row],[Характеристика_bnju]],0)&lt;&gt;0)</f>
        <v>0.47708333333139308</v>
      </c>
      <c r="J30" s="14">
        <f>MOD(База[[#This Row],[Начало]],1)*(IFERROR(LOOKUP(2,1/(База[[#This Row],[Наименование]]=$E$27:E29),$H$27:H29)-База[[#This Row],[Характеристика_bnju]],0)&lt;&gt;0)</f>
        <v>0</v>
      </c>
      <c r="K30" s="14"/>
      <c r="M30" s="5"/>
      <c r="N30" s="5"/>
      <c r="O30" s="5"/>
      <c r="P30" s="1" t="s">
        <v>21</v>
      </c>
      <c r="Q30" s="5">
        <f>IFERROR(LOOKUP(2,1/(Итог[[#This Row],[Наименование]]=База[Наименование])/(База[От]&gt;0),База[От]),INDEX(MOD(База[конец],1),MATCH(Итог[[#This Row],[Наименование]],База[Наименование],0)))</f>
        <v>0.77083333333575865</v>
      </c>
      <c r="R30" s="5">
        <f>IFERROR(LOOKUP(2,1/(Итог[[#This Row],[Наименование]]=База[Наименование])/(База[До]&gt;0),База[До]),INDEX(MOD(База[Начало],1),MATCH(Итог[[#This Row],[Наименование]],База[Наименование],0)))</f>
        <v>0.77491898147854954</v>
      </c>
      <c r="S30" s="31">
        <f>IF(Итог[[#This Row],[От]]&gt;=Итог[[#This Row],[До]],0.999988425925926+Итог[[#This Row],[До]]-Итог[[#This Row],[От]],Итог[[#This Row],[До]]-Итог[[#This Row],[От]])</f>
        <v>4.0856481427908875E-3</v>
      </c>
    </row>
    <row r="31" spans="1:25" hidden="1" outlineLevel="1">
      <c r="A31" s="19">
        <v>42337.614583333336</v>
      </c>
      <c r="B31" s="19" t="s">
        <v>12</v>
      </c>
      <c r="C31" s="19">
        <v>42337.74722222222</v>
      </c>
      <c r="D31" s="19" t="s">
        <v>13</v>
      </c>
      <c r="E31" s="3" t="s">
        <v>19</v>
      </c>
      <c r="F31" s="22">
        <v>36</v>
      </c>
      <c r="G31" s="20">
        <v>24</v>
      </c>
      <c r="H31" s="23">
        <f>IFERROR(IF(IF(LOOKUP(2,1/($E$27:E30=База[Наименование]),$F$27:F30)-LOOKUP(2,1/($E$27:E30=База[Наименование]),$G$27:G30)=База[[#This Row],[Характеристика_1]],1,0)=0,IF((База[[#This Row],[Характеристика_2]]-LOOKUP(2,1/($E$27:E30=База[Наименование]),$G$27:G30))*10+LOOKUP(2,1/($E$27:E30=База[Наименование]),$F$27:F30)-LOOKUP(2,1/($E$27:E30=База[Наименование]),$G$27:G30)=База[[#This Row],[Характеристика_1]],База[[#This Row],[Характеристика_1]]-0.1,LOOKUP(2,1/($E$27:E30=База[Наименование]),$F$27:F30)),База[[#This Row],[Характеристика_1]]),База[[#This Row],[Характеристика_1]])</f>
        <v>36</v>
      </c>
      <c r="I31" s="14">
        <f>MOD(База[[#This Row],[конец]],1)*(IFERROR(INDEX(H32:$H$46,MATCH(База[[#This Row],[Наименование]],E32:$E$46,0))-База[[#This Row],[Характеристика_bnju]],0)&lt;&gt;0)</f>
        <v>0</v>
      </c>
      <c r="J31" s="14">
        <f>MOD(База[[#This Row],[Начало]],1)*(IFERROR(LOOKUP(2,1/(База[[#This Row],[Наименование]]=$E$27:E30),$H$27:H30)-База[[#This Row],[Характеристика_bnju]],0)&lt;&gt;0)</f>
        <v>0.61458333333575865</v>
      </c>
      <c r="K31" s="14"/>
      <c r="M31" s="5"/>
      <c r="N31" s="5"/>
      <c r="O31" s="5"/>
      <c r="P31" s="1" t="s">
        <v>25</v>
      </c>
      <c r="Q31" s="5">
        <f>IFERROR(LOOKUP(2,1/(Итог[[#This Row],[Наименование]]=База[Наименование])/(База[От]&gt;0),База[От]),INDEX(MOD(База[конец],1),MATCH(Итог[[#This Row],[Наименование]],База[Наименование],0)))</f>
        <v>0.81596064814948477</v>
      </c>
      <c r="R31" s="5">
        <f>IFERROR(LOOKUP(2,1/(Итог[[#This Row],[Наименование]]=База[Наименование])/(База[До]&gt;0),База[До]),INDEX(MOD(База[Начало],1),MATCH(Итог[[#This Row],[Наименование]],База[Наименование],0)))</f>
        <v>0.75069444444670808</v>
      </c>
      <c r="S31" s="31">
        <f>IF(Итог[[#This Row],[От]]&gt;=Итог[[#This Row],[До]],0.999988425925926+Итог[[#This Row],[До]]-Итог[[#This Row],[От]],Итог[[#This Row],[До]]-Итог[[#This Row],[От]])</f>
        <v>0.93472222222314927</v>
      </c>
    </row>
    <row r="32" spans="1:25" hidden="1" outlineLevel="1">
      <c r="A32" s="19">
        <v>42337.752083333333</v>
      </c>
      <c r="B32" s="19" t="s">
        <v>12</v>
      </c>
      <c r="C32" s="19">
        <v>42337.761111111111</v>
      </c>
      <c r="D32" s="19" t="s">
        <v>13</v>
      </c>
      <c r="E32" s="3" t="s">
        <v>19</v>
      </c>
      <c r="F32" s="22">
        <v>46</v>
      </c>
      <c r="G32" s="20">
        <v>25</v>
      </c>
      <c r="H32" s="23">
        <f>IFERROR(IF(IF(LOOKUP(2,1/($E$27:E31=База[Наименование]),$F$27:F31)-LOOKUP(2,1/($E$27:E31=База[Наименование]),$G$27:G31)=База[[#This Row],[Характеристика_1]],1,0)=0,IF((База[[#This Row],[Характеристика_2]]-LOOKUP(2,1/($E$27:E31=База[Наименование]),$G$27:G31))*10+LOOKUP(2,1/($E$27:E31=База[Наименование]),$F$27:F31)-LOOKUP(2,1/($E$27:E31=База[Наименование]),$G$27:G31)=База[[#This Row],[Характеристика_1]],База[[#This Row],[Характеристика_1]]-0.1,LOOKUP(2,1/($E$27:E31=База[Наименование]),$F$27:F31)),База[[#This Row],[Характеристика_1]]),База[[#This Row],[Характеристика_1]])</f>
        <v>36</v>
      </c>
      <c r="I32" s="14">
        <f>MOD(База[[#This Row],[конец]],1)*(IFERROR(INDEX(H33:$H$46,MATCH(База[[#This Row],[Наименование]],E33:$E$46,0))-База[[#This Row],[Характеристика_bnju]],0)&lt;&gt;0)</f>
        <v>0.76111111111094942</v>
      </c>
      <c r="J32" s="14">
        <f>MOD(База[[#This Row],[Начало]],1)*(IFERROR(LOOKUP(2,1/(База[[#This Row],[Наименование]]=$E$27:E31),$H$27:H31)-База[[#This Row],[Характеристика_bnju]],0)&lt;&gt;0)</f>
        <v>0</v>
      </c>
      <c r="K32" s="14"/>
      <c r="Q32" s="5"/>
      <c r="R32" s="1"/>
      <c r="S32" s="1"/>
      <c r="T32" s="1"/>
    </row>
    <row r="33" spans="1:20" hidden="1" outlineLevel="1">
      <c r="A33" s="19">
        <v>42337.839583333334</v>
      </c>
      <c r="B33" s="19" t="s">
        <v>12</v>
      </c>
      <c r="C33" s="19">
        <v>42337.839583333334</v>
      </c>
      <c r="D33" s="19" t="s">
        <v>13</v>
      </c>
      <c r="E33" s="3" t="s">
        <v>19</v>
      </c>
      <c r="F33" s="22">
        <v>66</v>
      </c>
      <c r="G33" s="20">
        <v>27</v>
      </c>
      <c r="H33" s="23">
        <f>IFERROR(IF(IF(LOOKUP(2,1/($E$27:E32=База[Наименование]),$F$27:F32)-LOOKUP(2,1/($E$27:E32=База[Наименование]),$G$27:G32)=База[[#This Row],[Характеристика_1]],1,0)=0,IF((База[[#This Row],[Характеристика_2]]-LOOKUP(2,1/($E$27:E32=База[Наименование]),$G$27:G32))*10+LOOKUP(2,1/($E$27:E32=База[Наименование]),$F$27:F32)-LOOKUP(2,1/($E$27:E32=База[Наименование]),$G$27:G32)=База[[#This Row],[Характеристика_1]],База[[#This Row],[Характеристика_1]]-0.1,LOOKUP(2,1/($E$27:E32=База[Наименование]),$F$27:F32)),База[[#This Row],[Характеристика_1]]),База[[#This Row],[Характеристика_1]])</f>
        <v>46</v>
      </c>
      <c r="I33" s="14">
        <f>MOD(База[[#This Row],[конец]],1)*(IFERROR(INDEX(H34:$H$46,MATCH(База[[#This Row],[Наименование]],E34:$E$46,0))-База[[#This Row],[Характеристика_bnju]],0)&lt;&gt;0)</f>
        <v>0</v>
      </c>
      <c r="J33" s="14">
        <f>MOD(База[[#This Row],[Начало]],1)*(IFERROR(LOOKUP(2,1/(База[[#This Row],[Наименование]]=$E$27:E32),$H$27:H32)-База[[#This Row],[Характеристика_bnju]],0)&lt;&gt;0)</f>
        <v>0.83958333333430346</v>
      </c>
      <c r="K33" s="14"/>
      <c r="P33" s="2"/>
      <c r="Q33" s="2"/>
      <c r="R33" s="1"/>
      <c r="S33" s="1"/>
      <c r="T33" s="1"/>
    </row>
    <row r="34" spans="1:20" hidden="1" outlineLevel="1">
      <c r="A34" s="28">
        <v>42336.481249999997</v>
      </c>
      <c r="B34" s="28"/>
      <c r="C34" s="28">
        <v>42336.481249999997</v>
      </c>
      <c r="D34" s="28"/>
      <c r="E34" s="28" t="s">
        <v>20</v>
      </c>
      <c r="F34" s="29">
        <v>100</v>
      </c>
      <c r="G34" s="30">
        <v>10</v>
      </c>
      <c r="H34" s="23">
        <f>IFERROR(IF(IF(LOOKUP(2,1/($E$27:E33=База[Наименование]),$F$27:F33)-LOOKUP(2,1/($E$27:E33=База[Наименование]),$G$27:G33)=База[[#This Row],[Характеристика_1]],1,0)=0,IF((База[[#This Row],[Характеристика_2]]-LOOKUP(2,1/($E$27:E33=База[Наименование]),$G$27:G33))*10+LOOKUP(2,1/($E$27:E33=База[Наименование]),$F$27:F33)-LOOKUP(2,1/($E$27:E33=База[Наименование]),$G$27:G33)=База[[#This Row],[Характеристика_1]],База[[#This Row],[Характеристика_1]]-0.1,LOOKUP(2,1/($E$27:E33=База[Наименование]),$F$27:F33)),База[[#This Row],[Характеристика_1]]),База[[#This Row],[Характеристика_1]])</f>
        <v>46</v>
      </c>
      <c r="I34" s="14">
        <f>MOD(База[[#This Row],[конец]],1)*(IFERROR(INDEX(H35:$H$46,MATCH(База[[#This Row],[Наименование]],E35:$E$46,0))-База[[#This Row],[Характеристика_bnju]],0)&lt;&gt;0)</f>
        <v>0.48124999999708962</v>
      </c>
      <c r="J34" s="14">
        <f>MOD(База[[#This Row],[Начало]],1)*(IFERROR(LOOKUP(2,1/(База[[#This Row],[Наименование]]=$E$27:E33),$H$27:H33)-База[[#This Row],[Характеристика_bnju]],0)&lt;&gt;0)</f>
        <v>0</v>
      </c>
      <c r="K34" s="14"/>
      <c r="M34" s="5"/>
      <c r="N34" s="5"/>
      <c r="O34" s="5"/>
      <c r="Q34" s="5"/>
      <c r="R34" s="1"/>
      <c r="S34" s="1"/>
      <c r="T34" s="1"/>
    </row>
    <row r="35" spans="1:20" hidden="1" outlineLevel="1">
      <c r="A35" s="28">
        <v>42337.614583333336</v>
      </c>
      <c r="B35" s="28"/>
      <c r="C35" s="28">
        <v>42337.615277777775</v>
      </c>
      <c r="D35" s="28"/>
      <c r="E35" s="28" t="s">
        <v>20</v>
      </c>
      <c r="F35" s="29">
        <v>90</v>
      </c>
      <c r="G35" s="30">
        <v>10</v>
      </c>
      <c r="H35" s="23">
        <f>IFERROR(IF(IF(LOOKUP(2,1/($E$27:E34=База[Наименование]),$F$27:F34)-LOOKUP(2,1/($E$27:E34=База[Наименование]),$G$27:G34)=База[[#This Row],[Характеристика_1]],1,0)=0,IF((База[[#This Row],[Характеристика_2]]-LOOKUP(2,1/($E$27:E34=База[Наименование]),$G$27:G34))*10+LOOKUP(2,1/($E$27:E34=База[Наименование]),$F$27:F34)-LOOKUP(2,1/($E$27:E34=База[Наименование]),$G$27:G34)=База[[#This Row],[Характеристика_1]],База[[#This Row],[Характеристика_1]]-0.1,LOOKUP(2,1/($E$27:E34=База[Наименование]),$F$27:F34)),База[[#This Row],[Характеристика_1]]),База[[#This Row],[Характеристика_1]])</f>
        <v>90</v>
      </c>
      <c r="I35" s="14">
        <f>MOD(База[[#This Row],[конец]],1)*(IFERROR(INDEX(H36:$H$46,MATCH(База[[#This Row],[Наименование]],E36:$E$46,0))-База[[#This Row],[Характеристика_bnju]],0)&lt;&gt;0)</f>
        <v>0.61527777777519077</v>
      </c>
      <c r="J35" s="14">
        <f>MOD(База[[#This Row],[Начало]],1)*(IFERROR(LOOKUP(2,1/(База[[#This Row],[Наименование]]=$E$27:E34),$H$27:H34)-База[[#This Row],[Характеристика_bnju]],0)&lt;&gt;0)</f>
        <v>0.61458333333575865</v>
      </c>
      <c r="K35" s="14"/>
      <c r="M35" s="5"/>
      <c r="N35" s="5"/>
      <c r="O35" s="5"/>
      <c r="Q35" s="5"/>
      <c r="R35" s="1"/>
      <c r="S35" s="1"/>
      <c r="T35" s="1"/>
    </row>
    <row r="36" spans="1:20" hidden="1" outlineLevel="1">
      <c r="A36" s="28">
        <v>42338.509027777778</v>
      </c>
      <c r="B36" s="28"/>
      <c r="C36" s="28">
        <v>42338.509027777778</v>
      </c>
      <c r="D36" s="28"/>
      <c r="E36" s="28" t="s">
        <v>20</v>
      </c>
      <c r="F36" s="29">
        <v>80</v>
      </c>
      <c r="G36" s="30">
        <v>10</v>
      </c>
      <c r="H36" s="23">
        <f>IFERROR(IF(IF(LOOKUP(2,1/($E$27:E35=База[Наименование]),$F$27:F35)-LOOKUP(2,1/($E$27:E35=База[Наименование]),$G$27:G35)=База[[#This Row],[Характеристика_1]],1,0)=0,IF((База[[#This Row],[Характеристика_2]]-LOOKUP(2,1/($E$27:E35=База[Наименование]),$G$27:G35))*10+LOOKUP(2,1/($E$27:E35=База[Наименование]),$F$27:F35)-LOOKUP(2,1/($E$27:E35=База[Наименование]),$G$27:G35)=База[[#This Row],[Характеристика_1]],База[[#This Row],[Характеристика_1]]-0.1,LOOKUP(2,1/($E$27:E35=База[Наименование]),$F$27:F35)),База[[#This Row],[Характеристика_1]]),База[[#This Row],[Характеристика_1]])</f>
        <v>80</v>
      </c>
      <c r="I36" s="14">
        <f>MOD(База[[#This Row],[конец]],1)*(IFERROR(INDEX(H37:$H$46,MATCH(База[[#This Row],[Наименование]],E37:$E$46,0))-База[[#This Row],[Характеристика_bnju]],0)&lt;&gt;0)</f>
        <v>0</v>
      </c>
      <c r="J36" s="14">
        <f>MOD(База[[#This Row],[Начало]],1)*(IFERROR(LOOKUP(2,1/(База[[#This Row],[Наименование]]=$E$27:E35),$H$27:H35)-База[[#This Row],[Характеристика_bnju]],0)&lt;&gt;0)</f>
        <v>0.50902777777810115</v>
      </c>
      <c r="K36" s="14"/>
      <c r="R36" s="1"/>
      <c r="S36" s="1"/>
      <c r="T36" s="1"/>
    </row>
    <row r="37" spans="1:20" hidden="1" outlineLevel="1">
      <c r="A37" s="28">
        <v>42339.5</v>
      </c>
      <c r="B37" s="28"/>
      <c r="C37" s="28">
        <v>42339.5</v>
      </c>
      <c r="D37" s="28"/>
      <c r="E37" s="28" t="s">
        <v>20</v>
      </c>
      <c r="F37" s="29">
        <v>80</v>
      </c>
      <c r="G37" s="30">
        <v>10</v>
      </c>
      <c r="H37" s="23">
        <f>IFERROR(IF(IF(LOOKUP(2,1/($E$27:E36=База[Наименование]),$F$27:F36)-LOOKUP(2,1/($E$27:E36=База[Наименование]),$G$27:G36)=База[[#This Row],[Характеристика_1]],1,0)=0,IF((База[[#This Row],[Характеристика_2]]-LOOKUP(2,1/($E$27:E36=База[Наименование]),$G$27:G36))*10+LOOKUP(2,1/($E$27:E36=База[Наименование]),$F$27:F36)-LOOKUP(2,1/($E$27:E36=База[Наименование]),$G$27:G36)=База[[#This Row],[Характеристика_1]],База[[#This Row],[Характеристика_1]]-0.1,LOOKUP(2,1/($E$27:E36=База[Наименование]),$F$27:F36)),База[[#This Row],[Характеристика_1]]),База[[#This Row],[Характеристика_1]])</f>
        <v>80</v>
      </c>
      <c r="I37" s="14">
        <f>MOD(База[[#This Row],[конец]],1)*(IFERROR(INDEX(H38:$H$46,MATCH(База[[#This Row],[Наименование]],E38:$E$46,0))-База[[#This Row],[Характеристика_bnju]],0)&lt;&gt;0)</f>
        <v>0</v>
      </c>
      <c r="J37" s="14">
        <f>MOD(База[[#This Row],[Начало]],1)*(IFERROR(LOOKUP(2,1/(База[[#This Row],[Наименование]]=$E$27:E36),$H$27:H36)-База[[#This Row],[Характеристика_bnju]],0)&lt;&gt;0)</f>
        <v>0</v>
      </c>
      <c r="K37" s="14"/>
      <c r="R37" s="1"/>
      <c r="S37" s="1"/>
      <c r="T37" s="1"/>
    </row>
    <row r="38" spans="1:20" s="1" customFormat="1" hidden="1" outlineLevel="1">
      <c r="A38" s="28">
        <v>42336.461805555555</v>
      </c>
      <c r="B38" s="28"/>
      <c r="C38" s="28">
        <v>42336.675694444442</v>
      </c>
      <c r="D38" s="28"/>
      <c r="E38" s="28" t="s">
        <v>21</v>
      </c>
      <c r="F38" s="29">
        <v>65</v>
      </c>
      <c r="G38" s="30">
        <v>5</v>
      </c>
      <c r="H38" s="23">
        <f>IFERROR(IF(IF(LOOKUP(2,1/($E$27:E37=База[Наименование]),$F$27:F37)-LOOKUP(2,1/($E$27:E37=База[Наименование]),$G$27:G37)=База[[#This Row],[Характеристика_1]],1,0)=0,IF((База[[#This Row],[Характеристика_2]]-LOOKUP(2,1/($E$27:E37=База[Наименование]),$G$27:G37))*10+LOOKUP(2,1/($E$27:E37=База[Наименование]),$F$27:F37)-LOOKUP(2,1/($E$27:E37=База[Наименование]),$G$27:G37)=База[[#This Row],[Характеристика_1]],База[[#This Row],[Характеристика_1]]-0.1,LOOKUP(2,1/($E$27:E37=База[Наименование]),$F$27:F37)),База[[#This Row],[Характеристика_1]]),База[[#This Row],[Характеристика_1]])</f>
        <v>80</v>
      </c>
      <c r="I38" s="14">
        <f>MOD(База[[#This Row],[конец]],1)*(IFERROR(INDEX(H39:$H$46,MATCH(База[[#This Row],[Наименование]],E39:$E$46,0))-База[[#This Row],[Характеристика_bnju]],0)&lt;&gt;0)</f>
        <v>0.6756944444423425</v>
      </c>
      <c r="J38" s="14">
        <f>MOD(База[[#This Row],[Начало]],1)*(IFERROR(LOOKUP(2,1/(База[[#This Row],[Наименование]]=$E$27:E37),$H$27:H37)-База[[#This Row],[Характеристика_bnju]],0)&lt;&gt;0)</f>
        <v>0</v>
      </c>
      <c r="K38" s="14"/>
    </row>
    <row r="39" spans="1:20" s="1" customFormat="1" hidden="1" outlineLevel="1">
      <c r="A39" s="28">
        <v>42336.813194444447</v>
      </c>
      <c r="B39" s="28"/>
      <c r="C39" s="28">
        <v>42337.770833333336</v>
      </c>
      <c r="D39" s="28"/>
      <c r="E39" s="28" t="s">
        <v>21</v>
      </c>
      <c r="F39" s="29">
        <v>60</v>
      </c>
      <c r="G39" s="30">
        <v>5</v>
      </c>
      <c r="H39" s="23">
        <f>IFERROR(IF(IF(LOOKUP(2,1/($E$27:E38=База[Наименование]),$F$27:F38)-LOOKUP(2,1/($E$27:E38=База[Наименование]),$G$27:G38)=База[[#This Row],[Характеристика_1]],1,0)=0,IF((База[[#This Row],[Характеристика_2]]-LOOKUP(2,1/($E$27:E38=База[Наименование]),$G$27:G38))*10+LOOKUP(2,1/($E$27:E38=База[Наименование]),$F$27:F38)-LOOKUP(2,1/($E$27:E38=База[Наименование]),$G$27:G38)=База[[#This Row],[Характеристика_1]],База[[#This Row],[Характеристика_1]]-0.1,LOOKUP(2,1/($E$27:E38=База[Наименование]),$F$27:F38)),База[[#This Row],[Характеристика_1]]),База[[#This Row],[Характеристика_1]])</f>
        <v>60</v>
      </c>
      <c r="I39" s="14">
        <f>MOD(База[[#This Row],[конец]],1)*(IFERROR(INDEX(H40:$H$46,MATCH(База[[#This Row],[Наименование]],E40:$E$46,0))-База[[#This Row],[Характеристика_bnju]],0)&lt;&gt;0)</f>
        <v>0.77083333333575865</v>
      </c>
      <c r="J39" s="14">
        <f>MOD(База[[#This Row],[Начало]],1)*(IFERROR(LOOKUP(2,1/(База[[#This Row],[Наименование]]=$E$27:E38),$H$27:H38)-База[[#This Row],[Характеристика_bnju]],0)&lt;&gt;0)</f>
        <v>0.81319444444670808</v>
      </c>
      <c r="K39" s="14"/>
    </row>
    <row r="40" spans="1:20" s="1" customFormat="1" hidden="1" outlineLevel="1">
      <c r="A40" s="28">
        <v>42337.774918981479</v>
      </c>
      <c r="B40" s="28"/>
      <c r="C40" s="28">
        <v>42337.815949074073</v>
      </c>
      <c r="D40" s="28"/>
      <c r="E40" s="28" t="s">
        <v>21</v>
      </c>
      <c r="F40" s="29">
        <v>55</v>
      </c>
      <c r="G40" s="30">
        <v>5</v>
      </c>
      <c r="H40" s="23">
        <f>IFERROR(IF(IF(LOOKUP(2,1/($E$27:E39=База[Наименование]),$F$27:F39)-LOOKUP(2,1/($E$27:E39=База[Наименование]),$G$27:G39)=База[[#This Row],[Характеристика_1]],1,0)=0,IF((База[[#This Row],[Характеристика_2]]-LOOKUP(2,1/($E$27:E39=База[Наименование]),$G$27:G39))*10+LOOKUP(2,1/($E$27:E39=База[Наименование]),$F$27:F39)-LOOKUP(2,1/($E$27:E39=База[Наименование]),$G$27:G39)=База[[#This Row],[Характеристика_1]],База[[#This Row],[Характеристика_1]]-0.1,LOOKUP(2,1/($E$27:E39=База[Наименование]),$F$27:F39)),База[[#This Row],[Характеристика_1]]),База[[#This Row],[Характеристика_1]])</f>
        <v>55</v>
      </c>
      <c r="I40" s="14">
        <f>MOD(База[[#This Row],[конец]],1)*(IFERROR(INDEX(H41:$H$46,MATCH(База[[#This Row],[Наименование]],E41:$E$46,0))-База[[#This Row],[Характеристика_bnju]],0)&lt;&gt;0)</f>
        <v>0</v>
      </c>
      <c r="J40" s="14">
        <f>MOD(База[[#This Row],[Начало]],1)*(IFERROR(LOOKUP(2,1/(База[[#This Row],[Наименование]]=$E$27:E39),$H$27:H39)-База[[#This Row],[Характеристика_bnju]],0)&lt;&gt;0)</f>
        <v>0.77491898147854954</v>
      </c>
      <c r="K40" s="14"/>
    </row>
    <row r="41" spans="1:20" s="1" customFormat="1" hidden="1" outlineLevel="1">
      <c r="A41" s="28">
        <v>42336.461805555555</v>
      </c>
      <c r="B41" s="28"/>
      <c r="C41" s="28">
        <v>42336.675694444442</v>
      </c>
      <c r="D41" s="28"/>
      <c r="E41" s="28" t="s">
        <v>25</v>
      </c>
      <c r="F41" s="29">
        <v>80</v>
      </c>
      <c r="G41" s="30">
        <v>20</v>
      </c>
      <c r="H41" s="23">
        <f>IFERROR(IF(IF(LOOKUP(2,1/($E$27:E40=База[Наименование]),$F$27:F40)-LOOKUP(2,1/($E$27:E40=База[Наименование]),$G$27:G40)=База[[#This Row],[Характеристика_1]],1,0)=0,IF((База[[#This Row],[Характеристика_2]]-LOOKUP(2,1/($E$27:E40=База[Наименование]),$G$27:G40))*10+LOOKUP(2,1/($E$27:E40=База[Наименование]),$F$27:F40)-LOOKUP(2,1/($E$27:E40=База[Наименование]),$G$27:G40)=База[[#This Row],[Характеристика_1]],База[[#This Row],[Характеристика_1]]-0.1,LOOKUP(2,1/($E$27:E40=База[Наименование]),$F$27:F40)),База[[#This Row],[Характеристика_1]]),База[[#This Row],[Характеристика_1]])</f>
        <v>60</v>
      </c>
      <c r="I41" s="14">
        <f>MOD(База[[#This Row],[конец]],1)*(IFERROR(INDEX(H42:$H$46,MATCH(База[[#This Row],[Наименование]],E42:$E$46,0))-База[[#This Row],[Характеристика_bnju]],0)&lt;&gt;0)</f>
        <v>0</v>
      </c>
      <c r="J41" s="14">
        <f>MOD(База[[#This Row],[Начало]],1)*(IFERROR(LOOKUP(2,1/(База[[#This Row],[Наименование]]=$E$27:E40),$H$27:H40)-База[[#This Row],[Характеристика_bnju]],0)&lt;&gt;0)</f>
        <v>0</v>
      </c>
      <c r="K41" s="14"/>
    </row>
    <row r="42" spans="1:20" s="1" customFormat="1" hidden="1" outlineLevel="1">
      <c r="A42" s="28">
        <v>42336.813194444447</v>
      </c>
      <c r="B42" s="28"/>
      <c r="C42" s="28">
        <v>42337.749479166669</v>
      </c>
      <c r="D42" s="28"/>
      <c r="E42" s="28" t="s">
        <v>25</v>
      </c>
      <c r="F42" s="29">
        <v>60</v>
      </c>
      <c r="G42" s="30">
        <v>20</v>
      </c>
      <c r="H42" s="23">
        <f>IFERROR(IF(IF(LOOKUP(2,1/($E$27:E41=База[Наименование]),$F$27:F41)-LOOKUP(2,1/($E$27:E41=База[Наименование]),$G$27:G41)=База[[#This Row],[Характеристика_1]],1,0)=0,IF((База[[#This Row],[Характеристика_2]]-LOOKUP(2,1/($E$27:E41=База[Наименование]),$G$27:G41))*10+LOOKUP(2,1/($E$27:E41=База[Наименование]),$F$27:F41)-LOOKUP(2,1/($E$27:E41=База[Наименование]),$G$27:G41)=База[[#This Row],[Характеристика_1]],База[[#This Row],[Характеристика_1]]-0.1,LOOKUP(2,1/($E$27:E41=База[Наименование]),$F$27:F41)),База[[#This Row],[Характеристика_1]]),База[[#This Row],[Характеристика_1]])</f>
        <v>60</v>
      </c>
      <c r="I42" s="14">
        <f>MOD(База[[#This Row],[конец]],1)*(IFERROR(INDEX(H43:$H$46,MATCH(База[[#This Row],[Наименование]],E43:$E$46,0))-База[[#This Row],[Характеристика_bnju]],0)&lt;&gt;0)</f>
        <v>0.74947916666860692</v>
      </c>
      <c r="J42" s="14">
        <f>MOD(База[[#This Row],[Начало]],1)*(IFERROR(LOOKUP(2,1/(База[[#This Row],[Наименование]]=$E$27:E41),$H$27:H41)-База[[#This Row],[Характеристика_bnju]],0)&lt;&gt;0)</f>
        <v>0</v>
      </c>
      <c r="K42" s="14"/>
    </row>
    <row r="43" spans="1:20" s="1" customFormat="1" hidden="1" outlineLevel="1">
      <c r="A43" s="28">
        <v>42337.754143518519</v>
      </c>
      <c r="B43" s="28"/>
      <c r="C43" s="28">
        <v>42337.775671296295</v>
      </c>
      <c r="D43" s="28"/>
      <c r="E43" s="28" t="s">
        <v>25</v>
      </c>
      <c r="F43" s="29">
        <v>40</v>
      </c>
      <c r="G43" s="30">
        <v>20</v>
      </c>
      <c r="H43" s="23">
        <f>IFERROR(IF(IF(LOOKUP(2,1/($E$27:E42=База[Наименование]),$F$27:F42)-LOOKUP(2,1/($E$27:E42=База[Наименование]),$G$27:G42)=База[[#This Row],[Характеристика_1]],1,0)=0,IF((База[[#This Row],[Характеристика_2]]-LOOKUP(2,1/($E$27:E42=База[Наименование]),$G$27:G42))*10+LOOKUP(2,1/($E$27:E42=База[Наименование]),$F$27:F42)-LOOKUP(2,1/($E$27:E42=База[Наименование]),$G$27:G42)=База[[#This Row],[Характеристика_1]],База[[#This Row],[Характеристика_1]]-0.1,LOOKUP(2,1/($E$27:E42=База[Наименование]),$F$27:F42)),База[[#This Row],[Характеристика_1]]),База[[#This Row],[Характеристика_1]])</f>
        <v>40</v>
      </c>
      <c r="I43" s="14">
        <f>MOD(База[[#This Row],[конец]],1)*(IFERROR(INDEX(H44:$H$46,MATCH(База[[#This Row],[Наименование]],E44:$E$46,0))-База[[#This Row],[Характеристика_bnju]],0)&lt;&gt;0)</f>
        <v>0</v>
      </c>
      <c r="J43" s="14">
        <f>MOD(База[[#This Row],[Начало]],1)*(IFERROR(LOOKUP(2,1/(База[[#This Row],[Наименование]]=$E$27:E42),$H$27:H42)-База[[#This Row],[Характеристика_bnju]],0)&lt;&gt;0)</f>
        <v>0.75414351851941319</v>
      </c>
      <c r="K43" s="14"/>
    </row>
    <row r="44" spans="1:20" s="1" customFormat="1" hidden="1" outlineLevel="1">
      <c r="A44" s="28">
        <v>42337.815960648149</v>
      </c>
      <c r="B44" s="28"/>
      <c r="C44" s="28">
        <v>42337.815960648149</v>
      </c>
      <c r="D44" s="28"/>
      <c r="E44" s="28" t="s">
        <v>25</v>
      </c>
      <c r="F44" s="29">
        <v>60</v>
      </c>
      <c r="G44" s="30">
        <v>22</v>
      </c>
      <c r="H44" s="23">
        <f>IFERROR(IF(IF(LOOKUP(2,1/($E$27:E43=База[Наименование]),$F$27:F43)-LOOKUP(2,1/($E$27:E43=База[Наименование]),$G$27:G43)=База[[#This Row],[Характеристика_1]],1,0)=0,IF((База[[#This Row],[Характеристика_2]]-LOOKUP(2,1/($E$27:E43=База[Наименование]),$G$27:G43))*10+LOOKUP(2,1/($E$27:E43=База[Наименование]),$F$27:F43)-LOOKUP(2,1/($E$27:E43=База[Наименование]),$G$27:G43)=База[[#This Row],[Характеристика_1]],База[[#This Row],[Характеристика_1]]-0.1,LOOKUP(2,1/($E$27:E43=База[Наименование]),$F$27:F43)),База[[#This Row],[Характеристика_1]]),База[[#This Row],[Характеристика_1]])</f>
        <v>40</v>
      </c>
      <c r="I44" s="14">
        <f>MOD(База[[#This Row],[конец]],1)*(IFERROR(INDEX(H45:$H$46,MATCH(База[[#This Row],[Наименование]],E45:$E$46,0))-База[[#This Row],[Характеристика_bnju]],0)&lt;&gt;0)</f>
        <v>0.81596064814948477</v>
      </c>
      <c r="J44" s="14">
        <f>MOD(База[[#This Row],[Начало]],1)*(IFERROR(LOOKUP(2,1/(База[[#This Row],[Наименование]]=$E$27:E43),$H$27:H43)-База[[#This Row],[Характеристика_bnju]],0)&lt;&gt;0)</f>
        <v>0</v>
      </c>
      <c r="K44" s="14"/>
    </row>
    <row r="45" spans="1:20" s="1" customFormat="1" hidden="1" outlineLevel="1">
      <c r="A45" s="28">
        <v>42338.750694444447</v>
      </c>
      <c r="B45" s="28"/>
      <c r="C45" s="28">
        <v>42338.750694444447</v>
      </c>
      <c r="D45" s="28"/>
      <c r="E45" s="28" t="s">
        <v>25</v>
      </c>
      <c r="F45" s="29">
        <v>38</v>
      </c>
      <c r="G45" s="30">
        <v>22</v>
      </c>
      <c r="H45" s="23">
        <f>IFERROR(IF(IF(LOOKUP(2,1/($E$27:E44=База[Наименование]),$F$27:F44)-LOOKUP(2,1/($E$27:E44=База[Наименование]),$G$27:G44)=База[[#This Row],[Характеристика_1]],1,0)=0,IF((База[[#This Row],[Характеристика_2]]-LOOKUP(2,1/($E$27:E44=База[Наименование]),$G$27:G44))*10+LOOKUP(2,1/($E$27:E44=База[Наименование]),$F$27:F44)-LOOKUP(2,1/($E$27:E44=База[Наименование]),$G$27:G44)=База[[#This Row],[Характеристика_1]],База[[#This Row],[Характеристика_1]]-0.1,LOOKUP(2,1/($E$27:E44=База[Наименование]),$F$27:F44)),База[[#This Row],[Характеристика_1]]),База[[#This Row],[Характеристика_1]])</f>
        <v>38</v>
      </c>
      <c r="I45" s="14">
        <f>MOD(База[[#This Row],[конец]],1)*(IFERROR(INDEX(H46:$H$46,MATCH(База[[#This Row],[Наименование]],E46:$E$46,0))-База[[#This Row],[Характеристика_bnju]],0)&lt;&gt;0)</f>
        <v>0</v>
      </c>
      <c r="J45" s="14">
        <f>MOD(База[[#This Row],[Начало]],1)*(IFERROR(LOOKUP(2,1/(База[[#This Row],[Наименование]]=$E$27:E44),$H$27:H44)-База[[#This Row],[Характеристика_bnju]],0)&lt;&gt;0)</f>
        <v>0.75069444444670808</v>
      </c>
      <c r="K45" s="14"/>
    </row>
    <row r="46" spans="1:20" collapsed="1"/>
    <row r="47" spans="1:20">
      <c r="M47" s="47" t="s">
        <v>22</v>
      </c>
      <c r="N47" s="48"/>
      <c r="O47" s="48"/>
      <c r="P47" s="48"/>
      <c r="Q47" s="48"/>
      <c r="R47" s="48"/>
      <c r="S47" s="49"/>
    </row>
    <row r="48" spans="1:20">
      <c r="A48" s="35" t="s">
        <v>24</v>
      </c>
      <c r="B48" s="4"/>
      <c r="C48" s="4"/>
      <c r="D48" s="4"/>
      <c r="E48" s="4"/>
      <c r="F48" s="4"/>
      <c r="G48" s="4"/>
      <c r="H48" s="4"/>
      <c r="I48" s="4"/>
      <c r="J48" s="6"/>
      <c r="K48" s="2"/>
      <c r="M48" s="32" t="s">
        <v>1</v>
      </c>
      <c r="N48" s="2" t="s">
        <v>16</v>
      </c>
      <c r="O48" s="2" t="s">
        <v>17</v>
      </c>
      <c r="P48" s="2" t="s">
        <v>2</v>
      </c>
      <c r="Q48" s="2" t="s">
        <v>6</v>
      </c>
      <c r="R48" s="2" t="s">
        <v>7</v>
      </c>
      <c r="S48" s="7" t="s">
        <v>3</v>
      </c>
    </row>
    <row r="49" spans="1:19">
      <c r="A49" s="32" t="s">
        <v>26</v>
      </c>
      <c r="B49" s="2"/>
      <c r="C49" s="2"/>
      <c r="D49" s="2"/>
      <c r="E49" s="2"/>
      <c r="F49" s="2"/>
      <c r="G49" s="2"/>
      <c r="H49" s="2"/>
      <c r="I49" s="2"/>
      <c r="J49" s="7"/>
      <c r="K49" s="2"/>
      <c r="M49" s="19">
        <v>42337.839583333334</v>
      </c>
      <c r="N49" s="44">
        <v>66</v>
      </c>
      <c r="O49" s="44">
        <v>27</v>
      </c>
      <c r="P49" s="2" t="s">
        <v>19</v>
      </c>
      <c r="Q49" s="38">
        <v>0.56805555555555554</v>
      </c>
      <c r="R49" s="38">
        <v>0.61458333333333337</v>
      </c>
      <c r="S49" s="31">
        <f>IF(Итог676[[#This Row],[От]]&gt;=Итог676[[#This Row],[До]],0.999988425925926+Итог676[[#This Row],[До]]-Итог676[[#This Row],[От]],Итог676[[#This Row],[До]]-Итог676[[#This Row],[От]])</f>
        <v>4.6527777777777835E-2</v>
      </c>
    </row>
    <row r="50" spans="1:19">
      <c r="A50" s="36" t="s">
        <v>27</v>
      </c>
      <c r="B50" s="37"/>
      <c r="C50" s="37"/>
      <c r="D50" s="37"/>
      <c r="E50" s="37"/>
      <c r="F50" s="37"/>
      <c r="G50" s="37"/>
      <c r="H50" s="37"/>
      <c r="I50" s="37"/>
      <c r="J50" s="10"/>
      <c r="K50" s="2"/>
      <c r="M50" s="19">
        <v>42339.5</v>
      </c>
      <c r="N50" s="29">
        <v>80</v>
      </c>
      <c r="O50" s="30">
        <v>10</v>
      </c>
      <c r="P50" s="2" t="s">
        <v>20</v>
      </c>
      <c r="Q50" s="38">
        <v>0.5</v>
      </c>
      <c r="R50" s="38">
        <v>0.50902777777810115</v>
      </c>
      <c r="S50" s="31">
        <f>IF(Итог676[[#This Row],[От]]&gt;=Итог676[[#This Row],[До]],0.999988425925926+Итог676[[#This Row],[До]]-Итог676[[#This Row],[От]],Итог676[[#This Row],[До]]-Итог676[[#This Row],[От]])</f>
        <v>9.0277777781011537E-3</v>
      </c>
    </row>
    <row r="51" spans="1:19">
      <c r="M51" s="19">
        <v>42337.815949074073</v>
      </c>
      <c r="N51" s="29">
        <v>55</v>
      </c>
      <c r="O51" s="30">
        <v>5</v>
      </c>
      <c r="P51" s="2" t="s">
        <v>21</v>
      </c>
      <c r="Q51" s="38">
        <v>0.77083333333575865</v>
      </c>
      <c r="R51" s="38">
        <v>0.77491898147854954</v>
      </c>
      <c r="S51" s="31">
        <f>IF(Итог676[[#This Row],[От]]&gt;=Итог676[[#This Row],[До]],0.999988425925926+Итог676[[#This Row],[До]]-Итог676[[#This Row],[От]],Итог676[[#This Row],[До]]-Итог676[[#This Row],[От]])</f>
        <v>4.0856481427908875E-3</v>
      </c>
    </row>
    <row r="52" spans="1:19">
      <c r="A52" s="50" t="s">
        <v>28</v>
      </c>
      <c r="B52" s="51"/>
      <c r="C52" s="51"/>
      <c r="D52" s="51"/>
      <c r="E52" s="51"/>
      <c r="F52" s="51"/>
      <c r="G52" s="51"/>
      <c r="H52" s="51"/>
      <c r="I52" s="51"/>
      <c r="J52" s="52"/>
      <c r="K52" s="34"/>
      <c r="M52" s="19">
        <v>42338.750694444447</v>
      </c>
      <c r="N52" s="29">
        <v>38</v>
      </c>
      <c r="O52" s="30">
        <v>22</v>
      </c>
      <c r="P52" s="2" t="s">
        <v>25</v>
      </c>
      <c r="Q52" s="38">
        <v>0.74947916666860692</v>
      </c>
      <c r="R52" s="38">
        <v>0.75414351851941319</v>
      </c>
      <c r="S52" s="31">
        <f>IF(Итог676[[#This Row],[От]]&gt;=Итог676[[#This Row],[До]],0.999988425925926+Итог676[[#This Row],[До]]-Итог676[[#This Row],[От]],Итог676[[#This Row],[До]]-Итог676[[#This Row],[От]])</f>
        <v>4.6643518508062698E-3</v>
      </c>
    </row>
    <row r="53" spans="1:19">
      <c r="A53" s="5" t="s">
        <v>0</v>
      </c>
      <c r="B53" s="5" t="s">
        <v>11</v>
      </c>
      <c r="C53" s="5" t="s">
        <v>1</v>
      </c>
      <c r="D53" s="5" t="s">
        <v>14</v>
      </c>
      <c r="E53" s="1" t="s">
        <v>2</v>
      </c>
      <c r="F53" s="5" t="s">
        <v>16</v>
      </c>
      <c r="G53" s="5" t="s">
        <v>17</v>
      </c>
      <c r="H53" s="1" t="s">
        <v>18</v>
      </c>
      <c r="I53" s="1" t="s">
        <v>6</v>
      </c>
      <c r="J53" s="11" t="s">
        <v>7</v>
      </c>
      <c r="L53" s="32"/>
      <c r="M53" s="2"/>
      <c r="N53" s="2"/>
      <c r="O53" s="2"/>
      <c r="P53" s="2"/>
      <c r="Q53" s="2"/>
      <c r="R53" s="7"/>
    </row>
    <row r="54" spans="1:19">
      <c r="A54" s="16">
        <v>42336.481249999997</v>
      </c>
      <c r="B54" s="15" t="s">
        <v>12</v>
      </c>
      <c r="C54" s="15">
        <v>42336.568055555559</v>
      </c>
      <c r="D54" s="15" t="s">
        <v>13</v>
      </c>
      <c r="E54" s="3" t="s">
        <v>19</v>
      </c>
      <c r="F54" s="21">
        <v>73</v>
      </c>
      <c r="G54" s="17">
        <v>23</v>
      </c>
      <c r="H54" s="29" t="str">
        <f>IFERROR(IF(LOOKUP(2,1/($E$53:E53=База5[[#This Row],[Наименование]]),$F$53:F53)-LOOKUP(2,1/($E$53:E53=База5[[#This Row],[Наименование]]),$G$53:G53)=База5[[#This Row],[Характеристика_1]],"Поменялось","Нет"),"1 проверка")</f>
        <v>1 проверка</v>
      </c>
      <c r="I54" s="14">
        <f t="array" aca="1" ref="I54" ca="1">IF(База5[[#This Row],[Характеристика_bnju]]="Поменялось",IF(MOD(OFFSET(База5[[#This Row],[конец]],-1,),1)&lt;=MIN(IF((База5[[#This Row],[Наименование]]=$E$53:E53)*($J$53:J53&gt;0),$J$53:J53,9^9)),MAX(MOD(OFFSET(База5[[#This Row],[конец]],-1,),1),IF(База5[[#This Row],[Наименование]]=$E$53:E53,$I$53:I53)),0),IF(База5[[#This Row],[Характеристика_bnju]]="Нет",IF(MOD(OFFSET(База5[[#This Row],[конец]],-1,),1)&lt;=MIN(IF((База5[[#This Row],[Наименование]]=$E$53:E53)*($J$53:J53&gt;0),$J$53:J53,9^9)),MOD(База5[[#This Row],[конец]],1),0),0))</f>
        <v>0</v>
      </c>
      <c r="J54" s="14">
        <f>IF(База5[[#This Row],[Характеристика_bnju]]="Поменялось",MOD(База5[[#This Row],[Начало]],1),0)</f>
        <v>0</v>
      </c>
      <c r="L54" s="39" t="s">
        <v>19</v>
      </c>
      <c r="M54" s="38">
        <v>0.58333333333333337</v>
      </c>
      <c r="N54" s="54" t="s">
        <v>30</v>
      </c>
      <c r="O54" s="54"/>
      <c r="P54" s="54"/>
      <c r="Q54" s="54"/>
      <c r="R54" s="55"/>
    </row>
    <row r="55" spans="1:19">
      <c r="A55" s="16">
        <v>42336.618055555555</v>
      </c>
      <c r="B55" s="15" t="s">
        <v>12</v>
      </c>
      <c r="C55" s="15">
        <v>42336.724999999999</v>
      </c>
      <c r="D55" s="15" t="s">
        <v>13</v>
      </c>
      <c r="E55" s="3" t="s">
        <v>19</v>
      </c>
      <c r="F55" s="21">
        <v>50</v>
      </c>
      <c r="G55" s="17">
        <v>23</v>
      </c>
      <c r="H55" s="29" t="str">
        <f>IFERROR(IF(LOOKUP(2,1/($E$53:E54=База5[[#This Row],[Наименование]]),$F$53:F54)-LOOKUP(2,1/($E$53:E54=База5[[#This Row],[Наименование]]),$G$53:G54)=База5[[#This Row],[Характеристика_1]],"Поменялось","Нет"),"1 проверка")</f>
        <v>Поменялось</v>
      </c>
      <c r="I55" s="14">
        <f t="array" aca="1" ref="I55" ca="1">IF(База5[[#This Row],[Характеристика_bnju]]="Поменялось",IF(MOD(OFFSET(База5[[#This Row],[конец]],-1,),1)&lt;=MIN(IF((База5[[#This Row],[Наименование]]=$E$53:E54)*($J$53:J54&gt;0),$J$53:J54,9^9)),MAX(MOD(OFFSET(База5[[#This Row],[конец]],-1,),1),IF(База5[[#This Row],[Наименование]]=$E$53:E54,$I$53:I54)),0),IF(База5[[#This Row],[Характеристика_bnju]]="Нет",IF(MOD(OFFSET(База5[[#This Row],[конец]],-1,),1)&lt;=MIN(IF((База5[[#This Row],[Наименование]]=$E$53:E54)*($J$53:J54&gt;0),$J$53:J54,9^9)),MOD(База5[[#This Row],[конец]],1),0),0))</f>
        <v>0.56805555555911269</v>
      </c>
      <c r="J55" s="14">
        <f>IF(База5[[#This Row],[Характеристика_bnju]]="Поменялось",MOD(База5[[#This Row],[Начало]],1),0)</f>
        <v>0.61805555555474712</v>
      </c>
      <c r="L55" s="40" t="s">
        <v>20</v>
      </c>
      <c r="M55" s="38">
        <v>0.50347222222222221</v>
      </c>
      <c r="N55" s="54"/>
      <c r="O55" s="54"/>
      <c r="P55" s="54"/>
      <c r="Q55" s="54"/>
      <c r="R55" s="55"/>
    </row>
    <row r="56" spans="1:19">
      <c r="A56" s="19">
        <v>42336.92083333333</v>
      </c>
      <c r="B56" s="19" t="s">
        <v>12</v>
      </c>
      <c r="C56" s="19">
        <v>42337.477083333331</v>
      </c>
      <c r="D56" s="19" t="s">
        <v>13</v>
      </c>
      <c r="E56" s="3" t="s">
        <v>19</v>
      </c>
      <c r="F56" s="22">
        <v>60</v>
      </c>
      <c r="G56" s="20">
        <v>24</v>
      </c>
      <c r="H56" s="29" t="str">
        <f>IFERROR(IF(LOOKUP(2,1/($E$53:E55=База5[[#This Row],[Наименование]]),$F$53:F55)-LOOKUP(2,1/($E$53:E55=База5[[#This Row],[Наименование]]),$G$53:G55)=База5[[#This Row],[Характеристика_1]],"Поменялось","Нет"),"1 проверка")</f>
        <v>Нет</v>
      </c>
      <c r="I56" s="14">
        <f t="array" aca="1" ref="I56" ca="1">IF(База5[[#This Row],[Характеристика_bnju]]="Поменялось",IF(MOD(OFFSET(База5[[#This Row],[конец]],-1,),1)&lt;=MIN(IF((База5[[#This Row],[Наименование]]=$E$53:E55)*($J$53:J55&gt;0),$J$53:J55,9^9)),MAX(MOD(OFFSET(База5[[#This Row],[конец]],-1,),1),IF(База5[[#This Row],[Наименование]]=$E$53:E55,$I$53:I55)),0),IF(База5[[#This Row],[Характеристика_bnju]]="Нет",IF(MOD(OFFSET(База5[[#This Row],[конец]],-1,),1)&lt;=MIN(IF((База5[[#This Row],[Наименование]]=$E$53:E55)*($J$53:J55&gt;0),$J$53:J55,9^9)),MOD(База5[[#This Row],[конец]],1),0),0))</f>
        <v>0</v>
      </c>
      <c r="J56" s="14">
        <f>IF(База5[[#This Row],[Характеристика_bnju]]="Поменялось",MOD(База5[[#This Row],[Начало]],1),0)</f>
        <v>0</v>
      </c>
      <c r="L56" s="41" t="s">
        <v>21</v>
      </c>
      <c r="M56" s="38">
        <v>0.77222222222222225</v>
      </c>
      <c r="N56" s="54"/>
      <c r="O56" s="54"/>
      <c r="P56" s="54"/>
      <c r="Q56" s="54"/>
      <c r="R56" s="55"/>
    </row>
    <row r="57" spans="1:19">
      <c r="A57" s="19">
        <v>42337.614583333336</v>
      </c>
      <c r="B57" s="19" t="s">
        <v>12</v>
      </c>
      <c r="C57" s="19">
        <v>42337.74722222222</v>
      </c>
      <c r="D57" s="19" t="s">
        <v>13</v>
      </c>
      <c r="E57" s="3" t="s">
        <v>19</v>
      </c>
      <c r="F57" s="22">
        <v>36</v>
      </c>
      <c r="G57" s="20">
        <v>24</v>
      </c>
      <c r="H57" s="29" t="str">
        <f>IFERROR(IF(LOOKUP(2,1/($E$53:E56=База5[[#This Row],[Наименование]]),$F$53:F56)-LOOKUP(2,1/($E$53:E56=База5[[#This Row],[Наименование]]),$G$53:G56)=База5[[#This Row],[Характеристика_1]],"Поменялось","Нет"),"1 проверка")</f>
        <v>Поменялось</v>
      </c>
      <c r="I57" s="14">
        <f t="array" aca="1" ref="I57" ca="1">IF(База5[[#This Row],[Характеристика_bnju]]="Поменялось",IF(MOD(OFFSET(База5[[#This Row],[конец]],-1,),1)&lt;=MIN(IF((База5[[#This Row],[Наименование]]=$E$53:E56)*($J$53:J56&gt;0),$J$53:J56,9^9)),MAX(MOD(OFFSET(База5[[#This Row],[конец]],-1,),1),IF(База5[[#This Row],[Наименование]]=$E$53:E56,$I$53:I56)),0),IF(База5[[#This Row],[Характеристика_bnju]]="Нет",IF(MOD(OFFSET(База5[[#This Row],[конец]],-1,),1)&lt;=MIN(IF((База5[[#This Row],[Наименование]]=$E$53:E56)*($J$53:J56&gt;0),$J$53:J56,9^9)),MOD(База5[[#This Row],[конец]],1),0),0))</f>
        <v>0.56805555555911269</v>
      </c>
      <c r="J57" s="14">
        <f>IF(База5[[#This Row],[Характеристика_bnju]]="Поменялось",MOD(База5[[#This Row],[Начало]],1),0)</f>
        <v>0.61458333333575865</v>
      </c>
      <c r="L57" s="42" t="s">
        <v>25</v>
      </c>
      <c r="M57" s="43">
        <v>0.75</v>
      </c>
      <c r="N57" s="56"/>
      <c r="O57" s="56"/>
      <c r="P57" s="56"/>
      <c r="Q57" s="56"/>
      <c r="R57" s="57"/>
    </row>
    <row r="58" spans="1:19">
      <c r="A58" s="19">
        <v>42337.752083333333</v>
      </c>
      <c r="B58" s="19" t="s">
        <v>12</v>
      </c>
      <c r="C58" s="19">
        <v>42337.761111111111</v>
      </c>
      <c r="D58" s="19" t="s">
        <v>13</v>
      </c>
      <c r="E58" s="3" t="s">
        <v>19</v>
      </c>
      <c r="F58" s="22">
        <v>46</v>
      </c>
      <c r="G58" s="20">
        <v>25</v>
      </c>
      <c r="H58" s="29" t="str">
        <f>IFERROR(IF(LOOKUP(2,1/($E$53:E57=База5[[#This Row],[Наименование]]),$F$53:F57)-LOOKUP(2,1/($E$53:E57=База5[[#This Row],[Наименование]]),$G$53:G57)=База5[[#This Row],[Характеристика_1]],"Поменялось","Нет"),"1 проверка")</f>
        <v>Нет</v>
      </c>
      <c r="I58" s="14">
        <f t="array" aca="1" ref="I58" ca="1">IF(База5[[#This Row],[Характеристика_bnju]]="Поменялось",IF(MOD(OFFSET(База5[[#This Row],[конец]],-1,),1)&lt;=MIN(IF((База5[[#This Row],[Наименование]]=$E$53:E57)*($J$53:J57&gt;0),$J$53:J57,9^9)),MAX(MOD(OFFSET(База5[[#This Row],[конец]],-1,),1),IF(База5[[#This Row],[Наименование]]=$E$53:E57,$I$53:I57)),0),IF(База5[[#This Row],[Характеристика_bnju]]="Нет",IF(MOD(OFFSET(База5[[#This Row],[конец]],-1,),1)&lt;=MIN(IF((База5[[#This Row],[Наименование]]=$E$53:E57)*($J$53:J57&gt;0),$J$53:J57,9^9)),MOD(База5[[#This Row],[конец]],1),0),0))</f>
        <v>0</v>
      </c>
      <c r="J58" s="14">
        <f>IF(База5[[#This Row],[Характеристика_bnju]]="Поменялось",MOD(База5[[#This Row],[Начало]],1),0)</f>
        <v>0</v>
      </c>
      <c r="R58" s="1"/>
    </row>
    <row r="59" spans="1:19">
      <c r="A59" s="19">
        <v>42337.839583333334</v>
      </c>
      <c r="B59" s="19" t="s">
        <v>12</v>
      </c>
      <c r="C59" s="19">
        <v>42337.839583333334</v>
      </c>
      <c r="D59" s="19" t="s">
        <v>13</v>
      </c>
      <c r="E59" s="3" t="s">
        <v>19</v>
      </c>
      <c r="F59" s="22">
        <v>66</v>
      </c>
      <c r="G59" s="20">
        <v>27</v>
      </c>
      <c r="H59" s="29" t="str">
        <f>IFERROR(IF(LOOKUP(2,1/($E$53:E58=База5[[#This Row],[Наименование]]),$F$53:F58)-LOOKUP(2,1/($E$53:E58=База5[[#This Row],[Наименование]]),$G$53:G58)=База5[[#This Row],[Характеристика_1]],"Поменялось","Нет"),"1 проверка")</f>
        <v>Нет</v>
      </c>
      <c r="I59" s="14">
        <f t="array" aca="1" ref="I59" ca="1">IF(База5[[#This Row],[Характеристика_bnju]]="Поменялось",IF(MOD(OFFSET(База5[[#This Row],[конец]],-1,),1)&lt;=MIN(IF((База5[[#This Row],[Наименование]]=$E$53:E58)*($J$53:J58&gt;0),$J$53:J58,9^9)),MAX(MOD(OFFSET(База5[[#This Row],[конец]],-1,),1),IF(База5[[#This Row],[Наименование]]=$E$53:E58,$I$53:I58)),0),IF(База5[[#This Row],[Характеристика_bnju]]="Нет",IF(MOD(OFFSET(База5[[#This Row],[конец]],-1,),1)&lt;=MIN(IF((База5[[#This Row],[Наименование]]=$E$53:E58)*($J$53:J58&gt;0),$J$53:J58,9^9)),MOD(База5[[#This Row],[конец]],1),0),0))</f>
        <v>0</v>
      </c>
      <c r="J59" s="14">
        <f>IF(База5[[#This Row],[Характеристика_bnju]]="Поменялось",MOD(База5[[#This Row],[Начало]],1),0)</f>
        <v>0</v>
      </c>
      <c r="R59" s="1"/>
    </row>
    <row r="60" spans="1:19">
      <c r="A60" s="28">
        <v>42336.481249999997</v>
      </c>
      <c r="B60" s="28"/>
      <c r="C60" s="28">
        <v>42336.481249999997</v>
      </c>
      <c r="D60" s="28"/>
      <c r="E60" s="28" t="s">
        <v>20</v>
      </c>
      <c r="F60" s="29">
        <v>100</v>
      </c>
      <c r="G60" s="30">
        <v>10</v>
      </c>
      <c r="H60" s="29" t="str">
        <f>IFERROR(IF(LOOKUP(2,1/($E$53:E59=База5[[#This Row],[Наименование]]),$F$53:F59)-LOOKUP(2,1/($E$53:E59=База5[[#This Row],[Наименование]]),$G$53:G59)=База5[[#This Row],[Характеристика_1]],"Поменялось","Нет"),"1 проверка")</f>
        <v>1 проверка</v>
      </c>
      <c r="I60" s="14">
        <f t="array" aca="1" ref="I60" ca="1">IF(База5[[#This Row],[Характеристика_bnju]]="Поменялось",IF(MOD(OFFSET(База5[[#This Row],[конец]],-1,),1)&lt;=MIN(IF((База5[[#This Row],[Наименование]]=$E$53:E59)*($J$53:J59&gt;0),$J$53:J59,9^9)),MAX(MOD(OFFSET(База5[[#This Row],[конец]],-1,),1),IF(База5[[#This Row],[Наименование]]=$E$53:E59,$I$53:I59)),0),IF(База5[[#This Row],[Характеристика_bnju]]="Нет",IF(MOD(OFFSET(База5[[#This Row],[конец]],-1,),1)&lt;=MIN(IF((База5[[#This Row],[Наименование]]=$E$53:E59)*($J$53:J59&gt;0),$J$53:J59,9^9)),MOD(База5[[#This Row],[конец]],1),0),0))</f>
        <v>0</v>
      </c>
      <c r="J60" s="14">
        <f>IF(База5[[#This Row],[Характеристика_bnju]]="Поменялось",MOD(База5[[#This Row],[Начало]],1),0)</f>
        <v>0</v>
      </c>
      <c r="L60" s="1" t="s">
        <v>1</v>
      </c>
      <c r="M60" s="1" t="s">
        <v>16</v>
      </c>
      <c r="N60" s="1" t="s">
        <v>17</v>
      </c>
      <c r="O60" s="2" t="s">
        <v>2</v>
      </c>
      <c r="P60" s="2" t="s">
        <v>6</v>
      </c>
      <c r="Q60" s="2" t="s">
        <v>7</v>
      </c>
      <c r="R60" s="2" t="s">
        <v>3</v>
      </c>
    </row>
    <row r="61" spans="1:19">
      <c r="A61" s="28">
        <v>42337.614583333336</v>
      </c>
      <c r="B61" s="28"/>
      <c r="C61" s="28">
        <v>42337.615277777775</v>
      </c>
      <c r="D61" s="28"/>
      <c r="E61" s="28" t="s">
        <v>20</v>
      </c>
      <c r="F61" s="29">
        <v>90</v>
      </c>
      <c r="G61" s="30">
        <v>10</v>
      </c>
      <c r="H61" s="29" t="str">
        <f>IFERROR(IF(LOOKUP(2,1/($E$53:E60=База5[[#This Row],[Наименование]]),$F$53:F60)-LOOKUP(2,1/($E$53:E60=База5[[#This Row],[Наименование]]),$G$53:G60)=База5[[#This Row],[Характеристика_1]],"Поменялось","Нет"),"1 проверка")</f>
        <v>Поменялось</v>
      </c>
      <c r="I61" s="14">
        <f t="array" aca="1" ref="I61" ca="1">IF(База5[[#This Row],[Характеристика_bnju]]="Поменялось",IF(MOD(OFFSET(База5[[#This Row],[конец]],-1,),1)&lt;=MIN(IF((База5[[#This Row],[Наименование]]=$E$53:E60)*($J$53:J60&gt;0),$J$53:J60,9^9)),MAX(MOD(OFFSET(База5[[#This Row],[конец]],-1,),1),IF(База5[[#This Row],[Наименование]]=$E$53:E60,$I$53:I60)),0),IF(База5[[#This Row],[Характеристика_bnju]]="Нет",IF(MOD(OFFSET(База5[[#This Row],[конец]],-1,),1)&lt;=MIN(IF((База5[[#This Row],[Наименование]]=$E$53:E60)*($J$53:J60&gt;0),$J$53:J60,9^9)),MOD(База5[[#This Row],[конец]],1),0),0))</f>
        <v>0.48124999999708962</v>
      </c>
      <c r="J61" s="14">
        <f>IF(База5[[#This Row],[Характеристика_bnju]]="Поменялось",MOD(База5[[#This Row],[Начало]],1),0)</f>
        <v>0.61458333333575865</v>
      </c>
      <c r="L61" s="5"/>
      <c r="M61" s="5"/>
      <c r="N61" s="5"/>
      <c r="O61" s="1" t="s">
        <v>19</v>
      </c>
      <c r="P61" s="46">
        <f t="array" aca="1" ref="P61" ca="1">MAX(IF((Итог9[[#This Row],[Наименование]]=База5[Наименование])*(База5[От]&gt;0),База5[От]))</f>
        <v>0.56805555555911269</v>
      </c>
      <c r="Q61" s="46">
        <f t="array" ref="Q61">MIN(IF((Итог9[[#This Row],[Наименование]]=База5[Наименование])*(База5[До]&gt;0),База5[До]))</f>
        <v>0.61458333333575865</v>
      </c>
      <c r="R61" s="5"/>
    </row>
    <row r="62" spans="1:19">
      <c r="A62" s="28">
        <v>42338.509027777778</v>
      </c>
      <c r="B62" s="28"/>
      <c r="C62" s="28">
        <v>42338.509027777778</v>
      </c>
      <c r="D62" s="28"/>
      <c r="E62" s="28" t="s">
        <v>20</v>
      </c>
      <c r="F62" s="29">
        <v>80</v>
      </c>
      <c r="G62" s="30">
        <v>10</v>
      </c>
      <c r="H62" s="29" t="str">
        <f>IFERROR(IF(LOOKUP(2,1/($E$53:E61=База5[[#This Row],[Наименование]]),$F$53:F61)-LOOKUP(2,1/($E$53:E61=База5[[#This Row],[Наименование]]),$G$53:G61)=База5[[#This Row],[Характеристика_1]],"Поменялось","Нет"),"1 проверка")</f>
        <v>Поменялось</v>
      </c>
      <c r="I62" s="14">
        <f t="array" aca="1" ref="I62" ca="1">IF(База5[[#This Row],[Характеристика_bnju]]="Поменялось",IF(MOD(OFFSET(База5[[#This Row],[конец]],-1,),1)&lt;=MIN(IF((База5[[#This Row],[Наименование]]=$E$53:E61)*($J$53:J61&gt;0),$J$53:J61,9^9)),MAX(MOD(OFFSET(База5[[#This Row],[конец]],-1,),1),IF(База5[[#This Row],[Наименование]]=$E$53:E61,$I$53:I61)),0),IF(База5[[#This Row],[Характеристика_bnju]]="Нет",IF(MOD(OFFSET(База5[[#This Row],[конец]],-1,),1)&lt;=MIN(IF((База5[[#This Row],[Наименование]]=$E$53:E61)*($J$53:J61&gt;0),$J$53:J61,9^9)),MOD(База5[[#This Row],[конец]],1),0),0))</f>
        <v>0</v>
      </c>
      <c r="J62" s="14">
        <f>IF(База5[[#This Row],[Характеристика_bnju]]="Поменялось",MOD(База5[[#This Row],[Начало]],1),0)</f>
        <v>0.50902777777810115</v>
      </c>
      <c r="L62" s="5"/>
      <c r="M62" s="5"/>
      <c r="N62" s="5"/>
      <c r="O62" s="1" t="s">
        <v>20</v>
      </c>
      <c r="P62" s="46">
        <f t="array" aca="1" ref="P62" ca="1">MAX(IF((Итог9[[#This Row],[Наименование]]=База5[Наименование])*(База5[От]&gt;0),База5[От]))</f>
        <v>0.5</v>
      </c>
      <c r="Q62" s="46">
        <f t="array" ref="Q62">MIN(IF((Итог9[[#This Row],[Наименование]]=База5[Наименование])*(База5[До]&gt;0),База5[До]))</f>
        <v>0.50902777777810115</v>
      </c>
      <c r="R62" s="31"/>
    </row>
    <row r="63" spans="1:19">
      <c r="A63" s="28">
        <v>42339.5</v>
      </c>
      <c r="B63" s="28"/>
      <c r="C63" s="28">
        <v>42339.5</v>
      </c>
      <c r="D63" s="28"/>
      <c r="E63" s="28" t="s">
        <v>20</v>
      </c>
      <c r="F63" s="29">
        <v>80</v>
      </c>
      <c r="G63" s="30">
        <v>10</v>
      </c>
      <c r="H63" s="29" t="str">
        <f>IFERROR(IF(LOOKUP(2,1/($E$53:E62=База5[[#This Row],[Наименование]]),$F$53:F62)-LOOKUP(2,1/($E$53:E62=База5[[#This Row],[Наименование]]),$G$53:G62)=База5[[#This Row],[Характеристика_1]],"Поменялось","Нет"),"1 проверка")</f>
        <v>Нет</v>
      </c>
      <c r="I63" s="14">
        <f t="array" aca="1" ref="I63" ca="1">IF(База5[[#This Row],[Характеристика_bnju]]="Поменялось",IF(MOD(OFFSET(База5[[#This Row],[конец]],-1,),1)&lt;=MIN(IF((База5[[#This Row],[Наименование]]=$E$53:E62)*($J$53:J62&gt;0),$J$53:J62,9^9)),MAX(MOD(OFFSET(База5[[#This Row],[конец]],-1,),1),IF(База5[[#This Row],[Наименование]]=$E$53:E62,$I$53:I62)),0),IF(База5[[#This Row],[Характеристика_bnju]]="Нет",IF(MOD(OFFSET(База5[[#This Row],[конец]],-1,),1)&lt;=MIN(IF((База5[[#This Row],[Наименование]]=$E$53:E62)*($J$53:J62&gt;0),$J$53:J62,9^9)),MOD(База5[[#This Row],[конец]],1),0),0))</f>
        <v>0.5</v>
      </c>
      <c r="J63" s="14">
        <f>IF(База5[[#This Row],[Характеристика_bnju]]="Поменялось",MOD(База5[[#This Row],[Начало]],1),0)</f>
        <v>0</v>
      </c>
      <c r="L63" s="5"/>
      <c r="M63" s="5"/>
      <c r="N63" s="5"/>
      <c r="O63" s="1" t="s">
        <v>21</v>
      </c>
      <c r="P63" s="46">
        <f t="array" aca="1" ref="P63" ca="1">MAX(IF((Итог9[[#This Row],[Наименование]]=База5[Наименование])*(База5[От]&gt;0),База5[От]))</f>
        <v>0.77083333333575865</v>
      </c>
      <c r="Q63" s="46">
        <f t="array" ref="Q63">MIN(IF((Итог9[[#This Row],[Наименование]]=База5[Наименование])*(База5[До]&gt;0),База5[До]))</f>
        <v>0.77491898147854954</v>
      </c>
      <c r="R63" s="31"/>
    </row>
    <row r="64" spans="1:19">
      <c r="A64" s="28">
        <v>42336.461805555555</v>
      </c>
      <c r="B64" s="28"/>
      <c r="C64" s="28">
        <v>42336.675694444442</v>
      </c>
      <c r="D64" s="28"/>
      <c r="E64" s="28" t="s">
        <v>21</v>
      </c>
      <c r="F64" s="29">
        <v>65</v>
      </c>
      <c r="G64" s="30">
        <v>5</v>
      </c>
      <c r="H64" s="29" t="str">
        <f>IFERROR(IF(LOOKUP(2,1/($E$53:E63=База5[[#This Row],[Наименование]]),$F$53:F63)-LOOKUP(2,1/($E$53:E63=База5[[#This Row],[Наименование]]),$G$53:G63)=База5[[#This Row],[Характеристика_1]],"Поменялось","Нет"),"1 проверка")</f>
        <v>1 проверка</v>
      </c>
      <c r="I64" s="14">
        <f t="array" aca="1" ref="I64" ca="1">IF(База5[[#This Row],[Характеристика_bnju]]="Поменялось",IF(MOD(OFFSET(База5[[#This Row],[конец]],-1,),1)&lt;=MIN(IF((База5[[#This Row],[Наименование]]=$E$53:E63)*($J$53:J63&gt;0),$J$53:J63,9^9)),MAX(MOD(OFFSET(База5[[#This Row],[конец]],-1,),1),IF(База5[[#This Row],[Наименование]]=$E$53:E63,$I$53:I63)),0),IF(База5[[#This Row],[Характеристика_bnju]]="Нет",IF(MOD(OFFSET(База5[[#This Row],[конец]],-1,),1)&lt;=MIN(IF((База5[[#This Row],[Наименование]]=$E$53:E63)*($J$53:J63&gt;0),$J$53:J63,9^9)),MOD(База5[[#This Row],[конец]],1),0),0))</f>
        <v>0</v>
      </c>
      <c r="J64" s="14">
        <f>IF(База5[[#This Row],[Характеристика_bnju]]="Поменялось",MOD(База5[[#This Row],[Начало]],1),0)</f>
        <v>0</v>
      </c>
      <c r="L64" s="5"/>
      <c r="M64" s="5"/>
      <c r="N64" s="5"/>
      <c r="O64" s="1" t="s">
        <v>25</v>
      </c>
      <c r="P64" s="46">
        <f t="array" aca="1" ref="P64" ca="1">MAX(IF((Итог9[[#This Row],[Наименование]]=База5[Наименование])*(База5[От]&gt;0),База5[От]))</f>
        <v>0.74947916666860692</v>
      </c>
      <c r="Q64" s="46">
        <f t="array" ref="Q64">MIN(IF((Итог9[[#This Row],[Наименование]]=База5[Наименование])*(База5[До]&gt;0),База5[До]))</f>
        <v>0.75069444444670808</v>
      </c>
      <c r="R64" s="31"/>
    </row>
    <row r="65" spans="1:17">
      <c r="A65" s="28">
        <v>42336.813194444447</v>
      </c>
      <c r="B65" s="28"/>
      <c r="C65" s="28">
        <v>42337.770833333336</v>
      </c>
      <c r="D65" s="28"/>
      <c r="E65" s="28" t="s">
        <v>21</v>
      </c>
      <c r="F65" s="29">
        <v>60</v>
      </c>
      <c r="G65" s="30">
        <v>5</v>
      </c>
      <c r="H65" s="29" t="str">
        <f>IFERROR(IF(LOOKUP(2,1/($E$53:E64=База5[[#This Row],[Наименование]]),$F$53:F64)-LOOKUP(2,1/($E$53:E64=База5[[#This Row],[Наименование]]),$G$53:G64)=База5[[#This Row],[Характеристика_1]],"Поменялось","Нет"),"1 проверка")</f>
        <v>Поменялось</v>
      </c>
      <c r="I65" s="14">
        <f t="array" aca="1" ref="I65" ca="1">IF(База5[[#This Row],[Характеристика_bnju]]="Поменялось",IF(MOD(OFFSET(База5[[#This Row],[конец]],-1,),1)&lt;=MIN(IF((База5[[#This Row],[Наименование]]=$E$53:E64)*($J$53:J64&gt;0),$J$53:J64,9^9)),MAX(MOD(OFFSET(База5[[#This Row],[конец]],-1,),1),IF(База5[[#This Row],[Наименование]]=$E$53:E64,$I$53:I64)),0),IF(База5[[#This Row],[Характеристика_bnju]]="Нет",IF(MOD(OFFSET(База5[[#This Row],[конец]],-1,),1)&lt;=MIN(IF((База5[[#This Row],[Наименование]]=$E$53:E64)*($J$53:J64&gt;0),$J$53:J64,9^9)),MOD(База5[[#This Row],[конец]],1),0),0))</f>
        <v>0.6756944444423425</v>
      </c>
      <c r="J65" s="14">
        <f>IF(База5[[#This Row],[Характеристика_bnju]]="Поменялось",MOD(База5[[#This Row],[Начало]],1),0)</f>
        <v>0.81319444444670808</v>
      </c>
      <c r="Q65"/>
    </row>
    <row r="66" spans="1:17">
      <c r="A66" s="28">
        <v>42337.774918981479</v>
      </c>
      <c r="B66" s="28"/>
      <c r="C66" s="28">
        <v>42337.815949074073</v>
      </c>
      <c r="D66" s="28"/>
      <c r="E66" s="28" t="s">
        <v>21</v>
      </c>
      <c r="F66" s="29">
        <v>55</v>
      </c>
      <c r="G66" s="30">
        <v>5</v>
      </c>
      <c r="H66" s="29" t="str">
        <f>IFERROR(IF(LOOKUP(2,1/($E$53:E65=База5[[#This Row],[Наименование]]),$F$53:F65)-LOOKUP(2,1/($E$53:E65=База5[[#This Row],[Наименование]]),$G$53:G65)=База5[[#This Row],[Характеристика_1]],"Поменялось","Нет"),"1 проверка")</f>
        <v>Поменялось</v>
      </c>
      <c r="I66" s="14">
        <f t="array" aca="1" ref="I66" ca="1">IF(База5[[#This Row],[Характеристика_bnju]]="Поменялось",IF(MOD(OFFSET(База5[[#This Row],[конец]],-1,),1)&lt;=MIN(IF((База5[[#This Row],[Наименование]]=$E$53:E65)*($J$53:J65&gt;0),$J$53:J65,9^9)),MAX(MOD(OFFSET(База5[[#This Row],[конец]],-1,),1),IF(База5[[#This Row],[Наименование]]=$E$53:E65,$I$53:I65)),0),IF(База5[[#This Row],[Характеристика_bnju]]="Нет",IF(MOD(OFFSET(База5[[#This Row],[конец]],-1,),1)&lt;=MIN(IF((База5[[#This Row],[Наименование]]=$E$53:E65)*($J$53:J65&gt;0),$J$53:J65,9^9)),MOD(База5[[#This Row],[конец]],1),0),0))</f>
        <v>0.77083333333575865</v>
      </c>
      <c r="J66" s="14">
        <f>IF(База5[[#This Row],[Характеристика_bnju]]="Поменялось",MOD(База5[[#This Row],[Начало]],1),0)</f>
        <v>0.77491898147854954</v>
      </c>
      <c r="Q66"/>
    </row>
    <row r="67" spans="1:17">
      <c r="A67" s="28">
        <v>42336.461805555555</v>
      </c>
      <c r="B67" s="28"/>
      <c r="C67" s="28">
        <v>42336.675694444442</v>
      </c>
      <c r="D67" s="28"/>
      <c r="E67" s="28" t="s">
        <v>25</v>
      </c>
      <c r="F67" s="29">
        <v>80</v>
      </c>
      <c r="G67" s="30">
        <v>20</v>
      </c>
      <c r="H67" s="29" t="str">
        <f>IFERROR(IF(LOOKUP(2,1/($E$53:E66=База5[[#This Row],[Наименование]]),$F$53:F66)-LOOKUP(2,1/($E$53:E66=База5[[#This Row],[Наименование]]),$G$53:G66)=База5[[#This Row],[Характеристика_1]],"Поменялось","Нет"),"1 проверка")</f>
        <v>1 проверка</v>
      </c>
      <c r="I67" s="14">
        <f t="array" aca="1" ref="I67" ca="1">IF(База5[[#This Row],[Характеристика_bnju]]="Поменялось",IF(MOD(OFFSET(База5[[#This Row],[конец]],-1,),1)&lt;=MIN(IF((База5[[#This Row],[Наименование]]=$E$53:E66)*($J$53:J66&gt;0),$J$53:J66,9^9)),MAX(MOD(OFFSET(База5[[#This Row],[конец]],-1,),1),IF(База5[[#This Row],[Наименование]]=$E$53:E66,$I$53:I66)),0),IF(База5[[#This Row],[Характеристика_bnju]]="Нет",IF(MOD(OFFSET(База5[[#This Row],[конец]],-1,),1)&lt;=MIN(IF((База5[[#This Row],[Наименование]]=$E$53:E66)*($J$53:J66&gt;0),$J$53:J66,9^9)),MOD(База5[[#This Row],[конец]],1),0),0))</f>
        <v>0</v>
      </c>
      <c r="J67" s="14">
        <f>IF(База5[[#This Row],[Характеристика_bnju]]="Поменялось",MOD(База5[[#This Row],[Начало]],1),0)</f>
        <v>0</v>
      </c>
      <c r="Q67"/>
    </row>
    <row r="68" spans="1:17">
      <c r="A68" s="28">
        <v>42336.813194444447</v>
      </c>
      <c r="B68" s="28"/>
      <c r="C68" s="28">
        <v>42337.749479166669</v>
      </c>
      <c r="D68" s="28"/>
      <c r="E68" s="28" t="s">
        <v>25</v>
      </c>
      <c r="F68" s="29">
        <v>60</v>
      </c>
      <c r="G68" s="30">
        <v>20</v>
      </c>
      <c r="H68" s="29" t="str">
        <f>IFERROR(IF(LOOKUP(2,1/($E$53:E67=База5[[#This Row],[Наименование]]),$F$53:F67)-LOOKUP(2,1/($E$53:E67=База5[[#This Row],[Наименование]]),$G$53:G67)=База5[[#This Row],[Характеристика_1]],"Поменялось","Нет"),"1 проверка")</f>
        <v>Поменялось</v>
      </c>
      <c r="I68" s="14">
        <f t="array" aca="1" ref="I68" ca="1">IF(База5[[#This Row],[Характеристика_bnju]]="Поменялось",IF(MOD(OFFSET(База5[[#This Row],[конец]],-1,),1)&lt;=MIN(IF((База5[[#This Row],[Наименование]]=$E$53:E67)*($J$53:J67&gt;0),$J$53:J67,9^9)),MAX(MOD(OFFSET(База5[[#This Row],[конец]],-1,),1),IF(База5[[#This Row],[Наименование]]=$E$53:E67,$I$53:I67)),0),IF(База5[[#This Row],[Характеристика_bnju]]="Нет",IF(MOD(OFFSET(База5[[#This Row],[конец]],-1,),1)&lt;=MIN(IF((База5[[#This Row],[Наименование]]=$E$53:E67)*($J$53:J67&gt;0),$J$53:J67,9^9)),MOD(База5[[#This Row],[конец]],1),0),0))</f>
        <v>0.6756944444423425</v>
      </c>
      <c r="J68" s="14">
        <f>IF(База5[[#This Row],[Характеристика_bnju]]="Поменялось",MOD(База5[[#This Row],[Начало]],1),0)</f>
        <v>0.81319444444670808</v>
      </c>
      <c r="Q68"/>
    </row>
    <row r="69" spans="1:17">
      <c r="A69" s="28">
        <v>42337.754143518519</v>
      </c>
      <c r="B69" s="28"/>
      <c r="C69" s="28">
        <v>42337.775671296295</v>
      </c>
      <c r="D69" s="28"/>
      <c r="E69" s="28" t="s">
        <v>25</v>
      </c>
      <c r="F69" s="29">
        <v>40</v>
      </c>
      <c r="G69" s="30">
        <v>20</v>
      </c>
      <c r="H69" s="29" t="str">
        <f>IFERROR(IF(LOOKUP(2,1/($E$53:E68=База5[[#This Row],[Наименование]]),$F$53:F68)-LOOKUP(2,1/($E$53:E68=База5[[#This Row],[Наименование]]),$G$53:G68)=База5[[#This Row],[Характеристика_1]],"Поменялось","Нет"),"1 проверка")</f>
        <v>Поменялось</v>
      </c>
      <c r="I69" s="14">
        <f t="array" aca="1" ref="I69" ca="1">IF(База5[[#This Row],[Характеристика_bnju]]="Поменялось",IF(MOD(OFFSET(База5[[#This Row],[конец]],-1,),1)&lt;=MIN(IF((База5[[#This Row],[Наименование]]=$E$53:E68)*($J$53:J68&gt;0),$J$53:J68,9^9)),MAX(MOD(OFFSET(База5[[#This Row],[конец]],-1,),1),IF(База5[[#This Row],[Наименование]]=$E$53:E68,$I$53:I68)),0),IF(База5[[#This Row],[Характеристика_bnju]]="Нет",IF(MOD(OFFSET(База5[[#This Row],[конец]],-1,),1)&lt;=MIN(IF((База5[[#This Row],[Наименование]]=$E$53:E68)*($J$53:J68&gt;0),$J$53:J68,9^9)),MOD(База5[[#This Row],[конец]],1),0),0))</f>
        <v>0.74947916666860692</v>
      </c>
      <c r="J69" s="14">
        <f>IF(База5[[#This Row],[Характеристика_bnju]]="Поменялось",MOD(База5[[#This Row],[Начало]],1),0)</f>
        <v>0.75414351851941319</v>
      </c>
      <c r="Q69"/>
    </row>
    <row r="70" spans="1:17">
      <c r="A70" s="28">
        <v>42337.815960648149</v>
      </c>
      <c r="B70" s="28"/>
      <c r="C70" s="28">
        <v>42337.815960648149</v>
      </c>
      <c r="D70" s="28"/>
      <c r="E70" s="28" t="s">
        <v>25</v>
      </c>
      <c r="F70" s="29">
        <v>60</v>
      </c>
      <c r="G70" s="30">
        <v>22</v>
      </c>
      <c r="H70" s="29" t="str">
        <f>IFERROR(IF(LOOKUP(2,1/($E$53:E69=База5[[#This Row],[Наименование]]),$F$53:F69)-LOOKUP(2,1/($E$53:E69=База5[[#This Row],[Наименование]]),$G$53:G69)=База5[[#This Row],[Характеристика_1]],"Поменялось","Нет"),"1 проверка")</f>
        <v>Нет</v>
      </c>
      <c r="I70" s="14">
        <f t="array" aca="1" ref="I70" ca="1">IF(База5[[#This Row],[Характеристика_bnju]]="Поменялось",IF(MOD(OFFSET(База5[[#This Row],[конец]],-1,),1)&lt;=MIN(IF((База5[[#This Row],[Наименование]]=$E$53:E69)*($J$53:J69&gt;0),$J$53:J69,9^9)),MAX(MOD(OFFSET(База5[[#This Row],[конец]],-1,),1),IF(База5[[#This Row],[Наименование]]=$E$53:E69,$I$53:I69)),0),IF(База5[[#This Row],[Характеристика_bnju]]="Нет",IF(MOD(OFFSET(База5[[#This Row],[конец]],-1,),1)&lt;=MIN(IF((База5[[#This Row],[Наименование]]=$E$53:E69)*($J$53:J69&gt;0),$J$53:J69,9^9)),MOD(База5[[#This Row],[конец]],1),0),0))</f>
        <v>0</v>
      </c>
      <c r="J70" s="14">
        <f>IF(База5[[#This Row],[Характеристика_bnju]]="Поменялось",MOD(База5[[#This Row],[Начало]],1),0)</f>
        <v>0</v>
      </c>
      <c r="Q70"/>
    </row>
    <row r="71" spans="1:17">
      <c r="A71" s="28">
        <v>42338.750694444447</v>
      </c>
      <c r="B71" s="28"/>
      <c r="C71" s="28">
        <v>42338.750694444447</v>
      </c>
      <c r="D71" s="28"/>
      <c r="E71" s="28" t="s">
        <v>25</v>
      </c>
      <c r="F71" s="29">
        <v>38</v>
      </c>
      <c r="G71" s="30">
        <v>22</v>
      </c>
      <c r="H71" s="29" t="str">
        <f>IFERROR(IF(LOOKUP(2,1/($E$53:E70=База5[[#This Row],[Наименование]]),$F$53:F70)-LOOKUP(2,1/($E$53:E70=База5[[#This Row],[Наименование]]),$G$53:G70)=База5[[#This Row],[Характеристика_1]],"Поменялось","Нет"),"1 проверка")</f>
        <v>Поменялось</v>
      </c>
      <c r="I71" s="14">
        <f t="array" aca="1" ref="I71" ca="1">IF(База5[[#This Row],[Характеристика_bnju]]="Поменялось",IF(MOD(OFFSET(База5[[#This Row],[конец]],-1,),1)&lt;=MIN(IF((База5[[#This Row],[Наименование]]=$E$53:E70)*($J$53:J70&gt;0),$J$53:J70,9^9)),MAX(MOD(OFFSET(База5[[#This Row],[конец]],-1,),1),IF(База5[[#This Row],[Наименование]]=$E$53:E70,$I$53:I70)),0),IF(База5[[#This Row],[Характеристика_bnju]]="Нет",IF(MOD(OFFSET(База5[[#This Row],[конец]],-1,),1)&lt;=MIN(IF((База5[[#This Row],[Наименование]]=$E$53:E70)*($J$53:J70&gt;0),$J$53:J70,9^9)),MOD(База5[[#This Row],[конец]],1),0),0))</f>
        <v>0</v>
      </c>
      <c r="J71" s="14">
        <f>IF(База5[[#This Row],[Характеристика_bnju]]="Поменялось",MOD(База5[[#This Row],[Начало]],1),0)</f>
        <v>0.75069444444670808</v>
      </c>
      <c r="Q71"/>
    </row>
    <row r="73" spans="1:17">
      <c r="A73" s="53" t="s">
        <v>29</v>
      </c>
      <c r="B73" s="53"/>
      <c r="C73" s="53"/>
      <c r="D73" s="53"/>
      <c r="E73" s="53"/>
      <c r="F73" s="53"/>
      <c r="G73" s="53"/>
      <c r="H73" s="53"/>
      <c r="I73" s="53"/>
      <c r="J73" s="53"/>
      <c r="K73" s="45"/>
    </row>
  </sheetData>
  <mergeCells count="5">
    <mergeCell ref="M47:S47"/>
    <mergeCell ref="A25:S25"/>
    <mergeCell ref="A52:J52"/>
    <mergeCell ref="A73:J73"/>
    <mergeCell ref="N54:R57"/>
  </mergeCells>
  <conditionalFormatting sqref="E28:E45">
    <cfRule type="duplicateValues" dxfId="4" priority="32"/>
  </conditionalFormatting>
  <conditionalFormatting sqref="E54:E71">
    <cfRule type="duplicateValues" dxfId="3" priority="1"/>
  </conditionalFormatting>
  <pageMargins left="0.7" right="0.7" top="0.75" bottom="0.75" header="0.3" footer="0.3"/>
  <pageSetup paperSize="9" orientation="portrait"/>
  <tableParts count="8">
    <tablePart r:id="rId2"/>
    <tablePart r:id="rId3"/>
    <tablePart r:id="rId4"/>
    <tablePart r:id="rId5"/>
    <tablePart r:id="rId6"/>
    <tablePart r:id="rId7"/>
    <tablePart r:id="rId8"/>
    <tablePart r:id="rId9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Елена</cp:lastModifiedBy>
  <dcterms:created xsi:type="dcterms:W3CDTF">2015-11-25T09:05:33Z</dcterms:created>
  <dcterms:modified xsi:type="dcterms:W3CDTF">2015-12-02T13:44:31Z</dcterms:modified>
</cp:coreProperties>
</file>