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35" yWindow="-120" windowWidth="20730" windowHeight="9975"/>
  </bookViews>
  <sheets>
    <sheet name="Таблица" sheetId="5" r:id="rId1"/>
    <sheet name="нормативы" sheetId="3" r:id="rId2"/>
    <sheet name="оценки" sheetId="6" r:id="rId3"/>
  </sheets>
  <externalReferences>
    <externalReference r:id="rId4"/>
  </externalReferences>
  <definedNames>
    <definedName name="_xlnm._FilterDatabase" localSheetId="0" hidden="1">Таблица!$A$4:$T$35</definedName>
    <definedName name="_xlnm.Print_Area" localSheetId="0">Таблица!$A$1:$P$50</definedName>
  </definedNames>
  <calcPr calcId="145621"/>
</workbook>
</file>

<file path=xl/calcChain.xml><?xml version="1.0" encoding="utf-8"?>
<calcChain xmlns="http://schemas.openxmlformats.org/spreadsheetml/2006/main">
  <c r="G47" i="5" l="1"/>
  <c r="H41" i="5"/>
  <c r="H42" i="5"/>
  <c r="H43" i="5"/>
  <c r="H44" i="5"/>
  <c r="H45" i="5"/>
  <c r="G44" i="5"/>
  <c r="G43" i="5"/>
  <c r="G42" i="5"/>
  <c r="G45" i="5" s="1"/>
  <c r="G41" i="5"/>
  <c r="H46" i="5"/>
  <c r="G4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6" i="5"/>
  <c r="K39" i="5"/>
  <c r="H39" i="5"/>
  <c r="J39" i="5"/>
  <c r="G39" i="5"/>
  <c r="F35" i="5" l="1" a="1"/>
  <c r="F35" i="5" s="1"/>
  <c r="F34" i="5" a="1"/>
  <c r="F34" i="5" s="1"/>
  <c r="F33" i="5" a="1"/>
  <c r="F33" i="5" s="1"/>
  <c r="F32" i="5" a="1"/>
  <c r="F32" i="5" s="1"/>
  <c r="F31" i="5" a="1"/>
  <c r="F31" i="5" s="1"/>
  <c r="F30" i="5" a="1"/>
  <c r="F30" i="5" s="1"/>
  <c r="F29" i="5" a="1"/>
  <c r="F29" i="5" s="1"/>
  <c r="F28" i="5" a="1"/>
  <c r="F28" i="5" s="1"/>
  <c r="F27" i="5" a="1"/>
  <c r="F27" i="5" s="1"/>
  <c r="F26" i="5" a="1"/>
  <c r="F26" i="5" s="1"/>
  <c r="F25" i="5" a="1"/>
  <c r="F25" i="5" s="1"/>
  <c r="F24" i="5" a="1"/>
  <c r="F24" i="5" s="1"/>
  <c r="F23" i="5" a="1"/>
  <c r="F23" i="5" s="1"/>
  <c r="F22" i="5" a="1"/>
  <c r="F22" i="5" s="1"/>
  <c r="F21" i="5" a="1"/>
  <c r="F21" i="5" s="1"/>
  <c r="F20" i="5" a="1"/>
  <c r="F20" i="5" s="1"/>
  <c r="F19" i="5" a="1"/>
  <c r="F19" i="5" s="1"/>
  <c r="F18" i="5" a="1"/>
  <c r="F18" i="5" s="1"/>
  <c r="F17" i="5" a="1"/>
  <c r="F17" i="5" s="1"/>
  <c r="F16" i="5" a="1"/>
  <c r="F16" i="5" s="1"/>
  <c r="F15" i="5" a="1"/>
  <c r="F15" i="5" s="1"/>
  <c r="F14" i="5" a="1"/>
  <c r="F14" i="5"/>
  <c r="F13" i="5" a="1"/>
  <c r="F13" i="5" s="1"/>
  <c r="F12" i="5" a="1"/>
  <c r="F12" i="5" s="1"/>
  <c r="F11" i="5" a="1"/>
  <c r="F11" i="5" s="1"/>
  <c r="F10" i="5" a="1"/>
  <c r="F10" i="5" s="1"/>
  <c r="F9" i="5" a="1"/>
  <c r="F9" i="5" s="1"/>
  <c r="F8" i="5" a="1"/>
  <c r="F8" i="5" s="1"/>
  <c r="F7" i="5" a="1"/>
  <c r="F7" i="5" s="1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6" i="5"/>
  <c r="F6" i="5" a="1"/>
  <c r="F6" i="5" s="1"/>
  <c r="G13" i="5"/>
  <c r="G16" i="5"/>
  <c r="G20" i="5"/>
  <c r="G25" i="5"/>
  <c r="G32" i="5"/>
  <c r="G35" i="5"/>
  <c r="M32" i="5" l="1" a="1"/>
  <c r="M32" i="5" s="1"/>
  <c r="I32" i="5" a="1"/>
  <c r="I32" i="5" s="1"/>
  <c r="K32" i="5" a="1"/>
  <c r="K32" i="5" s="1"/>
  <c r="K13" i="5" a="1"/>
  <c r="K13" i="5" s="1"/>
  <c r="I13" i="5" a="1"/>
  <c r="I13" i="5" s="1"/>
  <c r="M13" i="5" a="1"/>
  <c r="M13" i="5" s="1"/>
  <c r="K25" i="5" a="1"/>
  <c r="K25" i="5" s="1"/>
  <c r="M25" i="5" a="1"/>
  <c r="M25" i="5" s="1"/>
  <c r="I25" i="5" a="1"/>
  <c r="I25" i="5" s="1"/>
  <c r="M20" i="5" a="1"/>
  <c r="M20" i="5" s="1"/>
  <c r="I20" i="5" a="1"/>
  <c r="I20" i="5" s="1"/>
  <c r="K20" i="5" a="1"/>
  <c r="K20" i="5" s="1"/>
  <c r="M35" i="5" a="1"/>
  <c r="M35" i="5" s="1"/>
  <c r="I35" i="5" a="1"/>
  <c r="I35" i="5" s="1"/>
  <c r="K35" i="5" a="1"/>
  <c r="K35" i="5" s="1"/>
  <c r="I16" i="5" a="1"/>
  <c r="I16" i="5" s="1"/>
  <c r="M16" i="5" a="1"/>
  <c r="M16" i="5" s="1"/>
  <c r="K16" i="5" a="1"/>
  <c r="K16" i="5" s="1"/>
  <c r="F47" i="5" a="1"/>
  <c r="F47" i="5" s="1"/>
  <c r="H40" i="5"/>
  <c r="G34" i="5" l="1"/>
  <c r="G33" i="5"/>
  <c r="G31" i="5"/>
  <c r="G30" i="5"/>
  <c r="G28" i="5"/>
  <c r="G29" i="5"/>
  <c r="G27" i="5"/>
  <c r="G26" i="5"/>
  <c r="G24" i="5"/>
  <c r="G23" i="5"/>
  <c r="G22" i="5"/>
  <c r="G10" i="5"/>
  <c r="K10" i="5" l="1" a="1"/>
  <c r="K10" i="5" s="1"/>
  <c r="M10" i="5" a="1"/>
  <c r="M10" i="5" s="1"/>
  <c r="I10" i="5" a="1"/>
  <c r="I10" i="5" s="1"/>
  <c r="K26" i="5" a="1"/>
  <c r="K26" i="5" s="1"/>
  <c r="M26" i="5" a="1"/>
  <c r="M26" i="5" s="1"/>
  <c r="I26" i="5" a="1"/>
  <c r="I26" i="5" s="1"/>
  <c r="K30" i="5" a="1"/>
  <c r="K30" i="5" s="1"/>
  <c r="M30" i="5" a="1"/>
  <c r="M30" i="5" s="1"/>
  <c r="I30" i="5" a="1"/>
  <c r="I30" i="5" s="1"/>
  <c r="K22" i="5" a="1"/>
  <c r="K22" i="5" s="1"/>
  <c r="M22" i="5" a="1"/>
  <c r="M22" i="5" s="1"/>
  <c r="I22" i="5" a="1"/>
  <c r="I22" i="5" s="1"/>
  <c r="M27" i="5" a="1"/>
  <c r="M27" i="5" s="1"/>
  <c r="I27" i="5" a="1"/>
  <c r="I27" i="5" s="1"/>
  <c r="K27" i="5" a="1"/>
  <c r="K27" i="5" s="1"/>
  <c r="M31" i="5" a="1"/>
  <c r="M31" i="5" s="1"/>
  <c r="I31" i="5" a="1"/>
  <c r="I31" i="5" s="1"/>
  <c r="K31" i="5" a="1"/>
  <c r="K31" i="5" s="1"/>
  <c r="M23" i="5" a="1"/>
  <c r="M23" i="5" s="1"/>
  <c r="I23" i="5" a="1"/>
  <c r="I23" i="5" s="1"/>
  <c r="K23" i="5" a="1"/>
  <c r="K23" i="5" s="1"/>
  <c r="K29" i="5" a="1"/>
  <c r="K29" i="5" s="1"/>
  <c r="M29" i="5" a="1"/>
  <c r="M29" i="5" s="1"/>
  <c r="I29" i="5" a="1"/>
  <c r="I29" i="5" s="1"/>
  <c r="K33" i="5" a="1"/>
  <c r="K33" i="5" s="1"/>
  <c r="M33" i="5" a="1"/>
  <c r="M33" i="5" s="1"/>
  <c r="I33" i="5" a="1"/>
  <c r="I33" i="5" s="1"/>
  <c r="M24" i="5" a="1"/>
  <c r="M24" i="5" s="1"/>
  <c r="I24" i="5" a="1"/>
  <c r="I24" i="5" s="1"/>
  <c r="K24" i="5" a="1"/>
  <c r="K24" i="5" s="1"/>
  <c r="M28" i="5" a="1"/>
  <c r="M28" i="5" s="1"/>
  <c r="I28" i="5" a="1"/>
  <c r="I28" i="5" s="1"/>
  <c r="K28" i="5" a="1"/>
  <c r="K28" i="5" s="1"/>
  <c r="K34" i="5" a="1"/>
  <c r="K34" i="5" s="1"/>
  <c r="M34" i="5" a="1"/>
  <c r="M34" i="5" s="1"/>
  <c r="I34" i="5" a="1"/>
  <c r="I34" i="5" s="1"/>
  <c r="G7" i="5" l="1"/>
  <c r="G8" i="5"/>
  <c r="G9" i="5"/>
  <c r="G11" i="5"/>
  <c r="G12" i="5"/>
  <c r="G14" i="5"/>
  <c r="G15" i="5"/>
  <c r="G17" i="5"/>
  <c r="G18" i="5"/>
  <c r="G19" i="5"/>
  <c r="G21" i="5"/>
  <c r="G6" i="5"/>
  <c r="K17" i="5" l="1" a="1"/>
  <c r="K17" i="5" s="1"/>
  <c r="M17" i="5" a="1"/>
  <c r="M17" i="5" s="1"/>
  <c r="I17" i="5" a="1"/>
  <c r="I17" i="5" s="1"/>
  <c r="K21" i="5" a="1"/>
  <c r="K21" i="5" s="1"/>
  <c r="M21" i="5" a="1"/>
  <c r="M21" i="5" s="1"/>
  <c r="I21" i="5" a="1"/>
  <c r="I21" i="5" s="1"/>
  <c r="I15" i="5" a="1"/>
  <c r="I15" i="5" s="1"/>
  <c r="M15" i="5" a="1"/>
  <c r="M15" i="5" s="1"/>
  <c r="K15" i="5" a="1"/>
  <c r="K15" i="5" s="1"/>
  <c r="K9" i="5" a="1"/>
  <c r="K9" i="5" s="1"/>
  <c r="M9" i="5" a="1"/>
  <c r="M9" i="5" s="1"/>
  <c r="I9" i="5" a="1"/>
  <c r="I9" i="5" s="1"/>
  <c r="M6" i="5" a="1"/>
  <c r="M6" i="5" s="1"/>
  <c r="I6" i="5" a="1"/>
  <c r="I6" i="5" s="1"/>
  <c r="K6" i="5" a="1"/>
  <c r="K6" i="5" s="1"/>
  <c r="I19" i="5" a="1"/>
  <c r="I19" i="5" s="1"/>
  <c r="K19" i="5" a="1"/>
  <c r="K19" i="5" s="1"/>
  <c r="M19" i="5" a="1"/>
  <c r="M19" i="5" s="1"/>
  <c r="M14" i="5" a="1"/>
  <c r="M14" i="5" s="1"/>
  <c r="K14" i="5" a="1"/>
  <c r="K14" i="5" s="1"/>
  <c r="I14" i="5" a="1"/>
  <c r="I14" i="5" s="1"/>
  <c r="M8" i="5" a="1"/>
  <c r="M8" i="5" s="1"/>
  <c r="I8" i="5" a="1"/>
  <c r="I8" i="5" s="1"/>
  <c r="K8" i="5" a="1"/>
  <c r="K8" i="5" s="1"/>
  <c r="M11" i="5" a="1"/>
  <c r="M11" i="5" s="1"/>
  <c r="I11" i="5" a="1"/>
  <c r="I11" i="5" s="1"/>
  <c r="K11" i="5" a="1"/>
  <c r="K11" i="5" s="1"/>
  <c r="K18" i="5" a="1"/>
  <c r="K18" i="5" s="1"/>
  <c r="M18" i="5" a="1"/>
  <c r="M18" i="5" s="1"/>
  <c r="I18" i="5" a="1"/>
  <c r="I18" i="5" s="1"/>
  <c r="M12" i="5" a="1"/>
  <c r="M12" i="5" s="1"/>
  <c r="I12" i="5" a="1"/>
  <c r="I12" i="5" s="1"/>
  <c r="K12" i="5" a="1"/>
  <c r="K12" i="5" s="1"/>
  <c r="M7" i="5" a="1"/>
  <c r="M7" i="5" s="1"/>
  <c r="I7" i="5" a="1"/>
  <c r="I7" i="5" s="1"/>
  <c r="K7" i="5" a="1"/>
  <c r="K7" i="5" s="1"/>
</calcChain>
</file>

<file path=xl/comments1.xml><?xml version="1.0" encoding="utf-8"?>
<comments xmlns="http://schemas.openxmlformats.org/spreadsheetml/2006/main">
  <authors>
    <author>ADMIN</author>
  </authors>
  <commentList>
    <comment ref="G39" authorId="0">
      <text>
        <r>
          <rPr>
            <b/>
            <sz val="16"/>
            <color indexed="81"/>
            <rFont val="Tahoma"/>
            <family val="2"/>
            <charset val="204"/>
          </rPr>
          <t>К ПРОВЕРКЕ ПРЕДСТАВЛЕНО 27 ЧЕЛОВЕК, ТАК КАК 3 НАХОДЯТСЯ В ОТПУСКЕ</t>
        </r>
      </text>
    </comment>
    <comment ref="J39" authorId="0">
      <text>
        <r>
          <rPr>
            <b/>
            <sz val="14"/>
            <color indexed="81"/>
            <rFont val="Tahoma"/>
            <family val="2"/>
            <charset val="204"/>
          </rPr>
          <t>77 ПРОЦЕНТОВ ОТ ОБЩЕГО СПИСКА (ОТ 30 ЧЕЛОВЕК)</t>
        </r>
      </text>
    </comment>
    <comment ref="H41" authorId="0">
      <text>
        <r>
          <rPr>
            <sz val="16"/>
            <color indexed="81"/>
            <rFont val="Tahoma"/>
            <family val="2"/>
            <charset val="204"/>
          </rPr>
          <t>23 ЧЕЛОВЕКА КОТОРЫЕ СДАЮТ ЭКЗАМЕН БЕРЕМ ЗА 100 ПРОЦЕНТОВ</t>
        </r>
      </text>
    </comment>
    <comment ref="H46" authorId="0">
      <text>
        <r>
          <rPr>
            <b/>
            <sz val="14"/>
            <color indexed="81"/>
            <rFont val="Tahoma"/>
            <family val="2"/>
            <charset val="204"/>
          </rPr>
          <t>ОТ ОБЩЕГО КОЛИЧЕСТВА ЧЕЛОВЕК</t>
        </r>
      </text>
    </comment>
  </commentList>
</comments>
</file>

<file path=xl/sharedStrings.xml><?xml version="1.0" encoding="utf-8"?>
<sst xmlns="http://schemas.openxmlformats.org/spreadsheetml/2006/main" count="177" uniqueCount="89">
  <si>
    <t>Возрастная группа</t>
  </si>
  <si>
    <t>результат</t>
  </si>
  <si>
    <t>Баллы</t>
  </si>
  <si>
    <t>Результат</t>
  </si>
  <si>
    <t>Свыше 35 лет</t>
  </si>
  <si>
    <t>баллы</t>
  </si>
  <si>
    <t>Итоговые оценки</t>
  </si>
  <si>
    <t>Лица 1 возрастной группы</t>
  </si>
  <si>
    <t>Лица 2 возрастной группы</t>
  </si>
  <si>
    <t>Лица  3 возрастной группы</t>
  </si>
  <si>
    <t>Лица 4 возрастной группы</t>
  </si>
  <si>
    <t>Лица 5 возрастной группы</t>
  </si>
  <si>
    <t>Лица 6 возрастной группы</t>
  </si>
  <si>
    <t>Лица 7 возрастной группы</t>
  </si>
  <si>
    <t>Лица 8 возрастной группы</t>
  </si>
  <si>
    <t>До 34 лет</t>
  </si>
  <si>
    <t>Дата рождения</t>
  </si>
  <si>
    <t>Оценка</t>
  </si>
  <si>
    <t xml:space="preserve">№ </t>
  </si>
  <si>
    <t>Возрастная группа по состоянию на:</t>
  </si>
  <si>
    <t>мужчины</t>
  </si>
  <si>
    <t>№</t>
  </si>
  <si>
    <t>Всего представлено к проверке:</t>
  </si>
  <si>
    <t>из них сдавало</t>
  </si>
  <si>
    <t>Из них получили оценки:</t>
  </si>
  <si>
    <t>Отлично:</t>
  </si>
  <si>
    <t>Хорошо:</t>
  </si>
  <si>
    <t>Удовлетворительно:</t>
  </si>
  <si>
    <t>Неудовлетворительно:</t>
  </si>
  <si>
    <t>Получили положительные оценки:</t>
  </si>
  <si>
    <t>Освобождены по состоянию здоровья:</t>
  </si>
  <si>
    <t>Общая оценка за предмет:</t>
  </si>
  <si>
    <t>ОСВ</t>
  </si>
  <si>
    <t>Упражнение № 1</t>
  </si>
  <si>
    <t>Упражнение № 2</t>
  </si>
  <si>
    <t>Упражнение № 3</t>
  </si>
  <si>
    <t>Петров</t>
  </si>
  <si>
    <t>Иванов</t>
  </si>
  <si>
    <t xml:space="preserve">Андреев </t>
  </si>
  <si>
    <t>Антонов</t>
  </si>
  <si>
    <t>Жетонов</t>
  </si>
  <si>
    <t>Косырев</t>
  </si>
  <si>
    <t>медведев</t>
  </si>
  <si>
    <t>тигров</t>
  </si>
  <si>
    <t>Зверев</t>
  </si>
  <si>
    <t>Лисов</t>
  </si>
  <si>
    <t>Дятлов</t>
  </si>
  <si>
    <t>Жабин</t>
  </si>
  <si>
    <t>Конюшкин</t>
  </si>
  <si>
    <t>Птицин</t>
  </si>
  <si>
    <t>Долин</t>
  </si>
  <si>
    <t>Пугачев</t>
  </si>
  <si>
    <t>Галкин</t>
  </si>
  <si>
    <t>Джигурда</t>
  </si>
  <si>
    <t>Викторорв</t>
  </si>
  <si>
    <t>Алексеев</t>
  </si>
  <si>
    <t>Бондаренко</t>
  </si>
  <si>
    <t>Степанов</t>
  </si>
  <si>
    <t>Колхозин</t>
  </si>
  <si>
    <t>Прозов</t>
  </si>
  <si>
    <t>Рассказов</t>
  </si>
  <si>
    <t>Книжник</t>
  </si>
  <si>
    <t>Столяров</t>
  </si>
  <si>
    <t>Королев</t>
  </si>
  <si>
    <t>Дымов</t>
  </si>
  <si>
    <t>Польных</t>
  </si>
  <si>
    <t>таблица</t>
  </si>
  <si>
    <t>Индивид. Особенности</t>
  </si>
  <si>
    <t xml:space="preserve">(до 25 лет)   </t>
  </si>
  <si>
    <t xml:space="preserve">(25 – 29 лет) </t>
  </si>
  <si>
    <t xml:space="preserve">(30 – 34 лет) </t>
  </si>
  <si>
    <t xml:space="preserve">(35 – 39 лет) </t>
  </si>
  <si>
    <t>(40 – 44 лет)</t>
  </si>
  <si>
    <t xml:space="preserve">(45 -  49 лет) </t>
  </si>
  <si>
    <t xml:space="preserve">(50 – 54 лет) </t>
  </si>
  <si>
    <t xml:space="preserve">(55 лет и старше) </t>
  </si>
  <si>
    <t>женщины</t>
  </si>
  <si>
    <t>До 29 лет</t>
  </si>
  <si>
    <t>Свыше 30 лет</t>
  </si>
  <si>
    <t xml:space="preserve">(45лет и старше) </t>
  </si>
  <si>
    <t xml:space="preserve">(40 – 44 лет) </t>
  </si>
  <si>
    <t>Возрастная группа для женщин</t>
  </si>
  <si>
    <t>ОТП</t>
  </si>
  <si>
    <t>Возрастная группа с учетом индивидуальных особенностей</t>
  </si>
  <si>
    <t>Фамилия, инициалы</t>
  </si>
  <si>
    <t>Количество баллов</t>
  </si>
  <si>
    <t>Пол</t>
  </si>
  <si>
    <t>М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</si>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</sst>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«0\»"/>
    <numFmt numFmtId="165" formatCode="[&gt;2]0;[Red]0"/>
    <numFmt numFmtId="166" formatCode="0&quot; чел.&quot;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4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/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9" fontId="9" fillId="0" borderId="39" xfId="0" applyNumberFormat="1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29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0" fontId="10" fillId="0" borderId="23" xfId="0" applyFont="1" applyFill="1" applyBorder="1" applyAlignment="1">
      <alignment horizontal="center" vertical="center"/>
    </xf>
    <xf numFmtId="14" fontId="4" fillId="0" borderId="1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10" fillId="0" borderId="23" xfId="0" applyNumberFormat="1" applyFont="1" applyFill="1" applyBorder="1" applyAlignment="1">
      <alignment horizontal="center" vertical="center"/>
    </xf>
    <xf numFmtId="165" fontId="10" fillId="0" borderId="20" xfId="0" applyNumberFormat="1" applyFont="1" applyFill="1" applyBorder="1" applyAlignment="1">
      <alignment horizontal="center" vertical="center"/>
    </xf>
    <xf numFmtId="165" fontId="6" fillId="0" borderId="20" xfId="0" applyNumberFormat="1" applyFont="1" applyFill="1" applyBorder="1" applyAlignment="1">
      <alignment horizontal="center" vertical="center"/>
    </xf>
    <xf numFmtId="165" fontId="10" fillId="0" borderId="20" xfId="0" applyNumberFormat="1" applyFont="1" applyFill="1" applyBorder="1" applyAlignment="1">
      <alignment horizontal="right" vertical="center"/>
    </xf>
    <xf numFmtId="165" fontId="6" fillId="0" borderId="3" xfId="0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9" fontId="12" fillId="0" borderId="40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left" vertical="center"/>
    </xf>
    <xf numFmtId="14" fontId="11" fillId="0" borderId="23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0" fillId="0" borderId="49" xfId="0" applyFont="1" applyFill="1" applyBorder="1" applyAlignment="1"/>
    <xf numFmtId="0" fontId="10" fillId="0" borderId="41" xfId="0" applyFont="1" applyFill="1" applyBorder="1" applyAlignment="1"/>
    <xf numFmtId="0" fontId="10" fillId="0" borderId="41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left" vertical="center"/>
    </xf>
    <xf numFmtId="0" fontId="11" fillId="0" borderId="49" xfId="0" applyFont="1" applyFill="1" applyBorder="1" applyAlignment="1">
      <alignment horizontal="center" vertical="center"/>
    </xf>
    <xf numFmtId="14" fontId="11" fillId="0" borderId="21" xfId="0" applyNumberFormat="1" applyFont="1" applyFill="1" applyBorder="1" applyAlignment="1">
      <alignment horizontal="center" vertical="center"/>
    </xf>
    <xf numFmtId="14" fontId="11" fillId="0" borderId="2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Border="1"/>
    <xf numFmtId="0" fontId="1" fillId="2" borderId="0" xfId="0" applyFont="1" applyFill="1"/>
    <xf numFmtId="0" fontId="1" fillId="2" borderId="0" xfId="0" applyFont="1" applyFill="1" applyBorder="1"/>
    <xf numFmtId="0" fontId="10" fillId="6" borderId="2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center" vertical="top"/>
    </xf>
    <xf numFmtId="0" fontId="5" fillId="0" borderId="43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textRotation="90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6" fillId="0" borderId="37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17" fillId="0" borderId="23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7" fillId="0" borderId="50" xfId="0" applyFont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6" fontId="5" fillId="0" borderId="39" xfId="0" applyNumberFormat="1" applyFont="1" applyFill="1" applyBorder="1" applyAlignment="1">
      <alignment horizontal="right" vertical="center"/>
    </xf>
    <xf numFmtId="166" fontId="9" fillId="0" borderId="40" xfId="0" applyNumberFormat="1" applyFont="1" applyFill="1" applyBorder="1" applyAlignment="1">
      <alignment horizontal="right" vertical="center"/>
    </xf>
    <xf numFmtId="166" fontId="5" fillId="0" borderId="40" xfId="0" applyNumberFormat="1" applyFont="1" applyFill="1" applyBorder="1" applyAlignment="1">
      <alignment horizontal="right" vertical="center"/>
    </xf>
    <xf numFmtId="166" fontId="5" fillId="0" borderId="3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indent="7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9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&#1056;&#1072;&#1073;&#1086;&#1095;&#1080;&#1081;%20&#1089;&#1090;&#1086;&#1083;\&#1053;&#1086;&#1074;&#1072;&#1103;%20&#1087;&#1072;&#1087;&#1082;&#1072;%20(2)\&#1085;&#1072;&#1079;&#1072;&#1088;&#1103;&#1085;\&#1058;&#1072;&#1073;&#1083;&#1080;&#1094;&#1072;%20&#1085;&#1086;&#1088;&#1084;&#1072;&#1090;&#1080;&#1074;&#1086;&#1074;%20&#1087;&#1086;%20&#1060;&#1055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нормативы"/>
      <sheetName val="оценки"/>
    </sheetNames>
    <sheetDataSet>
      <sheetData sheetId="0"/>
      <sheetData sheetId="1">
        <row r="6">
          <cell r="B6">
            <v>100</v>
          </cell>
          <cell r="C6">
            <v>30</v>
          </cell>
        </row>
        <row r="7">
          <cell r="B7">
            <v>98</v>
          </cell>
          <cell r="C7">
            <v>29</v>
          </cell>
        </row>
        <row r="8">
          <cell r="B8">
            <v>96</v>
          </cell>
          <cell r="C8">
            <v>28</v>
          </cell>
        </row>
        <row r="9">
          <cell r="B9">
            <v>94</v>
          </cell>
          <cell r="C9">
            <v>27</v>
          </cell>
        </row>
        <row r="10">
          <cell r="B10">
            <v>92</v>
          </cell>
          <cell r="C10">
            <v>26</v>
          </cell>
        </row>
        <row r="11">
          <cell r="B11">
            <v>90</v>
          </cell>
          <cell r="C11">
            <v>25</v>
          </cell>
        </row>
        <row r="12">
          <cell r="B12">
            <v>88</v>
          </cell>
          <cell r="C12">
            <v>24</v>
          </cell>
        </row>
        <row r="13">
          <cell r="B13">
            <v>86</v>
          </cell>
          <cell r="C13">
            <v>23</v>
          </cell>
        </row>
        <row r="14">
          <cell r="B14">
            <v>84</v>
          </cell>
          <cell r="C14">
            <v>22</v>
          </cell>
        </row>
        <row r="15">
          <cell r="B15">
            <v>82</v>
          </cell>
          <cell r="C15">
            <v>21</v>
          </cell>
        </row>
        <row r="16">
          <cell r="B16">
            <v>80</v>
          </cell>
          <cell r="C16">
            <v>20</v>
          </cell>
        </row>
        <row r="17">
          <cell r="B17">
            <v>78</v>
          </cell>
          <cell r="C17">
            <v>19</v>
          </cell>
        </row>
        <row r="18">
          <cell r="B18">
            <v>76</v>
          </cell>
          <cell r="C18">
            <v>18</v>
          </cell>
        </row>
        <row r="19">
          <cell r="B19">
            <v>74</v>
          </cell>
          <cell r="C19">
            <v>17</v>
          </cell>
        </row>
        <row r="20">
          <cell r="B20">
            <v>72</v>
          </cell>
          <cell r="C20">
            <v>16</v>
          </cell>
        </row>
        <row r="21">
          <cell r="B21">
            <v>70</v>
          </cell>
          <cell r="C21">
            <v>15</v>
          </cell>
        </row>
        <row r="22">
          <cell r="B22">
            <v>66</v>
          </cell>
          <cell r="C22">
            <v>14</v>
          </cell>
        </row>
        <row r="23">
          <cell r="B23">
            <v>62</v>
          </cell>
          <cell r="C23">
            <v>13</v>
          </cell>
        </row>
        <row r="24">
          <cell r="B24">
            <v>58</v>
          </cell>
          <cell r="C24">
            <v>12</v>
          </cell>
        </row>
        <row r="25">
          <cell r="B25">
            <v>54</v>
          </cell>
          <cell r="C25">
            <v>11</v>
          </cell>
        </row>
        <row r="26">
          <cell r="B26">
            <v>50</v>
          </cell>
          <cell r="C26">
            <v>10</v>
          </cell>
        </row>
        <row r="27">
          <cell r="B27">
            <v>46</v>
          </cell>
          <cell r="C27">
            <v>9</v>
          </cell>
        </row>
        <row r="28">
          <cell r="B28">
            <v>42</v>
          </cell>
          <cell r="C28">
            <v>8</v>
          </cell>
        </row>
        <row r="29">
          <cell r="B29">
            <v>38</v>
          </cell>
          <cell r="C29">
            <v>7</v>
          </cell>
        </row>
        <row r="30">
          <cell r="B30">
            <v>34</v>
          </cell>
          <cell r="C30">
            <v>6</v>
          </cell>
        </row>
        <row r="31">
          <cell r="B31">
            <v>30</v>
          </cell>
          <cell r="C31">
            <v>5</v>
          </cell>
        </row>
        <row r="32">
          <cell r="B32">
            <v>26</v>
          </cell>
          <cell r="C32">
            <v>4</v>
          </cell>
        </row>
        <row r="33">
          <cell r="B33">
            <v>22</v>
          </cell>
          <cell r="C33">
            <v>3</v>
          </cell>
        </row>
        <row r="34">
          <cell r="B34">
            <v>16</v>
          </cell>
          <cell r="C34">
            <v>2</v>
          </cell>
        </row>
        <row r="35">
          <cell r="B35">
            <v>6</v>
          </cell>
          <cell r="C35">
            <v>1</v>
          </cell>
        </row>
      </sheetData>
      <sheetData sheetId="2">
        <row r="6">
          <cell r="B6" t="str">
            <v>(до 25 лет)   пороговый уровень 30 баллов</v>
          </cell>
        </row>
        <row r="7">
          <cell r="B7" t="str">
            <v>Лица 2 возрастной группы</v>
          </cell>
        </row>
        <row r="8">
          <cell r="B8" t="str">
            <v>(25 – 29 лет) пороговый уровень 28 баллов</v>
          </cell>
        </row>
        <row r="9">
          <cell r="B9" t="str">
            <v>Лица  3 возрастной группы</v>
          </cell>
        </row>
        <row r="10">
          <cell r="B10" t="str">
            <v>(30 – 34 лет) пороговый уровень 24 балла</v>
          </cell>
        </row>
        <row r="11">
          <cell r="B11" t="str">
            <v>Лица 4 возрастной группы</v>
          </cell>
        </row>
        <row r="12">
          <cell r="B12" t="str">
            <v>(35 – 39 лет) пороговый уровень 22 балла</v>
          </cell>
        </row>
        <row r="13">
          <cell r="B13" t="str">
            <v>Лица 5 возрастной группы</v>
          </cell>
        </row>
        <row r="14">
          <cell r="B14" t="str">
            <v>(40 – 44 лет) пороговый уровень 20 баллов</v>
          </cell>
        </row>
        <row r="15">
          <cell r="B15" t="str">
            <v>Лица 6 возрастной группы</v>
          </cell>
        </row>
        <row r="16">
          <cell r="B16" t="str">
            <v>(45 -  49 лет) пороговый уровень 16 баллов</v>
          </cell>
        </row>
        <row r="17">
          <cell r="B17" t="str">
            <v>Лица 7 возрастной группы</v>
          </cell>
        </row>
        <row r="18">
          <cell r="B18" t="str">
            <v>(50 – 54 лет) пороговый уровень 12 баллов</v>
          </cell>
        </row>
        <row r="19">
          <cell r="B19" t="str">
            <v>Лица 8 возрастной группы</v>
          </cell>
        </row>
        <row r="20">
          <cell r="B20" t="str">
            <v>(55 лет и старше) пороговый уровень 6 баллов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U55"/>
  <sheetViews>
    <sheetView tabSelected="1" topLeftCell="A13" zoomScale="55" zoomScaleNormal="55" workbookViewId="0">
      <selection activeCell="J44" sqref="J44"/>
    </sheetView>
  </sheetViews>
  <sheetFormatPr defaultRowHeight="15.75" x14ac:dyDescent="0.25"/>
  <cols>
    <col min="1" max="1" width="6.85546875" style="2" customWidth="1"/>
    <col min="2" max="2" width="18.5703125" style="2" customWidth="1"/>
    <col min="3" max="3" width="28.7109375" style="2" customWidth="1"/>
    <col min="4" max="4" width="10.85546875" style="2" customWidth="1"/>
    <col min="5" max="5" width="19.85546875" style="2" customWidth="1"/>
    <col min="6" max="6" width="15.7109375" style="2" customWidth="1"/>
    <col min="7" max="7" width="18.5703125" style="2" customWidth="1"/>
    <col min="8" max="13" width="20.7109375" style="2" customWidth="1"/>
    <col min="14" max="14" width="17.7109375" style="2" customWidth="1"/>
    <col min="15" max="15" width="15.7109375" style="2" customWidth="1"/>
    <col min="16" max="16" width="9.5703125" style="2" customWidth="1"/>
    <col min="17" max="17" width="14.5703125" style="2" customWidth="1"/>
    <col min="18" max="18" width="5.42578125" style="2" customWidth="1"/>
    <col min="19" max="21" width="9.140625" style="2"/>
    <col min="22" max="22" width="19" style="2" customWidth="1"/>
    <col min="23" max="16384" width="9.140625" style="2"/>
  </cols>
  <sheetData>
    <row r="1" spans="1:19" ht="16.5" thickBot="1" x14ac:dyDescent="0.3"/>
    <row r="2" spans="1:19" ht="33.75" customHeight="1" thickBot="1" x14ac:dyDescent="0.3">
      <c r="A2" s="143" t="s">
        <v>66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</row>
    <row r="3" spans="1:19" ht="24" customHeight="1" thickBot="1" x14ac:dyDescent="0.3">
      <c r="A3" s="146" t="s">
        <v>19</v>
      </c>
      <c r="B3" s="146"/>
      <c r="C3" s="146"/>
      <c r="D3" s="104"/>
      <c r="E3" s="59">
        <v>42735</v>
      </c>
    </row>
    <row r="4" spans="1:19" ht="47.25" customHeight="1" thickBot="1" x14ac:dyDescent="0.3">
      <c r="A4" s="147" t="s">
        <v>18</v>
      </c>
      <c r="B4" s="152"/>
      <c r="C4" s="149" t="s">
        <v>84</v>
      </c>
      <c r="D4" s="149" t="s">
        <v>86</v>
      </c>
      <c r="E4" s="141" t="s">
        <v>16</v>
      </c>
      <c r="F4" s="141" t="s">
        <v>0</v>
      </c>
      <c r="G4" s="129" t="s">
        <v>83</v>
      </c>
      <c r="H4" s="137" t="s">
        <v>33</v>
      </c>
      <c r="I4" s="138"/>
      <c r="J4" s="139" t="s">
        <v>34</v>
      </c>
      <c r="K4" s="140"/>
      <c r="L4" s="137" t="s">
        <v>35</v>
      </c>
      <c r="M4" s="138"/>
      <c r="N4" s="141" t="s">
        <v>85</v>
      </c>
      <c r="O4" s="135" t="s">
        <v>17</v>
      </c>
      <c r="P4" s="128"/>
      <c r="Q4" s="131" t="s">
        <v>67</v>
      </c>
      <c r="R4" s="133" t="s">
        <v>21</v>
      </c>
    </row>
    <row r="5" spans="1:19" s="1" customFormat="1" ht="34.5" customHeight="1" thickBot="1" x14ac:dyDescent="0.3">
      <c r="A5" s="148"/>
      <c r="B5" s="153"/>
      <c r="C5" s="150"/>
      <c r="D5" s="150"/>
      <c r="E5" s="151"/>
      <c r="F5" s="142"/>
      <c r="G5" s="130"/>
      <c r="H5" s="74" t="s">
        <v>1</v>
      </c>
      <c r="I5" s="75" t="s">
        <v>5</v>
      </c>
      <c r="J5" s="74" t="s">
        <v>1</v>
      </c>
      <c r="K5" s="75" t="s">
        <v>5</v>
      </c>
      <c r="L5" s="74" t="s">
        <v>1</v>
      </c>
      <c r="M5" s="75" t="s">
        <v>5</v>
      </c>
      <c r="N5" s="142"/>
      <c r="O5" s="136"/>
      <c r="P5" s="128"/>
      <c r="Q5" s="132"/>
      <c r="R5" s="134"/>
    </row>
    <row r="6" spans="1:19" ht="21" thickBot="1" x14ac:dyDescent="0.35">
      <c r="A6" s="76">
        <v>1</v>
      </c>
      <c r="B6" s="77"/>
      <c r="C6" s="97" t="s">
        <v>36</v>
      </c>
      <c r="D6" s="180" t="s">
        <v>87</v>
      </c>
      <c r="E6" s="78">
        <v>31199</v>
      </c>
      <c r="F6" s="101">
        <f t="array" ref="F6">IF(E6,SUM(--(DATEDIF(E6,E$3,"y")&gt;=IFERROR(--MID(SUBSTITUTE(IF(D6="М",оценки!B$6:B$20,оценки!H$6:H$16),"до",10),2,2),99))),"")</f>
        <v>3</v>
      </c>
      <c r="G6" s="120">
        <f>IF(Q6="ОСВ","Освобождение",IF(Q6="ОТП","Отпуск",SUM(F6,Q6,P6)))</f>
        <v>4</v>
      </c>
      <c r="H6" s="79">
        <v>5</v>
      </c>
      <c r="I6" s="58">
        <f t="array" ref="I6">IF(N(G6),MAX(IF(--TEXT((нормативы!$B$4:$AC$4=H$4)*(LEFTB(нормативы!$B$3:$AC$3)=D6)*нормативы!$C$7:$AD$101*(IF($D6="Ж",LEFTB(нормативы!$B$5:$AC$5)=IF(G6&gt;2,"С","Д"),1)),"0;;99")&lt;=H6,нормативы!$B$7:$AC$101)),"")</f>
        <v>30</v>
      </c>
      <c r="J6" s="80">
        <v>13</v>
      </c>
      <c r="K6" s="58">
        <f t="array" ref="K6">IF(N(G6),MAX(IF(--TEXT((нормативы!$B$4:$AC$4=J$4)*(LEFTB(нормативы!$B$3:$AC$3)=D6)*нормативы!$C$7:$AD$101*(IF($D6="Ж",LEFTB(нормативы!$B$5:$AC$5)=IF(G6&gt;2,"С","Д"),1)),"0,00;;0")&gt;=J6,нормативы!$B$7:$AC$101)),"")</f>
        <v>76</v>
      </c>
      <c r="L6" s="95">
        <v>3.4</v>
      </c>
      <c r="M6" s="176">
        <f t="array" ref="M6">IF(N(G6),MAX(IF(--TEXT((нормативы!$B$4:$AC$4=L$4)*(LEFTB(нормативы!$B$3:$AC$3)=D6)*нормативы!$C$7:$AD$101*(LEFTB(нормативы!$B$5:$AC$5)=IF(G6&gt;2+($D6="М"),"С","Д")),"0,00;;0")&gt;=L6,нормативы!$B$7:$AC$101)),"")</f>
        <v>70</v>
      </c>
      <c r="N6" s="80">
        <f>IF(N(G6),I6+K6+M6,"")</f>
        <v>176</v>
      </c>
      <c r="O6" s="65">
        <f>IF(N(G6),COUNTIF(INDEX(оценки!C$4:F$20,G6*2,),"&lt;="&amp;N6)+2,"")</f>
        <v>5</v>
      </c>
      <c r="P6" s="33"/>
      <c r="Q6" s="81">
        <v>1</v>
      </c>
      <c r="R6" s="82">
        <v>1</v>
      </c>
      <c r="S6" s="2">
        <f>DATEDIF(E6,E$3,"y")</f>
        <v>31</v>
      </c>
    </row>
    <row r="7" spans="1:19" ht="21" thickBot="1" x14ac:dyDescent="0.35">
      <c r="A7" s="83">
        <v>2</v>
      </c>
      <c r="B7" s="84"/>
      <c r="C7" s="98" t="s">
        <v>37</v>
      </c>
      <c r="D7" s="181" t="s">
        <v>88</v>
      </c>
      <c r="E7" s="102">
        <v>28643</v>
      </c>
      <c r="F7" s="101">
        <f t="array" ref="F7">IF(E7,SUM(--(DATEDIF(E7,E$3,"y")&gt;=IFERROR(--MID(SUBSTITUTE(IF(D7="М",оценки!B$6:B$20,оценки!H$6:H$16),"до",10),2,2),99))),"")</f>
        <v>4</v>
      </c>
      <c r="G7" s="120">
        <f t="shared" ref="G7:G35" si="0">IF(Q7="ОСВ","Освобождение",IF(Q7="ОТП","Отпуск",SUM(F7,Q7,P7)))</f>
        <v>4</v>
      </c>
      <c r="H7" s="85">
        <v>10</v>
      </c>
      <c r="I7" s="58">
        <f t="array" ref="I7">IF(N(G7),MAX(IF(--TEXT((нормативы!$B$4:$AC$4=H$4)*(LEFTB(нормативы!$B$3:$AC$3)=D7)*нормативы!$C$7:$AD$101*(IF($D7="Ж",LEFTB(нормативы!$B$5:$AC$5)=IF(G7&gt;2,"С","Д"),1)),"0;;99")&lt;=H7,нормативы!$B$7:$AC$101)),"")</f>
        <v>30</v>
      </c>
      <c r="J7" s="86">
        <v>13</v>
      </c>
      <c r="K7" s="58">
        <f t="array" ref="K7">IF(N(G7),MAX(IF(--TEXT((нормативы!$B$4:$AC$4=J$4)*(LEFTB(нормативы!$B$3:$AC$3)=D7)*нормативы!$C$7:$AD$101*(IF($D7="Ж",LEFTB(нормативы!$B$5:$AC$5)=IF(G7&gt;2,"С","Д"),1)),"0,00;;0")&gt;=J7,нормативы!$B$7:$AC$101)),"")</f>
        <v>126</v>
      </c>
      <c r="L7" s="86">
        <v>3.4</v>
      </c>
      <c r="M7" s="176">
        <f t="array" ref="M7">IF(N(G7),MAX(IF(--TEXT((нормативы!$B$4:$AC$4=L$4)*(LEFTB(нормативы!$B$3:$AC$3)=D7)*нормативы!$C$7:$AD$101*(LEFTB(нормативы!$B$5:$AC$5)=IF(G7&gt;2+($D7="М"),"С","Д")),"0,00;;0")&gt;=L7,нормативы!$B$7:$AC$101)),"")</f>
        <v>100</v>
      </c>
      <c r="N7" s="80">
        <f t="shared" ref="N7:N35" si="1">IF(N(G7),I7+K7+M7,"")</f>
        <v>256</v>
      </c>
      <c r="O7" s="65">
        <f>IF(N(G7),COUNTIF(INDEX(оценки!C$4:F$20,G7*2,),"&lt;="&amp;N7)+2,"")</f>
        <v>5</v>
      </c>
      <c r="P7" s="33"/>
      <c r="Q7" s="87"/>
      <c r="R7" s="88">
        <v>2</v>
      </c>
      <c r="S7" s="2">
        <f t="shared" ref="S7:S35" si="2">DATEDIF(E7,E$3,"y")</f>
        <v>38</v>
      </c>
    </row>
    <row r="8" spans="1:19" ht="21" thickBot="1" x14ac:dyDescent="0.35">
      <c r="A8" s="83">
        <v>3</v>
      </c>
      <c r="B8" s="84"/>
      <c r="C8" s="98" t="s">
        <v>38</v>
      </c>
      <c r="D8" s="180" t="s">
        <v>87</v>
      </c>
      <c r="E8" s="102">
        <v>31201</v>
      </c>
      <c r="F8" s="101">
        <f t="array" ref="F8">IF(E8,SUM(--(DATEDIF(E8,E$3,"y")&gt;=IFERROR(--MID(SUBSTITUTE(IF(D8="М",оценки!B$6:B$20,оценки!H$6:H$16),"до",10),2,2),99))),"")</f>
        <v>3</v>
      </c>
      <c r="G8" s="120">
        <f t="shared" si="0"/>
        <v>3</v>
      </c>
      <c r="H8" s="85">
        <v>5</v>
      </c>
      <c r="I8" s="58">
        <f t="array" ref="I8">IF(N(G8),MAX(IF(--TEXT((нормативы!$B$4:$AC$4=H$4)*(LEFTB(нормативы!$B$3:$AC$3)=D8)*нормативы!$C$7:$AD$101*(IF($D8="Ж",LEFTB(нормативы!$B$5:$AC$5)=IF(G8&gt;2,"С","Д"),1)),"0;;99")&lt;=H8,нормативы!$B$7:$AC$101)),"")</f>
        <v>30</v>
      </c>
      <c r="J8" s="86">
        <v>16</v>
      </c>
      <c r="K8" s="58">
        <f t="array" ref="K8">IF(N(G8),MAX(IF(--TEXT((нормативы!$B$4:$AC$4=J$4)*(LEFTB(нормативы!$B$3:$AC$3)=D8)*нормативы!$C$7:$AD$101*(IF($D8="Ж",LEFTB(нормативы!$B$5:$AC$5)=IF(G8&gt;2,"С","Д"),1)),"0,00;;0")&gt;=J8,нормативы!$B$7:$AC$101)),"")</f>
        <v>23</v>
      </c>
      <c r="L8" s="86">
        <v>5</v>
      </c>
      <c r="M8" s="176">
        <f t="array" ref="M8">IF(N(G8),MAX(IF(--TEXT((нормативы!$B$4:$AC$4=L$4)*(LEFTB(нормативы!$B$3:$AC$3)=D8)*нормативы!$C$7:$AD$101*(LEFTB(нормативы!$B$5:$AC$5)=IF(G8&gt;2+($D8="М"),"С","Д")),"0,00;;0")&gt;=L8,нормативы!$B$7:$AC$101)),"")</f>
        <v>17</v>
      </c>
      <c r="N8" s="80">
        <f t="shared" si="1"/>
        <v>70</v>
      </c>
      <c r="O8" s="65">
        <f>IF(N(G8),COUNTIF(INDEX(оценки!C$4:F$20,G8*2,),"&lt;="&amp;N8)+2,"")</f>
        <v>2</v>
      </c>
      <c r="P8" s="33"/>
      <c r="Q8" s="87"/>
      <c r="R8" s="88">
        <v>3</v>
      </c>
      <c r="S8" s="2">
        <f t="shared" si="2"/>
        <v>31</v>
      </c>
    </row>
    <row r="9" spans="1:19" ht="21" thickBot="1" x14ac:dyDescent="0.35">
      <c r="A9" s="83">
        <v>4</v>
      </c>
      <c r="B9" s="84"/>
      <c r="C9" s="98" t="s">
        <v>39</v>
      </c>
      <c r="D9" s="181" t="s">
        <v>88</v>
      </c>
      <c r="E9" s="102">
        <v>30106</v>
      </c>
      <c r="F9" s="101">
        <f t="array" ref="F9">IF(E9,SUM(--(DATEDIF(E9,E$3,"y")&gt;=IFERROR(--MID(SUBSTITUTE(IF(D9="М",оценки!B$6:B$20,оценки!H$6:H$16),"до",10),2,2),99))),"")</f>
        <v>3</v>
      </c>
      <c r="G9" s="120">
        <f t="shared" si="0"/>
        <v>3</v>
      </c>
      <c r="H9" s="85">
        <v>1</v>
      </c>
      <c r="I9" s="58">
        <f t="array" ref="I9">IF(N(G9),MAX(IF(--TEXT((нормативы!$B$4:$AC$4=H$4)*(LEFTB(нормативы!$B$3:$AC$3)=D9)*нормативы!$C$7:$AD$101*(IF($D9="Ж",LEFTB(нормативы!$B$5:$AC$5)=IF(G9&gt;2,"С","Д"),1)),"0;;99")&lt;=H9,нормативы!$B$7:$AC$101)),"")</f>
        <v>0</v>
      </c>
      <c r="J9" s="86">
        <v>17</v>
      </c>
      <c r="K9" s="58">
        <f t="array" ref="K9">IF(N(G9),MAX(IF(--TEXT((нормативы!$B$4:$AC$4=J$4)*(LEFTB(нормативы!$B$3:$AC$3)=D9)*нормативы!$C$7:$AD$101*(IF($D9="Ж",LEFTB(нормативы!$B$5:$AC$5)=IF(G9&gt;2,"С","Д"),1)),"0,00;;0")&gt;=J9,нормативы!$B$7:$AC$101)),"")</f>
        <v>77</v>
      </c>
      <c r="L9" s="86">
        <v>6</v>
      </c>
      <c r="M9" s="176">
        <f t="array" ref="M9">IF(N(G9),MAX(IF(--TEXT((нормативы!$B$4:$AC$4=L$4)*(LEFTB(нормативы!$B$3:$AC$3)=D9)*нормативы!$C$7:$AD$101*(LEFTB(нормативы!$B$5:$AC$5)=IF(G9&gt;2+($D9="М"),"С","Д")),"0,00;;0")&gt;=L9,нормативы!$B$7:$AC$101)),"")</f>
        <v>23</v>
      </c>
      <c r="N9" s="80">
        <f t="shared" si="1"/>
        <v>100</v>
      </c>
      <c r="O9" s="65">
        <f>IF(N(G9),COUNTIF(INDEX(оценки!C$4:F$20,G9*2,),"&lt;="&amp;N9)+2,"")</f>
        <v>3</v>
      </c>
      <c r="P9" s="33"/>
      <c r="Q9" s="87"/>
      <c r="R9" s="88">
        <v>4</v>
      </c>
      <c r="S9" s="2">
        <f t="shared" si="2"/>
        <v>34</v>
      </c>
    </row>
    <row r="10" spans="1:19" ht="21" thickBot="1" x14ac:dyDescent="0.35">
      <c r="A10" s="83">
        <v>5</v>
      </c>
      <c r="B10" s="84"/>
      <c r="C10" s="98" t="s">
        <v>40</v>
      </c>
      <c r="D10" s="180" t="s">
        <v>87</v>
      </c>
      <c r="E10" s="102">
        <v>32664</v>
      </c>
      <c r="F10" s="101">
        <f t="array" ref="F10">IF(E10,SUM(--(DATEDIF(E10,E$3,"y")&gt;=IFERROR(--MID(SUBSTITUTE(IF(D10="М",оценки!B$6:B$20,оценки!H$6:H$16),"до",10),2,2),99))),"")</f>
        <v>2</v>
      </c>
      <c r="G10" s="120">
        <f t="shared" si="0"/>
        <v>2</v>
      </c>
      <c r="H10" s="85">
        <v>10</v>
      </c>
      <c r="I10" s="58">
        <f t="array" ref="I10">IF(N(G10),MAX(IF(--TEXT((нормативы!$B$4:$AC$4=H$4)*(LEFTB(нормативы!$B$3:$AC$3)=D10)*нормативы!$C$7:$AD$101*(IF($D10="Ж",LEFTB(нормативы!$B$5:$AC$5)=IF(G10&gt;2,"С","Д"),1)),"0;;99")&lt;=H10,нормативы!$B$7:$AC$101)),"")</f>
        <v>50</v>
      </c>
      <c r="J10" s="86">
        <v>13</v>
      </c>
      <c r="K10" s="58">
        <f t="array" ref="K10">IF(N(G10),MAX(IF(--TEXT((нормативы!$B$4:$AC$4=J$4)*(LEFTB(нормативы!$B$3:$AC$3)=D10)*нормативы!$C$7:$AD$101*(IF($D10="Ж",LEFTB(нормативы!$B$5:$AC$5)=IF(G10&gt;2,"С","Д"),1)),"0,00;;0")&gt;=J10,нормативы!$B$7:$AC$101)),"")</f>
        <v>76</v>
      </c>
      <c r="L10" s="86">
        <v>3.4</v>
      </c>
      <c r="M10" s="176">
        <f t="array" ref="M10">IF(N(G10),MAX(IF(--TEXT((нормативы!$B$4:$AC$4=L$4)*(LEFTB(нормативы!$B$3:$AC$3)=D10)*нормативы!$C$7:$AD$101*(LEFTB(нормативы!$B$5:$AC$5)=IF(G10&gt;2+($D10="М"),"С","Д")),"0,00;;0")&gt;=L10,нормативы!$B$7:$AC$101)),"")</f>
        <v>47</v>
      </c>
      <c r="N10" s="80">
        <f t="shared" si="1"/>
        <v>173</v>
      </c>
      <c r="O10" s="65">
        <f>IF(N(G10),COUNTIF(INDEX(оценки!C$4:F$20,G10*2,),"&lt;="&amp;N10)+2,"")</f>
        <v>4</v>
      </c>
      <c r="P10" s="33"/>
      <c r="Q10" s="87"/>
      <c r="R10" s="88">
        <v>5</v>
      </c>
      <c r="S10" s="2">
        <f t="shared" si="2"/>
        <v>27</v>
      </c>
    </row>
    <row r="11" spans="1:19" ht="21" thickBot="1" x14ac:dyDescent="0.35">
      <c r="A11" s="83">
        <v>6</v>
      </c>
      <c r="B11" s="84"/>
      <c r="C11" s="98" t="s">
        <v>41</v>
      </c>
      <c r="D11" s="181" t="s">
        <v>88</v>
      </c>
      <c r="E11" s="102">
        <v>29012</v>
      </c>
      <c r="F11" s="101">
        <f t="array" ref="F11">IF(E11,SUM(--(DATEDIF(E11,E$3,"y")&gt;=IFERROR(--MID(SUBSTITUTE(IF(D11="М",оценки!B$6:B$20,оценки!H$6:H$16),"до",10),2,2),99))),"")</f>
        <v>4</v>
      </c>
      <c r="G11" s="120">
        <f t="shared" si="0"/>
        <v>4</v>
      </c>
      <c r="H11" s="85">
        <v>10</v>
      </c>
      <c r="I11" s="58">
        <f t="array" ref="I11">IF(N(G11),MAX(IF(--TEXT((нормативы!$B$4:$AC$4=H$4)*(LEFTB(нормативы!$B$3:$AC$3)=D11)*нормативы!$C$7:$AD$101*(IF($D11="Ж",LEFTB(нормативы!$B$5:$AC$5)=IF(G11&gt;2,"С","Д"),1)),"0;;99")&lt;=H11,нормативы!$B$7:$AC$101)),"")</f>
        <v>30</v>
      </c>
      <c r="J11" s="86">
        <v>14</v>
      </c>
      <c r="K11" s="58">
        <f t="array" ref="K11">IF(N(G11),MAX(IF(--TEXT((нормативы!$B$4:$AC$4=J$4)*(LEFTB(нормативы!$B$3:$AC$3)=D11)*нормативы!$C$7:$AD$101*(IF($D11="Ж",LEFTB(нормативы!$B$5:$AC$5)=IF(G11&gt;2,"С","Д"),1)),"0,00;;0")&gt;=J11,нормативы!$B$7:$AC$101)),"")</f>
        <v>126</v>
      </c>
      <c r="L11" s="86">
        <v>5</v>
      </c>
      <c r="M11" s="176">
        <f t="array" ref="M11">IF(N(G11),MAX(IF(--TEXT((нормативы!$B$4:$AC$4=L$4)*(LEFTB(нормативы!$B$3:$AC$3)=D11)*нормативы!$C$7:$AD$101*(LEFTB(нормативы!$B$5:$AC$5)=IF(G11&gt;2+($D11="М"),"С","Д")),"0,00;;0")&gt;=L11,нормативы!$B$7:$AC$101)),"")</f>
        <v>48</v>
      </c>
      <c r="N11" s="80">
        <f t="shared" si="1"/>
        <v>204</v>
      </c>
      <c r="O11" s="65">
        <f>IF(N(G11),COUNTIF(INDEX(оценки!C$4:F$20,G11*2,),"&lt;="&amp;N11)+2,"")</f>
        <v>5</v>
      </c>
      <c r="P11" s="33"/>
      <c r="Q11" s="87"/>
      <c r="R11" s="88">
        <v>6</v>
      </c>
      <c r="S11" s="2">
        <f t="shared" si="2"/>
        <v>37</v>
      </c>
    </row>
    <row r="12" spans="1:19" ht="21" thickBot="1" x14ac:dyDescent="0.35">
      <c r="A12" s="83">
        <v>7</v>
      </c>
      <c r="B12" s="84"/>
      <c r="C12" s="98" t="s">
        <v>42</v>
      </c>
      <c r="D12" s="180" t="s">
        <v>87</v>
      </c>
      <c r="E12" s="102">
        <v>34127</v>
      </c>
      <c r="F12" s="101">
        <f t="array" ref="F12">IF(E12,SUM(--(DATEDIF(E12,E$3,"y")&gt;=IFERROR(--MID(SUBSTITUTE(IF(D12="М",оценки!B$6:B$20,оценки!H$6:H$16),"до",10),2,2),99))),"")</f>
        <v>1</v>
      </c>
      <c r="G12" s="120">
        <f t="shared" si="0"/>
        <v>1</v>
      </c>
      <c r="H12" s="85">
        <v>5</v>
      </c>
      <c r="I12" s="58">
        <f t="array" ref="I12">IF(N(G12),MAX(IF(--TEXT((нормативы!$B$4:$AC$4=H$4)*(LEFTB(нормативы!$B$3:$AC$3)=D12)*нормативы!$C$7:$AD$101*(IF($D12="Ж",LEFTB(нормативы!$B$5:$AC$5)=IF(G12&gt;2,"С","Д"),1)),"0;;99")&lt;=H12,нормативы!$B$7:$AC$101)),"")</f>
        <v>30</v>
      </c>
      <c r="J12" s="86">
        <v>13</v>
      </c>
      <c r="K12" s="58">
        <f t="array" ref="K12">IF(N(G12),MAX(IF(--TEXT((нормативы!$B$4:$AC$4=J$4)*(LEFTB(нормативы!$B$3:$AC$3)=D12)*нормативы!$C$7:$AD$101*(IF($D12="Ж",LEFTB(нормативы!$B$5:$AC$5)=IF(G12&gt;2,"С","Д"),1)),"0,00;;0")&gt;=J12,нормативы!$B$7:$AC$101)),"")</f>
        <v>76</v>
      </c>
      <c r="L12" s="86">
        <v>5</v>
      </c>
      <c r="M12" s="176">
        <f t="array" ref="M12">IF(N(G12),MAX(IF(--TEXT((нормативы!$B$4:$AC$4=L$4)*(LEFTB(нормативы!$B$3:$AC$3)=D12)*нормативы!$C$7:$AD$101*(LEFTB(нормативы!$B$5:$AC$5)=IF(G12&gt;2+($D12="М"),"С","Д")),"0,00;;0")&gt;=L12,нормативы!$B$7:$AC$101)),"")</f>
        <v>17</v>
      </c>
      <c r="N12" s="80">
        <f t="shared" si="1"/>
        <v>123</v>
      </c>
      <c r="O12" s="65">
        <f>IF(N(G12),COUNTIF(INDEX(оценки!C$4:F$20,G12*2,),"&lt;="&amp;N12)+2,"")</f>
        <v>2</v>
      </c>
      <c r="P12" s="33"/>
      <c r="Q12" s="87"/>
      <c r="R12" s="88">
        <v>7</v>
      </c>
      <c r="S12" s="2">
        <f t="shared" si="2"/>
        <v>23</v>
      </c>
    </row>
    <row r="13" spans="1:19" ht="21" thickBot="1" x14ac:dyDescent="0.35">
      <c r="A13" s="83">
        <v>8</v>
      </c>
      <c r="B13" s="84"/>
      <c r="C13" s="98" t="s">
        <v>43</v>
      </c>
      <c r="D13" s="181" t="s">
        <v>88</v>
      </c>
      <c r="E13" s="102">
        <v>29380</v>
      </c>
      <c r="F13" s="101">
        <f t="array" ref="F13">IF(E13,SUM(--(DATEDIF(E13,E$3,"y")&gt;=IFERROR(--MID(SUBSTITUTE(IF(D13="М",оценки!B$6:B$20,оценки!H$6:H$16),"до",10),2,2),99))),"")</f>
        <v>4</v>
      </c>
      <c r="G13" s="120" t="str">
        <f t="shared" si="0"/>
        <v>Освобождение</v>
      </c>
      <c r="H13" s="85"/>
      <c r="I13" s="58" t="str">
        <f t="array" ref="I13">IF(N(G13),MAX(IF(--TEXT((нормативы!$B$4:$AC$4=H$4)*(LEFTB(нормативы!$B$3:$AC$3)=D13)*нормативы!$C$7:$AD$101*(IF($D13="Ж",LEFTB(нормативы!$B$5:$AC$5)=IF(G13&gt;2,"С","Д"),1)),"0;;99")&lt;=H13,нормативы!$B$7:$AC$101)),"")</f>
        <v/>
      </c>
      <c r="J13" s="86"/>
      <c r="K13" s="58" t="str">
        <f t="array" ref="K13">IF(N(G13),MAX(IF(--TEXT((нормативы!$B$4:$AC$4=J$4)*(LEFTB(нормативы!$B$3:$AC$3)=D13)*нормативы!$C$7:$AD$101*(IF($D13="Ж",LEFTB(нормативы!$B$5:$AC$5)=IF(G13&gt;2,"С","Д"),1)),"0,00;;0")&gt;=J13,нормативы!$B$7:$AC$101)),"")</f>
        <v/>
      </c>
      <c r="L13" s="86"/>
      <c r="M13" s="176" t="str">
        <f t="array" ref="M13">IF(N(G13),MAX(IF(--TEXT((нормативы!$B$4:$AC$4=L$4)*(LEFTB(нормативы!$B$3:$AC$3)=D13)*нормативы!$C$7:$AD$101*(LEFTB(нормативы!$B$5:$AC$5)=IF(G13&gt;2+($D13="М"),"С","Д")),"0,00;;0")&gt;=L13,нормативы!$B$7:$AC$101)),"")</f>
        <v/>
      </c>
      <c r="N13" s="80" t="str">
        <f t="shared" si="1"/>
        <v/>
      </c>
      <c r="O13" s="65" t="str">
        <f>IF(N(G13),COUNTIF(INDEX(оценки!C$4:F$20,G13*2,),"&lt;="&amp;N13)+2,"")</f>
        <v/>
      </c>
      <c r="P13" s="33"/>
      <c r="Q13" s="87" t="s">
        <v>32</v>
      </c>
      <c r="R13" s="88">
        <v>8</v>
      </c>
      <c r="S13" s="2">
        <f t="shared" si="2"/>
        <v>36</v>
      </c>
    </row>
    <row r="14" spans="1:19" ht="21" thickBot="1" x14ac:dyDescent="0.35">
      <c r="A14" s="83">
        <v>9</v>
      </c>
      <c r="B14" s="84"/>
      <c r="C14" s="98" t="s">
        <v>44</v>
      </c>
      <c r="D14" s="180" t="s">
        <v>87</v>
      </c>
      <c r="E14" s="102">
        <v>25363</v>
      </c>
      <c r="F14" s="101">
        <f t="array" ref="F14">IF(E14,SUM(--(DATEDIF(E14,E$3,"y")&gt;=IFERROR(--MID(SUBSTITUTE(IF(D14="М",оценки!B$6:B$20,оценки!H$6:H$16),"до",10),2,2),99))),"")</f>
        <v>6</v>
      </c>
      <c r="G14" s="120">
        <f t="shared" si="0"/>
        <v>6</v>
      </c>
      <c r="H14" s="85">
        <v>10</v>
      </c>
      <c r="I14" s="58">
        <f t="array" ref="I14">IF(N(G14),MAX(IF(--TEXT((нормативы!$B$4:$AC$4=H$4)*(LEFTB(нормативы!$B$3:$AC$3)=D14)*нормативы!$C$7:$AD$101*(IF($D14="Ж",LEFTB(нормативы!$B$5:$AC$5)=IF(G14&gt;2,"С","Д"),1)),"0;;99")&lt;=H14,нормативы!$B$7:$AC$101)),"")</f>
        <v>50</v>
      </c>
      <c r="J14" s="86">
        <v>16</v>
      </c>
      <c r="K14" s="58">
        <f t="array" ref="K14">IF(N(G14),MAX(IF(--TEXT((нормативы!$B$4:$AC$4=J$4)*(LEFTB(нормативы!$B$3:$AC$3)=D14)*нормативы!$C$7:$AD$101*(IF($D14="Ж",LEFTB(нормативы!$B$5:$AC$5)=IF(G14&gt;2,"С","Д"),1)),"0,00;;0")&gt;=J14,нормативы!$B$7:$AC$101)),"")</f>
        <v>23</v>
      </c>
      <c r="L14" s="86">
        <v>4</v>
      </c>
      <c r="M14" s="176">
        <f t="array" ref="M14">IF(N(G14),MAX(IF(--TEXT((нормативы!$B$4:$AC$4=L$4)*(LEFTB(нормативы!$B$3:$AC$3)=D14)*нормативы!$C$7:$AD$101*(LEFTB(нормативы!$B$5:$AC$5)=IF(G14&gt;2+($D14="М"),"С","Д")),"0,00;;0")&gt;=L14,нормативы!$B$7:$AC$101)),"")</f>
        <v>50</v>
      </c>
      <c r="N14" s="80">
        <f t="shared" si="1"/>
        <v>123</v>
      </c>
      <c r="O14" s="65">
        <f>IF(N(G14),COUNTIF(INDEX(оценки!C$4:F$20,G14*2,),"&lt;="&amp;N14)+2,"")</f>
        <v>5</v>
      </c>
      <c r="P14" s="33"/>
      <c r="Q14" s="87"/>
      <c r="R14" s="88">
        <v>9</v>
      </c>
      <c r="S14" s="2">
        <f t="shared" si="2"/>
        <v>47</v>
      </c>
    </row>
    <row r="15" spans="1:19" ht="21" thickBot="1" x14ac:dyDescent="0.35">
      <c r="A15" s="83">
        <v>10</v>
      </c>
      <c r="B15" s="84"/>
      <c r="C15" s="98" t="s">
        <v>45</v>
      </c>
      <c r="D15" s="181" t="s">
        <v>88</v>
      </c>
      <c r="E15" s="102">
        <v>25729</v>
      </c>
      <c r="F15" s="101">
        <f t="array" ref="F15">IF(E15,SUM(--(DATEDIF(E15,E$3,"y")&gt;=IFERROR(--MID(SUBSTITUTE(IF(D15="М",оценки!B$6:B$20,оценки!H$6:H$16),"до",10),2,2),99))),"")</f>
        <v>6</v>
      </c>
      <c r="G15" s="120">
        <f t="shared" si="0"/>
        <v>6</v>
      </c>
      <c r="H15" s="85">
        <v>10</v>
      </c>
      <c r="I15" s="58">
        <f t="array" ref="I15">IF(N(G15),MAX(IF(--TEXT((нормативы!$B$4:$AC$4=H$4)*(LEFTB(нормативы!$B$3:$AC$3)=D15)*нормативы!$C$7:$AD$101*(IF($D15="Ж",LEFTB(нормативы!$B$5:$AC$5)=IF(G15&gt;2,"С","Д"),1)),"0;;99")&lt;=H15,нормативы!$B$7:$AC$101)),"")</f>
        <v>30</v>
      </c>
      <c r="J15" s="86">
        <v>15</v>
      </c>
      <c r="K15" s="58">
        <f t="array" ref="K15">IF(N(G15),MAX(IF(--TEXT((нормативы!$B$4:$AC$4=J$4)*(LEFTB(нормативы!$B$3:$AC$3)=D15)*нормативы!$C$7:$AD$101*(IF($D15="Ж",LEFTB(нормативы!$B$5:$AC$5)=IF(G15&gt;2,"С","Д"),1)),"0,00;;0")&gt;=J15,нормативы!$B$7:$AC$101)),"")</f>
        <v>116</v>
      </c>
      <c r="L15" s="86">
        <v>7</v>
      </c>
      <c r="M15" s="176">
        <f t="array" ref="M15">IF(N(G15),MAX(IF(--TEXT((нормативы!$B$4:$AC$4=L$4)*(LEFTB(нормативы!$B$3:$AC$3)=D15)*нормативы!$C$7:$AD$101*(LEFTB(нормативы!$B$5:$AC$5)=IF(G15&gt;2+($D15="М"),"С","Д")),"0,00;;0")&gt;=L15,нормативы!$B$7:$AC$101)),"")</f>
        <v>0</v>
      </c>
      <c r="N15" s="80">
        <f t="shared" si="1"/>
        <v>146</v>
      </c>
      <c r="O15" s="65">
        <f>IF(N(G15),COUNTIF(INDEX(оценки!C$4:F$20,G15*2,),"&lt;="&amp;N15)+2,"")</f>
        <v>5</v>
      </c>
      <c r="P15" s="33"/>
      <c r="Q15" s="87"/>
      <c r="R15" s="88">
        <v>10</v>
      </c>
      <c r="S15" s="2">
        <f t="shared" si="2"/>
        <v>46</v>
      </c>
    </row>
    <row r="16" spans="1:19" ht="21" thickBot="1" x14ac:dyDescent="0.35">
      <c r="A16" s="83">
        <v>11</v>
      </c>
      <c r="B16" s="84"/>
      <c r="C16" s="98" t="s">
        <v>46</v>
      </c>
      <c r="D16" s="180" t="s">
        <v>87</v>
      </c>
      <c r="E16" s="102">
        <v>26461</v>
      </c>
      <c r="F16" s="101">
        <f t="array" ref="F16">IF(E16,SUM(--(DATEDIF(E16,E$3,"y")&gt;=IFERROR(--MID(SUBSTITUTE(IF(D16="М",оценки!B$6:B$20,оценки!H$6:H$16),"до",10),2,2),99))),"")</f>
        <v>5</v>
      </c>
      <c r="G16" s="120" t="str">
        <f t="shared" si="0"/>
        <v>Освобождение</v>
      </c>
      <c r="H16" s="85"/>
      <c r="I16" s="58" t="str">
        <f t="array" ref="I16">IF(N(G16),MAX(IF(--TEXT((нормативы!$B$4:$AC$4=H$4)*(LEFTB(нормативы!$B$3:$AC$3)=D16)*нормативы!$C$7:$AD$101*(IF($D16="Ж",LEFTB(нормативы!$B$5:$AC$5)=IF(G16&gt;2,"С","Д"),1)),"0;;99")&lt;=H16,нормативы!$B$7:$AC$101)),"")</f>
        <v/>
      </c>
      <c r="J16" s="86"/>
      <c r="K16" s="58" t="str">
        <f t="array" ref="K16">IF(N(G16),MAX(IF(--TEXT((нормативы!$B$4:$AC$4=J$4)*(LEFTB(нормативы!$B$3:$AC$3)=D16)*нормативы!$C$7:$AD$101*(IF($D16="Ж",LEFTB(нормативы!$B$5:$AC$5)=IF(G16&gt;2,"С","Д"),1)),"0,00;;0")&gt;=J16,нормативы!$B$7:$AC$101)),"")</f>
        <v/>
      </c>
      <c r="L16" s="86"/>
      <c r="M16" s="176" t="str">
        <f t="array" ref="M16">IF(N(G16),MAX(IF(--TEXT((нормативы!$B$4:$AC$4=L$4)*(LEFTB(нормативы!$B$3:$AC$3)=D16)*нормативы!$C$7:$AD$101*(LEFTB(нормативы!$B$5:$AC$5)=IF(G16&gt;2+($D16="М"),"С","Д")),"0,00;;0")&gt;=L16,нормативы!$B$7:$AC$101)),"")</f>
        <v/>
      </c>
      <c r="N16" s="80" t="str">
        <f t="shared" si="1"/>
        <v/>
      </c>
      <c r="O16" s="65" t="str">
        <f>IF(N(G16),COUNTIF(INDEX(оценки!C$4:F$20,G16*2,),"&lt;="&amp;N16)+2,"")</f>
        <v/>
      </c>
      <c r="P16" s="33"/>
      <c r="Q16" s="87" t="s">
        <v>32</v>
      </c>
      <c r="R16" s="88">
        <v>11</v>
      </c>
      <c r="S16" s="2">
        <f t="shared" si="2"/>
        <v>44</v>
      </c>
    </row>
    <row r="17" spans="1:19" ht="21" thickBot="1" x14ac:dyDescent="0.35">
      <c r="A17" s="83">
        <v>12</v>
      </c>
      <c r="B17" s="84"/>
      <c r="C17" s="98" t="s">
        <v>47</v>
      </c>
      <c r="D17" s="181" t="s">
        <v>88</v>
      </c>
      <c r="E17" s="102">
        <v>28288</v>
      </c>
      <c r="F17" s="101">
        <f t="array" ref="F17">IF(E17,SUM(--(DATEDIF(E17,E$3,"y")&gt;=IFERROR(--MID(SUBSTITUTE(IF(D17="М",оценки!B$6:B$20,оценки!H$6:H$16),"до",10),2,2),99))),"")</f>
        <v>4</v>
      </c>
      <c r="G17" s="120">
        <f t="shared" si="0"/>
        <v>4</v>
      </c>
      <c r="H17" s="85">
        <v>12</v>
      </c>
      <c r="I17" s="58">
        <f t="array" ref="I17">IF(N(G17),MAX(IF(--TEXT((нормативы!$B$4:$AC$4=H$4)*(LEFTB(нормативы!$B$3:$AC$3)=D17)*нормативы!$C$7:$AD$101*(IF($D17="Ж",LEFTB(нормативы!$B$5:$AC$5)=IF(G17&gt;2,"С","Д"),1)),"0;;99")&lt;=H17,нормативы!$B$7:$AC$101)),"")</f>
        <v>35</v>
      </c>
      <c r="J17" s="86">
        <v>12</v>
      </c>
      <c r="K17" s="58">
        <f t="array" ref="K17">IF(N(G17),MAX(IF(--TEXT((нормативы!$B$4:$AC$4=J$4)*(LEFTB(нормативы!$B$3:$AC$3)=D17)*нормативы!$C$7:$AD$101*(IF($D17="Ж",LEFTB(нормативы!$B$5:$AC$5)=IF(G17&gt;2,"С","Д"),1)),"0,00;;0")&gt;=J17,нормативы!$B$7:$AC$101)),"")</f>
        <v>126</v>
      </c>
      <c r="L17" s="86">
        <v>3.4</v>
      </c>
      <c r="M17" s="176">
        <f t="array" ref="M17">IF(N(G17),MAX(IF(--TEXT((нормативы!$B$4:$AC$4=L$4)*(LEFTB(нормативы!$B$3:$AC$3)=D17)*нормативы!$C$7:$AD$101*(LEFTB(нормативы!$B$5:$AC$5)=IF(G17&gt;2+($D17="М"),"С","Д")),"0,00;;0")&gt;=L17,нормативы!$B$7:$AC$101)),"")</f>
        <v>100</v>
      </c>
      <c r="N17" s="80">
        <f t="shared" si="1"/>
        <v>261</v>
      </c>
      <c r="O17" s="65">
        <f>IF(N(G17),COUNTIF(INDEX(оценки!C$4:F$20,G17*2,),"&lt;="&amp;N17)+2,"")</f>
        <v>5</v>
      </c>
      <c r="P17" s="33"/>
      <c r="Q17" s="87"/>
      <c r="R17" s="88">
        <v>12</v>
      </c>
      <c r="S17" s="2">
        <f t="shared" si="2"/>
        <v>39</v>
      </c>
    </row>
    <row r="18" spans="1:19" ht="21" thickBot="1" x14ac:dyDescent="0.35">
      <c r="A18" s="83">
        <v>13</v>
      </c>
      <c r="B18" s="84"/>
      <c r="C18" s="98" t="s">
        <v>48</v>
      </c>
      <c r="D18" s="180" t="s">
        <v>87</v>
      </c>
      <c r="E18" s="102">
        <v>29019</v>
      </c>
      <c r="F18" s="101">
        <f t="array" ref="F18">IF(E18,SUM(--(DATEDIF(E18,E$3,"y")&gt;=IFERROR(--MID(SUBSTITUTE(IF(D18="М",оценки!B$6:B$20,оценки!H$6:H$16),"до",10),2,2),99))),"")</f>
        <v>4</v>
      </c>
      <c r="G18" s="120">
        <f t="shared" si="0"/>
        <v>4</v>
      </c>
      <c r="H18" s="85">
        <v>10</v>
      </c>
      <c r="I18" s="58">
        <f t="array" ref="I18">IF(N(G18),MAX(IF(--TEXT((нормативы!$B$4:$AC$4=H$4)*(LEFTB(нормативы!$B$3:$AC$3)=D18)*нормативы!$C$7:$AD$101*(IF($D18="Ж",LEFTB(нормативы!$B$5:$AC$5)=IF(G18&gt;2,"С","Д"),1)),"0;;99")&lt;=H18,нормативы!$B$7:$AC$101)),"")</f>
        <v>50</v>
      </c>
      <c r="J18" s="86">
        <v>16</v>
      </c>
      <c r="K18" s="58">
        <f t="array" ref="K18">IF(N(G18),MAX(IF(--TEXT((нормативы!$B$4:$AC$4=J$4)*(LEFTB(нормативы!$B$3:$AC$3)=D18)*нормативы!$C$7:$AD$101*(IF($D18="Ж",LEFTB(нормативы!$B$5:$AC$5)=IF(G18&gt;2,"С","Д"),1)),"0,00;;0")&gt;=J18,нормативы!$B$7:$AC$101)),"")</f>
        <v>23</v>
      </c>
      <c r="L18" s="86">
        <v>5</v>
      </c>
      <c r="M18" s="176">
        <f t="array" ref="M18">IF(N(G18),MAX(IF(--TEXT((нормативы!$B$4:$AC$4=L$4)*(LEFTB(нормативы!$B$3:$AC$3)=D18)*нормативы!$C$7:$AD$101*(LEFTB(нормативы!$B$5:$AC$5)=IF(G18&gt;2+($D18="М"),"С","Д")),"0,00;;0")&gt;=L18,нормативы!$B$7:$AC$101)),"")</f>
        <v>22</v>
      </c>
      <c r="N18" s="80">
        <f t="shared" si="1"/>
        <v>95</v>
      </c>
      <c r="O18" s="65">
        <f>IF(N(G18),COUNTIF(INDEX(оценки!C$4:F$20,G18*2,),"&lt;="&amp;N18)+2,"")</f>
        <v>3</v>
      </c>
      <c r="P18" s="33"/>
      <c r="Q18" s="87"/>
      <c r="R18" s="88">
        <v>13</v>
      </c>
      <c r="S18" s="2">
        <f t="shared" si="2"/>
        <v>37</v>
      </c>
    </row>
    <row r="19" spans="1:19" ht="21" thickBot="1" x14ac:dyDescent="0.35">
      <c r="A19" s="83">
        <v>14</v>
      </c>
      <c r="B19" s="84"/>
      <c r="C19" s="98" t="s">
        <v>49</v>
      </c>
      <c r="D19" s="181" t="s">
        <v>88</v>
      </c>
      <c r="E19" s="102">
        <v>20620</v>
      </c>
      <c r="F19" s="101">
        <f t="array" ref="F19">IF(E19,SUM(--(DATEDIF(E19,E$3,"y")&gt;=IFERROR(--MID(SUBSTITUTE(IF(D19="М",оценки!B$6:B$20,оценки!H$6:H$16),"до",10),2,2),99))),"")</f>
        <v>6</v>
      </c>
      <c r="G19" s="120">
        <f t="shared" si="0"/>
        <v>6</v>
      </c>
      <c r="H19" s="85">
        <v>10</v>
      </c>
      <c r="I19" s="58">
        <f t="array" ref="I19">IF(N(G19),MAX(IF(--TEXT((нормативы!$B$4:$AC$4=H$4)*(LEFTB(нормативы!$B$3:$AC$3)=D19)*нормативы!$C$7:$AD$101*(IF($D19="Ж",LEFTB(нормативы!$B$5:$AC$5)=IF(G19&gt;2,"С","Д"),1)),"0;;99")&lt;=H19,нормативы!$B$7:$AC$101)),"")</f>
        <v>30</v>
      </c>
      <c r="J19" s="86">
        <v>13</v>
      </c>
      <c r="K19" s="58">
        <f t="array" ref="K19">IF(N(G19),MAX(IF(--TEXT((нормативы!$B$4:$AC$4=J$4)*(LEFTB(нормативы!$B$3:$AC$3)=D19)*нормативы!$C$7:$AD$101*(IF($D19="Ж",LEFTB(нормативы!$B$5:$AC$5)=IF(G19&gt;2,"С","Д"),1)),"0,00;;0")&gt;=J19,нормативы!$B$7:$AC$101)),"")</f>
        <v>126</v>
      </c>
      <c r="L19" s="86">
        <v>4</v>
      </c>
      <c r="M19" s="176">
        <f t="array" ref="M19">IF(N(G19),MAX(IF(--TEXT((нормативы!$B$4:$AC$4=L$4)*(LEFTB(нормативы!$B$3:$AC$3)=D19)*нормативы!$C$7:$AD$101*(LEFTB(нормативы!$B$5:$AC$5)=IF(G19&gt;2+($D19="М"),"С","Д")),"0,00;;0")&gt;=L19,нормативы!$B$7:$AC$101)),"")</f>
        <v>100</v>
      </c>
      <c r="N19" s="80">
        <f t="shared" si="1"/>
        <v>256</v>
      </c>
      <c r="O19" s="65">
        <f>IF(N(G19),COUNTIF(INDEX(оценки!C$4:F$20,G19*2,),"&lt;="&amp;N19)+2,"")</f>
        <v>5</v>
      </c>
      <c r="P19" s="33"/>
      <c r="Q19" s="87"/>
      <c r="R19" s="88">
        <v>14</v>
      </c>
      <c r="S19" s="2">
        <f t="shared" si="2"/>
        <v>60</v>
      </c>
    </row>
    <row r="20" spans="1:19" ht="21" thickBot="1" x14ac:dyDescent="0.35">
      <c r="A20" s="83">
        <v>15</v>
      </c>
      <c r="B20" s="84"/>
      <c r="C20" s="98" t="s">
        <v>50</v>
      </c>
      <c r="D20" s="180" t="s">
        <v>87</v>
      </c>
      <c r="E20" s="102">
        <v>32309</v>
      </c>
      <c r="F20" s="101">
        <f t="array" ref="F20">IF(E20,SUM(--(DATEDIF(E20,E$3,"y")&gt;=IFERROR(--MID(SUBSTITUTE(IF(D20="М",оценки!B$6:B$20,оценки!H$6:H$16),"до",10),2,2),99))),"")</f>
        <v>2</v>
      </c>
      <c r="G20" s="120" t="str">
        <f t="shared" si="0"/>
        <v>Освобождение</v>
      </c>
      <c r="H20" s="85"/>
      <c r="I20" s="58" t="str">
        <f t="array" ref="I20">IF(N(G20),MAX(IF(--TEXT((нормативы!$B$4:$AC$4=H$4)*(LEFTB(нормативы!$B$3:$AC$3)=D20)*нормативы!$C$7:$AD$101*(IF($D20="Ж",LEFTB(нормативы!$B$5:$AC$5)=IF(G20&gt;2,"С","Д"),1)),"0;;99")&lt;=H20,нормативы!$B$7:$AC$101)),"")</f>
        <v/>
      </c>
      <c r="J20" s="86"/>
      <c r="K20" s="58" t="str">
        <f t="array" ref="K20">IF(N(G20),MAX(IF(--TEXT((нормативы!$B$4:$AC$4=J$4)*(LEFTB(нормативы!$B$3:$AC$3)=D20)*нормативы!$C$7:$AD$101*(IF($D20="Ж",LEFTB(нормативы!$B$5:$AC$5)=IF(G20&gt;2,"С","Д"),1)),"0,00;;0")&gt;=J20,нормативы!$B$7:$AC$101)),"")</f>
        <v/>
      </c>
      <c r="L20" s="86"/>
      <c r="M20" s="176" t="str">
        <f t="array" ref="M20">IF(N(G20),MAX(IF(--TEXT((нормативы!$B$4:$AC$4=L$4)*(LEFTB(нормативы!$B$3:$AC$3)=D20)*нормативы!$C$7:$AD$101*(LEFTB(нормативы!$B$5:$AC$5)=IF(G20&gt;2+($D20="М"),"С","Д")),"0,00;;0")&gt;=L20,нормативы!$B$7:$AC$101)),"")</f>
        <v/>
      </c>
      <c r="N20" s="80" t="str">
        <f t="shared" si="1"/>
        <v/>
      </c>
      <c r="O20" s="65" t="str">
        <f>IF(N(G20),COUNTIF(INDEX(оценки!C$4:F$20,G20*2,),"&lt;="&amp;N20)+2,"")</f>
        <v/>
      </c>
      <c r="P20" s="33"/>
      <c r="Q20" s="87" t="s">
        <v>32</v>
      </c>
      <c r="R20" s="88">
        <v>15</v>
      </c>
      <c r="S20" s="2">
        <f t="shared" si="2"/>
        <v>28</v>
      </c>
    </row>
    <row r="21" spans="1:19" ht="21" thickBot="1" x14ac:dyDescent="0.3">
      <c r="A21" s="83">
        <v>16</v>
      </c>
      <c r="B21" s="84"/>
      <c r="C21" s="99" t="s">
        <v>51</v>
      </c>
      <c r="D21" s="181" t="s">
        <v>88</v>
      </c>
      <c r="E21" s="102">
        <v>31214</v>
      </c>
      <c r="F21" s="101">
        <f t="array" ref="F21">IF(E21,SUM(--(DATEDIF(E21,E$3,"y")&gt;=IFERROR(--MID(SUBSTITUTE(IF(D21="М",оценки!B$6:B$20,оценки!H$6:H$16),"до",10),2,2),99))),"")</f>
        <v>3</v>
      </c>
      <c r="G21" s="120">
        <f t="shared" si="0"/>
        <v>3</v>
      </c>
      <c r="H21" s="85">
        <v>10</v>
      </c>
      <c r="I21" s="58">
        <f t="array" ref="I21">IF(N(G21),MAX(IF(--TEXT((нормативы!$B$4:$AC$4=H$4)*(LEFTB(нормативы!$B$3:$AC$3)=D21)*нормативы!$C$7:$AD$101*(IF($D21="Ж",LEFTB(нормативы!$B$5:$AC$5)=IF(G21&gt;2,"С","Д"),1)),"0;;99")&lt;=H21,нормативы!$B$7:$AC$101)),"")</f>
        <v>30</v>
      </c>
      <c r="J21" s="86">
        <v>14</v>
      </c>
      <c r="K21" s="58">
        <f t="array" ref="K21">IF(N(G21),MAX(IF(--TEXT((нормативы!$B$4:$AC$4=J$4)*(LEFTB(нормативы!$B$3:$AC$3)=D21)*нормативы!$C$7:$AD$101*(IF($D21="Ж",LEFTB(нормативы!$B$5:$AC$5)=IF(G21&gt;2,"С","Д"),1)),"0,00;;0")&gt;=J21,нормативы!$B$7:$AC$101)),"")</f>
        <v>126</v>
      </c>
      <c r="L21" s="86">
        <v>3.4</v>
      </c>
      <c r="M21" s="176">
        <f t="array" ref="M21">IF(N(G21),MAX(IF(--TEXT((нормативы!$B$4:$AC$4=L$4)*(LEFTB(нормативы!$B$3:$AC$3)=D21)*нормативы!$C$7:$AD$101*(LEFTB(нормативы!$B$5:$AC$5)=IF(G21&gt;2+($D21="М"),"С","Д")),"0,00;;0")&gt;=L21,нормативы!$B$7:$AC$101)),"")</f>
        <v>100</v>
      </c>
      <c r="N21" s="80">
        <f t="shared" si="1"/>
        <v>256</v>
      </c>
      <c r="O21" s="65">
        <f>IF(N(G21),COUNTIF(INDEX(оценки!C$4:F$20,G21*2,),"&lt;="&amp;N21)+2,"")</f>
        <v>5</v>
      </c>
      <c r="P21" s="33"/>
      <c r="Q21" s="87"/>
      <c r="R21" s="88">
        <v>16</v>
      </c>
      <c r="S21" s="2">
        <f t="shared" si="2"/>
        <v>31</v>
      </c>
    </row>
    <row r="22" spans="1:19" ht="21" thickBot="1" x14ac:dyDescent="0.3">
      <c r="A22" s="83">
        <v>17</v>
      </c>
      <c r="B22" s="84"/>
      <c r="C22" s="99" t="s">
        <v>52</v>
      </c>
      <c r="D22" s="180" t="s">
        <v>87</v>
      </c>
      <c r="E22" s="102">
        <v>30119</v>
      </c>
      <c r="F22" s="101">
        <f t="array" ref="F22">IF(E22,SUM(--(DATEDIF(E22,E$3,"y")&gt;=IFERROR(--MID(SUBSTITUTE(IF(D22="М",оценки!B$6:B$20,оценки!H$6:H$16),"до",10),2,2),99))),"")</f>
        <v>3</v>
      </c>
      <c r="G22" s="120">
        <f t="shared" si="0"/>
        <v>3</v>
      </c>
      <c r="H22" s="85">
        <v>2</v>
      </c>
      <c r="I22" s="58">
        <f t="array" ref="I22">IF(N(G22),MAX(IF(--TEXT((нормативы!$B$4:$AC$4=H$4)*(LEFTB(нормативы!$B$3:$AC$3)=D22)*нормативы!$C$7:$AD$101*(IF($D22="Ж",LEFTB(нормативы!$B$5:$AC$5)=IF(G22&gt;2,"С","Д"),1)),"0;;99")&lt;=H22,нормативы!$B$7:$AC$101)),"")</f>
        <v>16</v>
      </c>
      <c r="J22" s="86">
        <v>13</v>
      </c>
      <c r="K22" s="58">
        <f t="array" ref="K22">IF(N(G22),MAX(IF(--TEXT((нормативы!$B$4:$AC$4=J$4)*(LEFTB(нормативы!$B$3:$AC$3)=D22)*нормативы!$C$7:$AD$101*(IF($D22="Ж",LEFTB(нормативы!$B$5:$AC$5)=IF(G22&gt;2,"С","Д"),1)),"0,00;;0")&gt;=J22,нормативы!$B$7:$AC$101)),"")</f>
        <v>76</v>
      </c>
      <c r="L22" s="86">
        <v>5</v>
      </c>
      <c r="M22" s="176">
        <f t="array" ref="M22">IF(N(G22),MAX(IF(--TEXT((нормативы!$B$4:$AC$4=L$4)*(LEFTB(нормативы!$B$3:$AC$3)=D22)*нормативы!$C$7:$AD$101*(LEFTB(нормативы!$B$5:$AC$5)=IF(G22&gt;2+($D22="М"),"С","Д")),"0,00;;0")&gt;=L22,нормативы!$B$7:$AC$101)),"")</f>
        <v>17</v>
      </c>
      <c r="N22" s="80">
        <f t="shared" si="1"/>
        <v>109</v>
      </c>
      <c r="O22" s="65">
        <f>IF(N(G22),COUNTIF(INDEX(оценки!C$4:F$20,G22*2,),"&lt;="&amp;N22)+2,"")</f>
        <v>3</v>
      </c>
      <c r="P22" s="33"/>
      <c r="Q22" s="87"/>
      <c r="R22" s="88">
        <v>17</v>
      </c>
      <c r="S22" s="2">
        <f t="shared" si="2"/>
        <v>34</v>
      </c>
    </row>
    <row r="23" spans="1:19" ht="21" thickBot="1" x14ac:dyDescent="0.3">
      <c r="A23" s="83">
        <v>18</v>
      </c>
      <c r="B23" s="84"/>
      <c r="C23" s="99" t="s">
        <v>53</v>
      </c>
      <c r="D23" s="181" t="s">
        <v>88</v>
      </c>
      <c r="E23" s="102">
        <v>29755</v>
      </c>
      <c r="F23" s="101">
        <f t="array" ref="F23">IF(E23,SUM(--(DATEDIF(E23,E$3,"y")&gt;=IFERROR(--MID(SUBSTITUTE(IF(D23="М",оценки!B$6:B$20,оценки!H$6:H$16),"до",10),2,2),99))),"")</f>
        <v>4</v>
      </c>
      <c r="G23" s="120">
        <f t="shared" si="0"/>
        <v>4</v>
      </c>
      <c r="H23" s="85">
        <v>10</v>
      </c>
      <c r="I23" s="58">
        <f t="array" ref="I23">IF(N(G23),MAX(IF(--TEXT((нормативы!$B$4:$AC$4=H$4)*(LEFTB(нормативы!$B$3:$AC$3)=D23)*нормативы!$C$7:$AD$101*(IF($D23="Ж",LEFTB(нормативы!$B$5:$AC$5)=IF(G23&gt;2,"С","Д"),1)),"0;;99")&lt;=H23,нормативы!$B$7:$AC$101)),"")</f>
        <v>30</v>
      </c>
      <c r="J23" s="86">
        <v>13</v>
      </c>
      <c r="K23" s="58">
        <f t="array" ref="K23">IF(N(G23),MAX(IF(--TEXT((нормативы!$B$4:$AC$4=J$4)*(LEFTB(нормативы!$B$3:$AC$3)=D23)*нормативы!$C$7:$AD$101*(IF($D23="Ж",LEFTB(нормативы!$B$5:$AC$5)=IF(G23&gt;2,"С","Д"),1)),"0,00;;0")&gt;=J23,нормативы!$B$7:$AC$101)),"")</f>
        <v>126</v>
      </c>
      <c r="L23" s="86">
        <v>3.4</v>
      </c>
      <c r="M23" s="176">
        <f t="array" ref="M23">IF(N(G23),MAX(IF(--TEXT((нормативы!$B$4:$AC$4=L$4)*(LEFTB(нормативы!$B$3:$AC$3)=D23)*нормативы!$C$7:$AD$101*(LEFTB(нормативы!$B$5:$AC$5)=IF(G23&gt;2+($D23="М"),"С","Д")),"0,00;;0")&gt;=L23,нормативы!$B$7:$AC$101)),"")</f>
        <v>100</v>
      </c>
      <c r="N23" s="80">
        <f t="shared" si="1"/>
        <v>256</v>
      </c>
      <c r="O23" s="65">
        <f>IF(N(G23),COUNTIF(INDEX(оценки!C$4:F$20,G23*2,),"&lt;="&amp;N23)+2,"")</f>
        <v>5</v>
      </c>
      <c r="P23" s="33"/>
      <c r="Q23" s="87"/>
      <c r="R23" s="88">
        <v>18</v>
      </c>
      <c r="S23" s="2">
        <f t="shared" si="2"/>
        <v>35</v>
      </c>
    </row>
    <row r="24" spans="1:19" ht="21" thickBot="1" x14ac:dyDescent="0.3">
      <c r="A24" s="83">
        <v>19</v>
      </c>
      <c r="B24" s="84"/>
      <c r="C24" s="99" t="s">
        <v>54</v>
      </c>
      <c r="D24" s="180" t="s">
        <v>87</v>
      </c>
      <c r="E24" s="102">
        <v>26103</v>
      </c>
      <c r="F24" s="101">
        <f t="array" ref="F24">IF(E24,SUM(--(DATEDIF(E24,E$3,"y")&gt;=IFERROR(--MID(SUBSTITUTE(IF(D24="М",оценки!B$6:B$20,оценки!H$6:H$16),"до",10),2,2),99))),"")</f>
        <v>6</v>
      </c>
      <c r="G24" s="120">
        <f t="shared" si="0"/>
        <v>6</v>
      </c>
      <c r="H24" s="85">
        <v>8</v>
      </c>
      <c r="I24" s="58">
        <f t="array" ref="I24">IF(N(G24),MAX(IF(--TEXT((нормативы!$B$4:$AC$4=H$4)*(LEFTB(нормативы!$B$3:$AC$3)=D24)*нормативы!$C$7:$AD$101*(IF($D24="Ж",LEFTB(нормативы!$B$5:$AC$5)=IF(G24&gt;2,"С","Д"),1)),"0;;99")&lt;=H24,нормативы!$B$7:$AC$101)),"")</f>
        <v>42</v>
      </c>
      <c r="J24" s="86">
        <v>13</v>
      </c>
      <c r="K24" s="58">
        <f t="array" ref="K24">IF(N(G24),MAX(IF(--TEXT((нормативы!$B$4:$AC$4=J$4)*(LEFTB(нормативы!$B$3:$AC$3)=D24)*нормативы!$C$7:$AD$101*(IF($D24="Ж",LEFTB(нормативы!$B$5:$AC$5)=IF(G24&gt;2,"С","Д"),1)),"0,00;;0")&gt;=J24,нормативы!$B$7:$AC$101)),"")</f>
        <v>76</v>
      </c>
      <c r="L24" s="86">
        <v>3.4</v>
      </c>
      <c r="M24" s="176">
        <f t="array" ref="M24">IF(N(G24),MAX(IF(--TEXT((нормативы!$B$4:$AC$4=L$4)*(LEFTB(нормативы!$B$3:$AC$3)=D24)*нормативы!$C$7:$AD$101*(LEFTB(нормативы!$B$5:$AC$5)=IF(G24&gt;2+($D24="М"),"С","Д")),"0,00;;0")&gt;=L24,нормативы!$B$7:$AC$101)),"")</f>
        <v>70</v>
      </c>
      <c r="N24" s="80">
        <f t="shared" si="1"/>
        <v>188</v>
      </c>
      <c r="O24" s="65">
        <f>IF(N(G24),COUNTIF(INDEX(оценки!C$4:F$20,G24*2,),"&lt;="&amp;N24)+2,"")</f>
        <v>5</v>
      </c>
      <c r="P24" s="33"/>
      <c r="Q24" s="87"/>
      <c r="R24" s="88">
        <v>19</v>
      </c>
      <c r="S24" s="2">
        <f t="shared" si="2"/>
        <v>45</v>
      </c>
    </row>
    <row r="25" spans="1:19" ht="21" thickBot="1" x14ac:dyDescent="0.3">
      <c r="A25" s="83">
        <v>20</v>
      </c>
      <c r="B25" s="84"/>
      <c r="C25" s="99" t="s">
        <v>55</v>
      </c>
      <c r="D25" s="181" t="s">
        <v>88</v>
      </c>
      <c r="E25" s="102">
        <v>31583</v>
      </c>
      <c r="F25" s="101">
        <f t="array" ref="F25">IF(E25,SUM(--(DATEDIF(E25,E$3,"y")&gt;=IFERROR(--MID(SUBSTITUTE(IF(D25="М",оценки!B$6:B$20,оценки!H$6:H$16),"до",10),2,2),99))),"")</f>
        <v>3</v>
      </c>
      <c r="G25" s="120" t="str">
        <f t="shared" si="0"/>
        <v>Освобождение</v>
      </c>
      <c r="H25" s="85"/>
      <c r="I25" s="58" t="str">
        <f t="array" ref="I25">IF(N(G25),MAX(IF(--TEXT((нормативы!$B$4:$AC$4=H$4)*(LEFTB(нормативы!$B$3:$AC$3)=D25)*нормативы!$C$7:$AD$101*(IF($D25="Ж",LEFTB(нормативы!$B$5:$AC$5)=IF(G25&gt;2,"С","Д"),1)),"0;;99")&lt;=H25,нормативы!$B$7:$AC$101)),"")</f>
        <v/>
      </c>
      <c r="J25" s="86"/>
      <c r="K25" s="58" t="str">
        <f t="array" ref="K25">IF(N(G25),MAX(IF(--TEXT((нормативы!$B$4:$AC$4=J$4)*(LEFTB(нормативы!$B$3:$AC$3)=D25)*нормативы!$C$7:$AD$101*(IF($D25="Ж",LEFTB(нормативы!$B$5:$AC$5)=IF(G25&gt;2,"С","Д"),1)),"0,00;;0")&gt;=J25,нормативы!$B$7:$AC$101)),"")</f>
        <v/>
      </c>
      <c r="L25" s="86"/>
      <c r="M25" s="176" t="str">
        <f t="array" ref="M25">IF(N(G25),MAX(IF(--TEXT((нормативы!$B$4:$AC$4=L$4)*(LEFTB(нормативы!$B$3:$AC$3)=D25)*нормативы!$C$7:$AD$101*(LEFTB(нормативы!$B$5:$AC$5)=IF(G25&gt;2+($D25="М"),"С","Д")),"0,00;;0")&gt;=L25,нормативы!$B$7:$AC$101)),"")</f>
        <v/>
      </c>
      <c r="N25" s="80" t="str">
        <f t="shared" si="1"/>
        <v/>
      </c>
      <c r="O25" s="65" t="str">
        <f>IF(N(G25),COUNTIF(INDEX(оценки!C$4:F$20,G25*2,),"&lt;="&amp;N25)+2,"")</f>
        <v/>
      </c>
      <c r="P25" s="33"/>
      <c r="Q25" s="87" t="s">
        <v>32</v>
      </c>
      <c r="R25" s="88">
        <v>20</v>
      </c>
      <c r="S25" s="2">
        <f t="shared" si="2"/>
        <v>30</v>
      </c>
    </row>
    <row r="26" spans="1:19" ht="21" thickBot="1" x14ac:dyDescent="0.3">
      <c r="A26" s="83">
        <v>21</v>
      </c>
      <c r="B26" s="84"/>
      <c r="C26" s="99" t="s">
        <v>56</v>
      </c>
      <c r="D26" s="180" t="s">
        <v>87</v>
      </c>
      <c r="E26" s="102">
        <v>31949</v>
      </c>
      <c r="F26" s="101">
        <f t="array" ref="F26">IF(E26,SUM(--(DATEDIF(E26,E$3,"y")&gt;=IFERROR(--MID(SUBSTITUTE(IF(D26="М",оценки!B$6:B$20,оценки!H$6:H$16),"до",10),2,2),99))),"")</f>
        <v>2</v>
      </c>
      <c r="G26" s="120">
        <f t="shared" si="0"/>
        <v>2</v>
      </c>
      <c r="H26" s="85">
        <v>10</v>
      </c>
      <c r="I26" s="58">
        <f t="array" ref="I26">IF(N(G26),MAX(IF(--TEXT((нормативы!$B$4:$AC$4=H$4)*(LEFTB(нормативы!$B$3:$AC$3)=D26)*нормативы!$C$7:$AD$101*(IF($D26="Ж",LEFTB(нормативы!$B$5:$AC$5)=IF(G26&gt;2,"С","Д"),1)),"0;;99")&lt;=H26,нормативы!$B$7:$AC$101)),"")</f>
        <v>50</v>
      </c>
      <c r="J26" s="86">
        <v>12</v>
      </c>
      <c r="K26" s="58">
        <f t="array" ref="K26">IF(N(G26),MAX(IF(--TEXT((нормативы!$B$4:$AC$4=J$4)*(LEFTB(нормативы!$B$3:$AC$3)=D26)*нормативы!$C$7:$AD$101*(IF($D26="Ж",LEFTB(нормативы!$B$5:$AC$5)=IF(G26&gt;2,"С","Д"),1)),"0,00;;0")&gt;=J26,нормативы!$B$7:$AC$101)),"")</f>
        <v>96</v>
      </c>
      <c r="L26" s="86">
        <v>4</v>
      </c>
      <c r="M26" s="176">
        <f t="array" ref="M26">IF(N(G26),MAX(IF(--TEXT((нормативы!$B$4:$AC$4=L$4)*(LEFTB(нормативы!$B$3:$AC$3)=D26)*нормативы!$C$7:$AD$101*(LEFTB(нормативы!$B$5:$AC$5)=IF(G26&gt;2+($D26="М"),"С","Д")),"0,00;;0")&gt;=L26,нормативы!$B$7:$AC$101)),"")</f>
        <v>32</v>
      </c>
      <c r="N26" s="80">
        <f t="shared" si="1"/>
        <v>178</v>
      </c>
      <c r="O26" s="65">
        <f>IF(N(G26),COUNTIF(INDEX(оценки!C$4:F$20,G26*2,),"&lt;="&amp;N26)+2,"")</f>
        <v>4</v>
      </c>
      <c r="P26" s="33"/>
      <c r="Q26" s="87"/>
      <c r="R26" s="88">
        <v>21</v>
      </c>
      <c r="S26" s="2">
        <f t="shared" si="2"/>
        <v>29</v>
      </c>
    </row>
    <row r="27" spans="1:19" ht="21" thickBot="1" x14ac:dyDescent="0.3">
      <c r="A27" s="83">
        <v>22</v>
      </c>
      <c r="B27" s="84"/>
      <c r="C27" s="99" t="s">
        <v>57</v>
      </c>
      <c r="D27" s="181" t="s">
        <v>88</v>
      </c>
      <c r="E27" s="102">
        <v>32681</v>
      </c>
      <c r="F27" s="101">
        <f t="array" ref="F27">IF(E27,SUM(--(DATEDIF(E27,E$3,"y")&gt;=IFERROR(--MID(SUBSTITUTE(IF(D27="М",оценки!B$6:B$20,оценки!H$6:H$16),"до",10),2,2),99))),"")</f>
        <v>2</v>
      </c>
      <c r="G27" s="120">
        <f t="shared" si="0"/>
        <v>2</v>
      </c>
      <c r="H27" s="85">
        <v>11</v>
      </c>
      <c r="I27" s="58">
        <f t="array" ref="I27">IF(N(G27),MAX(IF(--TEXT((нормативы!$B$4:$AC$4=H$4)*(LEFTB(нормативы!$B$3:$AC$3)=D27)*нормативы!$C$7:$AD$101*(IF($D27="Ж",LEFTB(нормативы!$B$5:$AC$5)=IF(G27&gt;2,"С","Д"),1)),"0;;99")&lt;=H27,нормативы!$B$7:$AC$101)),"")</f>
        <v>0</v>
      </c>
      <c r="J27" s="86">
        <v>13</v>
      </c>
      <c r="K27" s="58">
        <f t="array" ref="K27">IF(N(G27),MAX(IF(--TEXT((нормативы!$B$4:$AC$4=J$4)*(LEFTB(нормативы!$B$3:$AC$3)=D27)*нормативы!$C$7:$AD$101*(IF($D27="Ж",LEFTB(нормативы!$B$5:$AC$5)=IF(G27&gt;2,"С","Д"),1)),"0,00;;0")&gt;=J27,нормативы!$B$7:$AC$101)),"")</f>
        <v>116</v>
      </c>
      <c r="L27" s="86">
        <v>5.5</v>
      </c>
      <c r="M27" s="176">
        <f t="array" ref="M27">IF(N(G27),MAX(IF(--TEXT((нормативы!$B$4:$AC$4=L$4)*(LEFTB(нормативы!$B$3:$AC$3)=D27)*нормативы!$C$7:$AD$101*(LEFTB(нормативы!$B$5:$AC$5)=IF(G27&gt;2+($D27="М"),"С","Д")),"0,00;;0")&gt;=L27,нормативы!$B$7:$AC$101)),"")</f>
        <v>21</v>
      </c>
      <c r="N27" s="80">
        <f t="shared" si="1"/>
        <v>137</v>
      </c>
      <c r="O27" s="65">
        <f>IF(N(G27),COUNTIF(INDEX(оценки!C$4:F$20,G27*2,),"&lt;="&amp;N27)+2,"")</f>
        <v>3</v>
      </c>
      <c r="P27" s="33"/>
      <c r="Q27" s="87"/>
      <c r="R27" s="88">
        <v>22</v>
      </c>
      <c r="S27" s="2">
        <f t="shared" si="2"/>
        <v>27</v>
      </c>
    </row>
    <row r="28" spans="1:19" ht="21" thickBot="1" x14ac:dyDescent="0.3">
      <c r="A28" s="83">
        <v>23</v>
      </c>
      <c r="B28" s="84"/>
      <c r="C28" s="99" t="s">
        <v>58</v>
      </c>
      <c r="D28" s="180" t="s">
        <v>87</v>
      </c>
      <c r="E28" s="102">
        <v>31221</v>
      </c>
      <c r="F28" s="101">
        <f t="array" ref="F28">IF(E28,SUM(--(DATEDIF(E28,E$3,"y")&gt;=IFERROR(--MID(SUBSTITUTE(IF(D28="М",оценки!B$6:B$20,оценки!H$6:H$16),"до",10),2,2),99))),"")</f>
        <v>3</v>
      </c>
      <c r="G28" s="120">
        <f t="shared" si="0"/>
        <v>4</v>
      </c>
      <c r="H28" s="85">
        <v>10</v>
      </c>
      <c r="I28" s="58">
        <f t="array" ref="I28">IF(N(G28),MAX(IF(--TEXT((нормативы!$B$4:$AC$4=H$4)*(LEFTB(нормативы!$B$3:$AC$3)=D28)*нормативы!$C$7:$AD$101*(IF($D28="Ж",LEFTB(нормативы!$B$5:$AC$5)=IF(G28&gt;2,"С","Д"),1)),"0;;99")&lt;=H28,нормативы!$B$7:$AC$101)),"")</f>
        <v>50</v>
      </c>
      <c r="J28" s="86">
        <v>13</v>
      </c>
      <c r="K28" s="58">
        <f t="array" ref="K28">IF(N(G28),MAX(IF(--TEXT((нормативы!$B$4:$AC$4=J$4)*(LEFTB(нормативы!$B$3:$AC$3)=D28)*нормативы!$C$7:$AD$101*(IF($D28="Ж",LEFTB(нормативы!$B$5:$AC$5)=IF(G28&gt;2,"С","Д"),1)),"0,00;;0")&gt;=J28,нормативы!$B$7:$AC$101)),"")</f>
        <v>76</v>
      </c>
      <c r="L28" s="96">
        <v>5</v>
      </c>
      <c r="M28" s="176">
        <f t="array" ref="M28">IF(N(G28),MAX(IF(--TEXT((нормативы!$B$4:$AC$4=L$4)*(LEFTB(нормативы!$B$3:$AC$3)=D28)*нормативы!$C$7:$AD$101*(LEFTB(нормативы!$B$5:$AC$5)=IF(G28&gt;2+($D28="М"),"С","Д")),"0,00;;0")&gt;=L28,нормативы!$B$7:$AC$101)),"")</f>
        <v>22</v>
      </c>
      <c r="N28" s="80">
        <f t="shared" si="1"/>
        <v>148</v>
      </c>
      <c r="O28" s="65">
        <f>IF(N(G28),COUNTIF(INDEX(оценки!C$4:F$20,G28*2,),"&lt;="&amp;N28)+2,"")</f>
        <v>4</v>
      </c>
      <c r="P28" s="33"/>
      <c r="Q28" s="87">
        <v>1</v>
      </c>
      <c r="R28" s="88">
        <v>23</v>
      </c>
      <c r="S28" s="2">
        <f t="shared" si="2"/>
        <v>31</v>
      </c>
    </row>
    <row r="29" spans="1:19" ht="21" thickBot="1" x14ac:dyDescent="0.3">
      <c r="A29" s="83">
        <v>24</v>
      </c>
      <c r="B29" s="84"/>
      <c r="C29" s="99" t="s">
        <v>59</v>
      </c>
      <c r="D29" s="181" t="s">
        <v>88</v>
      </c>
      <c r="E29" s="102">
        <v>32318</v>
      </c>
      <c r="F29" s="101">
        <f t="array" ref="F29">IF(E29,SUM(--(DATEDIF(E29,E$3,"y")&gt;=IFERROR(--MID(SUBSTITUTE(IF(D29="М",оценки!B$6:B$20,оценки!H$6:H$16),"до",10),2,2),99))),"")</f>
        <v>2</v>
      </c>
      <c r="G29" s="120">
        <f t="shared" si="0"/>
        <v>2</v>
      </c>
      <c r="H29" s="85">
        <v>10</v>
      </c>
      <c r="I29" s="58">
        <f t="array" ref="I29">IF(N(G29),MAX(IF(--TEXT((нормативы!$B$4:$AC$4=H$4)*(LEFTB(нормативы!$B$3:$AC$3)=D29)*нормативы!$C$7:$AD$101*(IF($D29="Ж",LEFTB(нормативы!$B$5:$AC$5)=IF(G29&gt;2,"С","Д"),1)),"0;;99")&lt;=H29,нормативы!$B$7:$AC$101)),"")</f>
        <v>0</v>
      </c>
      <c r="J29" s="86">
        <v>14</v>
      </c>
      <c r="K29" s="58">
        <f t="array" ref="K29">IF(N(G29),MAX(IF(--TEXT((нормативы!$B$4:$AC$4=J$4)*(LEFTB(нормативы!$B$3:$AC$3)=D29)*нормативы!$C$7:$AD$101*(IF($D29="Ж",LEFTB(нормативы!$B$5:$AC$5)=IF(G29&gt;2,"С","Д"),1)),"0,00;;0")&gt;=J29,нормативы!$B$7:$AC$101)),"")</f>
        <v>116</v>
      </c>
      <c r="L29" s="86">
        <v>3.4</v>
      </c>
      <c r="M29" s="176">
        <f t="array" ref="M29">IF(N(G29),MAX(IF(--TEXT((нормативы!$B$4:$AC$4=L$4)*(LEFTB(нормативы!$B$3:$AC$3)=D29)*нормативы!$C$7:$AD$101*(LEFTB(нормативы!$B$5:$AC$5)=IF(G29&gt;2+($D29="М"),"С","Д")),"0,00;;0")&gt;=L29,нормативы!$B$7:$AC$101)),"")</f>
        <v>100</v>
      </c>
      <c r="N29" s="80">
        <f t="shared" si="1"/>
        <v>216</v>
      </c>
      <c r="O29" s="65">
        <f>IF(N(G29),COUNTIF(INDEX(оценки!C$4:F$20,G29*2,),"&lt;="&amp;N29)+2,"")</f>
        <v>5</v>
      </c>
      <c r="P29" s="33"/>
      <c r="Q29" s="87"/>
      <c r="R29" s="88">
        <v>24</v>
      </c>
      <c r="S29" s="2">
        <f t="shared" si="2"/>
        <v>28</v>
      </c>
    </row>
    <row r="30" spans="1:19" ht="21" thickBot="1" x14ac:dyDescent="0.3">
      <c r="A30" s="83">
        <v>25</v>
      </c>
      <c r="B30" s="84"/>
      <c r="C30" s="99" t="s">
        <v>60</v>
      </c>
      <c r="D30" s="180" t="s">
        <v>87</v>
      </c>
      <c r="E30" s="102">
        <v>30127</v>
      </c>
      <c r="F30" s="101">
        <f t="array" ref="F30">IF(E30,SUM(--(DATEDIF(E30,E$3,"y")&gt;=IFERROR(--MID(SUBSTITUTE(IF(D30="М",оценки!B$6:B$20,оценки!H$6:H$16),"до",10),2,2),99))),"")</f>
        <v>3</v>
      </c>
      <c r="G30" s="120">
        <f t="shared" si="0"/>
        <v>3</v>
      </c>
      <c r="H30" s="85">
        <v>11</v>
      </c>
      <c r="I30" s="58">
        <f t="array" ref="I30">IF(N(G30),MAX(IF(--TEXT((нормативы!$B$4:$AC$4=H$4)*(LEFTB(нормативы!$B$3:$AC$3)=D30)*нормативы!$C$7:$AD$101*(IF($D30="Ж",LEFTB(нормативы!$B$5:$AC$5)=IF(G30&gt;2,"С","Д"),1)),"0;;99")&lt;=H30,нормативы!$B$7:$AC$101)),"")</f>
        <v>54</v>
      </c>
      <c r="J30" s="86">
        <v>15</v>
      </c>
      <c r="K30" s="58">
        <f t="array" ref="K30">IF(N(G30),MAX(IF(--TEXT((нормативы!$B$4:$AC$4=J$4)*(LEFTB(нормативы!$B$3:$AC$3)=D30)*нормативы!$C$7:$AD$101*(IF($D30="Ж",LEFTB(нормативы!$B$5:$AC$5)=IF(G30&gt;2,"С","Д"),1)),"0,00;;0")&gt;=J30,нормативы!$B$7:$AC$101)),"")</f>
        <v>30</v>
      </c>
      <c r="L30" s="86">
        <v>4</v>
      </c>
      <c r="M30" s="176">
        <f t="array" ref="M30">IF(N(G30),MAX(IF(--TEXT((нормативы!$B$4:$AC$4=L$4)*(LEFTB(нормативы!$B$3:$AC$3)=D30)*нормативы!$C$7:$AD$101*(LEFTB(нормативы!$B$5:$AC$5)=IF(G30&gt;2+($D30="М"),"С","Д")),"0,00;;0")&gt;=L30,нормативы!$B$7:$AC$101)),"")</f>
        <v>32</v>
      </c>
      <c r="N30" s="80">
        <f t="shared" si="1"/>
        <v>116</v>
      </c>
      <c r="O30" s="65">
        <f>IF(N(G30),COUNTIF(INDEX(оценки!C$4:F$20,G30*2,),"&lt;="&amp;N30)+2,"")</f>
        <v>3</v>
      </c>
      <c r="P30" s="33"/>
      <c r="Q30" s="87"/>
      <c r="R30" s="88">
        <v>25</v>
      </c>
      <c r="S30" s="2">
        <f t="shared" si="2"/>
        <v>34</v>
      </c>
    </row>
    <row r="31" spans="1:19" ht="21" thickBot="1" x14ac:dyDescent="0.3">
      <c r="A31" s="83">
        <v>26</v>
      </c>
      <c r="B31" s="84"/>
      <c r="C31" s="99" t="s">
        <v>61</v>
      </c>
      <c r="D31" s="181" t="s">
        <v>88</v>
      </c>
      <c r="E31" s="102">
        <v>30128</v>
      </c>
      <c r="F31" s="101">
        <f t="array" ref="F31">IF(E31,SUM(--(DATEDIF(E31,E$3,"y")&gt;=IFERROR(--MID(SUBSTITUTE(IF(D31="М",оценки!B$6:B$20,оценки!H$6:H$16),"до",10),2,2),99))),"")</f>
        <v>3</v>
      </c>
      <c r="G31" s="120">
        <f t="shared" si="0"/>
        <v>3</v>
      </c>
      <c r="H31" s="85">
        <v>10</v>
      </c>
      <c r="I31" s="58">
        <f t="array" ref="I31">IF(N(G31),MAX(IF(--TEXT((нормативы!$B$4:$AC$4=H$4)*(LEFTB(нормативы!$B$3:$AC$3)=D31)*нормативы!$C$7:$AD$101*(IF($D31="Ж",LEFTB(нормативы!$B$5:$AC$5)=IF(G31&gt;2,"С","Д"),1)),"0;;99")&lt;=H31,нормативы!$B$7:$AC$101)),"")</f>
        <v>30</v>
      </c>
      <c r="J31" s="86">
        <v>13</v>
      </c>
      <c r="K31" s="58">
        <f t="array" ref="K31">IF(N(G31),MAX(IF(--TEXT((нормативы!$B$4:$AC$4=J$4)*(LEFTB(нормативы!$B$3:$AC$3)=D31)*нормативы!$C$7:$AD$101*(IF($D31="Ж",LEFTB(нормативы!$B$5:$AC$5)=IF(G31&gt;2,"С","Д"),1)),"0,00;;0")&gt;=J31,нормативы!$B$7:$AC$101)),"")</f>
        <v>126</v>
      </c>
      <c r="L31" s="86">
        <v>5</v>
      </c>
      <c r="M31" s="176">
        <f t="array" ref="M31">IF(N(G31),MAX(IF(--TEXT((нормативы!$B$4:$AC$4=L$4)*(LEFTB(нормативы!$B$3:$AC$3)=D31)*нормативы!$C$7:$AD$101*(LEFTB(нормативы!$B$5:$AC$5)=IF(G31&gt;2+($D31="М"),"С","Д")),"0,00;;0")&gt;=L31,нормативы!$B$7:$AC$101)),"")</f>
        <v>48</v>
      </c>
      <c r="N31" s="80">
        <f t="shared" si="1"/>
        <v>204</v>
      </c>
      <c r="O31" s="65">
        <f>IF(N(G31),COUNTIF(INDEX(оценки!C$4:F$20,G31*2,),"&lt;="&amp;N31)+2,"")</f>
        <v>5</v>
      </c>
      <c r="P31" s="33"/>
      <c r="Q31" s="87"/>
      <c r="R31" s="88">
        <v>26</v>
      </c>
      <c r="S31" s="2">
        <f t="shared" si="2"/>
        <v>34</v>
      </c>
    </row>
    <row r="32" spans="1:19" ht="21" thickBot="1" x14ac:dyDescent="0.3">
      <c r="A32" s="83">
        <v>27</v>
      </c>
      <c r="B32" s="84"/>
      <c r="C32" s="99" t="s">
        <v>62</v>
      </c>
      <c r="D32" s="180" t="s">
        <v>87</v>
      </c>
      <c r="E32" s="102">
        <v>30494</v>
      </c>
      <c r="F32" s="101">
        <f t="array" ref="F32">IF(E32,SUM(--(DATEDIF(E32,E$3,"y")&gt;=IFERROR(--MID(SUBSTITUTE(IF(D32="М",оценки!B$6:B$20,оценки!H$6:H$16),"до",10),2,2),99))),"")</f>
        <v>3</v>
      </c>
      <c r="G32" s="120" t="str">
        <f t="shared" si="0"/>
        <v>Отпуск</v>
      </c>
      <c r="H32" s="85"/>
      <c r="I32" s="58" t="str">
        <f t="array" ref="I32">IF(N(G32),MAX(IF(--TEXT((нормативы!$B$4:$AC$4=H$4)*(LEFTB(нормативы!$B$3:$AC$3)=D32)*нормативы!$C$7:$AD$101*(IF($D32="Ж",LEFTB(нормативы!$B$5:$AC$5)=IF(G32&gt;2,"С","Д"),1)),"0;;99")&lt;=H32,нормативы!$B$7:$AC$101)),"")</f>
        <v/>
      </c>
      <c r="J32" s="86">
        <v>13</v>
      </c>
      <c r="K32" s="58" t="str">
        <f t="array" ref="K32">IF(N(G32),MAX(IF(--TEXT((нормативы!$B$4:$AC$4=J$4)*(LEFTB(нормативы!$B$3:$AC$3)=D32)*нормативы!$C$7:$AD$101*(IF($D32="Ж",LEFTB(нормативы!$B$5:$AC$5)=IF(G32&gt;2,"С","Д"),1)),"0,00;;0")&gt;=J32,нормативы!$B$7:$AC$101)),"")</f>
        <v/>
      </c>
      <c r="L32" s="86"/>
      <c r="M32" s="176" t="str">
        <f t="array" ref="M32">IF(N(G32),MAX(IF(--TEXT((нормативы!$B$4:$AC$4=L$4)*(LEFTB(нормативы!$B$3:$AC$3)=D32)*нормативы!$C$7:$AD$101*(LEFTB(нормативы!$B$5:$AC$5)=IF(G32&gt;2+($D32="М"),"С","Д")),"0,00;;0")&gt;=L32,нормативы!$B$7:$AC$101)),"")</f>
        <v/>
      </c>
      <c r="N32" s="80" t="str">
        <f t="shared" si="1"/>
        <v/>
      </c>
      <c r="O32" s="65" t="str">
        <f>IF(N(G32),COUNTIF(INDEX(оценки!C$4:F$20,G32*2,),"&lt;="&amp;N32)+2,"")</f>
        <v/>
      </c>
      <c r="P32" s="33"/>
      <c r="Q32" s="87" t="s">
        <v>82</v>
      </c>
      <c r="R32" s="88">
        <v>27</v>
      </c>
      <c r="S32" s="2">
        <f t="shared" si="2"/>
        <v>33</v>
      </c>
    </row>
    <row r="33" spans="1:21" ht="21" thickBot="1" x14ac:dyDescent="0.3">
      <c r="A33" s="83">
        <v>28</v>
      </c>
      <c r="B33" s="84"/>
      <c r="C33" s="99" t="s">
        <v>63</v>
      </c>
      <c r="D33" s="181" t="s">
        <v>88</v>
      </c>
      <c r="E33" s="102">
        <v>31226</v>
      </c>
      <c r="F33" s="101">
        <f t="array" ref="F33">IF(E33,SUM(--(DATEDIF(E33,E$3,"y")&gt;=IFERROR(--MID(SUBSTITUTE(IF(D33="М",оценки!B$6:B$20,оценки!H$6:H$16),"до",10),2,2),99))),"")</f>
        <v>3</v>
      </c>
      <c r="G33" s="120">
        <f t="shared" si="0"/>
        <v>3</v>
      </c>
      <c r="H33" s="85">
        <v>10</v>
      </c>
      <c r="I33" s="58">
        <f t="array" ref="I33">IF(N(G33),MAX(IF(--TEXT((нормативы!$B$4:$AC$4=H$4)*(LEFTB(нормативы!$B$3:$AC$3)=D33)*нормативы!$C$7:$AD$101*(IF($D33="Ж",LEFTB(нормативы!$B$5:$AC$5)=IF(G33&gt;2,"С","Д"),1)),"0;;99")&lt;=H33,нормативы!$B$7:$AC$101)),"")</f>
        <v>30</v>
      </c>
      <c r="J33" s="86">
        <v>17</v>
      </c>
      <c r="K33" s="58">
        <f t="array" ref="K33">IF(N(G33),MAX(IF(--TEXT((нормативы!$B$4:$AC$4=J$4)*(LEFTB(нормативы!$B$3:$AC$3)=D33)*нормативы!$C$7:$AD$101*(IF($D33="Ж",LEFTB(нормативы!$B$5:$AC$5)=IF(G33&gt;2,"С","Д"),1)),"0,00;;0")&gt;=J33,нормативы!$B$7:$AC$101)),"")</f>
        <v>77</v>
      </c>
      <c r="L33" s="86">
        <v>4</v>
      </c>
      <c r="M33" s="176">
        <f t="array" ref="M33">IF(N(G33),MAX(IF(--TEXT((нормативы!$B$4:$AC$4=L$4)*(LEFTB(нормативы!$B$3:$AC$3)=D33)*нормативы!$C$7:$AD$101*(LEFTB(нормативы!$B$5:$AC$5)=IF(G33&gt;2+($D33="М"),"С","Д")),"0,00;;0")&gt;=L33,нормативы!$B$7:$AC$101)),"")</f>
        <v>100</v>
      </c>
      <c r="N33" s="80">
        <f t="shared" si="1"/>
        <v>207</v>
      </c>
      <c r="O33" s="65">
        <f>IF(N(G33),COUNTIF(INDEX(оценки!C$4:F$20,G33*2,),"&lt;="&amp;N33)+2,"")</f>
        <v>5</v>
      </c>
      <c r="P33" s="33"/>
      <c r="Q33" s="87"/>
      <c r="R33" s="88">
        <v>28</v>
      </c>
      <c r="S33" s="2">
        <f t="shared" si="2"/>
        <v>31</v>
      </c>
    </row>
    <row r="34" spans="1:21" ht="21" thickBot="1" x14ac:dyDescent="0.3">
      <c r="A34" s="83">
        <v>29</v>
      </c>
      <c r="B34" s="84"/>
      <c r="C34" s="99" t="s">
        <v>64</v>
      </c>
      <c r="D34" s="180" t="s">
        <v>87</v>
      </c>
      <c r="E34" s="102">
        <v>32688</v>
      </c>
      <c r="F34" s="101">
        <f t="array" ref="F34">IF(E34,SUM(--(DATEDIF(E34,E$3,"y")&gt;=IFERROR(--MID(SUBSTITUTE(IF(D34="М",оценки!B$6:B$20,оценки!H$6:H$16),"до",10),2,2),99))),"")</f>
        <v>2</v>
      </c>
      <c r="G34" s="120">
        <f t="shared" si="0"/>
        <v>2</v>
      </c>
      <c r="H34" s="85">
        <v>13</v>
      </c>
      <c r="I34" s="58">
        <f t="array" ref="I34">IF(N(G34),MAX(IF(--TEXT((нормативы!$B$4:$AC$4=H$4)*(LEFTB(нормативы!$B$3:$AC$3)=D34)*нормативы!$C$7:$AD$101*(IF($D34="Ж",LEFTB(нормативы!$B$5:$AC$5)=IF(G34&gt;2,"С","Д"),1)),"0;;99")&lt;=H34,нормативы!$B$7:$AC$101)),"")</f>
        <v>62</v>
      </c>
      <c r="J34" s="86">
        <v>13</v>
      </c>
      <c r="K34" s="58">
        <f t="array" ref="K34">IF(N(G34),MAX(IF(--TEXT((нормативы!$B$4:$AC$4=J$4)*(LEFTB(нормативы!$B$3:$AC$3)=D34)*нормативы!$C$7:$AD$101*(IF($D34="Ж",LEFTB(нормативы!$B$5:$AC$5)=IF(G34&gt;2,"С","Д"),1)),"0,00;;0")&gt;=J34,нормативы!$B$7:$AC$101)),"")</f>
        <v>76</v>
      </c>
      <c r="L34" s="86">
        <v>3.4</v>
      </c>
      <c r="M34" s="176">
        <f t="array" ref="M34">IF(N(G34),MAX(IF(--TEXT((нормативы!$B$4:$AC$4=L$4)*(LEFTB(нормативы!$B$3:$AC$3)=D34)*нормативы!$C$7:$AD$101*(LEFTB(нормативы!$B$5:$AC$5)=IF(G34&gt;2+($D34="М"),"С","Д")),"0,00;;0")&gt;=L34,нормативы!$B$7:$AC$101)),"")</f>
        <v>47</v>
      </c>
      <c r="N34" s="80">
        <f t="shared" si="1"/>
        <v>185</v>
      </c>
      <c r="O34" s="65">
        <f>IF(N(G34),COUNTIF(INDEX(оценки!C$4:F$20,G34*2,),"&lt;="&amp;N34)+2,"")</f>
        <v>5</v>
      </c>
      <c r="P34" s="33"/>
      <c r="Q34" s="87"/>
      <c r="R34" s="88">
        <v>29</v>
      </c>
      <c r="S34" s="2">
        <f t="shared" si="2"/>
        <v>27</v>
      </c>
    </row>
    <row r="35" spans="1:21" ht="21" thickBot="1" x14ac:dyDescent="0.3">
      <c r="A35" s="89">
        <v>30</v>
      </c>
      <c r="B35" s="90"/>
      <c r="C35" s="100" t="s">
        <v>65</v>
      </c>
      <c r="D35" s="181" t="s">
        <v>88</v>
      </c>
      <c r="E35" s="103">
        <v>30863</v>
      </c>
      <c r="F35" s="101">
        <f t="array" ref="F35">IF(E35,SUM(--(DATEDIF(E35,E$3,"y")&gt;=IFERROR(--MID(SUBSTITUTE(IF(D35="М",оценки!B$6:B$20,оценки!H$6:H$16),"до",10),2,2),99))),"")</f>
        <v>3</v>
      </c>
      <c r="G35" s="120" t="str">
        <f t="shared" si="0"/>
        <v>Отпуск</v>
      </c>
      <c r="H35" s="91"/>
      <c r="I35" s="58" t="str">
        <f t="array" ref="I35">IF(N(G35),MAX(IF(--TEXT((нормативы!$B$4:$AC$4=H$4)*(LEFTB(нормативы!$B$3:$AC$3)=D35)*нормативы!$C$7:$AD$101*(IF($D35="Ж",LEFTB(нормативы!$B$5:$AC$5)=IF(G35&gt;2,"С","Д"),1)),"0;;99")&lt;=H35,нормативы!$B$7:$AC$101)),"")</f>
        <v/>
      </c>
      <c r="J35" s="92">
        <v>13</v>
      </c>
      <c r="K35" s="58" t="str">
        <f t="array" ref="K35">IF(N(G35),MAX(IF(--TEXT((нормативы!$B$4:$AC$4=J$4)*(LEFTB(нормативы!$B$3:$AC$3)=D35)*нормативы!$C$7:$AD$101*(IF($D35="Ж",LEFTB(нормативы!$B$5:$AC$5)=IF(G35&gt;2,"С","Д"),1)),"0,00;;0")&gt;=J35,нормативы!$B$7:$AC$101)),"")</f>
        <v/>
      </c>
      <c r="L35" s="92"/>
      <c r="M35" s="176" t="str">
        <f t="array" ref="M35">IF(N(G35),MAX(IF(--TEXT((нормативы!$B$4:$AC$4=L$4)*(LEFTB(нормативы!$B$3:$AC$3)=D35)*нормативы!$C$7:$AD$101*(LEFTB(нормативы!$B$5:$AC$5)=IF(G35&gt;2+($D35="М"),"С","Д")),"0,00;;0")&gt;=L35,нормативы!$B$7:$AC$101)),"")</f>
        <v/>
      </c>
      <c r="N35" s="80" t="str">
        <f t="shared" si="1"/>
        <v/>
      </c>
      <c r="O35" s="65" t="str">
        <f>IF(N(G35),COUNTIF(INDEX(оценки!C$4:F$20,G35*2,),"&lt;="&amp;N35)+2,"")</f>
        <v/>
      </c>
      <c r="P35" s="33"/>
      <c r="Q35" s="93" t="s">
        <v>82</v>
      </c>
      <c r="R35" s="94">
        <v>30</v>
      </c>
      <c r="S35" s="2">
        <f t="shared" si="2"/>
        <v>32</v>
      </c>
    </row>
    <row r="36" spans="1:21" ht="18.75" x14ac:dyDescent="0.25">
      <c r="A36" s="18"/>
      <c r="B36" s="20"/>
      <c r="C36" s="48"/>
      <c r="D36" s="48"/>
      <c r="E36" s="20"/>
      <c r="F36" s="19"/>
      <c r="G36" s="19"/>
      <c r="H36" s="20"/>
      <c r="I36" s="20"/>
      <c r="J36" s="20"/>
      <c r="K36" s="20"/>
      <c r="L36" s="20"/>
      <c r="M36" s="19"/>
      <c r="N36" s="20"/>
      <c r="O36" s="67"/>
      <c r="P36" s="64"/>
      <c r="Q36" s="72"/>
      <c r="R36" s="32"/>
    </row>
    <row r="37" spans="1:21" ht="18.75" x14ac:dyDescent="0.25">
      <c r="A37" s="21"/>
      <c r="B37" s="22"/>
      <c r="C37" s="23"/>
      <c r="D37" s="23"/>
      <c r="E37" s="22"/>
      <c r="F37" s="19"/>
      <c r="G37" s="19"/>
      <c r="H37" s="22"/>
      <c r="I37" s="22"/>
      <c r="J37" s="22"/>
      <c r="K37" s="22"/>
      <c r="L37" s="22"/>
      <c r="M37" s="19"/>
      <c r="N37" s="22"/>
      <c r="O37" s="67"/>
      <c r="P37" s="64"/>
      <c r="Q37" s="70"/>
      <c r="R37" s="30"/>
      <c r="U37" s="188"/>
    </row>
    <row r="38" spans="1:21" ht="19.5" thickBot="1" x14ac:dyDescent="0.3">
      <c r="A38" s="21"/>
      <c r="B38" s="22"/>
      <c r="C38" s="23"/>
      <c r="D38" s="23"/>
      <c r="E38" s="22"/>
      <c r="F38" s="19"/>
      <c r="G38" s="19"/>
      <c r="H38" s="22"/>
      <c r="I38" s="22"/>
      <c r="J38" s="22"/>
      <c r="K38" s="22"/>
      <c r="L38" s="22"/>
      <c r="M38" s="19"/>
      <c r="N38" s="22"/>
      <c r="O38" s="67"/>
      <c r="P38" s="64"/>
      <c r="Q38" s="70"/>
      <c r="R38" s="30"/>
      <c r="U38" s="188"/>
    </row>
    <row r="39" spans="1:21" ht="23.25" x14ac:dyDescent="0.25">
      <c r="A39" s="21"/>
      <c r="B39" s="22"/>
      <c r="C39" s="40" t="s">
        <v>22</v>
      </c>
      <c r="D39" s="177"/>
      <c r="E39" s="41"/>
      <c r="F39" s="41"/>
      <c r="G39" s="184">
        <f>COUNTA(G6:G35)-COUNTIF(G6:G35,"Отпуск")</f>
        <v>28</v>
      </c>
      <c r="H39" s="35">
        <f>G39/COUNTA(G6:G35)</f>
        <v>0.93333333333333335</v>
      </c>
      <c r="I39" s="34" t="s">
        <v>23</v>
      </c>
      <c r="J39" s="187">
        <f>COUNT(G6:G35)</f>
        <v>24</v>
      </c>
      <c r="K39" s="35">
        <f>J39/COUNTA(G6:G35)</f>
        <v>0.8</v>
      </c>
      <c r="L39" s="22"/>
      <c r="M39" s="19"/>
      <c r="N39" s="22"/>
      <c r="O39" s="67"/>
      <c r="P39" s="64"/>
      <c r="Q39" s="70"/>
      <c r="R39" s="30"/>
      <c r="U39" s="188"/>
    </row>
    <row r="40" spans="1:21" ht="23.25" x14ac:dyDescent="0.25">
      <c r="A40" s="21"/>
      <c r="B40" s="22"/>
      <c r="C40" s="42" t="s">
        <v>24</v>
      </c>
      <c r="D40" s="105"/>
      <c r="E40" s="43"/>
      <c r="F40" s="44"/>
      <c r="G40" s="185"/>
      <c r="H40" s="36" t="str">
        <f>IFERROR(INDEX([1]нормативы!B$6:B$35,MATCH(G40,[1]нормативы!C$6:C$35,)),"")</f>
        <v/>
      </c>
      <c r="I40" s="36"/>
      <c r="J40" s="36"/>
      <c r="K40" s="37"/>
      <c r="L40" s="22"/>
      <c r="M40" s="19"/>
      <c r="N40" s="22"/>
      <c r="O40" s="67"/>
      <c r="P40" s="64"/>
      <c r="Q40" s="70"/>
      <c r="R40" s="30"/>
      <c r="U40" s="188"/>
    </row>
    <row r="41" spans="1:21" ht="23.25" x14ac:dyDescent="0.25">
      <c r="A41" s="21"/>
      <c r="B41" s="22"/>
      <c r="C41" s="42" t="s">
        <v>25</v>
      </c>
      <c r="D41" s="105"/>
      <c r="E41" s="44"/>
      <c r="F41" s="44"/>
      <c r="G41" s="186">
        <f>COUNTIF(O6:O35,5)</f>
        <v>14</v>
      </c>
      <c r="H41" s="73">
        <f t="shared" ref="H41:H44" si="3">G41/J$39</f>
        <v>0.58333333333333337</v>
      </c>
      <c r="I41" s="36"/>
      <c r="J41" s="36"/>
      <c r="K41" s="37"/>
      <c r="L41" s="22"/>
      <c r="M41" s="19"/>
      <c r="N41" s="22"/>
      <c r="O41" s="67"/>
      <c r="P41" s="64"/>
      <c r="Q41" s="70"/>
      <c r="R41" s="30"/>
    </row>
    <row r="42" spans="1:21" ht="23.25" x14ac:dyDescent="0.25">
      <c r="A42" s="21"/>
      <c r="B42" s="22"/>
      <c r="C42" s="42" t="s">
        <v>26</v>
      </c>
      <c r="D42" s="105"/>
      <c r="E42" s="44"/>
      <c r="F42" s="44"/>
      <c r="G42" s="186">
        <f>COUNTIF(O6:O35,4)</f>
        <v>3</v>
      </c>
      <c r="H42" s="73">
        <f t="shared" si="3"/>
        <v>0.125</v>
      </c>
      <c r="I42" s="36"/>
      <c r="J42" s="36"/>
      <c r="K42" s="37"/>
      <c r="L42" s="22"/>
      <c r="M42" s="19"/>
      <c r="N42" s="22"/>
      <c r="O42" s="67"/>
      <c r="P42" s="64"/>
      <c r="Q42" s="70"/>
      <c r="R42" s="30"/>
    </row>
    <row r="43" spans="1:21" ht="23.25" x14ac:dyDescent="0.25">
      <c r="A43" s="21"/>
      <c r="B43" s="22"/>
      <c r="C43" s="42" t="s">
        <v>27</v>
      </c>
      <c r="D43" s="105"/>
      <c r="E43" s="44"/>
      <c r="F43" s="44"/>
      <c r="G43" s="186">
        <f>COUNTIF(O6:O35,3)</f>
        <v>5</v>
      </c>
      <c r="H43" s="73">
        <f t="shared" si="3"/>
        <v>0.20833333333333334</v>
      </c>
      <c r="I43" s="36"/>
      <c r="J43" s="36"/>
      <c r="K43" s="37"/>
      <c r="L43" s="22"/>
      <c r="M43" s="19"/>
      <c r="N43" s="22"/>
      <c r="O43" s="67"/>
      <c r="P43" s="64"/>
      <c r="Q43" s="70"/>
      <c r="R43" s="30"/>
    </row>
    <row r="44" spans="1:21" ht="23.25" x14ac:dyDescent="0.25">
      <c r="A44" s="21"/>
      <c r="B44" s="22"/>
      <c r="C44" s="42" t="s">
        <v>28</v>
      </c>
      <c r="D44" s="105"/>
      <c r="E44" s="44"/>
      <c r="F44" s="44"/>
      <c r="G44" s="186">
        <f>COUNTIF(O6:O35,2)</f>
        <v>2</v>
      </c>
      <c r="H44" s="73">
        <f t="shared" si="3"/>
        <v>8.3333333333333329E-2</v>
      </c>
      <c r="I44" s="36"/>
      <c r="J44" s="36"/>
      <c r="K44" s="37"/>
      <c r="L44" s="22"/>
      <c r="M44" s="19"/>
      <c r="N44" s="22"/>
      <c r="O44" s="67"/>
      <c r="P44" s="64"/>
      <c r="Q44" s="70"/>
      <c r="R44" s="30"/>
    </row>
    <row r="45" spans="1:21" ht="23.25" x14ac:dyDescent="0.25">
      <c r="A45" s="21"/>
      <c r="B45" s="22"/>
      <c r="C45" s="121" t="s">
        <v>29</v>
      </c>
      <c r="D45" s="122"/>
      <c r="E45" s="122"/>
      <c r="F45" s="123"/>
      <c r="G45" s="186">
        <f>SUM(G41:G43)</f>
        <v>22</v>
      </c>
      <c r="H45" s="73">
        <f>G45/J$39</f>
        <v>0.91666666666666663</v>
      </c>
      <c r="I45" s="36"/>
      <c r="J45" s="36"/>
      <c r="K45" s="37"/>
      <c r="L45" s="22"/>
      <c r="M45" s="19"/>
      <c r="N45" s="22"/>
      <c r="O45" s="67"/>
      <c r="P45" s="64"/>
      <c r="Q45" s="70"/>
      <c r="R45" s="30"/>
    </row>
    <row r="46" spans="1:21" ht="23.25" x14ac:dyDescent="0.25">
      <c r="A46" s="21"/>
      <c r="B46" s="22"/>
      <c r="C46" s="121" t="s">
        <v>30</v>
      </c>
      <c r="D46" s="122"/>
      <c r="E46" s="122"/>
      <c r="F46" s="123"/>
      <c r="G46" s="186">
        <f>COUNTIF(G6:G35,"Освобождение")</f>
        <v>4</v>
      </c>
      <c r="H46" s="73">
        <f>G46/COUNTA(G6:G35)</f>
        <v>0.13333333333333333</v>
      </c>
      <c r="I46" s="36"/>
      <c r="J46" s="36"/>
      <c r="K46" s="37"/>
      <c r="L46" s="22"/>
      <c r="M46" s="19"/>
      <c r="N46" s="22"/>
      <c r="O46" s="67"/>
      <c r="P46" s="64"/>
      <c r="Q46" s="70"/>
      <c r="R46" s="30"/>
    </row>
    <row r="47" spans="1:21" ht="24" thickBot="1" x14ac:dyDescent="0.3">
      <c r="A47" s="21"/>
      <c r="B47" s="22"/>
      <c r="C47" s="124" t="s">
        <v>31</v>
      </c>
      <c r="D47" s="178"/>
      <c r="E47" s="125"/>
      <c r="F47" s="45" t="str">
        <f t="array" ref="F47">IF(E47,SUM(--(DATEDIF(E47,E$3,"y")&gt;=IFERROR(--MID(SUBSTITUTE([1]оценки!B$6:B$20,"до",10),2,2),99))),"")</f>
        <v/>
      </c>
      <c r="G47" s="126" t="str">
        <f>CHOOSE((H45&gt;=0.7)+AND(H45&gt;0.8,H42+H41&gt;=0.5)+AND(H45&gt;0.9,H41&gt;=0.5)+1,"НЕУДОВЛЕТВОРИТЕЛЬНО","УДОВЛЕТВОРИТЕЛЬНО","ХОРОЩО","ОТЛИЧНО")</f>
        <v>ОТЛИЧНО</v>
      </c>
      <c r="H47" s="127"/>
      <c r="I47" s="38"/>
      <c r="J47" s="38"/>
      <c r="K47" s="39"/>
      <c r="L47" s="22"/>
      <c r="M47" s="19"/>
      <c r="N47" s="22"/>
      <c r="O47" s="67"/>
      <c r="P47" s="64"/>
      <c r="Q47" s="70"/>
      <c r="R47" s="30"/>
    </row>
    <row r="48" spans="1:21" ht="18.75" x14ac:dyDescent="0.25">
      <c r="A48" s="21"/>
      <c r="B48" s="22"/>
      <c r="C48" s="54"/>
      <c r="D48" s="179"/>
      <c r="E48" s="49"/>
      <c r="F48" s="19"/>
      <c r="G48" s="19"/>
      <c r="H48" s="22"/>
      <c r="I48" s="22"/>
      <c r="J48" s="22"/>
      <c r="K48" s="22"/>
      <c r="L48" s="22"/>
      <c r="M48" s="19"/>
      <c r="N48" s="22"/>
      <c r="O48" s="67"/>
      <c r="P48" s="64"/>
      <c r="Q48" s="70"/>
      <c r="R48" s="30"/>
    </row>
    <row r="49" spans="1:18" ht="20.25" x14ac:dyDescent="0.25">
      <c r="A49" s="50"/>
      <c r="B49" s="51"/>
      <c r="C49" s="51"/>
      <c r="D49" s="51"/>
      <c r="E49" s="56"/>
      <c r="F49" s="46"/>
      <c r="G49" s="46"/>
      <c r="H49" s="47"/>
      <c r="I49" s="47"/>
      <c r="J49" s="47"/>
      <c r="K49" s="47"/>
      <c r="L49" s="47"/>
      <c r="M49" s="46"/>
      <c r="N49" s="47"/>
      <c r="O49" s="68"/>
      <c r="P49" s="64"/>
      <c r="Q49" s="70"/>
      <c r="R49" s="30"/>
    </row>
    <row r="50" spans="1:18" ht="20.25" x14ac:dyDescent="0.25">
      <c r="A50" s="52"/>
      <c r="B50" s="53"/>
      <c r="C50" s="53"/>
      <c r="D50" s="53"/>
      <c r="E50" s="57"/>
      <c r="F50" s="46"/>
      <c r="G50" s="46"/>
      <c r="H50" s="47"/>
      <c r="I50" s="47"/>
      <c r="J50" s="47"/>
      <c r="K50" s="47"/>
      <c r="L50" s="47"/>
      <c r="M50" s="46"/>
      <c r="N50" s="47"/>
      <c r="O50" s="66"/>
      <c r="P50" s="64"/>
      <c r="Q50" s="70"/>
      <c r="R50" s="30"/>
    </row>
    <row r="51" spans="1:18" ht="18.75" x14ac:dyDescent="0.25">
      <c r="A51" s="21"/>
      <c r="B51" s="22"/>
      <c r="C51" s="54"/>
      <c r="D51" s="54"/>
      <c r="E51" s="22"/>
      <c r="F51" s="19"/>
      <c r="G51" s="19"/>
      <c r="H51" s="22"/>
      <c r="I51" s="22"/>
      <c r="J51" s="22"/>
      <c r="K51" s="22"/>
      <c r="L51" s="22"/>
      <c r="M51" s="19"/>
      <c r="N51" s="22"/>
      <c r="O51" s="67"/>
      <c r="P51" s="64"/>
      <c r="Q51" s="70"/>
      <c r="R51" s="30"/>
    </row>
    <row r="52" spans="1:18" ht="18.75" x14ac:dyDescent="0.25">
      <c r="A52" s="21"/>
      <c r="B52" s="22"/>
      <c r="C52" s="54"/>
      <c r="D52" s="54"/>
      <c r="E52" s="22"/>
      <c r="F52" s="19"/>
      <c r="G52" s="19"/>
      <c r="H52" s="22"/>
      <c r="I52" s="22"/>
      <c r="J52" s="22"/>
      <c r="K52" s="22"/>
      <c r="L52" s="22"/>
      <c r="M52" s="19"/>
      <c r="N52" s="22"/>
      <c r="O52" s="67"/>
      <c r="P52" s="64"/>
      <c r="Q52" s="70"/>
      <c r="R52" s="30"/>
    </row>
    <row r="53" spans="1:18" ht="18.75" x14ac:dyDescent="0.25">
      <c r="A53" s="21"/>
      <c r="B53" s="22"/>
      <c r="C53" s="54"/>
      <c r="D53" s="54"/>
      <c r="E53" s="22"/>
      <c r="F53" s="19"/>
      <c r="G53" s="19"/>
      <c r="H53" s="22"/>
      <c r="I53" s="22"/>
      <c r="J53" s="22"/>
      <c r="K53" s="22"/>
      <c r="L53" s="22"/>
      <c r="M53" s="19"/>
      <c r="N53" s="22"/>
      <c r="O53" s="67"/>
      <c r="P53" s="64"/>
      <c r="Q53" s="70"/>
      <c r="R53" s="30"/>
    </row>
    <row r="54" spans="1:18" ht="18.75" x14ac:dyDescent="0.25">
      <c r="A54" s="21"/>
      <c r="B54" s="22"/>
      <c r="C54" s="54"/>
      <c r="D54" s="54"/>
      <c r="E54" s="22"/>
      <c r="F54" s="19"/>
      <c r="G54" s="19"/>
      <c r="H54" s="22"/>
      <c r="I54" s="22"/>
      <c r="J54" s="22"/>
      <c r="K54" s="22"/>
      <c r="L54" s="22"/>
      <c r="M54" s="19"/>
      <c r="N54" s="22"/>
      <c r="O54" s="67"/>
      <c r="P54" s="64"/>
      <c r="Q54" s="70"/>
      <c r="R54" s="30"/>
    </row>
    <row r="55" spans="1:18" ht="19.5" thickBot="1" x14ac:dyDescent="0.3">
      <c r="A55" s="24"/>
      <c r="B55" s="25"/>
      <c r="C55" s="55"/>
      <c r="D55" s="55"/>
      <c r="E55" s="25"/>
      <c r="F55" s="26"/>
      <c r="G55" s="26"/>
      <c r="H55" s="25"/>
      <c r="I55" s="25"/>
      <c r="J55" s="25"/>
      <c r="K55" s="25"/>
      <c r="L55" s="25"/>
      <c r="M55" s="25"/>
      <c r="N55" s="25"/>
      <c r="O55" s="69"/>
      <c r="P55" s="64"/>
      <c r="Q55" s="71"/>
      <c r="R55" s="31"/>
    </row>
  </sheetData>
  <sheetProtection selectLockedCells="1" selectUnlockedCells="1"/>
  <autoFilter ref="A4:T35">
    <filterColumn colId="7" showButton="0"/>
    <filterColumn colId="9" showButton="0"/>
    <filterColumn colId="11" showButton="0"/>
  </autoFilter>
  <mergeCells count="21">
    <mergeCell ref="A2:P2"/>
    <mergeCell ref="A3:C3"/>
    <mergeCell ref="A4:A5"/>
    <mergeCell ref="C4:C5"/>
    <mergeCell ref="E4:E5"/>
    <mergeCell ref="F4:F5"/>
    <mergeCell ref="B4:B5"/>
    <mergeCell ref="D4:D5"/>
    <mergeCell ref="Q4:Q5"/>
    <mergeCell ref="R4:R5"/>
    <mergeCell ref="O4:O5"/>
    <mergeCell ref="H4:I4"/>
    <mergeCell ref="J4:K4"/>
    <mergeCell ref="L4:M4"/>
    <mergeCell ref="N4:N5"/>
    <mergeCell ref="C45:F45"/>
    <mergeCell ref="C46:F46"/>
    <mergeCell ref="C47:E47"/>
    <mergeCell ref="G47:H47"/>
    <mergeCell ref="P4:P5"/>
    <mergeCell ref="G4:G5"/>
  </mergeCells>
  <dataValidations count="1">
    <dataValidation type="list" allowBlank="1" showInputMessage="1" showErrorMessage="1" sqref="D6:D35">
      <formula1>"М,Ж"</formula1>
    </dataValidation>
  </dataValidation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AD101"/>
  <sheetViews>
    <sheetView zoomScale="85" zoomScaleNormal="85" workbookViewId="0">
      <selection activeCell="AC4" sqref="AC4:AD4"/>
    </sheetView>
  </sheetViews>
  <sheetFormatPr defaultRowHeight="15" x14ac:dyDescent="0.25"/>
  <cols>
    <col min="3" max="3" width="10.7109375" customWidth="1"/>
    <col min="6" max="6" width="11" customWidth="1"/>
    <col min="9" max="9" width="11.28515625" customWidth="1"/>
    <col min="12" max="12" width="11.42578125" customWidth="1"/>
    <col min="14" max="14" width="9.140625" style="10"/>
    <col min="15" max="15" width="10.140625" customWidth="1"/>
    <col min="17" max="17" width="9.140625" style="10"/>
    <col min="18" max="18" width="10.5703125" customWidth="1"/>
    <col min="20" max="20" width="9.140625" style="10"/>
    <col min="21" max="21" width="12.140625" customWidth="1"/>
    <col min="23" max="23" width="9.140625" style="10"/>
    <col min="24" max="24" width="12.28515625" customWidth="1"/>
    <col min="27" max="27" width="10.85546875" style="11" customWidth="1"/>
    <col min="30" max="30" width="11.42578125" style="11" customWidth="1"/>
  </cols>
  <sheetData>
    <row r="2" spans="2:30" ht="15.75" thickBot="1" x14ac:dyDescent="0.3"/>
    <row r="3" spans="2:30" s="9" customFormat="1" ht="20.25" customHeight="1" thickBot="1" x14ac:dyDescent="0.3">
      <c r="B3" s="154" t="s">
        <v>20</v>
      </c>
      <c r="C3" s="155"/>
      <c r="D3" s="118"/>
      <c r="E3" s="154" t="s">
        <v>20</v>
      </c>
      <c r="F3" s="155"/>
      <c r="G3" s="118"/>
      <c r="H3" s="154" t="s">
        <v>20</v>
      </c>
      <c r="I3" s="155"/>
      <c r="J3" s="118"/>
      <c r="K3" s="154" t="s">
        <v>20</v>
      </c>
      <c r="L3" s="155"/>
      <c r="M3" s="118"/>
      <c r="N3" s="154" t="s">
        <v>76</v>
      </c>
      <c r="O3" s="155"/>
      <c r="P3" s="118"/>
      <c r="Q3" s="154" t="s">
        <v>76</v>
      </c>
      <c r="R3" s="155"/>
      <c r="S3" s="118"/>
      <c r="T3" s="154" t="s">
        <v>76</v>
      </c>
      <c r="U3" s="155"/>
      <c r="V3" s="119"/>
      <c r="W3" s="154" t="s">
        <v>76</v>
      </c>
      <c r="X3" s="155"/>
      <c r="Y3" s="118"/>
      <c r="Z3" s="154" t="s">
        <v>76</v>
      </c>
      <c r="AA3" s="155"/>
      <c r="AB3" s="118"/>
      <c r="AC3" s="154" t="s">
        <v>76</v>
      </c>
      <c r="AD3" s="155"/>
    </row>
    <row r="4" spans="2:30" ht="60" customHeight="1" thickBot="1" x14ac:dyDescent="0.3">
      <c r="B4" s="160" t="s">
        <v>33</v>
      </c>
      <c r="C4" s="161"/>
      <c r="D4" s="116"/>
      <c r="E4" s="161" t="s">
        <v>34</v>
      </c>
      <c r="F4" s="161"/>
      <c r="G4" s="116"/>
      <c r="H4" s="161" t="s">
        <v>35</v>
      </c>
      <c r="I4" s="162"/>
      <c r="J4" s="116"/>
      <c r="K4" s="161" t="s">
        <v>35</v>
      </c>
      <c r="L4" s="162"/>
      <c r="M4" s="116"/>
      <c r="N4" s="160" t="s">
        <v>33</v>
      </c>
      <c r="O4" s="161"/>
      <c r="P4" s="116"/>
      <c r="Q4" s="161" t="s">
        <v>33</v>
      </c>
      <c r="R4" s="161"/>
      <c r="S4" s="116"/>
      <c r="T4" s="156" t="s">
        <v>34</v>
      </c>
      <c r="U4" s="157"/>
      <c r="V4" s="117"/>
      <c r="W4" s="156" t="s">
        <v>34</v>
      </c>
      <c r="X4" s="157"/>
      <c r="Y4" s="116"/>
      <c r="Z4" s="161" t="s">
        <v>35</v>
      </c>
      <c r="AA4" s="162"/>
      <c r="AB4" s="116"/>
      <c r="AC4" s="161" t="s">
        <v>35</v>
      </c>
      <c r="AD4" s="162"/>
    </row>
    <row r="5" spans="2:30" ht="16.5" thickBot="1" x14ac:dyDescent="0.3">
      <c r="B5" s="182"/>
      <c r="C5" s="183"/>
      <c r="D5" s="116"/>
      <c r="E5" s="183"/>
      <c r="F5" s="183"/>
      <c r="H5" s="158" t="s">
        <v>15</v>
      </c>
      <c r="I5" s="159"/>
      <c r="K5" s="158" t="s">
        <v>4</v>
      </c>
      <c r="L5" s="159"/>
      <c r="N5" s="158" t="s">
        <v>77</v>
      </c>
      <c r="O5" s="159"/>
      <c r="Q5" s="158" t="s">
        <v>78</v>
      </c>
      <c r="R5" s="159"/>
      <c r="T5" s="158" t="s">
        <v>77</v>
      </c>
      <c r="U5" s="159"/>
      <c r="V5" s="12"/>
      <c r="W5" s="158" t="s">
        <v>78</v>
      </c>
      <c r="X5" s="159"/>
      <c r="Z5" s="158" t="s">
        <v>77</v>
      </c>
      <c r="AA5" s="159"/>
      <c r="AC5" s="158" t="s">
        <v>78</v>
      </c>
      <c r="AD5" s="159"/>
    </row>
    <row r="6" spans="2:30" ht="32.25" thickBot="1" x14ac:dyDescent="0.3">
      <c r="B6" s="3" t="s">
        <v>2</v>
      </c>
      <c r="C6" s="4" t="s">
        <v>3</v>
      </c>
      <c r="E6" s="3" t="s">
        <v>2</v>
      </c>
      <c r="F6" s="4" t="s">
        <v>3</v>
      </c>
      <c r="H6" s="3" t="s">
        <v>2</v>
      </c>
      <c r="I6" s="4" t="s">
        <v>3</v>
      </c>
      <c r="K6" s="3" t="s">
        <v>2</v>
      </c>
      <c r="L6" s="4" t="s">
        <v>3</v>
      </c>
      <c r="N6" s="61" t="s">
        <v>2</v>
      </c>
      <c r="O6" s="4" t="s">
        <v>3</v>
      </c>
      <c r="Q6" s="61" t="s">
        <v>2</v>
      </c>
      <c r="R6" s="4" t="s">
        <v>3</v>
      </c>
      <c r="T6" s="61" t="s">
        <v>2</v>
      </c>
      <c r="U6" s="4" t="s">
        <v>3</v>
      </c>
      <c r="W6" s="61" t="s">
        <v>2</v>
      </c>
      <c r="X6" s="4" t="s">
        <v>3</v>
      </c>
      <c r="Z6" s="61" t="s">
        <v>2</v>
      </c>
      <c r="AA6" s="4" t="s">
        <v>3</v>
      </c>
      <c r="AC6" s="61" t="s">
        <v>2</v>
      </c>
      <c r="AD6" s="4" t="s">
        <v>3</v>
      </c>
    </row>
    <row r="7" spans="2:30" ht="17.25" thickBot="1" x14ac:dyDescent="0.3">
      <c r="B7" s="3">
        <v>100</v>
      </c>
      <c r="C7" s="4">
        <v>30</v>
      </c>
      <c r="E7" s="3">
        <v>100</v>
      </c>
      <c r="F7" s="7">
        <v>11.8</v>
      </c>
      <c r="H7" s="3">
        <v>100</v>
      </c>
      <c r="I7" s="7">
        <v>2.5499999999999998</v>
      </c>
      <c r="K7" s="3">
        <v>100</v>
      </c>
      <c r="L7" s="7">
        <v>3.1</v>
      </c>
      <c r="N7" s="106">
        <v>102</v>
      </c>
      <c r="O7" s="107">
        <v>50</v>
      </c>
      <c r="Q7" s="108">
        <v>107</v>
      </c>
      <c r="R7" s="4">
        <v>50</v>
      </c>
      <c r="T7" s="109">
        <v>116</v>
      </c>
      <c r="U7" s="110">
        <v>14</v>
      </c>
      <c r="W7" s="109">
        <v>126</v>
      </c>
      <c r="X7" s="110">
        <v>14.5</v>
      </c>
      <c r="Z7" s="61">
        <v>100</v>
      </c>
      <c r="AA7" s="7">
        <v>3.4</v>
      </c>
      <c r="AC7" s="61">
        <v>100</v>
      </c>
      <c r="AD7" s="7">
        <v>4.0999999999999996</v>
      </c>
    </row>
    <row r="8" spans="2:30" ht="17.25" thickBot="1" x14ac:dyDescent="0.3">
      <c r="B8" s="3">
        <v>98</v>
      </c>
      <c r="C8" s="4">
        <v>29</v>
      </c>
      <c r="E8" s="3">
        <v>98</v>
      </c>
      <c r="F8" s="7">
        <v>11.9</v>
      </c>
      <c r="H8" s="3">
        <v>99</v>
      </c>
      <c r="I8" s="7">
        <v>2.56</v>
      </c>
      <c r="K8" s="3">
        <v>99</v>
      </c>
      <c r="L8" s="7">
        <v>3.11</v>
      </c>
      <c r="N8" s="106">
        <v>101</v>
      </c>
      <c r="O8" s="107">
        <v>49</v>
      </c>
      <c r="Q8" s="108">
        <v>107</v>
      </c>
      <c r="R8" s="4">
        <v>49</v>
      </c>
      <c r="T8" s="109">
        <v>114</v>
      </c>
      <c r="U8" s="110">
        <v>14.1</v>
      </c>
      <c r="W8" s="109">
        <v>124</v>
      </c>
      <c r="X8" s="110">
        <v>14.6</v>
      </c>
      <c r="Z8" s="61">
        <v>99</v>
      </c>
      <c r="AA8" s="7">
        <v>3.41</v>
      </c>
      <c r="AC8" s="61">
        <v>99</v>
      </c>
      <c r="AD8" s="7">
        <v>4.1100000000000003</v>
      </c>
    </row>
    <row r="9" spans="2:30" ht="17.25" thickBot="1" x14ac:dyDescent="0.3">
      <c r="B9" s="3">
        <v>96</v>
      </c>
      <c r="C9" s="4">
        <v>28</v>
      </c>
      <c r="E9" s="3">
        <v>96</v>
      </c>
      <c r="F9" s="7">
        <v>12</v>
      </c>
      <c r="H9" s="3">
        <v>98</v>
      </c>
      <c r="I9" s="7">
        <v>2.57</v>
      </c>
      <c r="K9" s="3">
        <v>98</v>
      </c>
      <c r="L9" s="7">
        <v>3.12</v>
      </c>
      <c r="N9" s="106">
        <v>101</v>
      </c>
      <c r="O9" s="107">
        <v>48</v>
      </c>
      <c r="Q9" s="108">
        <v>106</v>
      </c>
      <c r="R9" s="4">
        <v>48</v>
      </c>
      <c r="T9" s="109">
        <v>112</v>
      </c>
      <c r="U9" s="110">
        <v>14.2</v>
      </c>
      <c r="W9" s="109">
        <v>122</v>
      </c>
      <c r="X9" s="110">
        <v>14.7</v>
      </c>
      <c r="Z9" s="61">
        <v>98</v>
      </c>
      <c r="AA9" s="7">
        <v>3.42</v>
      </c>
      <c r="AC9" s="61">
        <v>98</v>
      </c>
      <c r="AD9" s="7">
        <v>4.12</v>
      </c>
    </row>
    <row r="10" spans="2:30" ht="17.25" thickBot="1" x14ac:dyDescent="0.3">
      <c r="B10" s="3">
        <v>94</v>
      </c>
      <c r="C10" s="4">
        <v>27</v>
      </c>
      <c r="E10" s="3">
        <v>94</v>
      </c>
      <c r="F10" s="7">
        <v>12.1</v>
      </c>
      <c r="H10" s="3">
        <v>97</v>
      </c>
      <c r="I10" s="7">
        <v>2.58</v>
      </c>
      <c r="K10" s="3">
        <v>97</v>
      </c>
      <c r="L10" s="7">
        <v>3.13</v>
      </c>
      <c r="N10" s="106">
        <v>100</v>
      </c>
      <c r="O10" s="107">
        <v>47</v>
      </c>
      <c r="Q10" s="108">
        <v>106</v>
      </c>
      <c r="R10" s="4">
        <v>47</v>
      </c>
      <c r="T10" s="109">
        <v>110</v>
      </c>
      <c r="U10" s="110">
        <v>14.3</v>
      </c>
      <c r="W10" s="109">
        <v>120</v>
      </c>
      <c r="X10" s="110">
        <v>14.8</v>
      </c>
      <c r="Z10" s="61">
        <v>97</v>
      </c>
      <c r="AA10" s="7">
        <v>3.43</v>
      </c>
      <c r="AC10" s="61">
        <v>97</v>
      </c>
      <c r="AD10" s="7">
        <v>4.13</v>
      </c>
    </row>
    <row r="11" spans="2:30" ht="17.25" thickBot="1" x14ac:dyDescent="0.3">
      <c r="B11" s="3">
        <v>92</v>
      </c>
      <c r="C11" s="4">
        <v>26</v>
      </c>
      <c r="E11" s="3">
        <v>92</v>
      </c>
      <c r="F11" s="7">
        <v>12.2</v>
      </c>
      <c r="H11" s="3">
        <v>96</v>
      </c>
      <c r="I11" s="7">
        <v>2.59</v>
      </c>
      <c r="K11" s="3">
        <v>96</v>
      </c>
      <c r="L11" s="7">
        <v>3.14</v>
      </c>
      <c r="N11" s="106">
        <v>100</v>
      </c>
      <c r="O11" s="107">
        <v>46</v>
      </c>
      <c r="Q11" s="108">
        <v>105</v>
      </c>
      <c r="R11" s="4">
        <v>46</v>
      </c>
      <c r="T11" s="109">
        <v>108</v>
      </c>
      <c r="U11" s="110">
        <v>14.4</v>
      </c>
      <c r="W11" s="109">
        <v>118</v>
      </c>
      <c r="X11" s="110">
        <v>14.9</v>
      </c>
      <c r="Z11" s="61">
        <v>96</v>
      </c>
      <c r="AA11" s="7">
        <v>3.44</v>
      </c>
      <c r="AC11" s="61">
        <v>96</v>
      </c>
      <c r="AD11" s="7">
        <v>4.1399999999999997</v>
      </c>
    </row>
    <row r="12" spans="2:30" ht="17.25" thickBot="1" x14ac:dyDescent="0.3">
      <c r="B12" s="3">
        <v>90</v>
      </c>
      <c r="C12" s="4">
        <v>25</v>
      </c>
      <c r="E12" s="3">
        <v>90</v>
      </c>
      <c r="F12" s="7">
        <v>12.3</v>
      </c>
      <c r="H12" s="3">
        <v>95</v>
      </c>
      <c r="I12" s="7">
        <v>3</v>
      </c>
      <c r="K12" s="3">
        <v>95</v>
      </c>
      <c r="L12" s="7">
        <v>3.15</v>
      </c>
      <c r="N12" s="106">
        <v>98</v>
      </c>
      <c r="O12" s="107">
        <v>45</v>
      </c>
      <c r="Q12" s="108">
        <v>105</v>
      </c>
      <c r="R12" s="4">
        <v>45</v>
      </c>
      <c r="T12" s="109">
        <v>106</v>
      </c>
      <c r="U12" s="110">
        <v>14.5</v>
      </c>
      <c r="W12" s="109">
        <v>116</v>
      </c>
      <c r="X12" s="110">
        <v>15</v>
      </c>
      <c r="Z12" s="61">
        <v>94</v>
      </c>
      <c r="AA12" s="7">
        <v>3.45</v>
      </c>
      <c r="AC12" s="61">
        <v>94</v>
      </c>
      <c r="AD12" s="7">
        <v>4.1500000000000004</v>
      </c>
    </row>
    <row r="13" spans="2:30" ht="17.25" thickBot="1" x14ac:dyDescent="0.3">
      <c r="B13" s="3">
        <v>88</v>
      </c>
      <c r="C13" s="4">
        <v>24</v>
      </c>
      <c r="E13" s="3">
        <v>88</v>
      </c>
      <c r="F13" s="7">
        <v>12.4</v>
      </c>
      <c r="H13" s="3">
        <v>94</v>
      </c>
      <c r="I13" s="7">
        <v>3.01</v>
      </c>
      <c r="K13" s="3">
        <v>94</v>
      </c>
      <c r="L13" s="7">
        <v>3.16</v>
      </c>
      <c r="N13" s="106">
        <v>96</v>
      </c>
      <c r="O13" s="107">
        <v>44</v>
      </c>
      <c r="Q13" s="108">
        <v>104</v>
      </c>
      <c r="R13" s="4">
        <v>44</v>
      </c>
      <c r="T13" s="109">
        <v>104</v>
      </c>
      <c r="U13" s="110">
        <v>14.6</v>
      </c>
      <c r="W13" s="109">
        <v>114</v>
      </c>
      <c r="X13" s="110">
        <v>15.1</v>
      </c>
      <c r="Z13" s="61">
        <v>92</v>
      </c>
      <c r="AA13" s="7">
        <v>3.46</v>
      </c>
      <c r="AC13" s="61">
        <v>92</v>
      </c>
      <c r="AD13" s="7">
        <v>4.16</v>
      </c>
    </row>
    <row r="14" spans="2:30" ht="17.25" thickBot="1" x14ac:dyDescent="0.3">
      <c r="B14" s="3">
        <v>86</v>
      </c>
      <c r="C14" s="4">
        <v>23</v>
      </c>
      <c r="E14" s="3">
        <v>86</v>
      </c>
      <c r="F14" s="7">
        <v>12.5</v>
      </c>
      <c r="H14" s="3">
        <v>93</v>
      </c>
      <c r="I14" s="7">
        <v>3.02</v>
      </c>
      <c r="K14" s="3">
        <v>93</v>
      </c>
      <c r="L14" s="7">
        <v>3.17</v>
      </c>
      <c r="N14" s="106">
        <v>94</v>
      </c>
      <c r="O14" s="107">
        <v>43</v>
      </c>
      <c r="Q14" s="108">
        <v>104</v>
      </c>
      <c r="R14" s="4">
        <v>43</v>
      </c>
      <c r="T14" s="109">
        <v>102</v>
      </c>
      <c r="U14" s="110">
        <v>14.7</v>
      </c>
      <c r="W14" s="109">
        <v>112</v>
      </c>
      <c r="X14" s="110">
        <v>15.2</v>
      </c>
      <c r="Z14" s="61">
        <v>90</v>
      </c>
      <c r="AA14" s="7">
        <v>3.47</v>
      </c>
      <c r="AC14" s="61">
        <v>90</v>
      </c>
      <c r="AD14" s="7">
        <v>4.17</v>
      </c>
    </row>
    <row r="15" spans="2:30" ht="17.25" thickBot="1" x14ac:dyDescent="0.3">
      <c r="B15" s="3">
        <v>84</v>
      </c>
      <c r="C15" s="4">
        <v>22</v>
      </c>
      <c r="E15" s="3">
        <v>84</v>
      </c>
      <c r="F15" s="7">
        <v>12.6</v>
      </c>
      <c r="H15" s="3">
        <v>92</v>
      </c>
      <c r="I15" s="7">
        <v>3.03</v>
      </c>
      <c r="K15" s="3">
        <v>92</v>
      </c>
      <c r="L15" s="7">
        <v>3.18</v>
      </c>
      <c r="N15" s="106">
        <v>92</v>
      </c>
      <c r="O15" s="107">
        <v>42</v>
      </c>
      <c r="Q15" s="108">
        <v>103</v>
      </c>
      <c r="R15" s="4">
        <v>42</v>
      </c>
      <c r="T15" s="61">
        <v>100</v>
      </c>
      <c r="U15" s="7">
        <v>14.8</v>
      </c>
      <c r="W15" s="109">
        <v>110</v>
      </c>
      <c r="X15" s="110">
        <v>15.3</v>
      </c>
      <c r="Z15" s="61">
        <v>88</v>
      </c>
      <c r="AA15" s="7">
        <v>3.48</v>
      </c>
      <c r="AC15" s="61">
        <v>88</v>
      </c>
      <c r="AD15" s="7">
        <v>4.18</v>
      </c>
    </row>
    <row r="16" spans="2:30" ht="17.25" thickBot="1" x14ac:dyDescent="0.3">
      <c r="B16" s="3">
        <v>82</v>
      </c>
      <c r="C16" s="4">
        <v>21</v>
      </c>
      <c r="E16" s="3">
        <v>82</v>
      </c>
      <c r="F16" s="7">
        <v>12.7</v>
      </c>
      <c r="H16" s="3">
        <v>91</v>
      </c>
      <c r="I16" s="7">
        <v>3.04</v>
      </c>
      <c r="K16" s="3">
        <v>91</v>
      </c>
      <c r="L16" s="7">
        <v>3.19</v>
      </c>
      <c r="N16" s="106">
        <v>90</v>
      </c>
      <c r="O16" s="107">
        <v>41</v>
      </c>
      <c r="Q16" s="108">
        <v>103</v>
      </c>
      <c r="R16" s="4">
        <v>41</v>
      </c>
      <c r="T16" s="61">
        <v>99</v>
      </c>
      <c r="U16" s="7">
        <v>14.9</v>
      </c>
      <c r="W16" s="109">
        <v>108</v>
      </c>
      <c r="X16" s="110">
        <v>15.4</v>
      </c>
      <c r="Z16" s="61">
        <v>86</v>
      </c>
      <c r="AA16" s="7">
        <v>3.49</v>
      </c>
      <c r="AC16" s="61">
        <v>86</v>
      </c>
      <c r="AD16" s="7">
        <v>4.1900000000000004</v>
      </c>
    </row>
    <row r="17" spans="2:30" ht="17.25" thickBot="1" x14ac:dyDescent="0.3">
      <c r="B17" s="3">
        <v>80</v>
      </c>
      <c r="C17" s="4">
        <v>20</v>
      </c>
      <c r="E17" s="3">
        <v>80</v>
      </c>
      <c r="F17" s="7">
        <v>12.8</v>
      </c>
      <c r="H17" s="3">
        <v>90</v>
      </c>
      <c r="I17" s="7">
        <v>3.05</v>
      </c>
      <c r="K17" s="3">
        <v>90</v>
      </c>
      <c r="L17" s="7">
        <v>3.2</v>
      </c>
      <c r="N17" s="106">
        <v>88</v>
      </c>
      <c r="O17" s="107">
        <v>40</v>
      </c>
      <c r="Q17" s="108">
        <v>102</v>
      </c>
      <c r="R17" s="4">
        <v>40</v>
      </c>
      <c r="T17" s="61">
        <v>97</v>
      </c>
      <c r="U17" s="7">
        <v>15</v>
      </c>
      <c r="W17" s="109">
        <v>106</v>
      </c>
      <c r="X17" s="110">
        <v>15.5</v>
      </c>
      <c r="Z17" s="61">
        <v>84</v>
      </c>
      <c r="AA17" s="7">
        <v>3.5</v>
      </c>
      <c r="AC17" s="61">
        <v>84</v>
      </c>
      <c r="AD17" s="7">
        <v>4.2</v>
      </c>
    </row>
    <row r="18" spans="2:30" ht="17.25" thickBot="1" x14ac:dyDescent="0.3">
      <c r="B18" s="3">
        <v>78</v>
      </c>
      <c r="C18" s="4">
        <v>19</v>
      </c>
      <c r="E18" s="3">
        <v>78</v>
      </c>
      <c r="F18" s="7">
        <v>12.9</v>
      </c>
      <c r="H18" s="3">
        <v>89</v>
      </c>
      <c r="I18" s="7">
        <v>3.06</v>
      </c>
      <c r="K18" s="3">
        <v>89</v>
      </c>
      <c r="L18" s="7">
        <v>3.21</v>
      </c>
      <c r="N18" s="106">
        <v>86</v>
      </c>
      <c r="O18" s="107">
        <v>39</v>
      </c>
      <c r="Q18" s="108">
        <v>102</v>
      </c>
      <c r="R18" s="4">
        <v>39</v>
      </c>
      <c r="T18" s="61">
        <v>95</v>
      </c>
      <c r="U18" s="7">
        <v>15.1</v>
      </c>
      <c r="W18" s="109">
        <v>104</v>
      </c>
      <c r="X18" s="110">
        <v>15.6</v>
      </c>
      <c r="Z18" s="61">
        <v>82</v>
      </c>
      <c r="AA18" s="7">
        <v>3.51</v>
      </c>
      <c r="AC18" s="61">
        <v>82</v>
      </c>
      <c r="AD18" s="7">
        <v>4.21</v>
      </c>
    </row>
    <row r="19" spans="2:30" ht="17.25" thickBot="1" x14ac:dyDescent="0.3">
      <c r="B19" s="3">
        <v>76</v>
      </c>
      <c r="C19" s="4">
        <v>18</v>
      </c>
      <c r="E19" s="3">
        <v>76</v>
      </c>
      <c r="F19" s="7">
        <v>13</v>
      </c>
      <c r="H19" s="3">
        <v>88</v>
      </c>
      <c r="I19" s="7">
        <v>3.07</v>
      </c>
      <c r="K19" s="3">
        <v>88</v>
      </c>
      <c r="L19" s="7">
        <v>3.22</v>
      </c>
      <c r="N19" s="106">
        <v>83</v>
      </c>
      <c r="O19" s="107">
        <v>38</v>
      </c>
      <c r="Q19" s="108">
        <v>101</v>
      </c>
      <c r="R19" s="4">
        <v>38</v>
      </c>
      <c r="T19" s="61">
        <v>93</v>
      </c>
      <c r="U19" s="7">
        <v>15.2</v>
      </c>
      <c r="W19" s="109">
        <v>102</v>
      </c>
      <c r="X19" s="110">
        <v>15.7</v>
      </c>
      <c r="Z19" s="61">
        <v>80</v>
      </c>
      <c r="AA19" s="7">
        <v>3.52</v>
      </c>
      <c r="AC19" s="61">
        <v>80</v>
      </c>
      <c r="AD19" s="7">
        <v>4.22</v>
      </c>
    </row>
    <row r="20" spans="2:30" ht="17.25" thickBot="1" x14ac:dyDescent="0.3">
      <c r="B20" s="3">
        <v>74</v>
      </c>
      <c r="C20" s="4">
        <v>17</v>
      </c>
      <c r="E20" s="3">
        <v>74</v>
      </c>
      <c r="F20" s="7">
        <v>13.1</v>
      </c>
      <c r="H20" s="3">
        <v>87</v>
      </c>
      <c r="I20" s="7">
        <v>3.08</v>
      </c>
      <c r="K20" s="3">
        <v>87</v>
      </c>
      <c r="L20" s="7">
        <v>3.23</v>
      </c>
      <c r="N20" s="106">
        <v>81</v>
      </c>
      <c r="O20" s="107">
        <v>37</v>
      </c>
      <c r="Q20" s="108">
        <v>101</v>
      </c>
      <c r="R20" s="4">
        <v>37</v>
      </c>
      <c r="T20" s="61">
        <v>91</v>
      </c>
      <c r="U20" s="7">
        <v>15.3</v>
      </c>
      <c r="W20" s="61">
        <v>100</v>
      </c>
      <c r="X20" s="7">
        <v>15.8</v>
      </c>
      <c r="Z20" s="61">
        <v>78</v>
      </c>
      <c r="AA20" s="7">
        <v>3.53</v>
      </c>
      <c r="AC20" s="61">
        <v>78</v>
      </c>
      <c r="AD20" s="7">
        <v>4.2300000000000004</v>
      </c>
    </row>
    <row r="21" spans="2:30" ht="17.25" thickBot="1" x14ac:dyDescent="0.3">
      <c r="B21" s="3">
        <v>72</v>
      </c>
      <c r="C21" s="4">
        <v>16</v>
      </c>
      <c r="E21" s="3">
        <v>72</v>
      </c>
      <c r="F21" s="7">
        <v>13.2</v>
      </c>
      <c r="H21" s="3">
        <v>86</v>
      </c>
      <c r="I21" s="7">
        <v>3.09</v>
      </c>
      <c r="K21" s="3">
        <v>86</v>
      </c>
      <c r="L21" s="7">
        <v>3.24</v>
      </c>
      <c r="N21" s="106">
        <v>79</v>
      </c>
      <c r="O21" s="107">
        <v>36</v>
      </c>
      <c r="Q21" s="108">
        <v>100</v>
      </c>
      <c r="R21" s="4">
        <v>36</v>
      </c>
      <c r="T21" s="61">
        <v>89</v>
      </c>
      <c r="U21" s="7">
        <v>15.4</v>
      </c>
      <c r="W21" s="61">
        <v>99</v>
      </c>
      <c r="X21" s="7">
        <v>15.9</v>
      </c>
      <c r="Z21" s="61">
        <v>76</v>
      </c>
      <c r="AA21" s="7">
        <v>3.54</v>
      </c>
      <c r="AC21" s="61">
        <v>76</v>
      </c>
      <c r="AD21" s="7">
        <v>4.24</v>
      </c>
    </row>
    <row r="22" spans="2:30" ht="17.25" thickBot="1" x14ac:dyDescent="0.3">
      <c r="B22" s="3">
        <v>70</v>
      </c>
      <c r="C22" s="4">
        <v>15</v>
      </c>
      <c r="E22" s="3">
        <v>69</v>
      </c>
      <c r="F22" s="7">
        <v>13.3</v>
      </c>
      <c r="H22" s="3">
        <v>85</v>
      </c>
      <c r="I22" s="7">
        <v>3.1</v>
      </c>
      <c r="K22" s="3">
        <v>85</v>
      </c>
      <c r="L22" s="7">
        <v>3.25</v>
      </c>
      <c r="N22" s="106">
        <v>77</v>
      </c>
      <c r="O22" s="107">
        <v>35</v>
      </c>
      <c r="Q22" s="108">
        <v>100</v>
      </c>
      <c r="R22" s="4">
        <v>35</v>
      </c>
      <c r="T22" s="61">
        <v>87</v>
      </c>
      <c r="U22" s="7">
        <v>15.5</v>
      </c>
      <c r="W22" s="61">
        <v>97</v>
      </c>
      <c r="X22" s="7">
        <v>16</v>
      </c>
      <c r="Z22" s="61">
        <v>74</v>
      </c>
      <c r="AA22" s="7">
        <v>3.55</v>
      </c>
      <c r="AC22" s="61">
        <v>74</v>
      </c>
      <c r="AD22" s="7">
        <v>4.25</v>
      </c>
    </row>
    <row r="23" spans="2:30" ht="17.25" thickBot="1" x14ac:dyDescent="0.3">
      <c r="B23" s="3">
        <v>66</v>
      </c>
      <c r="C23" s="4">
        <v>14</v>
      </c>
      <c r="E23" s="3">
        <v>66</v>
      </c>
      <c r="F23" s="7">
        <v>13.4</v>
      </c>
      <c r="H23" s="3">
        <v>84</v>
      </c>
      <c r="I23" s="7">
        <v>3.11</v>
      </c>
      <c r="K23" s="3">
        <v>84</v>
      </c>
      <c r="L23" s="7">
        <v>3.26</v>
      </c>
      <c r="N23" s="106">
        <v>75</v>
      </c>
      <c r="O23" s="107">
        <v>34</v>
      </c>
      <c r="Q23" s="108">
        <v>98</v>
      </c>
      <c r="R23" s="4">
        <v>34</v>
      </c>
      <c r="T23" s="61">
        <v>85</v>
      </c>
      <c r="U23" s="7">
        <v>15.6</v>
      </c>
      <c r="W23" s="61">
        <v>95</v>
      </c>
      <c r="X23" s="7">
        <v>16.100000000000001</v>
      </c>
      <c r="Z23" s="61">
        <v>72</v>
      </c>
      <c r="AA23" s="7">
        <v>3.56</v>
      </c>
      <c r="AC23" s="61">
        <v>72</v>
      </c>
      <c r="AD23" s="7">
        <v>4.26</v>
      </c>
    </row>
    <row r="24" spans="2:30" ht="17.25" thickBot="1" x14ac:dyDescent="0.3">
      <c r="B24" s="3">
        <v>62</v>
      </c>
      <c r="C24" s="4">
        <v>13</v>
      </c>
      <c r="E24" s="3">
        <v>63</v>
      </c>
      <c r="F24" s="7">
        <v>13.5</v>
      </c>
      <c r="H24" s="3">
        <v>83</v>
      </c>
      <c r="I24" s="7">
        <v>3.12</v>
      </c>
      <c r="K24" s="3">
        <v>83</v>
      </c>
      <c r="L24" s="7">
        <v>3.27</v>
      </c>
      <c r="N24" s="106">
        <v>72</v>
      </c>
      <c r="O24" s="107">
        <v>33</v>
      </c>
      <c r="Q24" s="108">
        <v>96</v>
      </c>
      <c r="R24" s="4">
        <v>33</v>
      </c>
      <c r="T24" s="61">
        <v>83</v>
      </c>
      <c r="U24" s="7">
        <v>15.7</v>
      </c>
      <c r="W24" s="61">
        <v>93</v>
      </c>
      <c r="X24" s="7">
        <v>16.2</v>
      </c>
      <c r="Z24" s="61">
        <v>69</v>
      </c>
      <c r="AA24" s="7">
        <v>3.57</v>
      </c>
      <c r="AC24" s="61">
        <v>69</v>
      </c>
      <c r="AD24" s="7">
        <v>4.2699999999999996</v>
      </c>
    </row>
    <row r="25" spans="2:30" ht="17.25" thickBot="1" x14ac:dyDescent="0.3">
      <c r="B25" s="3">
        <v>58</v>
      </c>
      <c r="C25" s="4">
        <v>12</v>
      </c>
      <c r="E25" s="3">
        <v>60</v>
      </c>
      <c r="F25" s="7">
        <v>13.6</v>
      </c>
      <c r="H25" s="3">
        <v>82</v>
      </c>
      <c r="I25" s="7">
        <v>3.13</v>
      </c>
      <c r="K25" s="3">
        <v>82</v>
      </c>
      <c r="L25" s="7">
        <v>3.28</v>
      </c>
      <c r="N25" s="106">
        <v>68</v>
      </c>
      <c r="O25" s="107">
        <v>32</v>
      </c>
      <c r="Q25" s="108">
        <v>94</v>
      </c>
      <c r="R25" s="4">
        <v>32</v>
      </c>
      <c r="T25" s="61">
        <v>81</v>
      </c>
      <c r="U25" s="7">
        <v>15.8</v>
      </c>
      <c r="W25" s="61">
        <v>91</v>
      </c>
      <c r="X25" s="7">
        <v>16.3</v>
      </c>
      <c r="Z25" s="61">
        <v>66</v>
      </c>
      <c r="AA25" s="7">
        <v>3.58</v>
      </c>
      <c r="AC25" s="61">
        <v>66</v>
      </c>
      <c r="AD25" s="7">
        <v>4.28</v>
      </c>
    </row>
    <row r="26" spans="2:30" ht="17.25" thickBot="1" x14ac:dyDescent="0.3">
      <c r="B26" s="3">
        <v>54</v>
      </c>
      <c r="C26" s="4">
        <v>11</v>
      </c>
      <c r="E26" s="3">
        <v>57</v>
      </c>
      <c r="F26" s="7">
        <v>13.7</v>
      </c>
      <c r="H26" s="3">
        <v>81</v>
      </c>
      <c r="I26" s="7">
        <v>3.14</v>
      </c>
      <c r="K26" s="3">
        <v>81</v>
      </c>
      <c r="L26" s="7">
        <v>3.29</v>
      </c>
      <c r="N26" s="106">
        <v>64</v>
      </c>
      <c r="O26" s="107">
        <v>31</v>
      </c>
      <c r="Q26" s="108">
        <v>92</v>
      </c>
      <c r="R26" s="4">
        <v>31</v>
      </c>
      <c r="T26" s="61">
        <v>79</v>
      </c>
      <c r="U26" s="7">
        <v>15.9</v>
      </c>
      <c r="W26" s="61">
        <v>89</v>
      </c>
      <c r="X26" s="7">
        <v>16.399999999999999</v>
      </c>
      <c r="Z26" s="61">
        <v>63</v>
      </c>
      <c r="AA26" s="7">
        <v>3.59</v>
      </c>
      <c r="AC26" s="61">
        <v>63</v>
      </c>
      <c r="AD26" s="7">
        <v>4.29</v>
      </c>
    </row>
    <row r="27" spans="2:30" ht="17.25" thickBot="1" x14ac:dyDescent="0.3">
      <c r="B27" s="3">
        <v>50</v>
      </c>
      <c r="C27" s="4">
        <v>10</v>
      </c>
      <c r="E27" s="3">
        <v>54</v>
      </c>
      <c r="F27" s="7">
        <v>13.8</v>
      </c>
      <c r="H27" s="3">
        <v>80</v>
      </c>
      <c r="I27" s="7">
        <v>3.15</v>
      </c>
      <c r="K27" s="3">
        <v>80</v>
      </c>
      <c r="L27" s="7">
        <v>3.3</v>
      </c>
      <c r="N27" s="106">
        <v>60</v>
      </c>
      <c r="O27" s="107">
        <v>30</v>
      </c>
      <c r="Q27" s="108">
        <v>90</v>
      </c>
      <c r="R27" s="4">
        <v>30</v>
      </c>
      <c r="T27" s="61">
        <v>77</v>
      </c>
      <c r="U27" s="7">
        <v>16</v>
      </c>
      <c r="W27" s="61">
        <v>87</v>
      </c>
      <c r="X27" s="7">
        <v>16.5</v>
      </c>
      <c r="Z27" s="61">
        <v>60</v>
      </c>
      <c r="AA27" s="7">
        <v>4</v>
      </c>
      <c r="AC27" s="61">
        <v>60</v>
      </c>
      <c r="AD27" s="7">
        <v>4.3</v>
      </c>
    </row>
    <row r="28" spans="2:30" ht="17.25" thickBot="1" x14ac:dyDescent="0.3">
      <c r="B28" s="3">
        <v>46</v>
      </c>
      <c r="C28" s="4">
        <v>9</v>
      </c>
      <c r="E28" s="3">
        <v>51</v>
      </c>
      <c r="F28" s="7">
        <v>13.9</v>
      </c>
      <c r="H28" s="3">
        <v>79</v>
      </c>
      <c r="I28" s="7">
        <v>3.16</v>
      </c>
      <c r="K28" s="3">
        <v>79</v>
      </c>
      <c r="L28" s="7">
        <v>3.31</v>
      </c>
      <c r="N28" s="106">
        <v>56</v>
      </c>
      <c r="O28" s="107">
        <v>29</v>
      </c>
      <c r="Q28" s="108">
        <v>87</v>
      </c>
      <c r="R28" s="4">
        <v>29</v>
      </c>
      <c r="T28" s="61">
        <v>75</v>
      </c>
      <c r="U28" s="7">
        <v>16.100000000000001</v>
      </c>
      <c r="W28" s="61">
        <v>85</v>
      </c>
      <c r="X28" s="7">
        <v>16.600000000000001</v>
      </c>
      <c r="Z28" s="61">
        <v>59</v>
      </c>
      <c r="AA28" s="7">
        <v>4.0199999999999996</v>
      </c>
      <c r="AC28" s="61">
        <v>59</v>
      </c>
      <c r="AD28" s="7">
        <v>4.32</v>
      </c>
    </row>
    <row r="29" spans="2:30" ht="17.25" thickBot="1" x14ac:dyDescent="0.3">
      <c r="B29" s="3">
        <v>42</v>
      </c>
      <c r="C29" s="4">
        <v>8</v>
      </c>
      <c r="E29" s="3">
        <v>48</v>
      </c>
      <c r="F29" s="7">
        <v>14</v>
      </c>
      <c r="H29" s="3">
        <v>78</v>
      </c>
      <c r="I29" s="7">
        <v>3.17</v>
      </c>
      <c r="K29" s="3">
        <v>78</v>
      </c>
      <c r="L29" s="7">
        <v>3.32</v>
      </c>
      <c r="N29" s="106">
        <v>52</v>
      </c>
      <c r="O29" s="107">
        <v>28</v>
      </c>
      <c r="Q29" s="108">
        <v>85</v>
      </c>
      <c r="R29" s="4">
        <v>28</v>
      </c>
      <c r="T29" s="61">
        <v>72</v>
      </c>
      <c r="U29" s="7">
        <v>16.2</v>
      </c>
      <c r="W29" s="61">
        <v>83</v>
      </c>
      <c r="X29" s="7">
        <v>16.7</v>
      </c>
      <c r="Z29" s="61">
        <v>58</v>
      </c>
      <c r="AA29" s="7">
        <v>4.04</v>
      </c>
      <c r="AC29" s="61">
        <v>58</v>
      </c>
      <c r="AD29" s="7">
        <v>4.34</v>
      </c>
    </row>
    <row r="30" spans="2:30" ht="17.25" thickBot="1" x14ac:dyDescent="0.3">
      <c r="B30" s="3">
        <v>38</v>
      </c>
      <c r="C30" s="4">
        <v>7</v>
      </c>
      <c r="E30" s="3">
        <v>46</v>
      </c>
      <c r="F30" s="7">
        <v>14.1</v>
      </c>
      <c r="H30" s="3">
        <v>77</v>
      </c>
      <c r="I30" s="7">
        <v>3.18</v>
      </c>
      <c r="K30" s="3">
        <v>77</v>
      </c>
      <c r="L30" s="7">
        <v>3.33</v>
      </c>
      <c r="N30" s="106">
        <v>48</v>
      </c>
      <c r="O30" s="107">
        <v>27</v>
      </c>
      <c r="Q30" s="108">
        <v>82</v>
      </c>
      <c r="R30" s="4">
        <v>27</v>
      </c>
      <c r="T30" s="61">
        <v>69</v>
      </c>
      <c r="U30" s="7">
        <v>16.3</v>
      </c>
      <c r="W30" s="61">
        <v>81</v>
      </c>
      <c r="X30" s="7">
        <v>16.8</v>
      </c>
      <c r="Z30" s="61">
        <v>57</v>
      </c>
      <c r="AA30" s="7">
        <v>4.07</v>
      </c>
      <c r="AC30" s="61">
        <v>57</v>
      </c>
      <c r="AD30" s="7">
        <v>4.37</v>
      </c>
    </row>
    <row r="31" spans="2:30" ht="17.25" thickBot="1" x14ac:dyDescent="0.3">
      <c r="B31" s="3">
        <v>34</v>
      </c>
      <c r="C31" s="4">
        <v>6</v>
      </c>
      <c r="E31" s="3">
        <v>44</v>
      </c>
      <c r="F31" s="7">
        <v>14.2</v>
      </c>
      <c r="H31" s="3">
        <v>76</v>
      </c>
      <c r="I31" s="7">
        <v>3.19</v>
      </c>
      <c r="K31" s="3">
        <v>76</v>
      </c>
      <c r="L31" s="7">
        <v>3.34</v>
      </c>
      <c r="N31" s="106">
        <v>43</v>
      </c>
      <c r="O31" s="107">
        <v>26</v>
      </c>
      <c r="Q31" s="108">
        <v>80</v>
      </c>
      <c r="R31" s="4">
        <v>26</v>
      </c>
      <c r="T31" s="61">
        <v>66</v>
      </c>
      <c r="U31" s="7">
        <v>16.399999999999999</v>
      </c>
      <c r="W31" s="61">
        <v>79</v>
      </c>
      <c r="X31" s="7">
        <v>16.899999999999999</v>
      </c>
      <c r="Z31" s="61">
        <v>56</v>
      </c>
      <c r="AA31" s="7">
        <v>4</v>
      </c>
      <c r="AC31" s="61">
        <v>56</v>
      </c>
      <c r="AD31" s="7">
        <v>4.4000000000000004</v>
      </c>
    </row>
    <row r="32" spans="2:30" ht="17.25" thickBot="1" x14ac:dyDescent="0.3">
      <c r="B32" s="3">
        <v>30</v>
      </c>
      <c r="C32" s="4">
        <v>5</v>
      </c>
      <c r="E32" s="3">
        <v>42</v>
      </c>
      <c r="F32" s="7">
        <v>14.3</v>
      </c>
      <c r="H32" s="3">
        <v>75</v>
      </c>
      <c r="I32" s="7">
        <v>3.2</v>
      </c>
      <c r="K32" s="3">
        <v>75</v>
      </c>
      <c r="L32" s="7">
        <v>3.35</v>
      </c>
      <c r="N32" s="106">
        <v>39</v>
      </c>
      <c r="O32" s="107">
        <v>25</v>
      </c>
      <c r="Q32" s="106">
        <v>77</v>
      </c>
      <c r="R32" s="4">
        <v>25</v>
      </c>
      <c r="T32" s="61">
        <v>63</v>
      </c>
      <c r="U32" s="7">
        <v>16.5</v>
      </c>
      <c r="W32" s="61">
        <v>77</v>
      </c>
      <c r="X32" s="7">
        <v>17</v>
      </c>
      <c r="Z32" s="61">
        <v>55</v>
      </c>
      <c r="AA32" s="7">
        <v>4.13</v>
      </c>
      <c r="AC32" s="61">
        <v>55</v>
      </c>
      <c r="AD32" s="7">
        <v>4.43</v>
      </c>
    </row>
    <row r="33" spans="2:30" ht="17.25" thickBot="1" x14ac:dyDescent="0.3">
      <c r="B33" s="3">
        <v>26</v>
      </c>
      <c r="C33" s="4">
        <v>4</v>
      </c>
      <c r="E33" s="3">
        <v>40</v>
      </c>
      <c r="F33" s="7">
        <v>14.4</v>
      </c>
      <c r="H33" s="3">
        <v>74</v>
      </c>
      <c r="I33" s="7">
        <v>3.21</v>
      </c>
      <c r="K33" s="3">
        <v>74</v>
      </c>
      <c r="L33" s="7">
        <v>3.36</v>
      </c>
      <c r="N33" s="106">
        <v>35</v>
      </c>
      <c r="O33" s="107">
        <v>24</v>
      </c>
      <c r="Q33" s="106">
        <v>75</v>
      </c>
      <c r="R33" s="4">
        <v>24</v>
      </c>
      <c r="T33" s="61">
        <v>60</v>
      </c>
      <c r="U33" s="7">
        <v>16.600000000000001</v>
      </c>
      <c r="W33" s="61">
        <v>75</v>
      </c>
      <c r="X33" s="7">
        <v>17.100000000000001</v>
      </c>
      <c r="Z33" s="61">
        <v>54</v>
      </c>
      <c r="AA33" s="7">
        <v>4.16</v>
      </c>
      <c r="AC33" s="61">
        <v>54</v>
      </c>
      <c r="AD33" s="7">
        <v>4.46</v>
      </c>
    </row>
    <row r="34" spans="2:30" ht="17.25" thickBot="1" x14ac:dyDescent="0.3">
      <c r="B34" s="3">
        <v>22</v>
      </c>
      <c r="C34" s="4">
        <v>3</v>
      </c>
      <c r="E34" s="3">
        <v>38</v>
      </c>
      <c r="F34" s="7">
        <v>14.5</v>
      </c>
      <c r="H34" s="3">
        <v>73</v>
      </c>
      <c r="I34" s="7">
        <v>3.22</v>
      </c>
      <c r="K34" s="3">
        <v>73</v>
      </c>
      <c r="L34" s="7">
        <v>3.37</v>
      </c>
      <c r="N34" s="106">
        <v>31</v>
      </c>
      <c r="O34" s="107">
        <v>23</v>
      </c>
      <c r="Q34" s="106">
        <v>72</v>
      </c>
      <c r="R34" s="4">
        <v>23</v>
      </c>
      <c r="T34" s="61">
        <v>58</v>
      </c>
      <c r="U34" s="7">
        <v>16.7</v>
      </c>
      <c r="W34" s="61">
        <v>72</v>
      </c>
      <c r="X34" s="7">
        <v>17.2</v>
      </c>
      <c r="Z34" s="61">
        <v>53</v>
      </c>
      <c r="AA34" s="7">
        <v>4.1900000000000004</v>
      </c>
      <c r="AC34" s="61">
        <v>53</v>
      </c>
      <c r="AD34" s="7">
        <v>4.49</v>
      </c>
    </row>
    <row r="35" spans="2:30" ht="17.25" thickBot="1" x14ac:dyDescent="0.3">
      <c r="B35" s="3">
        <v>16</v>
      </c>
      <c r="C35" s="4">
        <v>2</v>
      </c>
      <c r="E35" s="3">
        <v>36</v>
      </c>
      <c r="F35" s="7">
        <v>14.6</v>
      </c>
      <c r="H35" s="3">
        <v>72</v>
      </c>
      <c r="I35" s="7">
        <v>3.23</v>
      </c>
      <c r="K35" s="3">
        <v>72</v>
      </c>
      <c r="L35" s="7">
        <v>3.38</v>
      </c>
      <c r="N35" s="106">
        <v>28</v>
      </c>
      <c r="O35" s="107">
        <v>22</v>
      </c>
      <c r="Q35" s="106">
        <v>68</v>
      </c>
      <c r="R35" s="4">
        <v>22</v>
      </c>
      <c r="T35" s="61">
        <v>56</v>
      </c>
      <c r="U35" s="7">
        <v>16.8</v>
      </c>
      <c r="W35" s="61">
        <v>69</v>
      </c>
      <c r="X35" s="7">
        <v>17.3</v>
      </c>
      <c r="Z35" s="61">
        <v>52</v>
      </c>
      <c r="AA35" s="7">
        <v>4.22</v>
      </c>
      <c r="AC35" s="61">
        <v>52</v>
      </c>
      <c r="AD35" s="7">
        <v>4.5199999999999996</v>
      </c>
    </row>
    <row r="36" spans="2:30" ht="17.25" thickBot="1" x14ac:dyDescent="0.3">
      <c r="B36" s="3">
        <v>6</v>
      </c>
      <c r="C36" s="4">
        <v>1</v>
      </c>
      <c r="E36" s="3">
        <v>34</v>
      </c>
      <c r="F36" s="7">
        <v>14.7</v>
      </c>
      <c r="H36" s="3">
        <v>71</v>
      </c>
      <c r="I36" s="7">
        <v>3.24</v>
      </c>
      <c r="K36" s="3">
        <v>71</v>
      </c>
      <c r="L36" s="7">
        <v>3.39</v>
      </c>
      <c r="N36" s="106">
        <v>25</v>
      </c>
      <c r="O36" s="107">
        <v>21</v>
      </c>
      <c r="Q36" s="106">
        <v>64</v>
      </c>
      <c r="R36" s="4">
        <v>21</v>
      </c>
      <c r="T36" s="61">
        <v>55</v>
      </c>
      <c r="U36" s="7">
        <v>16.899999999999999</v>
      </c>
      <c r="W36" s="61">
        <v>66</v>
      </c>
      <c r="X36" s="7">
        <v>17.399999999999999</v>
      </c>
      <c r="Z36" s="61">
        <v>51</v>
      </c>
      <c r="AA36" s="7">
        <v>4.25</v>
      </c>
      <c r="AC36" s="61">
        <v>51</v>
      </c>
      <c r="AD36" s="7">
        <v>4.55</v>
      </c>
    </row>
    <row r="37" spans="2:30" ht="17.25" thickBot="1" x14ac:dyDescent="0.3">
      <c r="B37" s="5"/>
      <c r="E37" s="3">
        <v>32</v>
      </c>
      <c r="F37" s="7">
        <v>14.8</v>
      </c>
      <c r="H37" s="3">
        <v>69</v>
      </c>
      <c r="I37" s="7">
        <v>3.25</v>
      </c>
      <c r="K37" s="3">
        <v>70</v>
      </c>
      <c r="L37" s="7">
        <v>3.4</v>
      </c>
      <c r="N37" s="106">
        <v>22</v>
      </c>
      <c r="O37" s="107">
        <v>20</v>
      </c>
      <c r="Q37" s="106">
        <v>60</v>
      </c>
      <c r="R37" s="4">
        <v>20</v>
      </c>
      <c r="T37" s="61">
        <v>53</v>
      </c>
      <c r="U37" s="7">
        <v>17</v>
      </c>
      <c r="W37" s="61">
        <v>63</v>
      </c>
      <c r="X37" s="7">
        <v>17.5</v>
      </c>
      <c r="Z37" s="61">
        <v>50</v>
      </c>
      <c r="AA37" s="7">
        <v>4.2699999999999996</v>
      </c>
      <c r="AC37" s="61">
        <v>50</v>
      </c>
      <c r="AD37" s="7">
        <v>4.57</v>
      </c>
    </row>
    <row r="38" spans="2:30" ht="16.5" customHeight="1" thickBot="1" x14ac:dyDescent="0.3">
      <c r="B38" s="5"/>
      <c r="E38" s="3">
        <v>31</v>
      </c>
      <c r="F38" s="7">
        <v>14.9</v>
      </c>
      <c r="H38" s="3">
        <v>67</v>
      </c>
      <c r="I38" s="7">
        <v>3.26</v>
      </c>
      <c r="K38" s="3">
        <v>69</v>
      </c>
      <c r="L38" s="7">
        <v>3.41</v>
      </c>
      <c r="N38" s="106">
        <v>20</v>
      </c>
      <c r="O38" s="107">
        <v>19</v>
      </c>
      <c r="Q38" s="106">
        <v>57</v>
      </c>
      <c r="R38" s="4">
        <v>19</v>
      </c>
      <c r="T38" s="61">
        <v>52</v>
      </c>
      <c r="U38" s="7">
        <v>17.100000000000001</v>
      </c>
      <c r="W38" s="61">
        <v>60</v>
      </c>
      <c r="X38" s="7">
        <v>17.600000000000001</v>
      </c>
      <c r="Z38" s="61">
        <v>49</v>
      </c>
      <c r="AA38" s="7">
        <v>4.29</v>
      </c>
      <c r="AC38" s="61">
        <v>49</v>
      </c>
      <c r="AD38" s="7">
        <v>4.59</v>
      </c>
    </row>
    <row r="39" spans="2:30" ht="17.25" thickBot="1" x14ac:dyDescent="0.3">
      <c r="E39" s="3">
        <v>30</v>
      </c>
      <c r="F39" s="7">
        <v>15</v>
      </c>
      <c r="H39" s="3">
        <v>65</v>
      </c>
      <c r="I39" s="7">
        <v>3.27</v>
      </c>
      <c r="K39" s="3">
        <v>68</v>
      </c>
      <c r="L39" s="7">
        <v>3.42</v>
      </c>
      <c r="N39" s="106">
        <v>18</v>
      </c>
      <c r="O39" s="107">
        <v>18</v>
      </c>
      <c r="Q39" s="106">
        <v>54</v>
      </c>
      <c r="R39" s="4">
        <v>18</v>
      </c>
      <c r="T39" s="61">
        <v>51</v>
      </c>
      <c r="U39" s="7">
        <v>17.2</v>
      </c>
      <c r="W39" s="61">
        <v>58</v>
      </c>
      <c r="X39" s="7">
        <v>17.7</v>
      </c>
      <c r="Z39" s="61">
        <v>48</v>
      </c>
      <c r="AA39" s="7">
        <v>4.3099999999999996</v>
      </c>
      <c r="AC39" s="61">
        <v>48</v>
      </c>
      <c r="AD39" s="7">
        <v>5.01</v>
      </c>
    </row>
    <row r="40" spans="2:30" ht="17.25" thickBot="1" x14ac:dyDescent="0.3">
      <c r="E40" s="3">
        <v>29</v>
      </c>
      <c r="F40" s="7">
        <v>15.1</v>
      </c>
      <c r="H40" s="3">
        <v>63</v>
      </c>
      <c r="I40" s="7">
        <v>3.28</v>
      </c>
      <c r="K40" s="3">
        <v>67</v>
      </c>
      <c r="L40" s="7">
        <v>3.43</v>
      </c>
      <c r="N40"/>
      <c r="Q40" s="106">
        <v>51</v>
      </c>
      <c r="R40" s="4">
        <v>17</v>
      </c>
      <c r="T40" s="61">
        <v>49</v>
      </c>
      <c r="U40" s="7">
        <v>17.3</v>
      </c>
      <c r="V40" s="12"/>
      <c r="W40" s="61">
        <v>56</v>
      </c>
      <c r="X40" s="7">
        <v>17.8</v>
      </c>
      <c r="Z40" s="61">
        <v>47</v>
      </c>
      <c r="AA40" s="7">
        <v>4.33</v>
      </c>
      <c r="AC40" s="61">
        <v>47</v>
      </c>
      <c r="AD40" s="7">
        <v>5.03</v>
      </c>
    </row>
    <row r="41" spans="2:30" ht="17.25" thickBot="1" x14ac:dyDescent="0.3">
      <c r="E41" s="3">
        <v>28</v>
      </c>
      <c r="F41" s="7">
        <v>15.2</v>
      </c>
      <c r="H41" s="3">
        <v>61</v>
      </c>
      <c r="I41" s="7">
        <v>3.29</v>
      </c>
      <c r="K41" s="3">
        <v>66</v>
      </c>
      <c r="L41" s="7">
        <v>3.44</v>
      </c>
      <c r="N41"/>
      <c r="Q41" s="106">
        <v>48</v>
      </c>
      <c r="R41" s="4">
        <v>16</v>
      </c>
      <c r="T41" s="61">
        <v>48</v>
      </c>
      <c r="U41" s="7">
        <v>17.399999999999999</v>
      </c>
      <c r="V41" s="12"/>
      <c r="W41" s="61">
        <v>55</v>
      </c>
      <c r="X41" s="7">
        <v>17.899999999999999</v>
      </c>
      <c r="Z41" s="61">
        <v>46</v>
      </c>
      <c r="AA41" s="7">
        <v>4.3499999999999996</v>
      </c>
      <c r="AC41" s="61">
        <v>46</v>
      </c>
      <c r="AD41" s="7">
        <v>5.05</v>
      </c>
    </row>
    <row r="42" spans="2:30" ht="17.25" thickBot="1" x14ac:dyDescent="0.3">
      <c r="E42" s="3">
        <v>27</v>
      </c>
      <c r="F42" s="7">
        <v>15.3</v>
      </c>
      <c r="H42" s="6">
        <v>59</v>
      </c>
      <c r="I42" s="8">
        <v>3.3</v>
      </c>
      <c r="K42" s="3">
        <v>65</v>
      </c>
      <c r="L42" s="7">
        <v>3.45</v>
      </c>
      <c r="N42"/>
      <c r="Q42" s="106">
        <v>45</v>
      </c>
      <c r="R42" s="4">
        <v>15</v>
      </c>
      <c r="T42" s="61">
        <v>47</v>
      </c>
      <c r="U42" s="7">
        <v>17.600000000000001</v>
      </c>
      <c r="V42" s="12"/>
      <c r="W42" s="61">
        <v>53</v>
      </c>
      <c r="X42" s="7">
        <v>18</v>
      </c>
      <c r="Z42" s="6">
        <v>45</v>
      </c>
      <c r="AA42" s="8">
        <v>4.37</v>
      </c>
      <c r="AC42" s="61">
        <v>45</v>
      </c>
      <c r="AD42" s="7">
        <v>5.07</v>
      </c>
    </row>
    <row r="43" spans="2:30" ht="17.25" thickBot="1" x14ac:dyDescent="0.3">
      <c r="E43" s="3">
        <v>26</v>
      </c>
      <c r="F43" s="7">
        <v>15.4</v>
      </c>
      <c r="H43" s="3">
        <v>57</v>
      </c>
      <c r="I43" s="7">
        <v>3.31</v>
      </c>
      <c r="K43" s="3">
        <v>64</v>
      </c>
      <c r="L43" s="7">
        <v>3.46</v>
      </c>
      <c r="N43"/>
      <c r="Q43" s="106">
        <v>42</v>
      </c>
      <c r="R43" s="4">
        <v>14</v>
      </c>
      <c r="T43" s="61">
        <v>45</v>
      </c>
      <c r="U43" s="7">
        <v>17.7</v>
      </c>
      <c r="V43" s="12"/>
      <c r="W43" s="61">
        <v>52</v>
      </c>
      <c r="X43" s="7">
        <v>18.100000000000001</v>
      </c>
      <c r="Z43" s="61">
        <v>44</v>
      </c>
      <c r="AA43" s="7">
        <v>4.3899999999999997</v>
      </c>
      <c r="AC43" s="61">
        <v>44</v>
      </c>
      <c r="AD43" s="7">
        <v>5.09</v>
      </c>
    </row>
    <row r="44" spans="2:30" ht="17.25" thickBot="1" x14ac:dyDescent="0.3">
      <c r="E44" s="3">
        <v>25</v>
      </c>
      <c r="F44" s="7">
        <v>15.6</v>
      </c>
      <c r="H44" s="3">
        <v>55</v>
      </c>
      <c r="I44" s="7">
        <v>3.32</v>
      </c>
      <c r="K44" s="3">
        <v>63</v>
      </c>
      <c r="L44" s="7">
        <v>3.47</v>
      </c>
      <c r="N44"/>
      <c r="Q44" s="106">
        <v>39</v>
      </c>
      <c r="R44" s="4">
        <v>13</v>
      </c>
      <c r="T44" s="61">
        <v>44</v>
      </c>
      <c r="U44" s="7">
        <v>17.8</v>
      </c>
      <c r="V44" s="12"/>
      <c r="W44" s="61">
        <v>51</v>
      </c>
      <c r="X44" s="7">
        <v>18.2</v>
      </c>
      <c r="Z44" s="61">
        <v>43</v>
      </c>
      <c r="AA44" s="7">
        <v>4.41</v>
      </c>
      <c r="AC44" s="61">
        <v>43</v>
      </c>
      <c r="AD44" s="7">
        <v>5.1100000000000003</v>
      </c>
    </row>
    <row r="45" spans="2:30" ht="17.25" thickBot="1" x14ac:dyDescent="0.3">
      <c r="E45" s="3">
        <v>24</v>
      </c>
      <c r="F45" s="7">
        <v>15.8</v>
      </c>
      <c r="H45" s="3">
        <v>54</v>
      </c>
      <c r="I45" s="7">
        <v>3.33</v>
      </c>
      <c r="K45" s="3">
        <v>62</v>
      </c>
      <c r="L45" s="7">
        <v>3.48</v>
      </c>
      <c r="N45"/>
      <c r="Q45" s="106">
        <v>35</v>
      </c>
      <c r="R45" s="4">
        <v>12</v>
      </c>
      <c r="T45" s="61">
        <v>43</v>
      </c>
      <c r="U45" s="7">
        <v>17.899999999999999</v>
      </c>
      <c r="V45" s="12"/>
      <c r="W45" s="61">
        <v>49</v>
      </c>
      <c r="X45" s="7">
        <v>18.3</v>
      </c>
      <c r="Z45" s="61">
        <v>42</v>
      </c>
      <c r="AA45" s="7">
        <v>4.43</v>
      </c>
      <c r="AC45" s="61">
        <v>42</v>
      </c>
      <c r="AD45" s="7">
        <v>5.13</v>
      </c>
    </row>
    <row r="46" spans="2:30" ht="17.25" thickBot="1" x14ac:dyDescent="0.3">
      <c r="E46" s="3">
        <v>23</v>
      </c>
      <c r="F46" s="7">
        <v>16</v>
      </c>
      <c r="H46" s="3">
        <v>53</v>
      </c>
      <c r="I46" s="7">
        <v>3.34</v>
      </c>
      <c r="K46" s="3">
        <v>61</v>
      </c>
      <c r="L46" s="7">
        <v>3.49</v>
      </c>
      <c r="N46"/>
      <c r="Q46" s="106">
        <v>33</v>
      </c>
      <c r="R46" s="4">
        <v>11</v>
      </c>
      <c r="T46" s="61">
        <v>41</v>
      </c>
      <c r="U46" s="7">
        <v>18</v>
      </c>
      <c r="V46" s="12"/>
      <c r="W46" s="61">
        <v>48</v>
      </c>
      <c r="X46" s="7">
        <v>18.399999999999999</v>
      </c>
      <c r="Z46" s="61">
        <v>41</v>
      </c>
      <c r="AA46" s="7">
        <v>4.45</v>
      </c>
      <c r="AC46" s="61">
        <v>41</v>
      </c>
      <c r="AD46" s="7">
        <v>5.15</v>
      </c>
    </row>
    <row r="47" spans="2:30" ht="17.25" thickBot="1" x14ac:dyDescent="0.3">
      <c r="E47" s="3">
        <v>22</v>
      </c>
      <c r="F47" s="7">
        <v>16.2</v>
      </c>
      <c r="H47" s="3">
        <v>52</v>
      </c>
      <c r="I47" s="7">
        <v>3.35</v>
      </c>
      <c r="K47" s="3">
        <v>60</v>
      </c>
      <c r="L47" s="7">
        <v>3.5</v>
      </c>
      <c r="N47"/>
      <c r="Q47" s="106">
        <v>30</v>
      </c>
      <c r="R47" s="4">
        <v>10</v>
      </c>
      <c r="T47" s="61">
        <v>40</v>
      </c>
      <c r="U47" s="7">
        <v>18.100000000000001</v>
      </c>
      <c r="V47" s="12"/>
      <c r="W47" s="61">
        <v>47</v>
      </c>
      <c r="X47" s="7">
        <v>18.600000000000001</v>
      </c>
      <c r="Z47" s="61">
        <v>40</v>
      </c>
      <c r="AA47" s="7">
        <v>4.47</v>
      </c>
      <c r="AC47" s="61">
        <v>40</v>
      </c>
      <c r="AD47" s="7">
        <v>5.17</v>
      </c>
    </row>
    <row r="48" spans="2:30" ht="17.25" thickBot="1" x14ac:dyDescent="0.3">
      <c r="E48" s="3">
        <v>21</v>
      </c>
      <c r="F48" s="7">
        <v>16.399999999999999</v>
      </c>
      <c r="H48" s="3">
        <v>51</v>
      </c>
      <c r="I48" s="7">
        <v>3.36</v>
      </c>
      <c r="K48" s="3">
        <v>59</v>
      </c>
      <c r="L48" s="7">
        <v>3.51</v>
      </c>
      <c r="N48"/>
      <c r="Q48" s="106">
        <v>27</v>
      </c>
      <c r="R48" s="4">
        <v>9</v>
      </c>
      <c r="T48" s="61">
        <v>38</v>
      </c>
      <c r="U48" s="7">
        <v>18.2</v>
      </c>
      <c r="V48" s="12"/>
      <c r="W48" s="61">
        <v>45</v>
      </c>
      <c r="X48" s="7">
        <v>18.7</v>
      </c>
      <c r="Z48" s="61">
        <v>39</v>
      </c>
      <c r="AA48" s="7">
        <v>4.49</v>
      </c>
      <c r="AC48" s="61">
        <v>39</v>
      </c>
      <c r="AD48" s="7">
        <v>5.19</v>
      </c>
    </row>
    <row r="49" spans="5:30" ht="17.25" thickBot="1" x14ac:dyDescent="0.3">
      <c r="E49" s="3">
        <v>20</v>
      </c>
      <c r="F49" s="7">
        <v>16.7</v>
      </c>
      <c r="H49" s="3">
        <v>50</v>
      </c>
      <c r="I49" s="7">
        <v>3.37</v>
      </c>
      <c r="K49" s="3">
        <v>58</v>
      </c>
      <c r="L49" s="7">
        <v>3.52</v>
      </c>
      <c r="N49"/>
      <c r="Q49" s="106">
        <v>24</v>
      </c>
      <c r="R49" s="4">
        <v>8</v>
      </c>
      <c r="T49" s="61">
        <v>37</v>
      </c>
      <c r="U49" s="7">
        <v>18.3</v>
      </c>
      <c r="V49" s="12"/>
      <c r="W49" s="61">
        <v>44</v>
      </c>
      <c r="X49" s="7">
        <v>18.8</v>
      </c>
      <c r="Z49" s="61">
        <v>38</v>
      </c>
      <c r="AA49" s="7">
        <v>4.51</v>
      </c>
      <c r="AC49" s="61">
        <v>38</v>
      </c>
      <c r="AD49" s="7">
        <v>5.2</v>
      </c>
    </row>
    <row r="50" spans="5:30" ht="17.25" thickBot="1" x14ac:dyDescent="0.3">
      <c r="E50" s="3">
        <v>19</v>
      </c>
      <c r="F50" s="7">
        <v>16.899999999999999</v>
      </c>
      <c r="H50" s="3">
        <v>49</v>
      </c>
      <c r="I50" s="7">
        <v>3.38</v>
      </c>
      <c r="K50" s="3">
        <v>57</v>
      </c>
      <c r="L50" s="7">
        <v>3.53</v>
      </c>
      <c r="N50"/>
      <c r="Q50" s="106">
        <v>21</v>
      </c>
      <c r="R50" s="4">
        <v>7</v>
      </c>
      <c r="T50" s="61">
        <v>36</v>
      </c>
      <c r="U50" s="7">
        <v>18.399999999999999</v>
      </c>
      <c r="V50" s="12"/>
      <c r="W50" s="61">
        <v>43</v>
      </c>
      <c r="X50" s="7">
        <v>18.899999999999999</v>
      </c>
      <c r="Z50" s="61">
        <v>37</v>
      </c>
      <c r="AA50" s="7">
        <v>4.53</v>
      </c>
      <c r="AC50" s="61">
        <v>37</v>
      </c>
      <c r="AD50" s="7">
        <v>5.21</v>
      </c>
    </row>
    <row r="51" spans="5:30" ht="17.25" thickBot="1" x14ac:dyDescent="0.3">
      <c r="E51" s="3">
        <v>18</v>
      </c>
      <c r="F51" s="7">
        <v>17.100000000000001</v>
      </c>
      <c r="H51" s="3">
        <v>48</v>
      </c>
      <c r="I51" s="7">
        <v>3.39</v>
      </c>
      <c r="K51" s="3">
        <v>56</v>
      </c>
      <c r="L51" s="7">
        <v>3.54</v>
      </c>
      <c r="N51"/>
      <c r="Q51" s="111">
        <v>18</v>
      </c>
      <c r="R51" s="60">
        <v>6</v>
      </c>
      <c r="T51" s="61">
        <v>35</v>
      </c>
      <c r="U51" s="7">
        <v>18.5</v>
      </c>
      <c r="V51" s="12"/>
      <c r="W51" s="61">
        <v>41</v>
      </c>
      <c r="X51" s="7">
        <v>19</v>
      </c>
      <c r="Z51" s="61">
        <v>36</v>
      </c>
      <c r="AA51" s="7">
        <v>4.55</v>
      </c>
      <c r="AC51" s="61">
        <v>36</v>
      </c>
      <c r="AD51" s="7">
        <v>5.23</v>
      </c>
    </row>
    <row r="52" spans="5:30" ht="16.5" thickBot="1" x14ac:dyDescent="0.3">
      <c r="E52" s="3">
        <v>17</v>
      </c>
      <c r="F52" s="7">
        <v>17.3</v>
      </c>
      <c r="H52" s="3">
        <v>47</v>
      </c>
      <c r="I52" s="7">
        <v>3.4</v>
      </c>
      <c r="K52" s="3">
        <v>55</v>
      </c>
      <c r="L52" s="7">
        <v>3.55</v>
      </c>
      <c r="N52"/>
      <c r="Q52" s="112"/>
      <c r="R52" s="113"/>
      <c r="T52" s="61">
        <v>33</v>
      </c>
      <c r="U52" s="7">
        <v>18.600000000000001</v>
      </c>
      <c r="V52" s="12"/>
      <c r="W52" s="61">
        <v>40</v>
      </c>
      <c r="X52" s="7">
        <v>19.100000000000001</v>
      </c>
      <c r="Z52" s="61">
        <v>35</v>
      </c>
      <c r="AA52" s="7">
        <v>4.57</v>
      </c>
      <c r="AC52" s="61">
        <v>35</v>
      </c>
      <c r="AD52" s="7">
        <v>5.25</v>
      </c>
    </row>
    <row r="53" spans="5:30" ht="16.5" thickBot="1" x14ac:dyDescent="0.3">
      <c r="E53" s="3">
        <v>16</v>
      </c>
      <c r="F53" s="7">
        <v>17.5</v>
      </c>
      <c r="H53" s="3">
        <v>46</v>
      </c>
      <c r="I53" s="7">
        <v>3.41</v>
      </c>
      <c r="K53" s="3">
        <v>54</v>
      </c>
      <c r="L53" s="7">
        <v>3.56</v>
      </c>
      <c r="N53"/>
      <c r="Q53" s="112"/>
      <c r="R53" s="113"/>
      <c r="T53" s="61">
        <v>32</v>
      </c>
      <c r="U53" s="7">
        <v>18.7</v>
      </c>
      <c r="V53" s="12"/>
      <c r="W53" s="61">
        <v>38</v>
      </c>
      <c r="X53" s="7">
        <v>19.2</v>
      </c>
      <c r="Z53" s="61">
        <v>34</v>
      </c>
      <c r="AA53" s="7">
        <v>4.59</v>
      </c>
      <c r="AC53" s="61">
        <v>34</v>
      </c>
      <c r="AD53" s="7">
        <v>5.27</v>
      </c>
    </row>
    <row r="54" spans="5:30" ht="16.5" thickBot="1" x14ac:dyDescent="0.3">
      <c r="E54" s="3">
        <v>15</v>
      </c>
      <c r="F54" s="7">
        <v>17.600000000000001</v>
      </c>
      <c r="H54" s="3">
        <v>45</v>
      </c>
      <c r="I54" s="7">
        <v>3.42</v>
      </c>
      <c r="K54" s="3">
        <v>53</v>
      </c>
      <c r="L54" s="7">
        <v>3.57</v>
      </c>
      <c r="N54"/>
      <c r="Q54" s="112"/>
      <c r="R54" s="113"/>
      <c r="T54" s="61">
        <v>31</v>
      </c>
      <c r="U54" s="7">
        <v>18.8</v>
      </c>
      <c r="V54" s="12"/>
      <c r="W54" s="61">
        <v>37</v>
      </c>
      <c r="X54" s="7">
        <v>19.3</v>
      </c>
      <c r="Z54" s="61">
        <v>33</v>
      </c>
      <c r="AA54" s="7">
        <v>5.01</v>
      </c>
      <c r="AC54" s="61">
        <v>33</v>
      </c>
      <c r="AD54" s="7">
        <v>5.28</v>
      </c>
    </row>
    <row r="55" spans="5:30" ht="16.5" thickBot="1" x14ac:dyDescent="0.3">
      <c r="E55" s="3">
        <v>14</v>
      </c>
      <c r="F55" s="7">
        <v>17.7</v>
      </c>
      <c r="H55" s="3">
        <v>44</v>
      </c>
      <c r="I55" s="7">
        <v>3.43</v>
      </c>
      <c r="K55" s="3">
        <v>52</v>
      </c>
      <c r="L55" s="7">
        <v>3.58</v>
      </c>
      <c r="N55"/>
      <c r="Q55" s="112"/>
      <c r="R55" s="113"/>
      <c r="T55" s="61">
        <v>30</v>
      </c>
      <c r="U55" s="7">
        <v>18.899999999999999</v>
      </c>
      <c r="V55" s="12"/>
      <c r="W55" s="61">
        <v>36</v>
      </c>
      <c r="X55" s="7">
        <v>19.399999999999999</v>
      </c>
      <c r="Z55" s="61">
        <v>32</v>
      </c>
      <c r="AA55" s="7">
        <v>5.03</v>
      </c>
      <c r="AC55" s="61">
        <v>32</v>
      </c>
      <c r="AD55" s="7">
        <v>5.29</v>
      </c>
    </row>
    <row r="56" spans="5:30" ht="16.5" thickBot="1" x14ac:dyDescent="0.3">
      <c r="E56" s="3">
        <v>13</v>
      </c>
      <c r="F56" s="7">
        <v>17.8</v>
      </c>
      <c r="H56" s="3">
        <v>43</v>
      </c>
      <c r="I56" s="7">
        <v>3.44</v>
      </c>
      <c r="K56" s="3">
        <v>51</v>
      </c>
      <c r="L56" s="7">
        <v>3.59</v>
      </c>
      <c r="N56"/>
      <c r="Q56" s="112"/>
      <c r="R56" s="113"/>
      <c r="T56" s="61">
        <v>29</v>
      </c>
      <c r="U56" s="7">
        <v>19</v>
      </c>
      <c r="V56" s="12"/>
      <c r="W56" s="61">
        <v>35</v>
      </c>
      <c r="X56" s="7">
        <v>19.5</v>
      </c>
      <c r="Z56" s="61">
        <v>31</v>
      </c>
      <c r="AA56" s="7">
        <v>5.05</v>
      </c>
      <c r="AC56" s="61">
        <v>31</v>
      </c>
      <c r="AD56" s="7">
        <v>5.31</v>
      </c>
    </row>
    <row r="57" spans="5:30" ht="16.5" thickBot="1" x14ac:dyDescent="0.3">
      <c r="E57" s="3">
        <v>12</v>
      </c>
      <c r="F57" s="7">
        <v>18</v>
      </c>
      <c r="H57" s="3">
        <v>42</v>
      </c>
      <c r="I57" s="7">
        <v>3.45</v>
      </c>
      <c r="K57" s="3">
        <v>50</v>
      </c>
      <c r="L57" s="7">
        <v>4</v>
      </c>
      <c r="N57"/>
      <c r="Q57" s="112"/>
      <c r="R57" s="113"/>
      <c r="T57" s="61">
        <v>28</v>
      </c>
      <c r="U57" s="7">
        <v>19.2</v>
      </c>
      <c r="V57" s="12"/>
      <c r="W57" s="61">
        <v>33</v>
      </c>
      <c r="X57" s="7">
        <v>19.600000000000001</v>
      </c>
      <c r="Z57" s="61">
        <v>30</v>
      </c>
      <c r="AA57" s="7">
        <v>5.07</v>
      </c>
      <c r="AC57" s="61">
        <v>30</v>
      </c>
      <c r="AD57" s="7">
        <v>5.33</v>
      </c>
    </row>
    <row r="58" spans="5:30" ht="16.5" thickBot="1" x14ac:dyDescent="0.3">
      <c r="E58" s="3">
        <v>11</v>
      </c>
      <c r="F58" s="7">
        <v>18.100000000000001</v>
      </c>
      <c r="H58" s="3">
        <v>41</v>
      </c>
      <c r="I58" s="7">
        <v>3.46</v>
      </c>
      <c r="K58" s="3">
        <v>49</v>
      </c>
      <c r="L58" s="7">
        <v>4.0199999999999996</v>
      </c>
      <c r="N58"/>
      <c r="Q58" s="112"/>
      <c r="R58" s="113"/>
      <c r="T58" s="61">
        <v>27</v>
      </c>
      <c r="U58" s="7">
        <v>19.399999999999999</v>
      </c>
      <c r="V58" s="12"/>
      <c r="W58" s="61">
        <v>32</v>
      </c>
      <c r="X58" s="7">
        <v>19.7</v>
      </c>
      <c r="Z58" s="61">
        <v>29</v>
      </c>
      <c r="AA58" s="7">
        <v>5.09</v>
      </c>
      <c r="AC58" s="61">
        <v>29</v>
      </c>
      <c r="AD58" s="7">
        <v>5.34</v>
      </c>
    </row>
    <row r="59" spans="5:30" ht="16.5" thickBot="1" x14ac:dyDescent="0.3">
      <c r="E59" s="3">
        <v>10</v>
      </c>
      <c r="F59" s="7">
        <v>18.2</v>
      </c>
      <c r="H59" s="3">
        <v>40</v>
      </c>
      <c r="I59" s="7">
        <v>3.47</v>
      </c>
      <c r="K59" s="3">
        <v>48</v>
      </c>
      <c r="L59" s="7">
        <v>4.04</v>
      </c>
      <c r="N59"/>
      <c r="Q59" s="112"/>
      <c r="R59" s="113"/>
      <c r="T59" s="61">
        <v>26</v>
      </c>
      <c r="U59" s="7">
        <v>19.600000000000001</v>
      </c>
      <c r="V59" s="12"/>
      <c r="W59" s="61">
        <v>31</v>
      </c>
      <c r="X59" s="7">
        <v>19.8</v>
      </c>
      <c r="Z59" s="61">
        <v>28</v>
      </c>
      <c r="AA59" s="7">
        <v>5.0999999999999996</v>
      </c>
      <c r="AC59" s="61">
        <v>28</v>
      </c>
      <c r="AD59" s="7">
        <v>5.35</v>
      </c>
    </row>
    <row r="60" spans="5:30" ht="16.5" thickBot="1" x14ac:dyDescent="0.3">
      <c r="E60" s="3">
        <v>9</v>
      </c>
      <c r="F60" s="7">
        <v>18.3</v>
      </c>
      <c r="H60" s="3">
        <v>39</v>
      </c>
      <c r="I60" s="7">
        <v>3.48</v>
      </c>
      <c r="K60" s="3">
        <v>47</v>
      </c>
      <c r="L60" s="7">
        <v>4.0599999999999996</v>
      </c>
      <c r="N60"/>
      <c r="Q60" s="112"/>
      <c r="R60" s="113"/>
      <c r="T60" s="61">
        <v>25</v>
      </c>
      <c r="U60" s="7">
        <v>19.8</v>
      </c>
      <c r="V60" s="12"/>
      <c r="W60" s="61">
        <v>30</v>
      </c>
      <c r="X60" s="7">
        <v>19.899999999999999</v>
      </c>
      <c r="Z60" s="61">
        <v>27</v>
      </c>
      <c r="AA60" s="7">
        <v>5.15</v>
      </c>
      <c r="AC60" s="61">
        <v>27</v>
      </c>
      <c r="AD60" s="7">
        <v>5.4</v>
      </c>
    </row>
    <row r="61" spans="5:30" ht="16.5" thickBot="1" x14ac:dyDescent="0.3">
      <c r="E61" s="3">
        <v>8</v>
      </c>
      <c r="F61" s="7">
        <v>18.399999999999999</v>
      </c>
      <c r="H61" s="3">
        <v>38</v>
      </c>
      <c r="I61" s="7">
        <v>3.49</v>
      </c>
      <c r="K61" s="3">
        <v>46</v>
      </c>
      <c r="L61" s="7">
        <v>4.08</v>
      </c>
      <c r="N61"/>
      <c r="Q61" s="112"/>
      <c r="R61" s="113"/>
      <c r="T61" s="61">
        <v>24</v>
      </c>
      <c r="U61" s="7">
        <v>20</v>
      </c>
      <c r="V61" s="12"/>
      <c r="W61" s="61">
        <v>29</v>
      </c>
      <c r="X61" s="7">
        <v>20</v>
      </c>
      <c r="Z61" s="61">
        <v>26</v>
      </c>
      <c r="AA61" s="7">
        <v>5.2</v>
      </c>
      <c r="AC61" s="61">
        <v>26</v>
      </c>
      <c r="AD61" s="7">
        <v>5.45</v>
      </c>
    </row>
    <row r="62" spans="5:30" ht="16.5" thickBot="1" x14ac:dyDescent="0.3">
      <c r="E62" s="3">
        <v>7</v>
      </c>
      <c r="F62" s="7">
        <v>18.5</v>
      </c>
      <c r="H62" s="3">
        <v>37</v>
      </c>
      <c r="I62" s="7">
        <v>3.5</v>
      </c>
      <c r="K62" s="3">
        <v>45</v>
      </c>
      <c r="L62" s="7">
        <v>4.0999999999999996</v>
      </c>
      <c r="N62"/>
      <c r="Q62" s="112"/>
      <c r="R62" s="113"/>
      <c r="T62" s="61">
        <v>23</v>
      </c>
      <c r="U62" s="7">
        <v>20.2</v>
      </c>
      <c r="V62" s="12"/>
      <c r="W62" s="61">
        <v>28</v>
      </c>
      <c r="X62" s="7">
        <v>20.2</v>
      </c>
      <c r="Z62" s="61">
        <v>25</v>
      </c>
      <c r="AA62" s="7">
        <v>5.25</v>
      </c>
      <c r="AC62" s="61">
        <v>25</v>
      </c>
      <c r="AD62" s="7">
        <v>5.5</v>
      </c>
    </row>
    <row r="63" spans="5:30" ht="16.5" thickBot="1" x14ac:dyDescent="0.3">
      <c r="E63" s="3">
        <v>6</v>
      </c>
      <c r="F63" s="7">
        <v>18.899999999999999</v>
      </c>
      <c r="H63" s="3">
        <v>36</v>
      </c>
      <c r="I63" s="7">
        <v>3.52</v>
      </c>
      <c r="K63" s="3">
        <v>44</v>
      </c>
      <c r="L63" s="7">
        <v>4.12</v>
      </c>
      <c r="N63"/>
      <c r="Q63"/>
      <c r="T63" s="61">
        <v>22</v>
      </c>
      <c r="U63" s="7">
        <v>20.399999999999999</v>
      </c>
      <c r="V63" s="12"/>
      <c r="W63" s="61">
        <v>27</v>
      </c>
      <c r="X63" s="7">
        <v>20.399999999999999</v>
      </c>
      <c r="Z63" s="61">
        <v>24</v>
      </c>
      <c r="AA63" s="7">
        <v>5.3</v>
      </c>
      <c r="AC63" s="61">
        <v>24</v>
      </c>
      <c r="AD63" s="7">
        <v>5.55</v>
      </c>
    </row>
    <row r="64" spans="5:30" ht="16.5" thickBot="1" x14ac:dyDescent="0.3">
      <c r="H64" s="3">
        <v>35</v>
      </c>
      <c r="I64" s="7">
        <v>3.54</v>
      </c>
      <c r="K64" s="3">
        <v>43</v>
      </c>
      <c r="L64" s="7">
        <v>4.1399999999999997</v>
      </c>
      <c r="N64"/>
      <c r="Q64"/>
      <c r="T64" s="61">
        <v>21</v>
      </c>
      <c r="U64" s="7">
        <v>20.6</v>
      </c>
      <c r="V64" s="12"/>
      <c r="W64" s="61">
        <v>26</v>
      </c>
      <c r="X64" s="7">
        <v>20.5</v>
      </c>
      <c r="Z64" s="61">
        <v>23</v>
      </c>
      <c r="AA64" s="7">
        <v>5.35</v>
      </c>
      <c r="AC64" s="61">
        <v>23</v>
      </c>
      <c r="AD64" s="7">
        <v>6</v>
      </c>
    </row>
    <row r="65" spans="8:30" ht="16.5" thickBot="1" x14ac:dyDescent="0.3">
      <c r="H65" s="3">
        <v>34</v>
      </c>
      <c r="I65" s="7">
        <v>3.56</v>
      </c>
      <c r="K65" s="3">
        <v>42</v>
      </c>
      <c r="L65" s="7">
        <v>4.16</v>
      </c>
      <c r="N65"/>
      <c r="Q65"/>
      <c r="T65" s="61">
        <v>20</v>
      </c>
      <c r="U65" s="7">
        <v>20.8</v>
      </c>
      <c r="V65" s="12"/>
      <c r="W65" s="61">
        <v>25</v>
      </c>
      <c r="X65" s="7">
        <v>20.6</v>
      </c>
      <c r="Z65" s="61">
        <v>22</v>
      </c>
      <c r="AA65" s="7">
        <v>5.4</v>
      </c>
      <c r="AC65" s="61">
        <v>22</v>
      </c>
      <c r="AD65" s="7">
        <v>6.05</v>
      </c>
    </row>
    <row r="66" spans="8:30" ht="16.5" thickBot="1" x14ac:dyDescent="0.3">
      <c r="H66" s="3">
        <v>33</v>
      </c>
      <c r="I66" s="7">
        <v>3.58</v>
      </c>
      <c r="K66" s="3">
        <v>41</v>
      </c>
      <c r="L66" s="7">
        <v>4.18</v>
      </c>
      <c r="N66"/>
      <c r="Q66"/>
      <c r="T66" s="61">
        <v>19</v>
      </c>
      <c r="U66" s="7">
        <v>21</v>
      </c>
      <c r="V66" s="12"/>
      <c r="W66" s="61">
        <v>24</v>
      </c>
      <c r="X66" s="7">
        <v>20.8</v>
      </c>
      <c r="Z66" s="61">
        <v>21</v>
      </c>
      <c r="AA66" s="7">
        <v>5.5</v>
      </c>
      <c r="AC66" s="61">
        <v>21</v>
      </c>
      <c r="AD66" s="7">
        <v>6.15</v>
      </c>
    </row>
    <row r="67" spans="8:30" ht="16.5" thickBot="1" x14ac:dyDescent="0.3">
      <c r="H67" s="3">
        <v>32</v>
      </c>
      <c r="I67" s="7">
        <v>4</v>
      </c>
      <c r="K67" s="3">
        <v>40</v>
      </c>
      <c r="L67" s="7">
        <v>4.2</v>
      </c>
      <c r="N67"/>
      <c r="Q67"/>
      <c r="T67" s="61">
        <v>18</v>
      </c>
      <c r="U67" s="7">
        <v>21.1</v>
      </c>
      <c r="V67" s="12"/>
      <c r="W67" s="61">
        <v>23</v>
      </c>
      <c r="X67" s="7">
        <v>21</v>
      </c>
      <c r="Z67" s="61">
        <v>20</v>
      </c>
      <c r="AA67" s="7">
        <v>6</v>
      </c>
      <c r="AC67" s="61">
        <v>20</v>
      </c>
      <c r="AD67" s="7">
        <v>6.25</v>
      </c>
    </row>
    <row r="68" spans="8:30" ht="16.5" thickBot="1" x14ac:dyDescent="0.3">
      <c r="H68" s="3">
        <v>31</v>
      </c>
      <c r="I68" s="7">
        <v>4.04</v>
      </c>
      <c r="K68" s="3">
        <v>39</v>
      </c>
      <c r="L68" s="7">
        <v>4.22</v>
      </c>
      <c r="N68"/>
      <c r="Q68"/>
      <c r="T68" s="13"/>
      <c r="U68" s="12"/>
      <c r="V68" s="12"/>
      <c r="W68" s="61">
        <v>22</v>
      </c>
      <c r="X68" s="7">
        <v>21.2</v>
      </c>
      <c r="Z68" s="61">
        <v>19</v>
      </c>
      <c r="AA68" s="7">
        <v>6.1</v>
      </c>
      <c r="AC68" s="61">
        <v>19</v>
      </c>
      <c r="AD68" s="7">
        <v>6.35</v>
      </c>
    </row>
    <row r="69" spans="8:30" ht="16.5" thickBot="1" x14ac:dyDescent="0.3">
      <c r="H69" s="3">
        <v>30</v>
      </c>
      <c r="I69" s="7">
        <v>4.08</v>
      </c>
      <c r="K69" s="3">
        <v>38</v>
      </c>
      <c r="L69" s="7">
        <v>4.24</v>
      </c>
      <c r="N69"/>
      <c r="Q69"/>
      <c r="T69" s="13"/>
      <c r="U69" s="12"/>
      <c r="V69" s="12"/>
      <c r="W69" s="61">
        <v>21</v>
      </c>
      <c r="X69" s="7">
        <v>21.4</v>
      </c>
      <c r="Z69" s="114">
        <v>18</v>
      </c>
      <c r="AA69" s="115">
        <v>6.2</v>
      </c>
      <c r="AC69" s="114">
        <v>18</v>
      </c>
      <c r="AD69" s="115">
        <v>6.45</v>
      </c>
    </row>
    <row r="70" spans="8:30" ht="16.5" thickBot="1" x14ac:dyDescent="0.3">
      <c r="H70" s="3">
        <v>29</v>
      </c>
      <c r="I70" s="7">
        <v>4.12</v>
      </c>
      <c r="K70" s="3">
        <v>37</v>
      </c>
      <c r="L70" s="7">
        <v>4.26</v>
      </c>
      <c r="N70"/>
      <c r="Q70"/>
      <c r="T70" s="13"/>
      <c r="U70" s="12"/>
      <c r="V70" s="12"/>
      <c r="W70" s="61">
        <v>20</v>
      </c>
      <c r="X70" s="7">
        <v>21.5</v>
      </c>
    </row>
    <row r="71" spans="8:30" ht="16.5" thickBot="1" x14ac:dyDescent="0.3">
      <c r="H71" s="3">
        <v>28</v>
      </c>
      <c r="I71" s="7">
        <v>4.16</v>
      </c>
      <c r="K71" s="3">
        <v>36</v>
      </c>
      <c r="L71" s="7">
        <v>4.28</v>
      </c>
      <c r="N71"/>
      <c r="Q71"/>
      <c r="T71" s="13"/>
      <c r="U71" s="12"/>
      <c r="V71" s="12"/>
      <c r="W71" s="61">
        <v>19</v>
      </c>
      <c r="X71" s="7">
        <v>21.6</v>
      </c>
    </row>
    <row r="72" spans="8:30" ht="16.5" thickBot="1" x14ac:dyDescent="0.3">
      <c r="H72" s="3">
        <v>27</v>
      </c>
      <c r="I72" s="7">
        <v>4.2</v>
      </c>
      <c r="K72" s="3">
        <v>35</v>
      </c>
      <c r="L72" s="7">
        <v>4.3</v>
      </c>
      <c r="N72"/>
      <c r="Q72"/>
      <c r="T72" s="13"/>
      <c r="U72" s="12"/>
      <c r="V72" s="12"/>
      <c r="W72" s="61">
        <v>18</v>
      </c>
      <c r="X72" s="7">
        <v>21.8</v>
      </c>
    </row>
    <row r="73" spans="8:30" ht="16.5" thickBot="1" x14ac:dyDescent="0.3">
      <c r="H73" s="3">
        <v>26</v>
      </c>
      <c r="I73" s="7">
        <v>4.24</v>
      </c>
      <c r="K73" s="3">
        <v>34</v>
      </c>
      <c r="L73" s="7">
        <v>4.32</v>
      </c>
      <c r="N73" s="13"/>
      <c r="O73" s="12"/>
      <c r="P73" s="12"/>
      <c r="Q73" s="13"/>
      <c r="R73" s="12"/>
      <c r="S73" s="12"/>
      <c r="T73" s="13"/>
      <c r="U73" s="12"/>
      <c r="V73" s="12"/>
      <c r="W73" s="13"/>
      <c r="X73" s="12"/>
      <c r="Y73" s="12"/>
      <c r="Z73" s="12"/>
      <c r="AA73" s="14"/>
      <c r="AB73" s="12"/>
      <c r="AC73" s="12"/>
      <c r="AD73" s="14"/>
    </row>
    <row r="74" spans="8:30" ht="16.5" thickBot="1" x14ac:dyDescent="0.3">
      <c r="H74" s="3">
        <v>25</v>
      </c>
      <c r="I74" s="7">
        <v>4.28</v>
      </c>
      <c r="K74" s="3">
        <v>33</v>
      </c>
      <c r="L74" s="7">
        <v>4.34</v>
      </c>
      <c r="N74" s="13"/>
      <c r="O74" s="12"/>
      <c r="P74" s="12"/>
      <c r="Q74" s="13"/>
      <c r="R74" s="12"/>
      <c r="S74" s="12"/>
      <c r="T74" s="13"/>
      <c r="U74" s="12"/>
      <c r="V74" s="12"/>
      <c r="W74" s="13"/>
      <c r="X74" s="12"/>
      <c r="Y74" s="12"/>
      <c r="Z74" s="12"/>
      <c r="AA74" s="14"/>
      <c r="AB74" s="12"/>
      <c r="AC74" s="12"/>
      <c r="AD74" s="14"/>
    </row>
    <row r="75" spans="8:30" ht="16.5" thickBot="1" x14ac:dyDescent="0.3">
      <c r="H75" s="3">
        <v>24</v>
      </c>
      <c r="I75" s="7">
        <v>4.32</v>
      </c>
      <c r="K75" s="3">
        <v>32</v>
      </c>
      <c r="L75" s="7">
        <v>4.3600000000000003</v>
      </c>
      <c r="N75" s="13"/>
      <c r="O75" s="12"/>
      <c r="P75" s="12"/>
      <c r="Q75" s="13"/>
      <c r="R75" s="12"/>
      <c r="S75" s="12"/>
      <c r="T75" s="13"/>
      <c r="U75" s="12"/>
      <c r="V75" s="12"/>
      <c r="W75" s="13"/>
      <c r="X75" s="12"/>
      <c r="Y75" s="12"/>
      <c r="Z75" s="12"/>
      <c r="AA75" s="14"/>
      <c r="AB75" s="12"/>
      <c r="AC75" s="12"/>
      <c r="AD75" s="14"/>
    </row>
    <row r="76" spans="8:30" ht="16.5" thickBot="1" x14ac:dyDescent="0.3">
      <c r="H76" s="3">
        <v>23</v>
      </c>
      <c r="I76" s="7">
        <v>4.3600000000000003</v>
      </c>
      <c r="K76" s="3">
        <v>31</v>
      </c>
      <c r="L76" s="7">
        <v>4.38</v>
      </c>
      <c r="N76" s="13"/>
      <c r="O76" s="12"/>
      <c r="P76" s="12"/>
      <c r="Q76" s="13"/>
      <c r="R76" s="12"/>
      <c r="S76" s="12"/>
      <c r="T76" s="13"/>
      <c r="U76" s="12"/>
      <c r="V76" s="12"/>
      <c r="W76" s="13"/>
      <c r="X76" s="12"/>
      <c r="Y76" s="12"/>
      <c r="Z76" s="12"/>
      <c r="AA76" s="14"/>
      <c r="AB76" s="12"/>
      <c r="AC76" s="12"/>
      <c r="AD76" s="14"/>
    </row>
    <row r="77" spans="8:30" ht="16.5" thickBot="1" x14ac:dyDescent="0.3">
      <c r="H77" s="3">
        <v>22</v>
      </c>
      <c r="I77" s="7">
        <v>4.4000000000000004</v>
      </c>
      <c r="K77" s="3">
        <v>30</v>
      </c>
      <c r="L77" s="7">
        <v>4.4000000000000004</v>
      </c>
      <c r="N77" s="13"/>
      <c r="O77" s="12"/>
      <c r="P77" s="12"/>
      <c r="Q77" s="13"/>
      <c r="R77" s="12"/>
      <c r="S77" s="12"/>
      <c r="T77" s="13"/>
      <c r="U77" s="12"/>
      <c r="V77" s="12"/>
      <c r="W77" s="13"/>
      <c r="X77" s="12"/>
      <c r="Y77" s="12"/>
      <c r="Z77" s="12"/>
      <c r="AA77" s="14"/>
      <c r="AB77" s="12"/>
      <c r="AC77" s="12"/>
      <c r="AD77" s="14"/>
    </row>
    <row r="78" spans="8:30" ht="16.5" thickBot="1" x14ac:dyDescent="0.3">
      <c r="H78" s="3">
        <v>21</v>
      </c>
      <c r="I78" s="7">
        <v>4.4400000000000004</v>
      </c>
      <c r="K78" s="3">
        <v>29</v>
      </c>
      <c r="L78" s="7">
        <v>4.42</v>
      </c>
      <c r="N78" s="13"/>
      <c r="O78" s="12"/>
      <c r="P78" s="12"/>
      <c r="Q78" s="13"/>
      <c r="R78" s="12"/>
      <c r="S78" s="12"/>
      <c r="T78" s="13"/>
      <c r="U78" s="12"/>
      <c r="V78" s="12"/>
      <c r="W78" s="13"/>
      <c r="X78" s="12"/>
      <c r="Y78" s="12"/>
      <c r="Z78" s="12"/>
      <c r="AA78" s="14"/>
      <c r="AB78" s="12"/>
      <c r="AC78" s="12"/>
      <c r="AD78" s="14"/>
    </row>
    <row r="79" spans="8:30" ht="16.5" thickBot="1" x14ac:dyDescent="0.3">
      <c r="H79" s="3">
        <v>20</v>
      </c>
      <c r="I79" s="7">
        <v>4.4800000000000004</v>
      </c>
      <c r="K79" s="3">
        <v>28</v>
      </c>
      <c r="L79" s="7">
        <v>4.4400000000000004</v>
      </c>
      <c r="N79" s="13"/>
      <c r="O79" s="12"/>
      <c r="P79" s="12"/>
      <c r="Q79" s="13"/>
      <c r="R79" s="12"/>
      <c r="S79" s="12"/>
      <c r="T79" s="13"/>
      <c r="U79" s="12"/>
      <c r="V79" s="12"/>
      <c r="W79" s="13"/>
      <c r="X79" s="12"/>
      <c r="Y79" s="12"/>
      <c r="Z79" s="12"/>
      <c r="AA79" s="14"/>
      <c r="AB79" s="12"/>
      <c r="AC79" s="12"/>
      <c r="AD79" s="14"/>
    </row>
    <row r="80" spans="8:30" ht="16.5" thickBot="1" x14ac:dyDescent="0.3">
      <c r="H80" s="3">
        <v>19</v>
      </c>
      <c r="I80" s="7">
        <v>4.5199999999999996</v>
      </c>
      <c r="K80" s="3">
        <v>27</v>
      </c>
      <c r="L80" s="7">
        <v>4.46</v>
      </c>
      <c r="N80" s="13"/>
      <c r="O80" s="12"/>
      <c r="P80" s="12"/>
      <c r="Q80" s="13"/>
      <c r="R80" s="12"/>
      <c r="S80" s="12"/>
      <c r="T80" s="13"/>
      <c r="U80" s="12"/>
      <c r="V80" s="12"/>
      <c r="W80" s="13"/>
      <c r="X80" s="12"/>
      <c r="Y80" s="12"/>
      <c r="Z80" s="12"/>
      <c r="AA80" s="14"/>
      <c r="AB80" s="12"/>
      <c r="AC80" s="12"/>
      <c r="AD80" s="14"/>
    </row>
    <row r="81" spans="8:30" ht="16.5" thickBot="1" x14ac:dyDescent="0.3">
      <c r="H81" s="3">
        <v>18</v>
      </c>
      <c r="I81" s="7">
        <v>4.5599999999999996</v>
      </c>
      <c r="K81" s="3">
        <v>26</v>
      </c>
      <c r="L81" s="7">
        <v>4.4800000000000004</v>
      </c>
      <c r="N81" s="13"/>
      <c r="O81" s="12"/>
      <c r="P81" s="12"/>
      <c r="Q81" s="13"/>
      <c r="R81" s="12"/>
      <c r="S81" s="12"/>
      <c r="T81" s="13"/>
      <c r="U81" s="12"/>
      <c r="V81" s="12"/>
      <c r="W81" s="13"/>
      <c r="X81" s="12"/>
      <c r="Y81" s="12"/>
      <c r="Z81" s="12"/>
      <c r="AA81" s="14"/>
      <c r="AB81" s="12"/>
      <c r="AC81" s="12"/>
      <c r="AD81" s="14"/>
    </row>
    <row r="82" spans="8:30" ht="16.5" thickBot="1" x14ac:dyDescent="0.3">
      <c r="H82" s="3">
        <v>17</v>
      </c>
      <c r="I82" s="7">
        <v>5</v>
      </c>
      <c r="K82" s="3">
        <v>25</v>
      </c>
      <c r="L82" s="7">
        <v>4.5</v>
      </c>
      <c r="N82" s="13"/>
      <c r="O82" s="12"/>
      <c r="P82" s="12"/>
      <c r="Q82" s="13"/>
      <c r="R82" s="12"/>
      <c r="S82" s="12"/>
      <c r="T82" s="13"/>
      <c r="U82" s="12"/>
      <c r="V82" s="12"/>
      <c r="W82" s="13"/>
      <c r="X82" s="12"/>
      <c r="Y82" s="12"/>
      <c r="Z82" s="12"/>
      <c r="AA82" s="14"/>
      <c r="AB82" s="12"/>
      <c r="AC82" s="12"/>
      <c r="AD82" s="14"/>
    </row>
    <row r="83" spans="8:30" ht="16.5" thickBot="1" x14ac:dyDescent="0.3">
      <c r="H83" s="3">
        <v>16</v>
      </c>
      <c r="I83" s="7">
        <v>5.05</v>
      </c>
      <c r="K83" s="3">
        <v>24</v>
      </c>
      <c r="L83" s="7">
        <v>4.53</v>
      </c>
      <c r="N83" s="13"/>
      <c r="O83" s="12"/>
      <c r="P83" s="12"/>
      <c r="Q83" s="13"/>
      <c r="R83" s="12"/>
      <c r="S83" s="12"/>
      <c r="T83" s="13"/>
      <c r="U83" s="12"/>
      <c r="V83" s="12"/>
      <c r="W83" s="13"/>
      <c r="X83" s="12"/>
      <c r="Y83" s="12"/>
      <c r="Z83" s="12"/>
      <c r="AA83" s="14"/>
      <c r="AB83" s="12"/>
      <c r="AC83" s="12"/>
      <c r="AD83" s="14"/>
    </row>
    <row r="84" spans="8:30" ht="16.5" thickBot="1" x14ac:dyDescent="0.3">
      <c r="H84" s="3">
        <v>15</v>
      </c>
      <c r="I84" s="7">
        <v>5.0999999999999996</v>
      </c>
      <c r="K84" s="3">
        <v>23</v>
      </c>
      <c r="L84" s="7">
        <v>4.5599999999999996</v>
      </c>
      <c r="N84" s="13"/>
      <c r="O84" s="12"/>
      <c r="P84" s="12"/>
      <c r="Q84" s="13"/>
      <c r="R84" s="12"/>
      <c r="S84" s="12"/>
      <c r="T84" s="13"/>
      <c r="U84" s="12"/>
      <c r="V84" s="12"/>
      <c r="W84" s="13"/>
      <c r="X84" s="12"/>
      <c r="Y84" s="12"/>
      <c r="Z84" s="12"/>
      <c r="AA84" s="14"/>
      <c r="AB84" s="12"/>
      <c r="AC84" s="12"/>
      <c r="AD84" s="14"/>
    </row>
    <row r="85" spans="8:30" ht="16.5" thickBot="1" x14ac:dyDescent="0.3">
      <c r="H85" s="3">
        <v>14</v>
      </c>
      <c r="I85" s="7">
        <v>5.15</v>
      </c>
      <c r="K85" s="3">
        <v>22</v>
      </c>
      <c r="L85" s="7">
        <v>5</v>
      </c>
      <c r="N85" s="13"/>
      <c r="O85" s="12"/>
      <c r="P85" s="12"/>
      <c r="Q85" s="13"/>
      <c r="R85" s="12"/>
      <c r="S85" s="12"/>
      <c r="T85" s="13"/>
      <c r="U85" s="12"/>
      <c r="V85" s="12"/>
      <c r="W85" s="13"/>
      <c r="X85" s="12"/>
      <c r="Y85" s="12"/>
      <c r="Z85" s="12"/>
      <c r="AA85" s="14"/>
      <c r="AB85" s="12"/>
      <c r="AC85" s="12"/>
      <c r="AD85" s="14"/>
    </row>
    <row r="86" spans="8:30" ht="16.5" thickBot="1" x14ac:dyDescent="0.3">
      <c r="H86" s="3">
        <v>13</v>
      </c>
      <c r="I86" s="7">
        <v>5.2</v>
      </c>
      <c r="K86" s="3">
        <v>21</v>
      </c>
      <c r="L86" s="7">
        <v>5.03</v>
      </c>
      <c r="N86" s="13"/>
      <c r="O86" s="12"/>
      <c r="P86" s="12"/>
      <c r="Q86" s="13"/>
      <c r="R86" s="12"/>
      <c r="S86" s="12"/>
      <c r="T86" s="13"/>
      <c r="U86" s="12"/>
      <c r="V86" s="12"/>
      <c r="W86" s="13"/>
      <c r="X86" s="12"/>
      <c r="Y86" s="12"/>
      <c r="Z86" s="12"/>
      <c r="AA86" s="14"/>
      <c r="AB86" s="12"/>
      <c r="AC86" s="12"/>
      <c r="AD86" s="14"/>
    </row>
    <row r="87" spans="8:30" ht="16.5" thickBot="1" x14ac:dyDescent="0.3">
      <c r="H87" s="3">
        <v>12</v>
      </c>
      <c r="I87" s="7">
        <v>5.25</v>
      </c>
      <c r="K87" s="3">
        <v>20</v>
      </c>
      <c r="L87" s="7">
        <v>5.0599999999999996</v>
      </c>
      <c r="N87" s="13"/>
      <c r="O87" s="12"/>
      <c r="P87" s="12"/>
      <c r="Q87" s="13"/>
      <c r="R87" s="12"/>
      <c r="S87" s="12"/>
      <c r="T87" s="13"/>
      <c r="U87" s="12"/>
      <c r="V87" s="12"/>
      <c r="W87" s="13"/>
      <c r="X87" s="12"/>
      <c r="Y87" s="12"/>
      <c r="Z87" s="12"/>
      <c r="AA87" s="14"/>
      <c r="AB87" s="12"/>
      <c r="AC87" s="12"/>
      <c r="AD87" s="14"/>
    </row>
    <row r="88" spans="8:30" ht="16.5" thickBot="1" x14ac:dyDescent="0.3">
      <c r="H88" s="3">
        <v>11</v>
      </c>
      <c r="I88" s="7">
        <v>5.3</v>
      </c>
      <c r="K88" s="3">
        <v>19</v>
      </c>
      <c r="L88" s="7">
        <v>5.0999999999999996</v>
      </c>
      <c r="N88" s="13"/>
      <c r="O88" s="12"/>
      <c r="P88" s="12"/>
      <c r="Q88" s="13"/>
      <c r="R88" s="12"/>
      <c r="S88" s="12"/>
      <c r="T88" s="13"/>
      <c r="U88" s="12"/>
      <c r="V88" s="12"/>
      <c r="W88" s="13"/>
      <c r="X88" s="12"/>
      <c r="Y88" s="12"/>
      <c r="Z88" s="12"/>
      <c r="AA88" s="14"/>
      <c r="AB88" s="12"/>
      <c r="AC88" s="12"/>
      <c r="AD88" s="14"/>
    </row>
    <row r="89" spans="8:30" ht="16.5" thickBot="1" x14ac:dyDescent="0.3">
      <c r="H89" s="3">
        <v>10</v>
      </c>
      <c r="I89" s="7">
        <v>5.35</v>
      </c>
      <c r="K89" s="3">
        <v>18</v>
      </c>
      <c r="L89" s="7">
        <v>5.13</v>
      </c>
      <c r="N89" s="13"/>
      <c r="O89" s="12"/>
      <c r="P89" s="12"/>
      <c r="Q89" s="13"/>
      <c r="R89" s="12"/>
      <c r="S89" s="12"/>
      <c r="T89" s="13"/>
      <c r="U89" s="12"/>
      <c r="V89" s="12"/>
      <c r="W89" s="13"/>
      <c r="X89" s="12"/>
      <c r="Y89" s="12"/>
      <c r="Z89" s="12"/>
      <c r="AA89" s="14"/>
      <c r="AB89" s="12"/>
      <c r="AC89" s="12"/>
      <c r="AD89" s="14"/>
    </row>
    <row r="90" spans="8:30" ht="16.5" thickBot="1" x14ac:dyDescent="0.3">
      <c r="H90" s="3">
        <v>9</v>
      </c>
      <c r="I90" s="7">
        <v>5.4</v>
      </c>
      <c r="K90" s="3">
        <v>17</v>
      </c>
      <c r="L90" s="7">
        <v>5.16</v>
      </c>
      <c r="N90" s="13"/>
      <c r="O90" s="12"/>
      <c r="P90" s="12"/>
      <c r="Q90" s="13"/>
      <c r="R90" s="12"/>
      <c r="S90" s="12"/>
      <c r="T90" s="13"/>
      <c r="U90" s="12"/>
      <c r="V90" s="12"/>
      <c r="W90" s="13"/>
      <c r="X90" s="12"/>
      <c r="Y90" s="12"/>
      <c r="Z90" s="12"/>
      <c r="AA90" s="14"/>
      <c r="AB90" s="12"/>
      <c r="AC90" s="12"/>
      <c r="AD90" s="14"/>
    </row>
    <row r="91" spans="8:30" ht="16.5" thickBot="1" x14ac:dyDescent="0.3">
      <c r="H91" s="3">
        <v>8</v>
      </c>
      <c r="I91" s="7">
        <v>5.45</v>
      </c>
      <c r="K91" s="3">
        <v>16</v>
      </c>
      <c r="L91" s="7">
        <v>5.2</v>
      </c>
    </row>
    <row r="92" spans="8:30" ht="16.5" thickBot="1" x14ac:dyDescent="0.3">
      <c r="H92" s="3">
        <v>7</v>
      </c>
      <c r="I92" s="7">
        <v>5.5</v>
      </c>
      <c r="K92" s="3">
        <v>15</v>
      </c>
      <c r="L92" s="7">
        <v>5.25</v>
      </c>
    </row>
    <row r="93" spans="8:30" ht="16.5" thickBot="1" x14ac:dyDescent="0.3">
      <c r="H93" s="3">
        <v>6</v>
      </c>
      <c r="I93" s="7">
        <v>5.55</v>
      </c>
      <c r="K93" s="3">
        <v>14</v>
      </c>
      <c r="L93" s="7">
        <v>5.28</v>
      </c>
    </row>
    <row r="94" spans="8:30" ht="16.5" thickBot="1" x14ac:dyDescent="0.3">
      <c r="K94" s="3">
        <v>13</v>
      </c>
      <c r="L94" s="7">
        <v>5.31</v>
      </c>
    </row>
    <row r="95" spans="8:30" ht="16.5" thickBot="1" x14ac:dyDescent="0.3">
      <c r="K95" s="3">
        <v>12</v>
      </c>
      <c r="L95" s="7">
        <v>5.35</v>
      </c>
    </row>
    <row r="96" spans="8:30" ht="16.5" thickBot="1" x14ac:dyDescent="0.3">
      <c r="K96" s="3">
        <v>11</v>
      </c>
      <c r="L96" s="7">
        <v>5.38</v>
      </c>
    </row>
    <row r="97" spans="2:12" ht="16.5" thickBot="1" x14ac:dyDescent="0.3">
      <c r="K97" s="3">
        <v>10</v>
      </c>
      <c r="L97" s="7">
        <v>5.42</v>
      </c>
    </row>
    <row r="98" spans="2:12" ht="16.5" thickBot="1" x14ac:dyDescent="0.3">
      <c r="B98" s="5"/>
      <c r="K98" s="3">
        <v>9</v>
      </c>
      <c r="L98" s="7">
        <v>5.46</v>
      </c>
    </row>
    <row r="99" spans="2:12" ht="16.5" thickBot="1" x14ac:dyDescent="0.3">
      <c r="B99" s="5"/>
      <c r="K99" s="3">
        <v>8</v>
      </c>
      <c r="L99" s="7">
        <v>5.5</v>
      </c>
    </row>
    <row r="100" spans="2:12" ht="16.5" customHeight="1" thickBot="1" x14ac:dyDescent="0.3">
      <c r="B100" s="5"/>
      <c r="K100" s="3">
        <v>7</v>
      </c>
      <c r="L100" s="7">
        <v>5.55</v>
      </c>
    </row>
    <row r="101" spans="2:12" ht="16.5" thickBot="1" x14ac:dyDescent="0.3">
      <c r="K101" s="3">
        <v>6</v>
      </c>
      <c r="L101" s="7">
        <v>6</v>
      </c>
    </row>
  </sheetData>
  <sheetProtection formatCells="0" formatColumns="0" formatRows="0" insertColumns="0" insertRows="0" insertHyperlinks="0" deleteColumns="0" deleteRows="0" sort="0" autoFilter="0" pivotTables="0"/>
  <mergeCells count="28">
    <mergeCell ref="Z3:AA3"/>
    <mergeCell ref="Z4:AA4"/>
    <mergeCell ref="Z5:AA5"/>
    <mergeCell ref="AC3:AD3"/>
    <mergeCell ref="AC4:AD4"/>
    <mergeCell ref="AC5:AD5"/>
    <mergeCell ref="H5:I5"/>
    <mergeCell ref="K4:L4"/>
    <mergeCell ref="K5:L5"/>
    <mergeCell ref="B3:C3"/>
    <mergeCell ref="E3:F3"/>
    <mergeCell ref="H3:I3"/>
    <mergeCell ref="K3:L3"/>
    <mergeCell ref="B4:C4"/>
    <mergeCell ref="E4:F4"/>
    <mergeCell ref="H4:I4"/>
    <mergeCell ref="N3:O3"/>
    <mergeCell ref="N4:O4"/>
    <mergeCell ref="N5:O5"/>
    <mergeCell ref="Q3:R3"/>
    <mergeCell ref="Q4:R4"/>
    <mergeCell ref="Q5:R5"/>
    <mergeCell ref="W3:X3"/>
    <mergeCell ref="W4:X4"/>
    <mergeCell ref="W5:X5"/>
    <mergeCell ref="T3:U3"/>
    <mergeCell ref="T4:U4"/>
    <mergeCell ref="T5:U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K20"/>
  <sheetViews>
    <sheetView zoomScale="70" zoomScaleNormal="70" workbookViewId="0">
      <selection activeCell="O9" sqref="O9"/>
    </sheetView>
  </sheetViews>
  <sheetFormatPr defaultRowHeight="15" x14ac:dyDescent="0.25"/>
  <cols>
    <col min="2" max="2" width="24.7109375" customWidth="1"/>
    <col min="3" max="5" width="15.7109375" customWidth="1"/>
    <col min="8" max="8" width="26" customWidth="1"/>
  </cols>
  <sheetData>
    <row r="1" spans="2:11" ht="15.75" thickBot="1" x14ac:dyDescent="0.3"/>
    <row r="2" spans="2:11" ht="50.25" customHeight="1" x14ac:dyDescent="0.25">
      <c r="B2" s="166" t="s">
        <v>0</v>
      </c>
      <c r="C2" s="169" t="s">
        <v>6</v>
      </c>
      <c r="D2" s="170"/>
      <c r="E2" s="171"/>
      <c r="F2" s="17"/>
      <c r="H2" s="166" t="s">
        <v>81</v>
      </c>
      <c r="I2" s="169" t="s">
        <v>6</v>
      </c>
      <c r="J2" s="170"/>
      <c r="K2" s="171"/>
    </row>
    <row r="3" spans="2:11" ht="16.5" customHeight="1" thickBot="1" x14ac:dyDescent="0.3">
      <c r="B3" s="167"/>
      <c r="C3" s="172"/>
      <c r="D3" s="173"/>
      <c r="E3" s="174"/>
      <c r="F3" s="17"/>
      <c r="H3" s="167"/>
      <c r="I3" s="172"/>
      <c r="J3" s="173"/>
      <c r="K3" s="174"/>
    </row>
    <row r="4" spans="2:11" ht="16.5" thickBot="1" x14ac:dyDescent="0.3">
      <c r="B4" s="168"/>
      <c r="C4" s="28">
        <v>5</v>
      </c>
      <c r="D4" s="29">
        <v>4</v>
      </c>
      <c r="E4" s="27">
        <v>3</v>
      </c>
      <c r="F4" s="17"/>
      <c r="H4" s="168"/>
      <c r="I4" s="28">
        <v>5</v>
      </c>
      <c r="J4" s="29">
        <v>4</v>
      </c>
      <c r="K4" s="27">
        <v>3</v>
      </c>
    </row>
    <row r="5" spans="2:11" ht="31.5" x14ac:dyDescent="0.25">
      <c r="B5" s="15" t="s">
        <v>7</v>
      </c>
      <c r="C5" s="163">
        <v>200</v>
      </c>
      <c r="D5" s="163">
        <v>180</v>
      </c>
      <c r="E5" s="163">
        <v>130</v>
      </c>
      <c r="F5" s="175"/>
      <c r="H5" s="62" t="s">
        <v>7</v>
      </c>
      <c r="I5" s="163">
        <v>160</v>
      </c>
      <c r="J5" s="163">
        <v>140</v>
      </c>
      <c r="K5" s="163">
        <v>110</v>
      </c>
    </row>
    <row r="6" spans="2:11" ht="16.5" thickBot="1" x14ac:dyDescent="0.3">
      <c r="B6" s="16" t="s">
        <v>68</v>
      </c>
      <c r="C6" s="164"/>
      <c r="D6" s="164"/>
      <c r="E6" s="164"/>
      <c r="F6" s="175"/>
      <c r="H6" s="63" t="s">
        <v>68</v>
      </c>
      <c r="I6" s="164"/>
      <c r="J6" s="164"/>
      <c r="K6" s="164"/>
    </row>
    <row r="7" spans="2:11" ht="31.5" x14ac:dyDescent="0.25">
      <c r="B7" s="15" t="s">
        <v>8</v>
      </c>
      <c r="C7" s="165">
        <v>180</v>
      </c>
      <c r="D7" s="165">
        <v>160</v>
      </c>
      <c r="E7" s="165">
        <v>120</v>
      </c>
      <c r="F7" s="175"/>
      <c r="H7" s="62" t="s">
        <v>8</v>
      </c>
      <c r="I7" s="165">
        <v>140</v>
      </c>
      <c r="J7" s="165">
        <v>120</v>
      </c>
      <c r="K7" s="165">
        <v>90</v>
      </c>
    </row>
    <row r="8" spans="2:11" ht="16.5" thickBot="1" x14ac:dyDescent="0.3">
      <c r="B8" s="16" t="s">
        <v>69</v>
      </c>
      <c r="C8" s="164"/>
      <c r="D8" s="164"/>
      <c r="E8" s="164"/>
      <c r="F8" s="175"/>
      <c r="H8" s="63" t="s">
        <v>69</v>
      </c>
      <c r="I8" s="164"/>
      <c r="J8" s="164"/>
      <c r="K8" s="164"/>
    </row>
    <row r="9" spans="2:11" ht="31.5" x14ac:dyDescent="0.25">
      <c r="B9" s="15" t="s">
        <v>9</v>
      </c>
      <c r="C9" s="163">
        <v>160</v>
      </c>
      <c r="D9" s="163">
        <v>140</v>
      </c>
      <c r="E9" s="163">
        <v>100</v>
      </c>
      <c r="F9" s="175"/>
      <c r="H9" s="62" t="s">
        <v>9</v>
      </c>
      <c r="I9" s="163">
        <v>130</v>
      </c>
      <c r="J9" s="163">
        <v>110</v>
      </c>
      <c r="K9" s="163">
        <v>80</v>
      </c>
    </row>
    <row r="10" spans="2:11" ht="16.5" thickBot="1" x14ac:dyDescent="0.3">
      <c r="B10" s="16" t="s">
        <v>70</v>
      </c>
      <c r="C10" s="164"/>
      <c r="D10" s="164"/>
      <c r="E10" s="164"/>
      <c r="F10" s="175"/>
      <c r="H10" s="63" t="s">
        <v>70</v>
      </c>
      <c r="I10" s="164"/>
      <c r="J10" s="164"/>
      <c r="K10" s="164"/>
    </row>
    <row r="11" spans="2:11" ht="31.5" x14ac:dyDescent="0.25">
      <c r="B11" s="15" t="s">
        <v>10</v>
      </c>
      <c r="C11" s="163">
        <v>150</v>
      </c>
      <c r="D11" s="163">
        <v>130</v>
      </c>
      <c r="E11" s="163">
        <v>80</v>
      </c>
      <c r="F11" s="175"/>
      <c r="H11" s="62" t="s">
        <v>10</v>
      </c>
      <c r="I11" s="163">
        <v>120</v>
      </c>
      <c r="J11" s="163">
        <v>100</v>
      </c>
      <c r="K11" s="163">
        <v>70</v>
      </c>
    </row>
    <row r="12" spans="2:11" ht="16.5" thickBot="1" x14ac:dyDescent="0.3">
      <c r="B12" s="16" t="s">
        <v>71</v>
      </c>
      <c r="C12" s="164"/>
      <c r="D12" s="164"/>
      <c r="E12" s="164"/>
      <c r="F12" s="175"/>
      <c r="H12" s="63" t="s">
        <v>71</v>
      </c>
      <c r="I12" s="164"/>
      <c r="J12" s="164"/>
      <c r="K12" s="164"/>
    </row>
    <row r="13" spans="2:11" ht="31.5" x14ac:dyDescent="0.25">
      <c r="B13" s="15" t="s">
        <v>11</v>
      </c>
      <c r="C13" s="163">
        <v>120</v>
      </c>
      <c r="D13" s="163">
        <v>90</v>
      </c>
      <c r="E13" s="163">
        <v>70</v>
      </c>
      <c r="F13" s="175"/>
      <c r="H13" s="62" t="s">
        <v>11</v>
      </c>
      <c r="I13" s="163">
        <v>110</v>
      </c>
      <c r="J13" s="163">
        <v>90</v>
      </c>
      <c r="K13" s="163">
        <v>60</v>
      </c>
    </row>
    <row r="14" spans="2:11" ht="16.5" thickBot="1" x14ac:dyDescent="0.3">
      <c r="B14" s="16" t="s">
        <v>72</v>
      </c>
      <c r="C14" s="164"/>
      <c r="D14" s="164"/>
      <c r="E14" s="164"/>
      <c r="F14" s="175"/>
      <c r="H14" s="63" t="s">
        <v>80</v>
      </c>
      <c r="I14" s="164"/>
      <c r="J14" s="164"/>
      <c r="K14" s="164"/>
    </row>
    <row r="15" spans="2:11" ht="31.5" x14ac:dyDescent="0.25">
      <c r="B15" s="15" t="s">
        <v>12</v>
      </c>
      <c r="C15" s="163">
        <v>90</v>
      </c>
      <c r="D15" s="163">
        <v>60</v>
      </c>
      <c r="E15" s="163">
        <v>50</v>
      </c>
      <c r="F15" s="175"/>
      <c r="H15" s="62" t="s">
        <v>12</v>
      </c>
      <c r="I15" s="163">
        <v>100</v>
      </c>
      <c r="J15" s="163">
        <v>80</v>
      </c>
      <c r="K15" s="163">
        <v>50</v>
      </c>
    </row>
    <row r="16" spans="2:11" ht="16.5" thickBot="1" x14ac:dyDescent="0.3">
      <c r="B16" s="16" t="s">
        <v>73</v>
      </c>
      <c r="C16" s="164"/>
      <c r="D16" s="164"/>
      <c r="E16" s="164"/>
      <c r="F16" s="175"/>
      <c r="H16" s="63" t="s">
        <v>79</v>
      </c>
      <c r="I16" s="164"/>
      <c r="J16" s="164"/>
      <c r="K16" s="164"/>
    </row>
    <row r="17" spans="2:6" ht="31.5" x14ac:dyDescent="0.25">
      <c r="B17" s="15" t="s">
        <v>13</v>
      </c>
      <c r="C17" s="163">
        <v>80</v>
      </c>
      <c r="D17" s="163">
        <v>50</v>
      </c>
      <c r="E17" s="163">
        <v>40</v>
      </c>
      <c r="F17" s="175"/>
    </row>
    <row r="18" spans="2:6" ht="16.5" thickBot="1" x14ac:dyDescent="0.3">
      <c r="B18" s="16" t="s">
        <v>74</v>
      </c>
      <c r="C18" s="164"/>
      <c r="D18" s="164"/>
      <c r="E18" s="164"/>
      <c r="F18" s="175"/>
    </row>
    <row r="19" spans="2:6" ht="31.5" x14ac:dyDescent="0.25">
      <c r="B19" s="15" t="s">
        <v>14</v>
      </c>
      <c r="C19" s="163">
        <v>70</v>
      </c>
      <c r="D19" s="163">
        <v>50</v>
      </c>
      <c r="E19" s="163">
        <v>30</v>
      </c>
      <c r="F19" s="175"/>
    </row>
    <row r="20" spans="2:6" ht="16.5" thickBot="1" x14ac:dyDescent="0.3">
      <c r="B20" s="16" t="s">
        <v>75</v>
      </c>
      <c r="C20" s="164"/>
      <c r="D20" s="164"/>
      <c r="E20" s="164"/>
      <c r="F20" s="175"/>
    </row>
  </sheetData>
  <sheetProtection formatCells="0" formatColumns="0" formatRows="0" insertColumns="0" insertRows="0" insertHyperlinks="0" deleteColumns="0" deleteRows="0" sort="0" autoFilter="0" pivotTables="0"/>
  <mergeCells count="54">
    <mergeCell ref="B2:B4"/>
    <mergeCell ref="C5:C6"/>
    <mergeCell ref="D5:D6"/>
    <mergeCell ref="E5:E6"/>
    <mergeCell ref="C15:C16"/>
    <mergeCell ref="D15:D16"/>
    <mergeCell ref="C11:C12"/>
    <mergeCell ref="D11:D12"/>
    <mergeCell ref="F13:F14"/>
    <mergeCell ref="F5:F6"/>
    <mergeCell ref="C7:C8"/>
    <mergeCell ref="D7:D8"/>
    <mergeCell ref="E7:E8"/>
    <mergeCell ref="F7:F8"/>
    <mergeCell ref="C9:C10"/>
    <mergeCell ref="D9:D10"/>
    <mergeCell ref="E9:E10"/>
    <mergeCell ref="F9:F10"/>
    <mergeCell ref="C19:C20"/>
    <mergeCell ref="D19:D20"/>
    <mergeCell ref="E19:E20"/>
    <mergeCell ref="F19:F20"/>
    <mergeCell ref="C2:E3"/>
    <mergeCell ref="E15:E16"/>
    <mergeCell ref="F15:F16"/>
    <mergeCell ref="C17:C18"/>
    <mergeCell ref="D17:D18"/>
    <mergeCell ref="E17:E18"/>
    <mergeCell ref="F17:F18"/>
    <mergeCell ref="E11:E12"/>
    <mergeCell ref="F11:F12"/>
    <mergeCell ref="C13:C14"/>
    <mergeCell ref="D13:D14"/>
    <mergeCell ref="E13:E14"/>
    <mergeCell ref="H2:H4"/>
    <mergeCell ref="I2:K3"/>
    <mergeCell ref="I5:I6"/>
    <mergeCell ref="J5:J6"/>
    <mergeCell ref="K5:K6"/>
    <mergeCell ref="I7:I8"/>
    <mergeCell ref="J7:J8"/>
    <mergeCell ref="K7:K8"/>
    <mergeCell ref="I9:I10"/>
    <mergeCell ref="J9:J10"/>
    <mergeCell ref="K9:K10"/>
    <mergeCell ref="I15:I16"/>
    <mergeCell ref="J15:J16"/>
    <mergeCell ref="K15:K16"/>
    <mergeCell ref="I11:I12"/>
    <mergeCell ref="J11:J12"/>
    <mergeCell ref="K11:K12"/>
    <mergeCell ref="I13:I14"/>
    <mergeCell ref="J13:J14"/>
    <mergeCell ref="K13:K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Таблица</vt:lpstr>
      <vt:lpstr>нормативы</vt:lpstr>
      <vt:lpstr>оценки</vt:lpstr>
      <vt:lpstr>Таблица!Область_печати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Boroda</cp:lastModifiedBy>
  <cp:lastPrinted>2015-11-24T11:03:55Z</cp:lastPrinted>
  <dcterms:created xsi:type="dcterms:W3CDTF">2015-10-14T06:04:30Z</dcterms:created>
  <dcterms:modified xsi:type="dcterms:W3CDTF">2015-11-30T21:01:48Z</dcterms:modified>
</cp:coreProperties>
</file>