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B16" i="1"/>
  <c r="H5" i="1"/>
  <c r="I5" i="1" s="1"/>
  <c r="I6" i="1" s="1"/>
  <c r="G11" i="1" l="1"/>
  <c r="G6" i="1" l="1"/>
  <c r="G5" i="1"/>
  <c r="G4" i="1"/>
  <c r="G7" i="1" s="1"/>
  <c r="H6" i="1" l="1"/>
  <c r="I12" i="1" s="1"/>
  <c r="I7" i="1" l="1"/>
  <c r="I9" i="1" s="1"/>
</calcChain>
</file>

<file path=xl/sharedStrings.xml><?xml version="1.0" encoding="utf-8"?>
<sst xmlns="http://schemas.openxmlformats.org/spreadsheetml/2006/main" count="22" uniqueCount="19">
  <si>
    <t>Расчет цены контракта:</t>
  </si>
  <si>
    <t>№п\п</t>
  </si>
  <si>
    <t xml:space="preserve">Наименование </t>
  </si>
  <si>
    <t>ОКПД</t>
  </si>
  <si>
    <t>ед. изм.</t>
  </si>
  <si>
    <t>кол-во</t>
  </si>
  <si>
    <t>Средняя цена, в руб., с учетом  НДС</t>
  </si>
  <si>
    <t>после аукциона</t>
  </si>
  <si>
    <t>за ед</t>
  </si>
  <si>
    <t>итого</t>
  </si>
  <si>
    <t>Термометр метеорологический ТМ1-1</t>
  </si>
  <si>
    <t xml:space="preserve">33.20.51.124 </t>
  </si>
  <si>
    <t>шт</t>
  </si>
  <si>
    <t>Термометр метеорологический ТМ2-2</t>
  </si>
  <si>
    <t>33.20.51.124</t>
  </si>
  <si>
    <t>Термометр метеорологический почвенно-глубинный стеклянный ТМ-10-1</t>
  </si>
  <si>
    <t>Итого НМЦК</t>
  </si>
  <si>
    <t>цена аукциона</t>
  </si>
  <si>
    <t>Сред. стоимость, в руб., с учетом  НДС (Начально -максимальная цена контракта)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</si>
</sst>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4" fontId="6" fillId="0" borderId="1" xfId="0" applyNumberFormat="1" applyFont="1" applyBorder="1"/>
    <xf numFmtId="44" fontId="6" fillId="0" borderId="0" xfId="1" applyFont="1"/>
    <xf numFmtId="0" fontId="7" fillId="0" borderId="1" xfId="0" applyFont="1" applyBorder="1"/>
    <xf numFmtId="0" fontId="4" fillId="0" borderId="1" xfId="0" applyFont="1" applyBorder="1"/>
    <xf numFmtId="0" fontId="8" fillId="0" borderId="1" xfId="0" applyFont="1" applyBorder="1"/>
    <xf numFmtId="0" fontId="4" fillId="2" borderId="1" xfId="0" applyFont="1" applyFill="1" applyBorder="1"/>
    <xf numFmtId="4" fontId="8" fillId="2" borderId="1" xfId="0" applyNumberFormat="1" applyFont="1" applyFill="1" applyBorder="1"/>
    <xf numFmtId="0" fontId="0" fillId="0" borderId="1" xfId="0" applyBorder="1"/>
    <xf numFmtId="0" fontId="6" fillId="0" borderId="0" xfId="0" applyFont="1"/>
    <xf numFmtId="4" fontId="9" fillId="0" borderId="0" xfId="0" applyNumberFormat="1" applyFont="1"/>
    <xf numFmtId="10" fontId="0" fillId="0" borderId="0" xfId="0" applyNumberFormat="1"/>
    <xf numFmtId="44" fontId="0" fillId="0" borderId="0" xfId="0" applyNumberFormat="1"/>
    <xf numFmtId="4" fontId="0" fillId="0" borderId="0" xfId="0" applyNumberFormat="1"/>
    <xf numFmtId="164" fontId="10" fillId="3" borderId="0" xfId="0" applyNumberFormat="1" applyFont="1" applyFill="1" applyAlignment="1"/>
    <xf numFmtId="0" fontId="6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4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I5" sqref="I5"/>
    </sheetView>
  </sheetViews>
  <sheetFormatPr defaultRowHeight="15" x14ac:dyDescent="0.25"/>
  <cols>
    <col min="1" max="1" width="5.7109375" customWidth="1"/>
    <col min="2" max="2" width="23.42578125" customWidth="1"/>
    <col min="3" max="3" width="15.7109375" customWidth="1"/>
    <col min="4" max="4" width="8.28515625" customWidth="1"/>
    <col min="5" max="5" width="9" bestFit="1" customWidth="1"/>
    <col min="6" max="6" width="15.85546875" customWidth="1"/>
    <col min="7" max="7" width="16.7109375" customWidth="1"/>
    <col min="8" max="8" width="14.7109375" customWidth="1"/>
    <col min="9" max="9" width="15.7109375" customWidth="1"/>
    <col min="10" max="10" width="13.7109375" customWidth="1"/>
    <col min="11" max="11" width="11.85546875" customWidth="1"/>
  </cols>
  <sheetData>
    <row r="1" spans="1:13" x14ac:dyDescent="0.25">
      <c r="A1" s="23" t="s">
        <v>0</v>
      </c>
      <c r="B1" s="23"/>
      <c r="C1" s="23"/>
      <c r="D1" s="23"/>
      <c r="E1" s="23"/>
      <c r="F1" s="23"/>
      <c r="G1" s="23"/>
    </row>
    <row r="2" spans="1:13" ht="29.25" customHeight="1" x14ac:dyDescent="0.25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18</v>
      </c>
      <c r="H2" s="22" t="s">
        <v>7</v>
      </c>
      <c r="I2" s="22"/>
    </row>
    <row r="3" spans="1:13" ht="64.5" customHeight="1" x14ac:dyDescent="0.25">
      <c r="A3" s="24"/>
      <c r="B3" s="25"/>
      <c r="C3" s="25"/>
      <c r="D3" s="25"/>
      <c r="E3" s="25"/>
      <c r="F3" s="26"/>
      <c r="G3" s="26"/>
      <c r="H3" s="1" t="s">
        <v>8</v>
      </c>
      <c r="I3" s="1" t="s">
        <v>9</v>
      </c>
    </row>
    <row r="4" spans="1:13" ht="47.25" x14ac:dyDescent="0.25">
      <c r="A4" s="2">
        <v>1</v>
      </c>
      <c r="B4" s="3" t="s">
        <v>10</v>
      </c>
      <c r="C4" s="4" t="s">
        <v>11</v>
      </c>
      <c r="D4" s="5" t="s">
        <v>12</v>
      </c>
      <c r="E4" s="5">
        <v>196</v>
      </c>
      <c r="F4" s="6">
        <v>7127.67</v>
      </c>
      <c r="G4" s="7">
        <f>SUM(F4*E4)</f>
        <v>1397023.32</v>
      </c>
      <c r="H4" s="8">
        <f>IF(A5&lt;&gt;"",ROUND(F4/G$11,2),ROUNDUP((G$9-SUM(I$3:I3))/E4,2))</f>
        <v>5331.18</v>
      </c>
      <c r="I4" s="8">
        <f>IF(A5&lt;&gt;"",E4*H4,G$9-SUM($I$3:I3))</f>
        <v>1044911.28</v>
      </c>
      <c r="M4" s="9"/>
    </row>
    <row r="5" spans="1:13" ht="47.25" x14ac:dyDescent="0.25">
      <c r="A5" s="2">
        <v>2</v>
      </c>
      <c r="B5" s="3" t="s">
        <v>13</v>
      </c>
      <c r="C5" s="4" t="s">
        <v>14</v>
      </c>
      <c r="D5" s="5" t="s">
        <v>12</v>
      </c>
      <c r="E5" s="5">
        <v>182</v>
      </c>
      <c r="F5" s="6">
        <v>7118</v>
      </c>
      <c r="G5" s="7">
        <f>SUM(F5*E5)</f>
        <v>1295476</v>
      </c>
      <c r="H5" s="8">
        <f>IF(A6&lt;&gt;"",ROUND(F5/G$11,2),ROUNDUP((G$9-SUM(I$3:I4))/E5,2))</f>
        <v>5323.95</v>
      </c>
      <c r="I5" s="8">
        <f>IF(A6&lt;&gt;"",E5*H5,G$9-SUM($I$3:I4))</f>
        <v>968958.9</v>
      </c>
      <c r="M5" s="9"/>
    </row>
    <row r="6" spans="1:13" ht="63" x14ac:dyDescent="0.25">
      <c r="A6" s="2">
        <v>3</v>
      </c>
      <c r="B6" s="3" t="s">
        <v>15</v>
      </c>
      <c r="C6" s="4" t="s">
        <v>14</v>
      </c>
      <c r="D6" s="5" t="s">
        <v>12</v>
      </c>
      <c r="E6" s="5">
        <v>424</v>
      </c>
      <c r="F6" s="6">
        <v>6013</v>
      </c>
      <c r="G6" s="7">
        <f>SUM(F6*E6)</f>
        <v>2549512</v>
      </c>
      <c r="H6" s="8">
        <f>IF(A7&lt;&gt;"",ROUND(F6/G$11,2),ROUNDUP((G$9-SUM(I$3:I5))/E6,2))</f>
        <v>4497.46</v>
      </c>
      <c r="I6" s="8">
        <f>IF(A7&lt;&gt;"",E6*H6,G$9-SUM($I$3:I5))</f>
        <v>1906919.7599999998</v>
      </c>
      <c r="M6" s="9"/>
    </row>
    <row r="7" spans="1:13" ht="15.75" x14ac:dyDescent="0.25">
      <c r="A7" s="2"/>
      <c r="B7" s="10" t="s">
        <v>16</v>
      </c>
      <c r="C7" s="11"/>
      <c r="D7" s="11"/>
      <c r="E7" s="12"/>
      <c r="F7" s="13"/>
      <c r="G7" s="14">
        <f>SUM(G4:G6)</f>
        <v>5242011.32</v>
      </c>
      <c r="H7" s="15"/>
      <c r="I7" s="8">
        <f>SUM(I4:I6)</f>
        <v>3920789.94</v>
      </c>
    </row>
    <row r="9" spans="1:13" x14ac:dyDescent="0.25">
      <c r="F9" s="16" t="s">
        <v>17</v>
      </c>
      <c r="G9" s="17">
        <v>3920789.94</v>
      </c>
      <c r="I9" s="20">
        <f>G9-I7</f>
        <v>0</v>
      </c>
    </row>
    <row r="10" spans="1:13" x14ac:dyDescent="0.25">
      <c r="J10" s="18"/>
    </row>
    <row r="11" spans="1:13" x14ac:dyDescent="0.25">
      <c r="G11">
        <f>G7/G9</f>
        <v>1.3369783641099631</v>
      </c>
      <c r="H11" s="19"/>
      <c r="K11" s="20"/>
    </row>
    <row r="12" spans="1:13" x14ac:dyDescent="0.25">
      <c r="I12" s="27">
        <f>E6*H6</f>
        <v>1906923.04</v>
      </c>
    </row>
    <row r="16" spans="1:13" x14ac:dyDescent="0.25">
      <c r="B16" s="21" t="str">
        <f>"ИТОГО общая стоимость материалов "&amp;SUBSTITUTE("("&amp;SUBSTITUTE(PROPER(INDEX(n_4,MID(TEXT(G7,n0),1,1)+1)&amp;INDEX(n0x,MID(TEXT(G7,n0),2,1)+1,MID(TEXT(G7,n0),3,1)+1)&amp;IF(-MID(TEXT(G7,n0),1,3),"миллиард"&amp;VLOOKUP(MID(TEXT(G7,n0),3,1)*AND(MID(TEXT(G7,n0),2,1)-1),мил,2),"")&amp;INDEX(n_4,MID(TEXT(G7,n0),4,1)+1)&amp;INDEX(n0x,MID(TEXT(G7,n0),5,1)+1,MID(TEXT(G7,n0),6,1)+1)&amp;IF(-MID(TEXT(G7,n0),4,3),"миллион"&amp;VLOOKUP(MID(TEXT(G7,n0),6,1)*AND(MID(TEXT(G7,n0),5,1)-1),мил,2),"")&amp;INDEX(n_4,MID(TEXT(G7,n0),7,1)+1)&amp;INDEX(n1x,MID(TEXT(G7,n0),8,1)+1,MID(TEXT(G7,n0),9,1)+1)&amp;IF(-MID(TEXT(G7,n0),7,3),VLOOKUP(MID(TEXT(G7,n0),9,1)*AND(MID(TEXT(G7,n0),8,1)-1),тыс,2),"")&amp;INDEX(n_4,MID(TEXT(G7,n0),10,1)+1)&amp;INDEX(n0x,MID(TEXT(G7,n0),11,1)+1,MID(TEXT(G7,n0),12,1)+1)),"z"," ")&amp;IF(TRUNC(TEXT(G7,n0)),"","Ноль ")&amp;") российских рубл"&amp;VLOOKUP(MOD(MAX(MOD(MID(TEXT(G7,n0),11,2)-11,100),9),10),{0,"ь ";1,"я ";4,"ей "},2)&amp;RIGHT(TEXT(G7,n0),2)&amp;" коп."," )",")")</f>
        <v>ИТОГО общая стоимость материалов (Пять миллионов двести сорок две тысячи одиннадцать) российских рублей 32 коп.</v>
      </c>
    </row>
  </sheetData>
  <mergeCells count="9">
    <mergeCell ref="H2:I2"/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</dc:creator>
  <cp:lastModifiedBy>user</cp:lastModifiedBy>
  <dcterms:created xsi:type="dcterms:W3CDTF">2015-12-17T01:43:23Z</dcterms:created>
  <dcterms:modified xsi:type="dcterms:W3CDTF">2015-12-17T02:43:22Z</dcterms:modified>
</cp:coreProperties>
</file>