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URSES\Excel Stuff\TOFD\"/>
    </mc:Choice>
  </mc:AlternateContent>
  <bookViews>
    <workbookView xWindow="0" yWindow="120" windowWidth="9450" windowHeight="6720" activeTab="1"/>
  </bookViews>
  <sheets>
    <sheet name="Instructions" sheetId="3" r:id="rId1"/>
    <sheet name="View" sheetId="2" r:id="rId2"/>
    <sheet name="Data" sheetId="1" state="hidden" r:id="rId3"/>
  </sheets>
  <definedNames>
    <definedName name="Angle">Data!$C$12</definedName>
    <definedName name="BS_in_Material_Lower">Data!$C$44</definedName>
    <definedName name="BS_in_Material_Upper">Data!$C$43</definedName>
    <definedName name="BS_In_Wedge_Lower">Data!$C$42</definedName>
    <definedName name="BS_in_Wedge_Upper">Data!$C$41</definedName>
    <definedName name="BWE_Arrival_Time">Data!$C$60</definedName>
    <definedName name="BWE_Dead_Zone">Data!$C$63</definedName>
    <definedName name="Constant">Data!$C$38</definedName>
    <definedName name="CT">Data!$C$72</definedName>
    <definedName name="Datum">Data!$C$29</definedName>
    <definedName name="Datum_Input">Data!$C$30</definedName>
    <definedName name="Diameter">Data!$C$5</definedName>
    <definedName name="Flaw_Depth">Data!$C$64</definedName>
    <definedName name="Flaw_Depth_Final">Data!$C$65</definedName>
    <definedName name="Focal_Depth">Data!$C$68</definedName>
    <definedName name="Focal_Percentage">Data!$C$69</definedName>
    <definedName name="Frequency">Data!$C$4</definedName>
    <definedName name="Ground">Data!$C$56</definedName>
    <definedName name="HALFPCS">Data!$C$24</definedName>
    <definedName name="Incident_Wedge">Data!$C$40</definedName>
    <definedName name="Index">Data!$C$10</definedName>
    <definedName name="Input_Angle">View!$H$8</definedName>
    <definedName name="Input_Diameter">View!$D$8</definedName>
    <definedName name="Input_Frequency">View!$B$8</definedName>
    <definedName name="Input_Index">View!$J$8</definedName>
    <definedName name="Input_Offset">View!$D$17</definedName>
    <definedName name="Input_PCS">View!$B$17</definedName>
    <definedName name="Input_Perspex">View!$L$8</definedName>
    <definedName name="Input_Prepangle">View!$T$8</definedName>
    <definedName name="Input_Pulse_Length">View!#REF!</definedName>
    <definedName name="Input_Root_Gap">View!$R$8</definedName>
    <definedName name="Input_Thickness">View!$P$8</definedName>
    <definedName name="Input_Velocity">View!$N$8</definedName>
    <definedName name="Lateral_Wave_Arrival_Time_µs">Data!$C$59</definedName>
    <definedName name="Material_Velocity">Data!$C$16</definedName>
    <definedName name="Near_Surface_Dead_Zone">Data!$C$62</definedName>
    <definedName name="Number_ʎ_in_Time_Window">Data!$C$70</definedName>
    <definedName name="Offset">Data!$C$21</definedName>
    <definedName name="PCS">Data!$C$23</definedName>
    <definedName name="PCS_Input">Data!$C$22</definedName>
    <definedName name="Perspex_Thickness">Data!$C$11</definedName>
    <definedName name="Prep_Angle">Data!$C$19</definedName>
    <definedName name="Prep_Type">Data!$C$20</definedName>
    <definedName name="Pulse_Length____of_ʎ__Calculated">Data!$C$7</definedName>
    <definedName name="Pulse_Length_in_Material_µs">Data!$C$35</definedName>
    <definedName name="Pulse_Length_in_Material_ʎ">Data!$C$34</definedName>
    <definedName name="Root_Gap">Data!$C$18</definedName>
    <definedName name="Root_Offset">Data!$C$53</definedName>
    <definedName name="Spatial_Resolution">Data!$C$67</definedName>
    <definedName name="SV">Data!$C$53</definedName>
    <definedName name="Thickness">Data!$C$17</definedName>
    <definedName name="Time_Window_µS">Data!$C$61</definedName>
    <definedName name="TOF_Locus_Display_On_Off">Data!$C$71</definedName>
    <definedName name="TOF_to_Flaw_Tip">Data!$C$66</definedName>
    <definedName name="Velocity_Wedge">Data!$C$13</definedName>
    <definedName name="wavelength">Data!$C$31</definedName>
    <definedName name="Wavelength_in_Material">Data!$C$32</definedName>
    <definedName name="Wavelength_in_Wedge">Data!$C$31</definedName>
    <definedName name="Wavelength_Wedge">Data!$C$31</definedName>
    <definedName name="Wedge_Beam_Spread">Data!$C$37</definedName>
    <definedName name="Wedge_Delay_µs">Data!$C$58</definedName>
  </definedNames>
  <calcPr calcId="152511"/>
</workbook>
</file>

<file path=xl/calcChain.xml><?xml version="1.0" encoding="utf-8"?>
<calcChain xmlns="http://schemas.openxmlformats.org/spreadsheetml/2006/main">
  <c r="V23" i="2" l="1"/>
  <c r="D14" i="2"/>
  <c r="B14" i="2"/>
  <c r="N77" i="1"/>
  <c r="N78" i="1" s="1"/>
  <c r="N79" i="1"/>
  <c r="N73" i="1" l="1"/>
  <c r="N69" i="1"/>
  <c r="C4" i="1"/>
  <c r="C7" i="1" l="1"/>
  <c r="F8" i="2" l="1"/>
  <c r="C34" i="1"/>
  <c r="C31" i="1"/>
  <c r="C16" i="1"/>
  <c r="C19" i="1"/>
  <c r="C18" i="1"/>
  <c r="C17" i="1"/>
  <c r="C12" i="1"/>
  <c r="C40" i="1" s="1"/>
  <c r="C11" i="1"/>
  <c r="C10" i="1"/>
  <c r="C5" i="1"/>
  <c r="C27" i="1"/>
  <c r="C38" i="1"/>
  <c r="C65" i="1" l="1"/>
  <c r="M17" i="1"/>
  <c r="M25" i="1"/>
  <c r="C58" i="1"/>
  <c r="L18" i="2" s="1"/>
  <c r="M41" i="1"/>
  <c r="M45" i="1" s="1"/>
  <c r="M60" i="1"/>
  <c r="M64" i="1"/>
  <c r="C52" i="1"/>
  <c r="C53" i="1"/>
  <c r="C55" i="1"/>
  <c r="N50" i="1" s="1"/>
  <c r="N55" i="1" s="1"/>
  <c r="M65" i="1"/>
  <c r="M63" i="1"/>
  <c r="C54" i="1"/>
  <c r="M50" i="1" s="1"/>
  <c r="M29" i="1"/>
  <c r="M28" i="1"/>
  <c r="M30" i="1"/>
  <c r="M31" i="1"/>
  <c r="C37" i="1"/>
  <c r="C32" i="1"/>
  <c r="C33" i="1" s="1"/>
  <c r="N49" i="1" l="1"/>
  <c r="N54" i="1" s="1"/>
  <c r="C23" i="1"/>
  <c r="C35" i="1"/>
  <c r="N61" i="1"/>
  <c r="N59" i="1"/>
  <c r="N56" i="1"/>
  <c r="N51" i="1"/>
  <c r="N63" i="1"/>
  <c r="N65" i="1"/>
  <c r="M55" i="1"/>
  <c r="M51" i="1"/>
  <c r="M56" i="1" s="1"/>
  <c r="N31" i="1"/>
  <c r="N29" i="1"/>
  <c r="N37" i="1"/>
  <c r="M24" i="1"/>
  <c r="M20" i="1"/>
  <c r="C41" i="1"/>
  <c r="C43" i="1" s="1"/>
  <c r="C42" i="1"/>
  <c r="C44" i="1" s="1"/>
  <c r="C72" i="1" l="1"/>
  <c r="B17" i="2"/>
  <c r="C66" i="1"/>
  <c r="N35" i="1"/>
  <c r="M8" i="1"/>
  <c r="C46" i="1"/>
  <c r="C45" i="1"/>
  <c r="V21" i="2" l="1"/>
  <c r="C67" i="1"/>
  <c r="C62" i="1"/>
  <c r="M69" i="1" s="1"/>
  <c r="C60" i="1"/>
  <c r="C59" i="1"/>
  <c r="N18" i="2" s="1"/>
  <c r="C24" i="1"/>
  <c r="C29" i="1" l="1"/>
  <c r="N4" i="1"/>
  <c r="M13" i="1"/>
  <c r="M21" i="1" s="1"/>
  <c r="C61" i="1"/>
  <c r="L21" i="2" s="1"/>
  <c r="M68" i="1"/>
  <c r="R17" i="2"/>
  <c r="N16" i="1"/>
  <c r="C63" i="1"/>
  <c r="P18" i="2"/>
  <c r="N12" i="1"/>
  <c r="M5" i="1"/>
  <c r="C68" i="1"/>
  <c r="N40" i="1" l="1"/>
  <c r="N45" i="1" s="1"/>
  <c r="N44" i="1" s="1"/>
  <c r="M81" i="1"/>
  <c r="M82" i="1" s="1"/>
  <c r="N17" i="1"/>
  <c r="N13" i="1"/>
  <c r="N21" i="1" s="1"/>
  <c r="C70" i="1"/>
  <c r="N21" i="2" s="1"/>
  <c r="N8" i="1"/>
  <c r="R19" i="2"/>
  <c r="M72" i="1"/>
  <c r="M73" i="1" s="1"/>
  <c r="M9" i="1"/>
  <c r="N5" i="1"/>
  <c r="T17" i="2"/>
  <c r="C69" i="1"/>
  <c r="T20" i="2" s="1"/>
  <c r="N24" i="1"/>
  <c r="N20" i="1"/>
  <c r="M83" i="1" l="1"/>
  <c r="N82" i="1"/>
  <c r="N81" i="1"/>
  <c r="N41" i="1"/>
  <c r="N25" i="1"/>
  <c r="N9" i="1"/>
  <c r="O9" i="1" s="1"/>
  <c r="N43" i="1"/>
  <c r="O5" i="1"/>
  <c r="O8" i="1"/>
  <c r="N42" i="1"/>
  <c r="O4" i="1"/>
  <c r="N46" i="1"/>
  <c r="N47" i="1" s="1"/>
  <c r="D17" i="2"/>
  <c r="C21" i="1" s="1"/>
  <c r="O16" i="1" s="1"/>
  <c r="N83" i="1" l="1"/>
  <c r="M84" i="1"/>
  <c r="M42" i="1"/>
  <c r="M46" i="1" s="1"/>
  <c r="O25" i="1"/>
  <c r="O17" i="1"/>
  <c r="O24" i="1"/>
  <c r="O20" i="1"/>
  <c r="O21" i="1"/>
  <c r="O12" i="1"/>
  <c r="O13" i="1" s="1"/>
  <c r="R21" i="2"/>
  <c r="M85" i="1" l="1"/>
  <c r="N84" i="1"/>
  <c r="V17" i="2"/>
  <c r="M86" i="1" l="1"/>
  <c r="N85" i="1"/>
  <c r="M76" i="1"/>
  <c r="M77" i="1" s="1"/>
  <c r="M78" i="1"/>
  <c r="M79" i="1" s="1"/>
  <c r="M87" i="1" l="1"/>
  <c r="N86" i="1"/>
  <c r="M88" i="1" l="1"/>
  <c r="N87" i="1"/>
  <c r="M89" i="1" l="1"/>
  <c r="N88" i="1"/>
  <c r="M90" i="1" l="1"/>
  <c r="N89" i="1"/>
  <c r="M91" i="1" l="1"/>
  <c r="N90" i="1"/>
  <c r="M92" i="1" l="1"/>
  <c r="N91" i="1"/>
  <c r="M93" i="1" l="1"/>
  <c r="N92" i="1"/>
  <c r="M94" i="1" l="1"/>
  <c r="N93" i="1"/>
  <c r="M95" i="1" l="1"/>
  <c r="N94" i="1"/>
  <c r="M96" i="1" l="1"/>
  <c r="N95" i="1"/>
  <c r="M97" i="1" l="1"/>
  <c r="N96" i="1"/>
  <c r="M98" i="1" l="1"/>
  <c r="N97" i="1"/>
  <c r="M99" i="1" l="1"/>
  <c r="N98" i="1"/>
  <c r="M100" i="1" l="1"/>
  <c r="N99" i="1"/>
  <c r="M101" i="1" l="1"/>
  <c r="N100" i="1"/>
  <c r="M102" i="1" l="1"/>
  <c r="N101" i="1"/>
  <c r="M103" i="1" l="1"/>
  <c r="N102" i="1"/>
  <c r="M104" i="1" l="1"/>
  <c r="N103" i="1"/>
  <c r="M105" i="1" l="1"/>
  <c r="N104" i="1"/>
  <c r="M106" i="1" l="1"/>
  <c r="N105" i="1"/>
  <c r="M107" i="1" l="1"/>
  <c r="N106" i="1"/>
  <c r="M108" i="1" l="1"/>
  <c r="N107" i="1"/>
  <c r="M109" i="1" l="1"/>
  <c r="N108" i="1"/>
  <c r="M110" i="1" l="1"/>
  <c r="N110" i="1" s="1"/>
  <c r="N109" i="1"/>
</calcChain>
</file>

<file path=xl/sharedStrings.xml><?xml version="1.0" encoding="utf-8"?>
<sst xmlns="http://schemas.openxmlformats.org/spreadsheetml/2006/main" count="209" uniqueCount="154">
  <si>
    <t>Probe Details</t>
  </si>
  <si>
    <t>Material Details</t>
  </si>
  <si>
    <t>Distance From CL (Off)</t>
  </si>
  <si>
    <t>Inspection Information</t>
  </si>
  <si>
    <t xml:space="preserve">Angle </t>
  </si>
  <si>
    <t>Leg 1</t>
  </si>
  <si>
    <t>Y</t>
  </si>
  <si>
    <t>X</t>
  </si>
  <si>
    <t xml:space="preserve">Datum </t>
  </si>
  <si>
    <t>Top</t>
  </si>
  <si>
    <t>Bottom</t>
  </si>
  <si>
    <t>Leg 2</t>
  </si>
  <si>
    <t>Beam Spread (BS)</t>
  </si>
  <si>
    <t>Ratio</t>
  </si>
  <si>
    <t>BS L1 U</t>
  </si>
  <si>
    <t>BS L1 L</t>
  </si>
  <si>
    <t>BS L2 U</t>
  </si>
  <si>
    <t>BS L2 L</t>
  </si>
  <si>
    <t>Frequency</t>
  </si>
  <si>
    <t>Diameter</t>
  </si>
  <si>
    <t>Index</t>
  </si>
  <si>
    <t>Velocity</t>
  </si>
  <si>
    <t>Thickness</t>
  </si>
  <si>
    <t>Root Gap</t>
  </si>
  <si>
    <t>Selected</t>
  </si>
  <si>
    <t>mm</t>
  </si>
  <si>
    <t>˚</t>
  </si>
  <si>
    <t>m/s</t>
  </si>
  <si>
    <t>Prep</t>
  </si>
  <si>
    <t>Range</t>
  </si>
  <si>
    <t>MHz</t>
  </si>
  <si>
    <t>PCS</t>
  </si>
  <si>
    <t>Focus</t>
  </si>
  <si>
    <t>Upper Angle</t>
  </si>
  <si>
    <t>Lower Angle</t>
  </si>
  <si>
    <t>TOFD Calculator</t>
  </si>
  <si>
    <t>Wedge Delay</t>
  </si>
  <si>
    <t>Near Surface Dead Zone</t>
  </si>
  <si>
    <t>BWE Dead Zone</t>
  </si>
  <si>
    <t>Dead Zones</t>
  </si>
  <si>
    <t>TOF to Flaw Tip</t>
  </si>
  <si>
    <t>Spatial Resolution</t>
  </si>
  <si>
    <t>BS in Material Upper</t>
  </si>
  <si>
    <t>BS in Material Lower</t>
  </si>
  <si>
    <t>BS In Wedge Lower</t>
  </si>
  <si>
    <t>Incident Wedge</t>
  </si>
  <si>
    <t>BS in Wedge Upper</t>
  </si>
  <si>
    <t>No. ʎ's</t>
  </si>
  <si>
    <t>Wedge Details</t>
  </si>
  <si>
    <t>Prep Type (Option Box)</t>
  </si>
  <si>
    <t>Frequency MHz</t>
  </si>
  <si>
    <t>Size mm</t>
  </si>
  <si>
    <t>Index Pt mm</t>
  </si>
  <si>
    <t>Perspex Thickness mm</t>
  </si>
  <si>
    <t>Velocity Wedge m/s</t>
  </si>
  <si>
    <t>Velocity m/s</t>
  </si>
  <si>
    <t>Thickness mm</t>
  </si>
  <si>
    <t>Root Gap mm</t>
  </si>
  <si>
    <t>Centerline Offset mm</t>
  </si>
  <si>
    <t>PCS mm</t>
  </si>
  <si>
    <t>Beam Spread Calculations</t>
  </si>
  <si>
    <t>Transit Times (TT)</t>
  </si>
  <si>
    <t>TT Lateral</t>
  </si>
  <si>
    <t>TT BWE</t>
  </si>
  <si>
    <t>TT Diff</t>
  </si>
  <si>
    <t>Pulse Length in Material (# of ʎ)</t>
  </si>
  <si>
    <t>Wavelength in Wedge mm</t>
  </si>
  <si>
    <t>Wavelength in Material mm</t>
  </si>
  <si>
    <t>Pulse Length</t>
  </si>
  <si>
    <t># of ʎ's</t>
  </si>
  <si>
    <t>Pulse Length (# of ʎ) Calculated</t>
  </si>
  <si>
    <t>Prep Type</t>
  </si>
  <si>
    <t>Geometry Inputs</t>
  </si>
  <si>
    <t>Display</t>
  </si>
  <si>
    <t>X2</t>
  </si>
  <si>
    <t>PCS/2</t>
  </si>
  <si>
    <t>Bottom L</t>
  </si>
  <si>
    <t>Bottom R</t>
  </si>
  <si>
    <t>Top L</t>
  </si>
  <si>
    <t>Top R</t>
  </si>
  <si>
    <t>Cap Offset</t>
  </si>
  <si>
    <t>Probe L</t>
  </si>
  <si>
    <t>Probe R</t>
  </si>
  <si>
    <t>Prep L</t>
  </si>
  <si>
    <t xml:space="preserve">Root Depth </t>
  </si>
  <si>
    <t>Root Offset (Bottom)</t>
  </si>
  <si>
    <t>Root Offset (DV only)</t>
  </si>
  <si>
    <t>Cap</t>
  </si>
  <si>
    <t>Root</t>
  </si>
  <si>
    <t>Focal Depth</t>
  </si>
  <si>
    <t>Focal Percentage</t>
  </si>
  <si>
    <t xml:space="preserve"> Depth mm</t>
  </si>
  <si>
    <t>% Thickness</t>
  </si>
  <si>
    <t>Flaw Tip</t>
  </si>
  <si>
    <t>Calculations</t>
  </si>
  <si>
    <t>Near (mm)</t>
  </si>
  <si>
    <t>BWE (mm)</t>
  </si>
  <si>
    <t>Spatial (mm)</t>
  </si>
  <si>
    <t>Offset</t>
  </si>
  <si>
    <t>Display Deadzone Near</t>
  </si>
  <si>
    <t>Display Dead Zone BWE</t>
  </si>
  <si>
    <t>Number ʎ in Time Window</t>
  </si>
  <si>
    <t>Created by P.Grosser</t>
  </si>
  <si>
    <t>Spatial Zone</t>
  </si>
  <si>
    <t>Near Zone</t>
  </si>
  <si>
    <t>BWE Zone</t>
  </si>
  <si>
    <t>Display Spatial Zone</t>
  </si>
  <si>
    <t>Zone Inputs</t>
  </si>
  <si>
    <t>Cap Caculations</t>
  </si>
  <si>
    <t># NUM Error will be shown if above 1st Critical angle</t>
  </si>
  <si>
    <t>TOFD Calculations</t>
  </si>
  <si>
    <t>X2 accounts for probe offset</t>
  </si>
  <si>
    <t>Comments</t>
  </si>
  <si>
    <t>Pulse Length (# of ʎ) Input</t>
  </si>
  <si>
    <t>Spinners only have increments of whole numbers, multipler used to get fractions</t>
  </si>
  <si>
    <t>1 = SV , 2 = DV</t>
  </si>
  <si>
    <t>IF statement used for beam spread constant.</t>
  </si>
  <si>
    <t>Input from option boxes</t>
  </si>
  <si>
    <r>
      <rPr>
        <sz val="8"/>
        <rFont val="Calibri"/>
        <family val="2"/>
      </rPr>
      <t>µ</t>
    </r>
    <r>
      <rPr>
        <sz val="8"/>
        <rFont val="Arial"/>
        <family val="2"/>
      </rPr>
      <t>S</t>
    </r>
  </si>
  <si>
    <t>µS</t>
  </si>
  <si>
    <t>Note: ASME and ASTM require that pulse length not exceed 2 wavelengths.</t>
  </si>
  <si>
    <t>Most standards recommend 60% - 70% focal depth for a single depth inspection</t>
  </si>
  <si>
    <t xml:space="preserve">Ground </t>
  </si>
  <si>
    <t>PCS Input</t>
  </si>
  <si>
    <t>Note: Red cells indicate input error.</t>
  </si>
  <si>
    <t>Datum Input</t>
  </si>
  <si>
    <t>Path</t>
  </si>
  <si>
    <t>Instructions</t>
  </si>
  <si>
    <t>2) Some functions will not be compatable with Excel prior to 2007.</t>
  </si>
  <si>
    <t>3) When inputs result in an error cells will highlight red.</t>
  </si>
  <si>
    <t>TOF µS</t>
  </si>
  <si>
    <t xml:space="preserve">1) Only use spinners, check boxes or option boxes for inputs. </t>
  </si>
  <si>
    <t>Flaw Depth Input</t>
  </si>
  <si>
    <t>Flaw Depth Final</t>
  </si>
  <si>
    <t>Error prevention</t>
  </si>
  <si>
    <t>d</t>
  </si>
  <si>
    <t>z</t>
  </si>
  <si>
    <t>TOFD at Focal, constant time (ct)</t>
  </si>
  <si>
    <t>TOF Locus</t>
  </si>
  <si>
    <t>Function Display</t>
  </si>
  <si>
    <t>Beam Spread</t>
  </si>
  <si>
    <t>TOF Locus Display On Off</t>
  </si>
  <si>
    <t>Locus Path</t>
  </si>
  <si>
    <t>Flaw Tip Equal</t>
  </si>
  <si>
    <r>
      <t xml:space="preserve">Refracted Angle </t>
    </r>
    <r>
      <rPr>
        <sz val="10"/>
        <color theme="0"/>
        <rFont val="Calibri"/>
        <family val="2"/>
      </rPr>
      <t>°</t>
    </r>
  </si>
  <si>
    <r>
      <t xml:space="preserve">Prep Angle </t>
    </r>
    <r>
      <rPr>
        <sz val="10"/>
        <color theme="0"/>
        <rFont val="Calibri"/>
        <family val="2"/>
      </rPr>
      <t>°</t>
    </r>
  </si>
  <si>
    <r>
      <t xml:space="preserve">Wavelength in Material </t>
    </r>
    <r>
      <rPr>
        <sz val="10"/>
        <color theme="0"/>
        <rFont val="Calibri"/>
        <family val="2"/>
      </rPr>
      <t>µ</t>
    </r>
    <r>
      <rPr>
        <sz val="8"/>
        <color theme="0"/>
        <rFont val="Arial"/>
        <family val="2"/>
      </rPr>
      <t>S</t>
    </r>
  </si>
  <si>
    <r>
      <t>Pulse Length in Material (</t>
    </r>
    <r>
      <rPr>
        <sz val="10"/>
        <color theme="0"/>
        <rFont val="Calibri"/>
        <family val="2"/>
      </rPr>
      <t>µs</t>
    </r>
    <r>
      <rPr>
        <sz val="10"/>
        <color theme="0"/>
        <rFont val="Arial"/>
        <family val="2"/>
      </rPr>
      <t>)</t>
    </r>
  </si>
  <si>
    <r>
      <t xml:space="preserve">Wedge Delay </t>
    </r>
    <r>
      <rPr>
        <sz val="10"/>
        <color theme="0"/>
        <rFont val="Calibri"/>
        <family val="2"/>
      </rPr>
      <t>µs</t>
    </r>
  </si>
  <si>
    <r>
      <t xml:space="preserve">Lateral Wave Arrival Time </t>
    </r>
    <r>
      <rPr>
        <sz val="10"/>
        <color theme="0"/>
        <rFont val="Calibri"/>
        <family val="2"/>
      </rPr>
      <t>µs</t>
    </r>
  </si>
  <si>
    <r>
      <t xml:space="preserve">BWE Arrival Time </t>
    </r>
    <r>
      <rPr>
        <sz val="10"/>
        <color theme="0"/>
        <rFont val="Calibri"/>
        <family val="2"/>
      </rPr>
      <t>µ</t>
    </r>
    <r>
      <rPr>
        <sz val="8"/>
        <color theme="0"/>
        <rFont val="Arial"/>
        <family val="2"/>
      </rPr>
      <t>S</t>
    </r>
  </si>
  <si>
    <r>
      <t xml:space="preserve">Time Window </t>
    </r>
    <r>
      <rPr>
        <sz val="10"/>
        <color theme="0"/>
        <rFont val="Calibri"/>
        <family val="2"/>
      </rPr>
      <t>µ</t>
    </r>
    <r>
      <rPr>
        <sz val="8"/>
        <color theme="0"/>
        <rFont val="Arial"/>
        <family val="2"/>
      </rPr>
      <t>S</t>
    </r>
  </si>
  <si>
    <r>
      <t xml:space="preserve">A minimum window of 20 </t>
    </r>
    <r>
      <rPr>
        <sz val="10"/>
        <color theme="0"/>
        <rFont val="Calibri"/>
        <family val="2"/>
      </rPr>
      <t>ʎ typically required to achieve useable resolution.</t>
    </r>
  </si>
  <si>
    <t>For Personal Training Use Only - Compatable with Excel 2007 and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</si>
</sst>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sz val="10"/>
      <color theme="0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9" fontId="7" fillId="0" borderId="15" xfId="2" applyFont="1" applyBorder="1" applyAlignment="1" applyProtection="1">
      <alignment horizontal="center" vertical="center"/>
    </xf>
    <xf numFmtId="2" fontId="7" fillId="0" borderId="15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vertical="center"/>
    </xf>
    <xf numFmtId="0" fontId="7" fillId="0" borderId="34" xfId="0" applyFont="1" applyBorder="1" applyAlignment="1" applyProtection="1">
      <alignment horizontal="center" vertical="center"/>
    </xf>
    <xf numFmtId="2" fontId="7" fillId="0" borderId="17" xfId="0" applyNumberFormat="1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30" xfId="0" applyBorder="1" applyProtection="1"/>
    <xf numFmtId="0" fontId="0" fillId="0" borderId="25" xfId="0" applyBorder="1" applyProtection="1"/>
    <xf numFmtId="0" fontId="0" fillId="0" borderId="37" xfId="0" applyBorder="1" applyProtection="1"/>
    <xf numFmtId="0" fontId="0" fillId="2" borderId="25" xfId="0" applyFill="1" applyBorder="1" applyProtection="1"/>
    <xf numFmtId="0" fontId="0" fillId="2" borderId="37" xfId="0" applyFill="1" applyBorder="1" applyProtection="1"/>
    <xf numFmtId="0" fontId="0" fillId="0" borderId="24" xfId="0" applyBorder="1" applyProtection="1"/>
    <xf numFmtId="0" fontId="0" fillId="0" borderId="29" xfId="0" applyBorder="1" applyProtection="1"/>
    <xf numFmtId="0" fontId="0" fillId="0" borderId="23" xfId="0" applyBorder="1" applyProtection="1"/>
    <xf numFmtId="0" fontId="4" fillId="0" borderId="25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6" xfId="0" applyBorder="1" applyProtection="1"/>
    <xf numFmtId="0" fontId="9" fillId="0" borderId="22" xfId="0" applyFont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9" fillId="0" borderId="0" xfId="0" applyFont="1" applyProtection="1"/>
    <xf numFmtId="0" fontId="17" fillId="0" borderId="0" xfId="0" applyFont="1"/>
    <xf numFmtId="0" fontId="0" fillId="0" borderId="0" xfId="0" applyFill="1"/>
    <xf numFmtId="0" fontId="16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16" fillId="0" borderId="0" xfId="0" applyFont="1" applyAlignment="1"/>
    <xf numFmtId="0" fontId="0" fillId="0" borderId="1" xfId="0" applyBorder="1" applyProtection="1"/>
    <xf numFmtId="0" fontId="0" fillId="0" borderId="3" xfId="0" applyBorder="1" applyProtection="1"/>
    <xf numFmtId="0" fontId="19" fillId="0" borderId="0" xfId="0" applyFont="1" applyAlignment="1">
      <alignment wrapText="1"/>
    </xf>
    <xf numFmtId="0" fontId="0" fillId="2" borderId="3" xfId="0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2" fontId="7" fillId="0" borderId="21" xfId="0" applyNumberFormat="1" applyFont="1" applyBorder="1" applyAlignment="1" applyProtection="1">
      <alignment horizontal="center" vertical="center"/>
    </xf>
    <xf numFmtId="2" fontId="7" fillId="0" borderId="28" xfId="0" applyNumberFormat="1" applyFont="1" applyBorder="1" applyAlignment="1" applyProtection="1">
      <alignment horizontal="center" vertical="center"/>
    </xf>
    <xf numFmtId="2" fontId="7" fillId="0" borderId="33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164" fontId="7" fillId="0" borderId="11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2" fontId="7" fillId="0" borderId="11" xfId="0" applyNumberFormat="1" applyFont="1" applyBorder="1" applyAlignment="1" applyProtection="1">
      <alignment horizontal="center" vertical="center"/>
    </xf>
    <xf numFmtId="2" fontId="7" fillId="0" borderId="14" xfId="0" applyNumberFormat="1" applyFont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/>
    </xf>
    <xf numFmtId="164" fontId="7" fillId="0" borderId="15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Protection="1">
      <protection locked="0" hidden="1"/>
    </xf>
    <xf numFmtId="0" fontId="15" fillId="0" borderId="0" xfId="0" applyFont="1" applyFill="1" applyBorder="1" applyAlignment="1" applyProtection="1">
      <alignment horizontal="center"/>
      <protection locked="0" hidden="1"/>
    </xf>
    <xf numFmtId="0" fontId="15" fillId="0" borderId="0" xfId="0" applyFont="1" applyFill="1" applyProtection="1">
      <protection locked="0" hidden="1"/>
    </xf>
    <xf numFmtId="0" fontId="15" fillId="0" borderId="0" xfId="0" applyFont="1" applyFill="1" applyAlignment="1" applyProtection="1">
      <alignment horizontal="center" vertical="center"/>
      <protection locked="0" hidden="1"/>
    </xf>
    <xf numFmtId="0" fontId="21" fillId="0" borderId="0" xfId="0" applyFont="1" applyFill="1" applyBorder="1" applyProtection="1">
      <protection locked="0"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0" xfId="0" applyFont="1" applyFill="1" applyAlignment="1" applyProtection="1">
      <alignment horizontal="center" vertical="center"/>
      <protection locked="0" hidden="1"/>
    </xf>
    <xf numFmtId="0" fontId="21" fillId="0" borderId="24" xfId="0" applyFont="1" applyFill="1" applyBorder="1" applyAlignment="1" applyProtection="1">
      <alignment horizontal="left"/>
      <protection locked="0" hidden="1"/>
    </xf>
    <xf numFmtId="0" fontId="21" fillId="0" borderId="29" xfId="0" applyFont="1" applyFill="1" applyBorder="1" applyAlignment="1" applyProtection="1">
      <alignment horizontal="left"/>
      <protection locked="0" hidden="1"/>
    </xf>
    <xf numFmtId="0" fontId="15" fillId="0" borderId="29" xfId="0" applyFont="1" applyFill="1" applyBorder="1" applyAlignment="1" applyProtection="1">
      <alignment horizontal="center"/>
      <protection locked="0" hidden="1"/>
    </xf>
    <xf numFmtId="0" fontId="15" fillId="0" borderId="29" xfId="0" applyFont="1" applyFill="1" applyBorder="1" applyAlignment="1" applyProtection="1">
      <alignment horizontal="left"/>
      <protection locked="0" hidden="1"/>
    </xf>
    <xf numFmtId="0" fontId="15" fillId="0" borderId="30" xfId="0" applyFont="1" applyFill="1" applyBorder="1" applyAlignment="1" applyProtection="1">
      <alignment horizontal="left"/>
      <protection locked="0" hidden="1"/>
    </xf>
    <xf numFmtId="0" fontId="21" fillId="0" borderId="24" xfId="0" applyFont="1" applyFill="1" applyBorder="1" applyAlignment="1" applyProtection="1">
      <alignment horizontal="center" vertical="center"/>
      <protection locked="0" hidden="1"/>
    </xf>
    <xf numFmtId="0" fontId="15" fillId="0" borderId="29" xfId="0" applyFont="1" applyFill="1" applyBorder="1" applyAlignment="1" applyProtection="1">
      <alignment horizontal="center" vertical="center"/>
      <protection locked="0" hidden="1"/>
    </xf>
    <xf numFmtId="0" fontId="15" fillId="0" borderId="29" xfId="0" applyFont="1" applyFill="1" applyBorder="1" applyAlignment="1" applyProtection="1">
      <alignment horizontal="center" vertical="center"/>
      <protection locked="0" hidden="1"/>
    </xf>
    <xf numFmtId="0" fontId="15" fillId="0" borderId="30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Protection="1">
      <protection locked="0" hidden="1"/>
    </xf>
    <xf numFmtId="0" fontId="15" fillId="0" borderId="0" xfId="0" applyFont="1" applyFill="1" applyBorder="1" applyAlignment="1" applyProtection="1">
      <alignment horizontal="left"/>
      <protection locked="0" hidden="1"/>
    </xf>
    <xf numFmtId="0" fontId="15" fillId="0" borderId="25" xfId="0" applyFont="1" applyFill="1" applyBorder="1" applyAlignment="1" applyProtection="1">
      <alignment horizontal="left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2" fontId="1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25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  <protection locked="0" hidden="1"/>
    </xf>
    <xf numFmtId="0" fontId="15" fillId="0" borderId="0" xfId="0" applyFont="1" applyFill="1" applyBorder="1" applyAlignment="1" applyProtection="1">
      <alignment horizontal="left"/>
      <protection locked="0" hidden="1"/>
    </xf>
    <xf numFmtId="0" fontId="15" fillId="0" borderId="25" xfId="0" applyFont="1" applyFill="1" applyBorder="1" applyAlignment="1" applyProtection="1">
      <alignment horizontal="left"/>
      <protection locked="0" hidden="1"/>
    </xf>
    <xf numFmtId="0" fontId="21" fillId="0" borderId="23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  <protection locked="0" hidden="1"/>
    </xf>
    <xf numFmtId="0" fontId="15" fillId="0" borderId="0" xfId="0" applyFont="1" applyFill="1" applyAlignment="1" applyProtection="1">
      <alignment horizontal="center"/>
      <protection locked="0" hidden="1"/>
    </xf>
    <xf numFmtId="2" fontId="15" fillId="0" borderId="0" xfId="0" applyNumberFormat="1" applyFont="1" applyFill="1" applyBorder="1" applyAlignment="1" applyProtection="1">
      <alignment horizontal="center"/>
      <protection locked="0" hidden="1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 applyProtection="1">
      <alignment horizontal="center"/>
      <protection locked="0" hidden="1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  <protection locked="0" hidden="1"/>
    </xf>
    <xf numFmtId="0" fontId="21" fillId="0" borderId="23" xfId="0" applyFont="1" applyFill="1" applyBorder="1" applyProtection="1">
      <protection locked="0" hidden="1"/>
    </xf>
    <xf numFmtId="0" fontId="15" fillId="0" borderId="0" xfId="0" applyFont="1" applyFill="1" applyBorder="1" applyAlignment="1" applyProtection="1">
      <alignment horizontal="center"/>
      <protection locked="0" hidden="1"/>
    </xf>
    <xf numFmtId="0" fontId="15" fillId="0" borderId="25" xfId="0" applyFont="1" applyFill="1" applyBorder="1" applyAlignment="1" applyProtection="1">
      <alignment horizontal="center"/>
      <protection locked="0" hidden="1"/>
    </xf>
    <xf numFmtId="0" fontId="15" fillId="0" borderId="36" xfId="0" applyFont="1" applyFill="1" applyBorder="1" applyProtection="1">
      <protection locked="0" hidden="1"/>
    </xf>
    <xf numFmtId="0" fontId="15" fillId="0" borderId="38" xfId="0" applyFont="1" applyFill="1" applyBorder="1" applyProtection="1">
      <protection locked="0" hidden="1"/>
    </xf>
    <xf numFmtId="2" fontId="15" fillId="0" borderId="38" xfId="0" applyNumberFormat="1" applyFont="1" applyFill="1" applyBorder="1" applyAlignment="1" applyProtection="1">
      <alignment horizontal="center"/>
      <protection locked="0" hidden="1"/>
    </xf>
    <xf numFmtId="0" fontId="15" fillId="0" borderId="38" xfId="0" applyFont="1" applyFill="1" applyBorder="1" applyAlignment="1" applyProtection="1">
      <alignment horizontal="center"/>
      <protection locked="0" hidden="1"/>
    </xf>
    <xf numFmtId="0" fontId="15" fillId="0" borderId="37" xfId="0" applyFont="1" applyFill="1" applyBorder="1" applyAlignment="1" applyProtection="1">
      <alignment horizontal="center"/>
      <protection locked="0" hidden="1"/>
    </xf>
    <xf numFmtId="0" fontId="15" fillId="0" borderId="25" xfId="0" applyFont="1" applyFill="1" applyBorder="1" applyProtection="1">
      <protection locked="0" hidden="1"/>
    </xf>
    <xf numFmtId="0" fontId="15" fillId="0" borderId="23" xfId="0" applyFont="1" applyFill="1" applyBorder="1" applyAlignment="1" applyProtection="1">
      <alignment horizontal="center"/>
      <protection locked="0" hidden="1"/>
    </xf>
    <xf numFmtId="0" fontId="15" fillId="0" borderId="38" xfId="0" applyFont="1" applyFill="1" applyBorder="1" applyAlignment="1" applyProtection="1">
      <alignment horizontal="center" vertical="center"/>
      <protection locked="0" hidden="1"/>
    </xf>
    <xf numFmtId="0" fontId="15" fillId="0" borderId="37" xfId="0" applyFont="1" applyFill="1" applyBorder="1" applyProtection="1">
      <protection locked="0" hidden="1"/>
    </xf>
    <xf numFmtId="0" fontId="21" fillId="0" borderId="0" xfId="0" applyFont="1" applyFill="1" applyProtection="1">
      <protection locked="0" hidden="1"/>
    </xf>
    <xf numFmtId="0" fontId="15" fillId="0" borderId="36" xfId="0" applyFont="1" applyFill="1" applyBorder="1" applyAlignment="1" applyProtection="1">
      <alignment horizontal="center"/>
      <protection locked="0" hidden="1"/>
    </xf>
  </cellXfs>
  <cellStyles count="3">
    <cellStyle name="Hyperlink" xfId="1" builtinId="8"/>
    <cellStyle name="Normal" xfId="0" builtinId="0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296167047516E-3"/>
          <c:y val="1.654329993491958E-2"/>
          <c:w val="0.97985495568090264"/>
          <c:h val="0.96855982898487625"/>
        </c:manualLayout>
      </c:layout>
      <c:scatterChart>
        <c:scatterStyle val="smoothMarker"/>
        <c:varyColors val="0"/>
        <c:ser>
          <c:idx val="2"/>
          <c:order val="0"/>
          <c:tx>
            <c:v>BSl1u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Data!$O$12:$O$13</c:f>
              <c:numCache>
                <c:formatCode>0.00</c:formatCode>
                <c:ptCount val="2"/>
                <c:pt idx="0">
                  <c:v>-28.5</c:v>
                </c:pt>
                <c:pt idx="1">
                  <c:v>0</c:v>
                </c:pt>
              </c:numCache>
            </c:numRef>
          </c:xVal>
          <c:yVal>
            <c:numRef>
              <c:f>Data!$M$12:$M$13</c:f>
              <c:numCache>
                <c:formatCode>0.00</c:formatCode>
                <c:ptCount val="2"/>
                <c:pt idx="0">
                  <c:v>0</c:v>
                </c:pt>
                <c:pt idx="1">
                  <c:v>-16.454482671904326</c:v>
                </c:pt>
              </c:numCache>
            </c:numRef>
          </c:yVal>
          <c:smooth val="1"/>
        </c:ser>
        <c:ser>
          <c:idx val="3"/>
          <c:order val="1"/>
          <c:tx>
            <c:v>BSL1 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Data!$O$16:$O$17</c:f>
              <c:numCache>
                <c:formatCode>0.00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xVal>
          <c:yVal>
            <c:numRef>
              <c:f>Data!$M$16:$M$17</c:f>
              <c:numCache>
                <c:formatCode>General</c:formatCode>
                <c:ptCount val="2"/>
                <c:pt idx="0" formatCode="0.00">
                  <c:v>0</c:v>
                </c:pt>
                <c:pt idx="1">
                  <c:v>-25</c:v>
                </c:pt>
              </c:numCache>
            </c:numRef>
          </c:yVal>
          <c:smooth val="1"/>
        </c:ser>
        <c:ser>
          <c:idx val="4"/>
          <c:order val="2"/>
          <c:tx>
            <c:v>BSL2U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Data!$O$20:$O$21</c:f>
              <c:numCache>
                <c:formatCode>0.00</c:formatCode>
                <c:ptCount val="2"/>
                <c:pt idx="0">
                  <c:v>28.5</c:v>
                </c:pt>
                <c:pt idx="1">
                  <c:v>0</c:v>
                </c:pt>
              </c:numCache>
            </c:numRef>
          </c:xVal>
          <c:yVal>
            <c:numRef>
              <c:f>Data!$M$20:$M$21</c:f>
              <c:numCache>
                <c:formatCode>0.00</c:formatCode>
                <c:ptCount val="2"/>
                <c:pt idx="0">
                  <c:v>0</c:v>
                </c:pt>
                <c:pt idx="1">
                  <c:v>-16.454482671904326</c:v>
                </c:pt>
              </c:numCache>
            </c:numRef>
          </c:yVal>
          <c:smooth val="1"/>
        </c:ser>
        <c:ser>
          <c:idx val="5"/>
          <c:order val="3"/>
          <c:tx>
            <c:v>BSL2L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Data!$O$24:$O$25</c:f>
              <c:numCache>
                <c:formatCode>0.00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xVal>
          <c:yVal>
            <c:numRef>
              <c:f>Data!$M$24:$M$25</c:f>
              <c:numCache>
                <c:formatCode>0.00</c:formatCode>
                <c:ptCount val="2"/>
                <c:pt idx="0">
                  <c:v>0</c:v>
                </c:pt>
                <c:pt idx="1">
                  <c:v>-25</c:v>
                </c:pt>
              </c:numCache>
            </c:numRef>
          </c:yVal>
          <c:smooth val="1"/>
        </c:ser>
        <c:ser>
          <c:idx val="6"/>
          <c:order val="4"/>
          <c:tx>
            <c:v>SVL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Data!$N$49:$N$51</c:f>
              <c:numCache>
                <c:formatCode>General</c:formatCode>
                <c:ptCount val="3"/>
                <c:pt idx="0" formatCode="0.00">
                  <c:v>-19.005188455242742</c:v>
                </c:pt>
                <c:pt idx="1">
                  <c:v>-1.5</c:v>
                </c:pt>
                <c:pt idx="2">
                  <c:v>-1.5</c:v>
                </c:pt>
              </c:numCache>
            </c:numRef>
          </c:xVal>
          <c:yVal>
            <c:numRef>
              <c:f>Data!$M$49:$M$51</c:f>
              <c:numCache>
                <c:formatCode>General</c:formatCode>
                <c:ptCount val="3"/>
                <c:pt idx="0" formatCode="0.00">
                  <c:v>0</c:v>
                </c:pt>
                <c:pt idx="1">
                  <c:v>-25</c:v>
                </c:pt>
                <c:pt idx="2">
                  <c:v>-25</c:v>
                </c:pt>
              </c:numCache>
            </c:numRef>
          </c:yVal>
          <c:smooth val="0"/>
        </c:ser>
        <c:ser>
          <c:idx val="7"/>
          <c:order val="5"/>
          <c:tx>
            <c:v>SVR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Data!$N$54:$N$56</c:f>
              <c:numCache>
                <c:formatCode>General</c:formatCode>
                <c:ptCount val="3"/>
                <c:pt idx="0" formatCode="0.00">
                  <c:v>19.005188455242742</c:v>
                </c:pt>
                <c:pt idx="1">
                  <c:v>1.5</c:v>
                </c:pt>
                <c:pt idx="2">
                  <c:v>1.5</c:v>
                </c:pt>
              </c:numCache>
            </c:numRef>
          </c:xVal>
          <c:yVal>
            <c:numRef>
              <c:f>Data!$M$54:$M$56</c:f>
              <c:numCache>
                <c:formatCode>General</c:formatCode>
                <c:ptCount val="3"/>
                <c:pt idx="0" formatCode="0.00">
                  <c:v>0</c:v>
                </c:pt>
                <c:pt idx="1">
                  <c:v>-25</c:v>
                </c:pt>
                <c:pt idx="2">
                  <c:v>-25</c:v>
                </c:pt>
              </c:numCache>
            </c:numRef>
          </c:yVal>
          <c:smooth val="0"/>
        </c:ser>
        <c:ser>
          <c:idx val="13"/>
          <c:order val="6"/>
          <c:tx>
            <c:v>Top Line Left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Data!$N$34:$N$35</c:f>
              <c:numCache>
                <c:formatCode>0.00</c:formatCode>
                <c:ptCount val="2"/>
                <c:pt idx="0" formatCode="General">
                  <c:v>-125</c:v>
                </c:pt>
                <c:pt idx="1">
                  <c:v>-19.005188455242742</c:v>
                </c:pt>
              </c:numCache>
            </c:numRef>
          </c:xVal>
          <c:yVal>
            <c:numRef>
              <c:f>Data!$M$34:$M$35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3"/>
          <c:order val="7"/>
          <c:tx>
            <c:v>top line right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Data!$N$36:$N$37</c:f>
              <c:numCache>
                <c:formatCode>0.00</c:formatCode>
                <c:ptCount val="2"/>
                <c:pt idx="0" formatCode="General">
                  <c:v>125</c:v>
                </c:pt>
                <c:pt idx="1">
                  <c:v>19.005188455242742</c:v>
                </c:pt>
              </c:numCache>
            </c:numRef>
          </c:xVal>
          <c:yVal>
            <c:numRef>
              <c:f>Data!$M$36:$M$37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14"/>
          <c:order val="8"/>
          <c:tx>
            <c:v>Bottom Line Left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Data!$N$28:$N$29</c:f>
              <c:numCache>
                <c:formatCode>General</c:formatCode>
                <c:ptCount val="2"/>
                <c:pt idx="0">
                  <c:v>-125</c:v>
                </c:pt>
                <c:pt idx="1">
                  <c:v>-1.5</c:v>
                </c:pt>
              </c:numCache>
            </c:numRef>
          </c:xVal>
          <c:yVal>
            <c:numRef>
              <c:f>Data!$M$28:$M$29</c:f>
              <c:numCache>
                <c:formatCode>General</c:formatCode>
                <c:ptCount val="2"/>
                <c:pt idx="0">
                  <c:v>-25</c:v>
                </c:pt>
                <c:pt idx="1">
                  <c:v>-25</c:v>
                </c:pt>
              </c:numCache>
            </c:numRef>
          </c:yVal>
          <c:smooth val="1"/>
        </c:ser>
        <c:ser>
          <c:idx val="24"/>
          <c:order val="9"/>
          <c:tx>
            <c:v>Bottom Line Right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Data!$N$30:$N$31</c:f>
              <c:numCache>
                <c:formatCode>General</c:formatCode>
                <c:ptCount val="2"/>
                <c:pt idx="0">
                  <c:v>125</c:v>
                </c:pt>
                <c:pt idx="1">
                  <c:v>1.5</c:v>
                </c:pt>
              </c:numCache>
            </c:numRef>
          </c:xVal>
          <c:yVal>
            <c:numRef>
              <c:f>Data!$M$30:$M$31</c:f>
              <c:numCache>
                <c:formatCode>General</c:formatCode>
                <c:ptCount val="2"/>
                <c:pt idx="0">
                  <c:v>-25</c:v>
                </c:pt>
                <c:pt idx="1">
                  <c:v>-25</c:v>
                </c:pt>
              </c:numCache>
            </c:numRef>
          </c:yVal>
          <c:smooth val="1"/>
        </c:ser>
        <c:ser>
          <c:idx val="15"/>
          <c:order val="10"/>
          <c:tx>
            <c:v>Probe Left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Data!$N$40:$N$43</c:f>
              <c:numCache>
                <c:formatCode>General</c:formatCode>
                <c:ptCount val="4"/>
                <c:pt idx="0">
                  <c:v>-38.5</c:v>
                </c:pt>
                <c:pt idx="1">
                  <c:v>-38.5</c:v>
                </c:pt>
                <c:pt idx="2">
                  <c:v>-20.5</c:v>
                </c:pt>
                <c:pt idx="3">
                  <c:v>-20.5</c:v>
                </c:pt>
              </c:numCache>
            </c:numRef>
          </c:xVal>
          <c:yVal>
            <c:numRef>
              <c:f>Data!$M$40:$M$43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9.7754113346489699</c:v>
                </c:pt>
                <c:pt idx="3">
                  <c:v>0</c:v>
                </c:pt>
              </c:numCache>
            </c:numRef>
          </c:yVal>
          <c:smooth val="0"/>
        </c:ser>
        <c:ser>
          <c:idx val="25"/>
          <c:order val="11"/>
          <c:tx>
            <c:v>Probe Right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Data!$N$44:$N$47</c:f>
              <c:numCache>
                <c:formatCode>General</c:formatCode>
                <c:ptCount val="4"/>
                <c:pt idx="0">
                  <c:v>38.5</c:v>
                </c:pt>
                <c:pt idx="1">
                  <c:v>38.5</c:v>
                </c:pt>
                <c:pt idx="2">
                  <c:v>20.5</c:v>
                </c:pt>
                <c:pt idx="3">
                  <c:v>20.5</c:v>
                </c:pt>
              </c:numCache>
            </c:numRef>
          </c:xVal>
          <c:yVal>
            <c:numRef>
              <c:f>Data!$M$44:$M$47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9.7754113346489699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12"/>
          <c:tx>
            <c:v>Leg 1</c:v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Data!$O$4:$O$5</c:f>
              <c:numCache>
                <c:formatCode>0.00</c:formatCode>
                <c:ptCount val="2"/>
                <c:pt idx="0">
                  <c:v>-28.5</c:v>
                </c:pt>
                <c:pt idx="1">
                  <c:v>0</c:v>
                </c:pt>
              </c:numCache>
            </c:numRef>
          </c:xVal>
          <c:yVal>
            <c:numRef>
              <c:f>Data!$M$4:$M$5</c:f>
              <c:numCache>
                <c:formatCode>0.00</c:formatCode>
                <c:ptCount val="2"/>
                <c:pt idx="0">
                  <c:v>0</c:v>
                </c:pt>
                <c:pt idx="1">
                  <c:v>-16.454482671904334</c:v>
                </c:pt>
              </c:numCache>
            </c:numRef>
          </c:yVal>
          <c:smooth val="0"/>
        </c:ser>
        <c:ser>
          <c:idx val="1"/>
          <c:order val="13"/>
          <c:tx>
            <c:v>Leg 2</c:v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Data!$O$8:$O$9</c:f>
              <c:numCache>
                <c:formatCode>0.00</c:formatCode>
                <c:ptCount val="2"/>
                <c:pt idx="0">
                  <c:v>28.5</c:v>
                </c:pt>
                <c:pt idx="1">
                  <c:v>0</c:v>
                </c:pt>
              </c:numCache>
            </c:numRef>
          </c:xVal>
          <c:yVal>
            <c:numRef>
              <c:f>Data!$M$8:$M$9</c:f>
              <c:numCache>
                <c:formatCode>0.00</c:formatCode>
                <c:ptCount val="2"/>
                <c:pt idx="0">
                  <c:v>0</c:v>
                </c:pt>
                <c:pt idx="1">
                  <c:v>-16.454482671904334</c:v>
                </c:pt>
              </c:numCache>
            </c:numRef>
          </c:yVal>
          <c:smooth val="1"/>
        </c:ser>
        <c:ser>
          <c:idx val="20"/>
          <c:order val="14"/>
          <c:tx>
            <c:v>Cap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Data!$N$59:$N$61</c:f>
              <c:numCache>
                <c:formatCode>General</c:formatCode>
                <c:ptCount val="3"/>
                <c:pt idx="0" formatCode="0.00">
                  <c:v>-19.005188455242742</c:v>
                </c:pt>
                <c:pt idx="1">
                  <c:v>0</c:v>
                </c:pt>
                <c:pt idx="2" formatCode="0.00">
                  <c:v>19.005188455242742</c:v>
                </c:pt>
              </c:numCache>
            </c:numRef>
          </c:xVal>
          <c:yVal>
            <c:numRef>
              <c:f>Data!$M$59:$M$61</c:f>
              <c:numCache>
                <c:formatCode>General</c:formatCode>
                <c:ptCount val="3"/>
                <c:pt idx="0">
                  <c:v>0</c:v>
                </c:pt>
                <c:pt idx="1">
                  <c:v>3.125</c:v>
                </c:pt>
                <c:pt idx="2">
                  <c:v>0</c:v>
                </c:pt>
              </c:numCache>
            </c:numRef>
          </c:yVal>
          <c:smooth val="1"/>
        </c:ser>
        <c:ser>
          <c:idx val="21"/>
          <c:order val="15"/>
          <c:tx>
            <c:v>Root</c:v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Data!$N$63:$N$65</c:f>
              <c:numCache>
                <c:formatCode>General</c:formatCode>
                <c:ptCount val="3"/>
                <c:pt idx="0">
                  <c:v>-1.5</c:v>
                </c:pt>
                <c:pt idx="1">
                  <c:v>0</c:v>
                </c:pt>
                <c:pt idx="2">
                  <c:v>1.5</c:v>
                </c:pt>
              </c:numCache>
            </c:numRef>
          </c:xVal>
          <c:yVal>
            <c:numRef>
              <c:f>Data!$M$63:$M$65</c:f>
              <c:numCache>
                <c:formatCode>General</c:formatCode>
                <c:ptCount val="3"/>
                <c:pt idx="0">
                  <c:v>-25</c:v>
                </c:pt>
                <c:pt idx="1">
                  <c:v>-28.125</c:v>
                </c:pt>
                <c:pt idx="2">
                  <c:v>-25</c:v>
                </c:pt>
              </c:numCache>
            </c:numRef>
          </c:yVal>
          <c:smooth val="1"/>
        </c:ser>
        <c:ser>
          <c:idx val="8"/>
          <c:order val="16"/>
          <c:tx>
            <c:v>Near Surface Dead Zone</c:v>
          </c:tx>
          <c:spPr>
            <a:ln w="12700">
              <a:solidFill>
                <a:schemeClr val="accent6"/>
              </a:solidFill>
              <a:prstDash val="lgDashDotDot"/>
            </a:ln>
          </c:spPr>
          <c:marker>
            <c:symbol val="none"/>
          </c:marker>
          <c:xVal>
            <c:numRef>
              <c:f>Data!$N$68:$N$69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Data!$M$68:$M$69</c:f>
              <c:numCache>
                <c:formatCode>0.00</c:formatCode>
                <c:ptCount val="2"/>
                <c:pt idx="0">
                  <c:v>-5.0222040169132915</c:v>
                </c:pt>
                <c:pt idx="1">
                  <c:v>-5.0222040169132915</c:v>
                </c:pt>
              </c:numCache>
            </c:numRef>
          </c:yVal>
          <c:smooth val="1"/>
        </c:ser>
        <c:ser>
          <c:idx val="9"/>
          <c:order val="17"/>
          <c:tx>
            <c:v>BW Dead Zone</c:v>
          </c:tx>
          <c:spPr>
            <a:ln w="12700">
              <a:solidFill>
                <a:schemeClr val="accent6"/>
              </a:solidFill>
              <a:prstDash val="lgDashDotDot"/>
            </a:ln>
          </c:spPr>
          <c:marker>
            <c:symbol val="none"/>
          </c:marker>
          <c:xVal>
            <c:numRef>
              <c:f>Data!$N$72:$N$73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Data!$M$72:$M$73</c:f>
              <c:numCache>
                <c:formatCode>0.00</c:formatCode>
                <c:ptCount val="2"/>
                <c:pt idx="0">
                  <c:v>-24.33393072158373</c:v>
                </c:pt>
                <c:pt idx="1">
                  <c:v>-24.33393072158373</c:v>
                </c:pt>
              </c:numCache>
            </c:numRef>
          </c:yVal>
          <c:smooth val="1"/>
        </c:ser>
        <c:ser>
          <c:idx val="10"/>
          <c:order val="18"/>
          <c:tx>
            <c:v>Spatial</c:v>
          </c:tx>
          <c:spPr>
            <a:ln w="95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Data!$N$76:$N$79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xVal>
          <c:yVal>
            <c:numRef>
              <c:f>Data!$M$76:$M$79</c:f>
              <c:numCache>
                <c:formatCode>0.00</c:formatCode>
                <c:ptCount val="4"/>
                <c:pt idx="0">
                  <c:v>-10</c:v>
                </c:pt>
                <c:pt idx="1">
                  <c:v>-10</c:v>
                </c:pt>
                <c:pt idx="2">
                  <c:v>-11.266138782193924</c:v>
                </c:pt>
                <c:pt idx="3">
                  <c:v>-11.266138782193924</c:v>
                </c:pt>
              </c:numCache>
            </c:numRef>
          </c:yVal>
          <c:smooth val="1"/>
        </c:ser>
        <c:ser>
          <c:idx val="11"/>
          <c:order val="19"/>
          <c:tx>
            <c:v>Locus</c:v>
          </c:tx>
          <c:spPr>
            <a:ln w="19050">
              <a:solidFill>
                <a:srgbClr val="00B050"/>
              </a:solidFill>
              <a:prstDash val="sysDot"/>
            </a:ln>
          </c:spPr>
          <c:marker>
            <c:symbol val="none"/>
          </c:marker>
          <c:xVal>
            <c:numRef>
              <c:f>Data!$M$81:$M$110</c:f>
              <c:numCache>
                <c:formatCode>General</c:formatCode>
                <c:ptCount val="30"/>
                <c:pt idx="0">
                  <c:v>1000</c:v>
                </c:pt>
                <c:pt idx="1">
                  <c:v>1001.9655172413793</c:v>
                </c:pt>
                <c:pt idx="2">
                  <c:v>1003.9310344827586</c:v>
                </c:pt>
                <c:pt idx="3">
                  <c:v>1005.8965517241379</c:v>
                </c:pt>
                <c:pt idx="4">
                  <c:v>1007.8620689655172</c:v>
                </c:pt>
                <c:pt idx="5">
                  <c:v>1009.8275862068965</c:v>
                </c:pt>
                <c:pt idx="6">
                  <c:v>1011.7931034482758</c:v>
                </c:pt>
                <c:pt idx="7">
                  <c:v>1013.7586206896551</c:v>
                </c:pt>
                <c:pt idx="8">
                  <c:v>1015.7241379310344</c:v>
                </c:pt>
                <c:pt idx="9">
                  <c:v>1017.6896551724137</c:v>
                </c:pt>
                <c:pt idx="10">
                  <c:v>1019.655172413793</c:v>
                </c:pt>
                <c:pt idx="11">
                  <c:v>1021.6206896551723</c:v>
                </c:pt>
                <c:pt idx="12">
                  <c:v>1023.5862068965516</c:v>
                </c:pt>
                <c:pt idx="13">
                  <c:v>1025.5517241379309</c:v>
                </c:pt>
                <c:pt idx="14">
                  <c:v>1027.5172413793102</c:v>
                </c:pt>
                <c:pt idx="15">
                  <c:v>1029.4827586206895</c:v>
                </c:pt>
                <c:pt idx="16">
                  <c:v>1031.4482758620688</c:v>
                </c:pt>
                <c:pt idx="17">
                  <c:v>1033.4137931034481</c:v>
                </c:pt>
                <c:pt idx="18">
                  <c:v>1035.3793103448274</c:v>
                </c:pt>
                <c:pt idx="19">
                  <c:v>1037.3448275862067</c:v>
                </c:pt>
                <c:pt idx="20">
                  <c:v>1039.3103448275861</c:v>
                </c:pt>
                <c:pt idx="21">
                  <c:v>1041.2758620689654</c:v>
                </c:pt>
                <c:pt idx="22">
                  <c:v>1043.2413793103447</c:v>
                </c:pt>
                <c:pt idx="23">
                  <c:v>1045.206896551724</c:v>
                </c:pt>
                <c:pt idx="24">
                  <c:v>1047.1724137931033</c:v>
                </c:pt>
                <c:pt idx="25">
                  <c:v>1049.1379310344826</c:v>
                </c:pt>
                <c:pt idx="26">
                  <c:v>1051.1034482758619</c:v>
                </c:pt>
                <c:pt idx="27">
                  <c:v>1053.0689655172412</c:v>
                </c:pt>
                <c:pt idx="28">
                  <c:v>1055.0344827586205</c:v>
                </c:pt>
                <c:pt idx="29">
                  <c:v>1056.9999999999998</c:v>
                </c:pt>
              </c:numCache>
            </c:numRef>
          </c:xVal>
          <c:yVal>
            <c:numRef>
              <c:f>Data!$N$81:$N$110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429392"/>
        <c:axId val="340437968"/>
      </c:scatterChart>
      <c:valAx>
        <c:axId val="340429392"/>
        <c:scaling>
          <c:orientation val="minMax"/>
          <c:max val="100"/>
          <c:min val="-100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40437968"/>
        <c:crosses val="autoZero"/>
        <c:crossBetween val="midCat"/>
        <c:majorUnit val="2"/>
        <c:minorUnit val="0.4"/>
      </c:valAx>
      <c:valAx>
        <c:axId val="340437968"/>
        <c:scaling>
          <c:orientation val="minMax"/>
          <c:max val="15"/>
          <c:min val="-60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40429392"/>
        <c:crosses val="autoZero"/>
        <c:crossBetween val="midCat"/>
        <c:majorUnit val="5"/>
        <c:minorUnit val="1"/>
      </c:valAx>
      <c:spPr>
        <a:solidFill>
          <a:srgbClr val="00B0F0">
            <a:alpha val="12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orientation="landscape" horizontalDpi="-3" verticalDpi="0"/>
  </c:printSettings>
</c:chartSpace>
</file>

<file path=xl/ctrlProps/ctrlProp1.xml><?xml version="1.0" encoding="utf-8"?>
<formControlPr xmlns="http://schemas.microsoft.com/office/spreadsheetml/2009/9/main" objectType="Spin" dx="16" fmlaLink="$B$8" max="20" min="5" page="10" val="10"/>
</file>

<file path=xl/ctrlProps/ctrlProp10.xml><?xml version="1.0" encoding="utf-8"?>
<formControlPr xmlns="http://schemas.microsoft.com/office/spreadsheetml/2009/9/main" objectType="Spin" dx="16" fmlaLink="Data!$C$22" max="150" min="20" page="10" val="57"/>
</file>

<file path=xl/ctrlProps/ctrlProp11.xml><?xml version="1.0" encoding="utf-8"?>
<formControlPr xmlns="http://schemas.microsoft.com/office/spreadsheetml/2009/9/main" objectType="Spin" dx="16" fmlaLink="Data!$C$30" max="19" page="10" val="0"/>
</file>

<file path=xl/ctrlProps/ctrlProp12.xml><?xml version="1.0" encoding="utf-8"?>
<formControlPr xmlns="http://schemas.microsoft.com/office/spreadsheetml/2009/9/main" objectType="Spin" dx="16" fmlaLink="Data!$C$6" max="20" min="5" page="10" val="15"/>
</file>

<file path=xl/ctrlProps/ctrlProp13.xml><?xml version="1.0" encoding="utf-8"?>
<formControlPr xmlns="http://schemas.microsoft.com/office/spreadsheetml/2009/9/main" objectType="Spin" dx="16" fmlaLink="$N$8" inc="100" max="6000" min="2000" page="10" val="5900"/>
</file>

<file path=xl/ctrlProps/ctrlProp14.xml><?xml version="1.0" encoding="utf-8"?>
<formControlPr xmlns="http://schemas.microsoft.com/office/spreadsheetml/2009/9/main" objectType="Spin" dx="16" fmlaLink="$P$8" max="50" min="9" page="10" val="25"/>
</file>

<file path=xl/ctrlProps/ctrlProp15.xml><?xml version="1.0" encoding="utf-8"?>
<formControlPr xmlns="http://schemas.microsoft.com/office/spreadsheetml/2009/9/main" objectType="Spin" dx="16" fmlaLink="$R$8" max="4" page="10" val="3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Data!$C$20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Spin" dx="16" fmlaLink="$D$8" max="13" min="3" page="10" val="3"/>
</file>

<file path=xl/ctrlProps/ctrlProp20.xml><?xml version="1.0" encoding="utf-8"?>
<formControlPr xmlns="http://schemas.microsoft.com/office/spreadsheetml/2009/9/main" objectType="CheckBox" fmlaLink="Data!$C$48" lockText="1" noThreeD="1"/>
</file>

<file path=xl/ctrlProps/ctrlProp21.xml><?xml version="1.0" encoding="utf-8"?>
<formControlPr xmlns="http://schemas.microsoft.com/office/spreadsheetml/2009/9/main" objectType="CheckBox" fmlaLink="Data!$C$49" lockText="1" noThreeD="1"/>
</file>

<file path=xl/ctrlProps/ctrlProp22.xml><?xml version="1.0" encoding="utf-8"?>
<formControlPr xmlns="http://schemas.microsoft.com/office/spreadsheetml/2009/9/main" objectType="CheckBox" fmlaLink="Data!$C$50" lockText="1" noThreeD="1"/>
</file>

<file path=xl/ctrlProps/ctrlProp23.xml><?xml version="1.0" encoding="utf-8"?>
<formControlPr xmlns="http://schemas.microsoft.com/office/spreadsheetml/2009/9/main" objectType="Radio" firstButton="1" fmlaLink="Data!$C$39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CheckBox" fmlaLink="Data!$C$56" lockText="1" noThreeD="1"/>
</file>

<file path=xl/ctrlProps/ctrlProp29.xml><?xml version="1.0" encoding="utf-8"?>
<formControlPr xmlns="http://schemas.microsoft.com/office/spreadsheetml/2009/9/main" objectType="Spin" dx="16" fmlaLink="Data!$C$64" max="50" min="1" page="10" val="10"/>
</file>

<file path=xl/ctrlProps/ctrlProp3.xml><?xml version="1.0" encoding="utf-8"?>
<formControlPr xmlns="http://schemas.microsoft.com/office/spreadsheetml/2009/9/main" objectType="Spin" dx="16" fmlaLink="$H$8" max="70" min="45" page="10" val="60"/>
</file>

<file path=xl/ctrlProps/ctrlProp30.xml><?xml version="1.0" encoding="utf-8"?>
<formControlPr xmlns="http://schemas.microsoft.com/office/spreadsheetml/2009/9/main" objectType="CheckBox" fmlaLink="Data!$C$71" lockText="1" noThreeD="1"/>
</file>

<file path=xl/ctrlProps/ctrlProp4.xml><?xml version="1.0" encoding="utf-8"?>
<formControlPr xmlns="http://schemas.microsoft.com/office/spreadsheetml/2009/9/main" objectType="Spin" dx="16" fmlaLink="View!$J$8" max="10" min="4" page="10" val="8"/>
</file>

<file path=xl/ctrlProps/ctrlProp5.xml><?xml version="1.0" encoding="utf-8"?>
<formControlPr xmlns="http://schemas.microsoft.com/office/spreadsheetml/2009/9/main" objectType="Spin" dx="16" fmlaLink="$L$8" max="10" min="3" page="10" val="5"/>
</file>

<file path=xl/ctrlProps/ctrlProp6.xml><?xml version="1.0" encoding="utf-8"?>
<formControlPr xmlns="http://schemas.microsoft.com/office/spreadsheetml/2009/9/main" objectType="Spin" dx="16" fmlaLink="$N$8" inc="100" max="6000" min="2000" page="10" val="5900"/>
</file>

<file path=xl/ctrlProps/ctrlProp7.xml><?xml version="1.0" encoding="utf-8"?>
<formControlPr xmlns="http://schemas.microsoft.com/office/spreadsheetml/2009/9/main" objectType="Spin" dx="16" fmlaLink="$P$8" max="35" min="5" page="10" val="25"/>
</file>

<file path=xl/ctrlProps/ctrlProp8.xml><?xml version="1.0" encoding="utf-8"?>
<formControlPr xmlns="http://schemas.microsoft.com/office/spreadsheetml/2009/9/main" objectType="Spin" dx="16" fmlaLink="$R$8" max="5" page="10" val="3"/>
</file>

<file path=xl/ctrlProps/ctrlProp9.xml><?xml version="1.0" encoding="utf-8"?>
<formControlPr xmlns="http://schemas.microsoft.com/office/spreadsheetml/2009/9/main" objectType="Spin" dx="16" fmlaLink="$T$8" inc="5" max="45" min="20" page="10" val="3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21</xdr:row>
      <xdr:rowOff>33338</xdr:rowOff>
    </xdr:from>
    <xdr:to>
      <xdr:col>22</xdr:col>
      <xdr:colOff>220663</xdr:colOff>
      <xdr:row>42</xdr:row>
      <xdr:rowOff>23813</xdr:rowOff>
    </xdr:to>
    <xdr:graphicFrame macro="">
      <xdr:nvGraphicFramePr>
        <xdr:cNvPr id="206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149019</xdr:colOff>
      <xdr:row>0</xdr:row>
      <xdr:rowOff>25977</xdr:rowOff>
    </xdr:from>
    <xdr:to>
      <xdr:col>22</xdr:col>
      <xdr:colOff>27462</xdr:colOff>
      <xdr:row>2</xdr:row>
      <xdr:rowOff>69273</xdr:rowOff>
    </xdr:to>
    <xdr:pic>
      <xdr:nvPicPr>
        <xdr:cNvPr id="41" name="Picture 1" descr="Follower_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20" t="36710" r="6516" b="21960"/>
        <a:stretch>
          <a:fillRect/>
        </a:stretch>
      </xdr:blipFill>
      <xdr:spPr bwMode="auto">
        <a:xfrm>
          <a:off x="7751701" y="25977"/>
          <a:ext cx="1428420" cy="510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8</xdr:row>
          <xdr:rowOff>76200</xdr:rowOff>
        </xdr:from>
        <xdr:to>
          <xdr:col>1</xdr:col>
          <xdr:colOff>590550</xdr:colOff>
          <xdr:row>10</xdr:row>
          <xdr:rowOff>114300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8</xdr:row>
          <xdr:rowOff>76200</xdr:rowOff>
        </xdr:from>
        <xdr:to>
          <xdr:col>3</xdr:col>
          <xdr:colOff>571500</xdr:colOff>
          <xdr:row>10</xdr:row>
          <xdr:rowOff>114300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8</xdr:row>
          <xdr:rowOff>76200</xdr:rowOff>
        </xdr:from>
        <xdr:to>
          <xdr:col>7</xdr:col>
          <xdr:colOff>571500</xdr:colOff>
          <xdr:row>10</xdr:row>
          <xdr:rowOff>114300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8</xdr:row>
          <xdr:rowOff>76200</xdr:rowOff>
        </xdr:from>
        <xdr:to>
          <xdr:col>9</xdr:col>
          <xdr:colOff>542925</xdr:colOff>
          <xdr:row>10</xdr:row>
          <xdr:rowOff>114300</xdr:rowOff>
        </xdr:to>
        <xdr:sp macro="" textlink="">
          <xdr:nvSpPr>
            <xdr:cNvPr id="2053" name="Spinner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8</xdr:row>
          <xdr:rowOff>76200</xdr:rowOff>
        </xdr:from>
        <xdr:to>
          <xdr:col>11</xdr:col>
          <xdr:colOff>581025</xdr:colOff>
          <xdr:row>10</xdr:row>
          <xdr:rowOff>114300</xdr:rowOff>
        </xdr:to>
        <xdr:sp macro="" textlink="">
          <xdr:nvSpPr>
            <xdr:cNvPr id="2055" name="Spinne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8</xdr:row>
          <xdr:rowOff>76200</xdr:rowOff>
        </xdr:from>
        <xdr:to>
          <xdr:col>13</xdr:col>
          <xdr:colOff>476250</xdr:colOff>
          <xdr:row>10</xdr:row>
          <xdr:rowOff>114300</xdr:rowOff>
        </xdr:to>
        <xdr:sp macro="" textlink="">
          <xdr:nvSpPr>
            <xdr:cNvPr id="2056" name="Spinne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8</xdr:row>
          <xdr:rowOff>76200</xdr:rowOff>
        </xdr:from>
        <xdr:to>
          <xdr:col>15</xdr:col>
          <xdr:colOff>476250</xdr:colOff>
          <xdr:row>10</xdr:row>
          <xdr:rowOff>114300</xdr:rowOff>
        </xdr:to>
        <xdr:sp macro="" textlink="">
          <xdr:nvSpPr>
            <xdr:cNvPr id="2057" name="Spinne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8</xdr:row>
          <xdr:rowOff>76200</xdr:rowOff>
        </xdr:from>
        <xdr:to>
          <xdr:col>17</xdr:col>
          <xdr:colOff>476250</xdr:colOff>
          <xdr:row>10</xdr:row>
          <xdr:rowOff>114300</xdr:rowOff>
        </xdr:to>
        <xdr:sp macro="" textlink="">
          <xdr:nvSpPr>
            <xdr:cNvPr id="2058" name="Spinne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114300</xdr:colOff>
          <xdr:row>8</xdr:row>
          <xdr:rowOff>76200</xdr:rowOff>
        </xdr:from>
        <xdr:to>
          <xdr:col>19</xdr:col>
          <xdr:colOff>581025</xdr:colOff>
          <xdr:row>10</xdr:row>
          <xdr:rowOff>114300</xdr:rowOff>
        </xdr:to>
        <xdr:sp macro="" textlink="">
          <xdr:nvSpPr>
            <xdr:cNvPr id="2059" name="Spinner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76200</xdr:rowOff>
        </xdr:from>
        <xdr:to>
          <xdr:col>1</xdr:col>
          <xdr:colOff>647700</xdr:colOff>
          <xdr:row>19</xdr:row>
          <xdr:rowOff>114300</xdr:rowOff>
        </xdr:to>
        <xdr:sp macro="" textlink="">
          <xdr:nvSpPr>
            <xdr:cNvPr id="2064" name="Spinner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17</xdr:row>
          <xdr:rowOff>76200</xdr:rowOff>
        </xdr:from>
        <xdr:to>
          <xdr:col>3</xdr:col>
          <xdr:colOff>638175</xdr:colOff>
          <xdr:row>19</xdr:row>
          <xdr:rowOff>114300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8</xdr:row>
          <xdr:rowOff>76200</xdr:rowOff>
        </xdr:from>
        <xdr:to>
          <xdr:col>5</xdr:col>
          <xdr:colOff>600075</xdr:colOff>
          <xdr:row>10</xdr:row>
          <xdr:rowOff>114300</xdr:rowOff>
        </xdr:to>
        <xdr:sp macro="" textlink="">
          <xdr:nvSpPr>
            <xdr:cNvPr id="2084" name="Spinner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8</xdr:row>
          <xdr:rowOff>76200</xdr:rowOff>
        </xdr:from>
        <xdr:to>
          <xdr:col>13</xdr:col>
          <xdr:colOff>600075</xdr:colOff>
          <xdr:row>10</xdr:row>
          <xdr:rowOff>114300</xdr:rowOff>
        </xdr:to>
        <xdr:sp macro="" textlink="">
          <xdr:nvSpPr>
            <xdr:cNvPr id="2089" name="Spinner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8</xdr:row>
          <xdr:rowOff>76200</xdr:rowOff>
        </xdr:from>
        <xdr:to>
          <xdr:col>15</xdr:col>
          <xdr:colOff>571500</xdr:colOff>
          <xdr:row>10</xdr:row>
          <xdr:rowOff>114300</xdr:rowOff>
        </xdr:to>
        <xdr:sp macro="" textlink="">
          <xdr:nvSpPr>
            <xdr:cNvPr id="2090" name="Spinner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8</xdr:row>
          <xdr:rowOff>76200</xdr:rowOff>
        </xdr:from>
        <xdr:to>
          <xdr:col>17</xdr:col>
          <xdr:colOff>561975</xdr:colOff>
          <xdr:row>10</xdr:row>
          <xdr:rowOff>114300</xdr:rowOff>
        </xdr:to>
        <xdr:sp macro="" textlink="">
          <xdr:nvSpPr>
            <xdr:cNvPr id="2091" name="Spinner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</xdr:row>
          <xdr:rowOff>161925</xdr:rowOff>
        </xdr:from>
        <xdr:to>
          <xdr:col>21</xdr:col>
          <xdr:colOff>704850</xdr:colOff>
          <xdr:row>11</xdr:row>
          <xdr:rowOff>0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</xdr:row>
          <xdr:rowOff>57150</xdr:rowOff>
        </xdr:from>
        <xdr:to>
          <xdr:col>21</xdr:col>
          <xdr:colOff>590550</xdr:colOff>
          <xdr:row>7</xdr:row>
          <xdr:rowOff>95250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Single 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14</xdr:row>
          <xdr:rowOff>0</xdr:rowOff>
        </xdr:from>
        <xdr:to>
          <xdr:col>7</xdr:col>
          <xdr:colOff>1732</xdr:colOff>
          <xdr:row>20</xdr:row>
          <xdr:rowOff>0</xdr:rowOff>
        </xdr:to>
        <xdr:sp macro="" textlink="">
          <xdr:nvSpPr>
            <xdr:cNvPr id="2096" name="Group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</xdr:row>
          <xdr:rowOff>123825</xdr:rowOff>
        </xdr:from>
        <xdr:to>
          <xdr:col>21</xdr:col>
          <xdr:colOff>647700</xdr:colOff>
          <xdr:row>9</xdr:row>
          <xdr:rowOff>19050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Double 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15</xdr:row>
          <xdr:rowOff>104775</xdr:rowOff>
        </xdr:from>
        <xdr:to>
          <xdr:col>9</xdr:col>
          <xdr:colOff>695325</xdr:colOff>
          <xdr:row>17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Near Surface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17</xdr:row>
          <xdr:rowOff>0</xdr:rowOff>
        </xdr:from>
        <xdr:to>
          <xdr:col>9</xdr:col>
          <xdr:colOff>609600</xdr:colOff>
          <xdr:row>18</xdr:row>
          <xdr:rowOff>57150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Back Wall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18</xdr:row>
          <xdr:rowOff>85725</xdr:rowOff>
        </xdr:from>
        <xdr:to>
          <xdr:col>9</xdr:col>
          <xdr:colOff>609600</xdr:colOff>
          <xdr:row>19</xdr:row>
          <xdr:rowOff>142875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Spatial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66675</xdr:rowOff>
        </xdr:from>
        <xdr:to>
          <xdr:col>7</xdr:col>
          <xdr:colOff>85725</xdr:colOff>
          <xdr:row>16</xdr:row>
          <xdr:rowOff>152400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6 dB Spread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66675</xdr:rowOff>
        </xdr:from>
        <xdr:to>
          <xdr:col>7</xdr:col>
          <xdr:colOff>76200</xdr:colOff>
          <xdr:row>17</xdr:row>
          <xdr:rowOff>142875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20dB Spread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57150</xdr:rowOff>
        </xdr:from>
        <xdr:to>
          <xdr:col>7</xdr:col>
          <xdr:colOff>76200</xdr:colOff>
          <xdr:row>18</xdr:row>
          <xdr:rowOff>133350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Limit Spread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6</xdr:row>
          <xdr:rowOff>0</xdr:rowOff>
        </xdr:from>
        <xdr:to>
          <xdr:col>21</xdr:col>
          <xdr:colOff>704850</xdr:colOff>
          <xdr:row>11</xdr:row>
          <xdr:rowOff>0</xdr:rowOff>
        </xdr:to>
        <xdr:sp macro="" textlink="">
          <xdr:nvSpPr>
            <xdr:cNvPr id="2113" name="Group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57150</xdr:rowOff>
        </xdr:from>
        <xdr:to>
          <xdr:col>7</xdr:col>
          <xdr:colOff>85725</xdr:colOff>
          <xdr:row>19</xdr:row>
          <xdr:rowOff>133350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28575</xdr:rowOff>
        </xdr:from>
        <xdr:to>
          <xdr:col>21</xdr:col>
          <xdr:colOff>685800</xdr:colOff>
          <xdr:row>10</xdr:row>
          <xdr:rowOff>104775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17</xdr:row>
          <xdr:rowOff>28575</xdr:rowOff>
        </xdr:from>
        <xdr:to>
          <xdr:col>21</xdr:col>
          <xdr:colOff>647700</xdr:colOff>
          <xdr:row>18</xdr:row>
          <xdr:rowOff>142875</xdr:rowOff>
        </xdr:to>
        <xdr:sp macro="" textlink="">
          <xdr:nvSpPr>
            <xdr:cNvPr id="2119" name="Spinner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66675</xdr:rowOff>
        </xdr:from>
        <xdr:to>
          <xdr:col>7</xdr:col>
          <xdr:colOff>552450</xdr:colOff>
          <xdr:row>19</xdr:row>
          <xdr:rowOff>123825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511968</xdr:colOff>
      <xdr:row>82</xdr:row>
      <xdr:rowOff>107157</xdr:rowOff>
    </xdr:from>
    <xdr:to>
      <xdr:col>18</xdr:col>
      <xdr:colOff>483393</xdr:colOff>
      <xdr:row>87</xdr:row>
      <xdr:rowOff>35719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82374" y="13775532"/>
          <a:ext cx="2352675" cy="76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214314</xdr:colOff>
      <xdr:row>94</xdr:row>
      <xdr:rowOff>95249</xdr:rowOff>
    </xdr:from>
    <xdr:to>
      <xdr:col>19</xdr:col>
      <xdr:colOff>271463</xdr:colOff>
      <xdr:row>98</xdr:row>
      <xdr:rowOff>161924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84720" y="15763874"/>
          <a:ext cx="3033712" cy="733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7" sqref="A7"/>
    </sheetView>
  </sheetViews>
  <sheetFormatPr defaultRowHeight="12.75" x14ac:dyDescent="0.2"/>
  <cols>
    <col min="1" max="1" width="155.140625" customWidth="1"/>
  </cols>
  <sheetData>
    <row r="1" spans="1:4" ht="26.25" x14ac:dyDescent="0.4">
      <c r="A1" s="57" t="s">
        <v>127</v>
      </c>
      <c r="B1" s="59"/>
      <c r="C1" s="59"/>
      <c r="D1" s="59"/>
    </row>
    <row r="2" spans="1:4" ht="21" x14ac:dyDescent="0.35">
      <c r="A2" s="55" t="s">
        <v>131</v>
      </c>
      <c r="B2" s="56"/>
    </row>
    <row r="3" spans="1:4" ht="21" x14ac:dyDescent="0.35">
      <c r="A3" s="55" t="s">
        <v>128</v>
      </c>
    </row>
    <row r="4" spans="1:4" ht="21" x14ac:dyDescent="0.35">
      <c r="A4" s="55" t="s">
        <v>129</v>
      </c>
    </row>
    <row r="5" spans="1:4" ht="40.5" customHeight="1" x14ac:dyDescent="0.35">
      <c r="A5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43"/>
  <sheetViews>
    <sheetView showGridLines="0" tabSelected="1" zoomScale="90" zoomScaleNormal="90" zoomScaleSheetLayoutView="100" workbookViewId="0">
      <selection activeCell="B17" sqref="B17"/>
    </sheetView>
  </sheetViews>
  <sheetFormatPr defaultRowHeight="12.75" x14ac:dyDescent="0.2"/>
  <cols>
    <col min="1" max="1" width="1.85546875" style="1" customWidth="1"/>
    <col min="2" max="2" width="10.7109375" style="1" customWidth="1"/>
    <col min="3" max="3" width="1.7109375" style="1" customWidth="1"/>
    <col min="4" max="4" width="10.7109375" style="1" customWidth="1"/>
    <col min="5" max="5" width="1.7109375" style="1" customWidth="1"/>
    <col min="6" max="6" width="10.7109375" style="1" customWidth="1"/>
    <col min="7" max="7" width="1.7109375" style="1" customWidth="1"/>
    <col min="8" max="8" width="10.7109375" style="1" customWidth="1"/>
    <col min="9" max="9" width="1.7109375" style="1" customWidth="1"/>
    <col min="10" max="10" width="10.7109375" style="1" customWidth="1"/>
    <col min="11" max="11" width="1.7109375" style="1" customWidth="1"/>
    <col min="12" max="12" width="10.7109375" style="1" customWidth="1"/>
    <col min="13" max="13" width="1.7109375" style="1" customWidth="1"/>
    <col min="14" max="14" width="10.7109375" style="1" customWidth="1"/>
    <col min="15" max="15" width="1.7109375" style="1" customWidth="1"/>
    <col min="16" max="16" width="10.7109375" style="1" customWidth="1"/>
    <col min="17" max="17" width="1.7109375" style="1" customWidth="1"/>
    <col min="18" max="18" width="10.7109375" style="1" customWidth="1"/>
    <col min="19" max="19" width="1.7109375" style="1" customWidth="1"/>
    <col min="20" max="20" width="10.7109375" style="1" customWidth="1"/>
    <col min="21" max="21" width="1.7109375" style="1" customWidth="1"/>
    <col min="22" max="22" width="10.7109375" style="1" customWidth="1"/>
    <col min="23" max="23" width="3.7109375" style="1" customWidth="1"/>
    <col min="24" max="16384" width="9.140625" style="1"/>
  </cols>
  <sheetData>
    <row r="1" spans="1:23" ht="5.45" customHeight="1" thickBo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1"/>
    </row>
    <row r="2" spans="1:23" ht="31.5" customHeight="1" thickBot="1" x14ac:dyDescent="0.45">
      <c r="A2" s="38"/>
      <c r="B2" s="88" t="s">
        <v>35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8"/>
      <c r="P2" s="91" t="s">
        <v>102</v>
      </c>
      <c r="Q2" s="92"/>
      <c r="R2" s="92"/>
      <c r="S2" s="92"/>
      <c r="T2" s="2"/>
      <c r="U2" s="2"/>
      <c r="V2" s="2"/>
      <c r="W2" s="32"/>
    </row>
    <row r="3" spans="1:23" ht="6.75" customHeight="1" thickBot="1" x14ac:dyDescent="0.25">
      <c r="A3" s="3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  <c r="W3" s="39"/>
    </row>
    <row r="4" spans="1:23" ht="16.5" customHeight="1" thickBot="1" x14ac:dyDescent="0.25">
      <c r="A4" s="38"/>
      <c r="B4" s="96" t="s">
        <v>0</v>
      </c>
      <c r="C4" s="97"/>
      <c r="D4" s="97"/>
      <c r="E4" s="97"/>
      <c r="F4" s="98"/>
      <c r="G4" s="9"/>
      <c r="H4" s="96" t="s">
        <v>48</v>
      </c>
      <c r="I4" s="97"/>
      <c r="J4" s="97"/>
      <c r="K4" s="97"/>
      <c r="L4" s="98"/>
      <c r="M4" s="13"/>
      <c r="N4" s="96" t="s">
        <v>1</v>
      </c>
      <c r="O4" s="97"/>
      <c r="P4" s="97"/>
      <c r="Q4" s="97"/>
      <c r="R4" s="97"/>
      <c r="S4" s="97"/>
      <c r="T4" s="97"/>
      <c r="U4" s="97"/>
      <c r="V4" s="98"/>
      <c r="W4" s="40"/>
    </row>
    <row r="5" spans="1:23" ht="6.75" customHeight="1" thickBot="1" x14ac:dyDescent="0.25">
      <c r="A5" s="3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0"/>
      <c r="V5" s="10"/>
      <c r="W5" s="41"/>
    </row>
    <row r="6" spans="1:23" ht="13.5" thickBot="1" x14ac:dyDescent="0.25">
      <c r="A6" s="38"/>
      <c r="B6" s="5" t="s">
        <v>18</v>
      </c>
      <c r="C6" s="42"/>
      <c r="D6" s="5" t="s">
        <v>19</v>
      </c>
      <c r="E6" s="42"/>
      <c r="F6" s="5" t="s">
        <v>68</v>
      </c>
      <c r="G6" s="13"/>
      <c r="H6" s="5" t="s">
        <v>4</v>
      </c>
      <c r="I6" s="13"/>
      <c r="J6" s="5" t="s">
        <v>20</v>
      </c>
      <c r="K6" s="42"/>
      <c r="L6" s="5" t="s">
        <v>126</v>
      </c>
      <c r="M6" s="13"/>
      <c r="N6" s="5" t="s">
        <v>21</v>
      </c>
      <c r="O6" s="42"/>
      <c r="P6" s="5" t="s">
        <v>22</v>
      </c>
      <c r="Q6" s="42"/>
      <c r="R6" s="5" t="s">
        <v>23</v>
      </c>
      <c r="S6" s="42"/>
      <c r="T6" s="5" t="s">
        <v>28</v>
      </c>
      <c r="U6" s="13"/>
      <c r="V6" s="5" t="s">
        <v>71</v>
      </c>
      <c r="W6" s="43"/>
    </row>
    <row r="7" spans="1:23" ht="10.5" customHeight="1" x14ac:dyDescent="0.2">
      <c r="A7" s="38"/>
      <c r="B7" s="6" t="s">
        <v>30</v>
      </c>
      <c r="C7" s="13"/>
      <c r="D7" s="6" t="s">
        <v>25</v>
      </c>
      <c r="E7" s="13"/>
      <c r="F7" s="7" t="s">
        <v>69</v>
      </c>
      <c r="G7" s="13"/>
      <c r="H7" s="6" t="s">
        <v>26</v>
      </c>
      <c r="I7" s="13"/>
      <c r="J7" s="6" t="s">
        <v>25</v>
      </c>
      <c r="K7" s="13"/>
      <c r="L7" s="6" t="s">
        <v>25</v>
      </c>
      <c r="M7" s="13"/>
      <c r="N7" s="6" t="s">
        <v>27</v>
      </c>
      <c r="O7" s="13"/>
      <c r="P7" s="6" t="s">
        <v>25</v>
      </c>
      <c r="Q7" s="13"/>
      <c r="R7" s="6" t="s">
        <v>25</v>
      </c>
      <c r="S7" s="13"/>
      <c r="T7" s="6" t="s">
        <v>26</v>
      </c>
      <c r="U7" s="13"/>
      <c r="V7" s="20"/>
      <c r="W7" s="43"/>
    </row>
    <row r="8" spans="1:23" x14ac:dyDescent="0.2">
      <c r="A8" s="38"/>
      <c r="B8" s="112">
        <v>10</v>
      </c>
      <c r="C8" s="44"/>
      <c r="D8" s="112">
        <v>3</v>
      </c>
      <c r="E8" s="44"/>
      <c r="F8" s="112">
        <f>Data!C7</f>
        <v>1.5</v>
      </c>
      <c r="G8" s="44"/>
      <c r="H8" s="112">
        <v>60</v>
      </c>
      <c r="I8" s="44"/>
      <c r="J8" s="112">
        <v>8</v>
      </c>
      <c r="K8" s="44"/>
      <c r="L8" s="112">
        <v>5</v>
      </c>
      <c r="M8" s="44"/>
      <c r="N8" s="112">
        <v>5900</v>
      </c>
      <c r="O8" s="44"/>
      <c r="P8" s="112">
        <v>25</v>
      </c>
      <c r="Q8" s="44"/>
      <c r="R8" s="112">
        <v>3</v>
      </c>
      <c r="S8" s="44"/>
      <c r="T8" s="112">
        <v>35</v>
      </c>
      <c r="U8" s="13"/>
      <c r="V8" s="21"/>
      <c r="W8" s="43"/>
    </row>
    <row r="9" spans="1:23" x14ac:dyDescent="0.2">
      <c r="A9" s="38"/>
      <c r="B9" s="11"/>
      <c r="C9" s="13"/>
      <c r="D9" s="11"/>
      <c r="E9" s="13"/>
      <c r="F9" s="11"/>
      <c r="G9" s="13"/>
      <c r="H9" s="11"/>
      <c r="I9" s="13"/>
      <c r="J9" s="11"/>
      <c r="K9" s="13"/>
      <c r="L9" s="11"/>
      <c r="M9" s="13"/>
      <c r="N9" s="11"/>
      <c r="O9" s="13"/>
      <c r="P9" s="11"/>
      <c r="Q9" s="13"/>
      <c r="R9" s="11"/>
      <c r="S9" s="13"/>
      <c r="T9" s="11"/>
      <c r="U9" s="24"/>
      <c r="V9" s="22"/>
      <c r="W9" s="43"/>
    </row>
    <row r="10" spans="1:23" x14ac:dyDescent="0.2">
      <c r="A10" s="38"/>
      <c r="B10" s="11"/>
      <c r="C10" s="13"/>
      <c r="D10" s="11"/>
      <c r="E10" s="13"/>
      <c r="F10" s="11"/>
      <c r="G10" s="13"/>
      <c r="H10" s="11"/>
      <c r="I10" s="13"/>
      <c r="J10" s="11"/>
      <c r="K10" s="13"/>
      <c r="L10" s="11"/>
      <c r="M10" s="13"/>
      <c r="N10" s="11"/>
      <c r="O10" s="13"/>
      <c r="P10" s="11"/>
      <c r="Q10" s="13"/>
      <c r="R10" s="11"/>
      <c r="S10" s="13"/>
      <c r="T10" s="11"/>
      <c r="U10" s="24"/>
      <c r="V10" s="22"/>
      <c r="W10" s="43"/>
    </row>
    <row r="11" spans="1:23" ht="13.5" thickBot="1" x14ac:dyDescent="0.25">
      <c r="A11" s="38"/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13"/>
      <c r="P11" s="12"/>
      <c r="Q11" s="13"/>
      <c r="R11" s="12"/>
      <c r="S11" s="13"/>
      <c r="T11" s="12"/>
      <c r="U11" s="24"/>
      <c r="V11" s="23"/>
      <c r="W11" s="43"/>
    </row>
    <row r="12" spans="1:23" ht="6.75" customHeight="1" thickBot="1" x14ac:dyDescent="0.25">
      <c r="A12" s="38"/>
      <c r="B12" s="15"/>
      <c r="C12" s="13"/>
      <c r="D12" s="15"/>
      <c r="E12" s="13"/>
      <c r="F12" s="15"/>
      <c r="G12" s="13"/>
      <c r="H12" s="15"/>
      <c r="I12" s="13"/>
      <c r="J12" s="15"/>
      <c r="K12" s="13"/>
      <c r="L12" s="15"/>
      <c r="M12" s="13"/>
      <c r="N12" s="15"/>
      <c r="O12" s="13"/>
      <c r="P12" s="15"/>
      <c r="Q12" s="13"/>
      <c r="R12" s="15"/>
      <c r="S12" s="13"/>
      <c r="T12" s="15"/>
      <c r="U12" s="24"/>
      <c r="V12" s="18"/>
      <c r="W12" s="43"/>
    </row>
    <row r="13" spans="1:23" ht="13.5" thickBot="1" x14ac:dyDescent="0.25">
      <c r="A13" s="38"/>
      <c r="B13" s="96" t="s">
        <v>72</v>
      </c>
      <c r="C13" s="102"/>
      <c r="D13" s="103"/>
      <c r="E13" s="19"/>
      <c r="F13" s="109" t="s">
        <v>139</v>
      </c>
      <c r="G13" s="102"/>
      <c r="H13" s="102"/>
      <c r="I13" s="102"/>
      <c r="J13" s="103"/>
      <c r="K13" s="30"/>
      <c r="L13" s="96" t="s">
        <v>94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3"/>
      <c r="W13" s="43"/>
    </row>
    <row r="14" spans="1:23" ht="7.5" customHeight="1" thickBot="1" x14ac:dyDescent="0.25">
      <c r="A14" s="38"/>
      <c r="B14" s="53">
        <f>PCS_Input</f>
        <v>57</v>
      </c>
      <c r="C14" s="13"/>
      <c r="D14" s="53">
        <f>Datum_Input</f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43"/>
    </row>
    <row r="15" spans="1:23" ht="13.5" thickBot="1" x14ac:dyDescent="0.25">
      <c r="A15" s="38"/>
      <c r="B15" s="5" t="s">
        <v>31</v>
      </c>
      <c r="C15" s="42"/>
      <c r="D15" s="5" t="s">
        <v>98</v>
      </c>
      <c r="E15" s="42"/>
      <c r="F15" s="107" t="s">
        <v>140</v>
      </c>
      <c r="G15" s="108"/>
      <c r="H15" s="64" t="s">
        <v>138</v>
      </c>
      <c r="I15" s="110" t="s">
        <v>39</v>
      </c>
      <c r="J15" s="111"/>
      <c r="K15" s="2"/>
      <c r="L15" s="93" t="s">
        <v>61</v>
      </c>
      <c r="M15" s="94"/>
      <c r="N15" s="94"/>
      <c r="O15" s="94"/>
      <c r="P15" s="95"/>
      <c r="Q15" s="25"/>
      <c r="R15" s="46" t="s">
        <v>39</v>
      </c>
      <c r="S15" s="25"/>
      <c r="T15" s="5" t="s">
        <v>32</v>
      </c>
      <c r="U15" s="2"/>
      <c r="V15" s="5" t="s">
        <v>93</v>
      </c>
      <c r="W15" s="32"/>
    </row>
    <row r="16" spans="1:23" x14ac:dyDescent="0.2">
      <c r="A16" s="38"/>
      <c r="B16" s="6" t="s">
        <v>25</v>
      </c>
      <c r="C16" s="13"/>
      <c r="D16" s="6" t="s">
        <v>25</v>
      </c>
      <c r="E16" s="13"/>
      <c r="F16" s="84"/>
      <c r="G16" s="85"/>
      <c r="H16" s="21"/>
      <c r="I16" s="49"/>
      <c r="J16" s="34"/>
      <c r="K16" s="2"/>
      <c r="L16" s="99" t="s">
        <v>36</v>
      </c>
      <c r="M16" s="100"/>
      <c r="N16" s="99" t="s">
        <v>62</v>
      </c>
      <c r="O16" s="101"/>
      <c r="P16" s="27" t="s">
        <v>63</v>
      </c>
      <c r="Q16" s="25"/>
      <c r="R16" s="47" t="s">
        <v>95</v>
      </c>
      <c r="S16" s="25"/>
      <c r="T16" s="14" t="s">
        <v>91</v>
      </c>
      <c r="U16" s="2"/>
      <c r="V16" s="27" t="s">
        <v>91</v>
      </c>
      <c r="W16" s="32"/>
    </row>
    <row r="17" spans="1:23" ht="13.5" thickBot="1" x14ac:dyDescent="0.25">
      <c r="A17" s="38"/>
      <c r="B17" s="51">
        <f>PCS</f>
        <v>57</v>
      </c>
      <c r="C17" s="44"/>
      <c r="D17" s="51">
        <f>Datum</f>
        <v>0</v>
      </c>
      <c r="E17" s="13"/>
      <c r="F17" s="84"/>
      <c r="G17" s="85"/>
      <c r="H17" s="58" t="s">
        <v>143</v>
      </c>
      <c r="I17" s="49"/>
      <c r="J17" s="34"/>
      <c r="K17" s="2"/>
      <c r="L17" s="104" t="s">
        <v>118</v>
      </c>
      <c r="M17" s="106"/>
      <c r="N17" s="104" t="s">
        <v>119</v>
      </c>
      <c r="O17" s="105"/>
      <c r="P17" s="29" t="s">
        <v>119</v>
      </c>
      <c r="Q17" s="25"/>
      <c r="R17" s="28">
        <f>Near_Surface_Dead_Zone</f>
        <v>5.0222040169132915</v>
      </c>
      <c r="S17" s="26"/>
      <c r="T17" s="114">
        <f>Focal_Depth</f>
        <v>16.454482671904334</v>
      </c>
      <c r="U17" s="2"/>
      <c r="V17" s="115">
        <f>Data!C65</f>
        <v>10</v>
      </c>
      <c r="W17" s="32"/>
    </row>
    <row r="18" spans="1:23" ht="13.5" thickBot="1" x14ac:dyDescent="0.25">
      <c r="A18" s="38"/>
      <c r="B18" s="11"/>
      <c r="C18" s="13"/>
      <c r="D18" s="11"/>
      <c r="E18" s="13"/>
      <c r="F18" s="84"/>
      <c r="G18" s="85"/>
      <c r="H18" s="58" t="s">
        <v>142</v>
      </c>
      <c r="I18" s="49"/>
      <c r="J18" s="34"/>
      <c r="K18" s="2"/>
      <c r="L18" s="70">
        <f>Wedge_Delay_µs</f>
        <v>4.166666666666667</v>
      </c>
      <c r="M18" s="71"/>
      <c r="N18" s="70">
        <f>Wedge_Delay_µs+Lateral_Wave_Arrival_Time_µs</f>
        <v>13.827683615819211</v>
      </c>
      <c r="O18" s="72"/>
      <c r="P18" s="17">
        <f>Wedge_Delay_µs+BWE_Arrival_Time</f>
        <v>17.017880285153016</v>
      </c>
      <c r="Q18" s="26"/>
      <c r="R18" s="47" t="s">
        <v>96</v>
      </c>
      <c r="S18" s="25"/>
      <c r="T18" s="5" t="s">
        <v>32</v>
      </c>
      <c r="U18" s="2"/>
      <c r="V18" s="60"/>
      <c r="W18" s="32"/>
    </row>
    <row r="19" spans="1:23" ht="13.5" thickBot="1" x14ac:dyDescent="0.25">
      <c r="A19" s="38"/>
      <c r="B19" s="11"/>
      <c r="C19" s="13"/>
      <c r="D19" s="11"/>
      <c r="E19" s="13"/>
      <c r="F19" s="84"/>
      <c r="G19" s="85"/>
      <c r="H19" s="21"/>
      <c r="I19" s="49"/>
      <c r="J19" s="34"/>
      <c r="K19" s="2"/>
      <c r="L19" s="73" t="s">
        <v>64</v>
      </c>
      <c r="M19" s="79"/>
      <c r="N19" s="73" t="s">
        <v>64</v>
      </c>
      <c r="O19" s="74"/>
      <c r="P19" s="24"/>
      <c r="Q19" s="24"/>
      <c r="R19" s="17">
        <f>BWE_Dead_Zone</f>
        <v>0.66606927841626984</v>
      </c>
      <c r="S19" s="26"/>
      <c r="T19" s="14" t="s">
        <v>92</v>
      </c>
      <c r="U19" s="13"/>
      <c r="V19" s="61"/>
      <c r="W19" s="43"/>
    </row>
    <row r="20" spans="1:23" ht="13.5" thickBot="1" x14ac:dyDescent="0.25">
      <c r="A20" s="38"/>
      <c r="B20" s="12"/>
      <c r="C20" s="13"/>
      <c r="D20" s="12"/>
      <c r="E20" s="13"/>
      <c r="F20" s="86"/>
      <c r="G20" s="87"/>
      <c r="H20" s="63"/>
      <c r="I20" s="50"/>
      <c r="J20" s="35"/>
      <c r="K20" s="2"/>
      <c r="L20" s="80" t="s">
        <v>119</v>
      </c>
      <c r="M20" s="81"/>
      <c r="N20" s="75" t="s">
        <v>47</v>
      </c>
      <c r="O20" s="76"/>
      <c r="P20" s="24"/>
      <c r="Q20" s="24"/>
      <c r="R20" s="48" t="s">
        <v>97</v>
      </c>
      <c r="S20" s="25"/>
      <c r="T20" s="16">
        <f>Focal_Percentage</f>
        <v>0.65817930687617332</v>
      </c>
      <c r="U20" s="13"/>
      <c r="V20" s="65" t="s">
        <v>130</v>
      </c>
      <c r="W20" s="43"/>
    </row>
    <row r="21" spans="1:23" ht="13.5" thickBot="1" x14ac:dyDescent="0.25">
      <c r="A21" s="38"/>
      <c r="B21" s="54" t="s">
        <v>124</v>
      </c>
      <c r="C21" s="13"/>
      <c r="D21" s="13"/>
      <c r="E21" s="13"/>
      <c r="F21" s="13"/>
      <c r="G21" s="13"/>
      <c r="H21" s="13"/>
      <c r="I21" s="13"/>
      <c r="J21" s="2"/>
      <c r="K21" s="2"/>
      <c r="L21" s="82">
        <f>Data!C61</f>
        <v>3.1901966693338046</v>
      </c>
      <c r="M21" s="83"/>
      <c r="N21" s="77">
        <f>Data!C70</f>
        <v>31.90196669333805</v>
      </c>
      <c r="O21" s="78"/>
      <c r="P21" s="24"/>
      <c r="Q21" s="24"/>
      <c r="R21" s="17">
        <f>Spatial_Resolution</f>
        <v>1.2661387821939236</v>
      </c>
      <c r="S21" s="25"/>
      <c r="T21" s="13"/>
      <c r="U21" s="13"/>
      <c r="V21" s="17">
        <f>TOF_to_Flaw_Tip+Wedge_Delay_µs</f>
        <v>14.405133317879518</v>
      </c>
      <c r="W21" s="43"/>
    </row>
    <row r="22" spans="1:23" x14ac:dyDescent="0.2">
      <c r="A22" s="38"/>
      <c r="B22" s="5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43"/>
    </row>
    <row r="23" spans="1:23" x14ac:dyDescent="0.2">
      <c r="A23" s="3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53">
        <f>Flaw_Depth</f>
        <v>10</v>
      </c>
      <c r="W23" s="43"/>
    </row>
    <row r="24" spans="1:23" x14ac:dyDescent="0.2">
      <c r="A24" s="3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43"/>
    </row>
    <row r="25" spans="1:23" x14ac:dyDescent="0.2">
      <c r="A25" s="3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3"/>
    </row>
    <row r="26" spans="1:23" x14ac:dyDescent="0.2">
      <c r="A26" s="3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43"/>
    </row>
    <row r="27" spans="1:23" x14ac:dyDescent="0.2">
      <c r="A27" s="3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43"/>
    </row>
    <row r="28" spans="1:23" x14ac:dyDescent="0.2">
      <c r="A28" s="3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43"/>
    </row>
    <row r="29" spans="1:23" x14ac:dyDescent="0.2">
      <c r="A29" s="3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3"/>
    </row>
    <row r="30" spans="1:23" x14ac:dyDescent="0.2">
      <c r="A30" s="3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43"/>
    </row>
    <row r="31" spans="1:23" x14ac:dyDescent="0.2">
      <c r="A31" s="3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43"/>
    </row>
    <row r="32" spans="1:23" x14ac:dyDescent="0.2">
      <c r="A32" s="3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43"/>
    </row>
    <row r="33" spans="1:23" x14ac:dyDescent="0.2">
      <c r="A33" s="3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43"/>
    </row>
    <row r="34" spans="1:23" x14ac:dyDescent="0.2">
      <c r="A34" s="3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43"/>
    </row>
    <row r="35" spans="1:23" x14ac:dyDescent="0.2">
      <c r="A35" s="3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43"/>
    </row>
    <row r="36" spans="1:23" x14ac:dyDescent="0.2">
      <c r="A36" s="3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43"/>
    </row>
    <row r="37" spans="1:23" x14ac:dyDescent="0.2">
      <c r="A37" s="3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43"/>
    </row>
    <row r="38" spans="1:23" x14ac:dyDescent="0.2">
      <c r="A38" s="38"/>
      <c r="B38" s="13"/>
      <c r="C38" s="13"/>
      <c r="D38" s="13"/>
      <c r="E38" s="13"/>
      <c r="F38" s="66"/>
      <c r="G38" s="66"/>
      <c r="H38" s="66"/>
      <c r="I38" s="66"/>
      <c r="J38" s="66"/>
      <c r="K38" s="67"/>
      <c r="L38" s="68"/>
      <c r="M38" s="68"/>
      <c r="N38" s="68"/>
      <c r="O38" s="13"/>
      <c r="P38" s="13"/>
      <c r="Q38" s="13"/>
      <c r="R38" s="13"/>
      <c r="S38" s="13"/>
      <c r="T38" s="13"/>
      <c r="U38" s="13"/>
      <c r="V38" s="13"/>
      <c r="W38" s="43"/>
    </row>
    <row r="39" spans="1:23" x14ac:dyDescent="0.2">
      <c r="A39" s="38"/>
      <c r="B39" s="13"/>
      <c r="C39" s="13"/>
      <c r="D39" s="13"/>
      <c r="E39" s="13"/>
      <c r="F39" s="66"/>
      <c r="G39" s="66"/>
      <c r="H39" s="66"/>
      <c r="I39" s="66"/>
      <c r="J39" s="66"/>
      <c r="K39" s="68"/>
      <c r="L39" s="68"/>
      <c r="M39" s="68"/>
      <c r="N39" s="68"/>
      <c r="O39" s="13"/>
      <c r="P39" s="13"/>
      <c r="Q39" s="13"/>
      <c r="R39" s="13"/>
      <c r="S39" s="13"/>
      <c r="T39" s="13"/>
      <c r="U39" s="13"/>
      <c r="V39" s="13"/>
      <c r="W39" s="43"/>
    </row>
    <row r="40" spans="1:23" ht="15.75" x14ac:dyDescent="0.2">
      <c r="A40" s="38"/>
      <c r="B40" s="13"/>
      <c r="C40" s="13"/>
      <c r="D40" s="13"/>
      <c r="E40" s="13"/>
      <c r="F40" s="69"/>
      <c r="G40" s="69"/>
      <c r="H40" s="69"/>
      <c r="I40" s="69"/>
      <c r="J40" s="69"/>
      <c r="K40" s="68"/>
      <c r="L40" s="68"/>
      <c r="M40" s="68"/>
      <c r="N40" s="68"/>
      <c r="O40" s="13"/>
      <c r="P40" s="13"/>
      <c r="Q40" s="13"/>
      <c r="R40" s="13"/>
      <c r="S40" s="13"/>
      <c r="T40" s="13"/>
      <c r="U40" s="13"/>
      <c r="V40" s="13"/>
      <c r="W40" s="43"/>
    </row>
    <row r="41" spans="1:23" x14ac:dyDescent="0.2">
      <c r="A41" s="38"/>
      <c r="B41" s="2"/>
      <c r="C41" s="2"/>
      <c r="D41" s="2"/>
      <c r="E41" s="2"/>
      <c r="F41" s="3"/>
      <c r="G41" s="2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2"/>
    </row>
    <row r="42" spans="1:23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2"/>
    </row>
    <row r="43" spans="1:23" ht="13.5" thickBot="1" x14ac:dyDescent="0.25">
      <c r="A43" s="45"/>
      <c r="B43" s="113" t="s">
        <v>153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33"/>
    </row>
  </sheetData>
  <sheetProtection algorithmName="SHA-512" hashValue="f/gbm3TbPR0N+XPo377w11/GLOXJlwZY+Mn1txEaS04gLa/d6Bp1mHfQA2QUcm9AUJebbW61mPCgtiQ0nQyGjw==" saltValue="cAG5FnYanUX7wROh5n0GkQ==" spinCount="100000" sheet="1" selectLockedCells="1"/>
  <mergeCells count="33">
    <mergeCell ref="B43:V43"/>
    <mergeCell ref="L16:M16"/>
    <mergeCell ref="N16:O16"/>
    <mergeCell ref="B13:D13"/>
    <mergeCell ref="N17:O17"/>
    <mergeCell ref="L17:M17"/>
    <mergeCell ref="F15:G15"/>
    <mergeCell ref="F16:G16"/>
    <mergeCell ref="L13:V13"/>
    <mergeCell ref="F13:J13"/>
    <mergeCell ref="F17:G17"/>
    <mergeCell ref="I15:J15"/>
    <mergeCell ref="B2:N2"/>
    <mergeCell ref="P2:S2"/>
    <mergeCell ref="L15:P15"/>
    <mergeCell ref="B4:F4"/>
    <mergeCell ref="H4:L4"/>
    <mergeCell ref="N4:V4"/>
    <mergeCell ref="F38:J38"/>
    <mergeCell ref="K38:N40"/>
    <mergeCell ref="F39:J39"/>
    <mergeCell ref="F40:J40"/>
    <mergeCell ref="L18:M18"/>
    <mergeCell ref="N18:O18"/>
    <mergeCell ref="N19:O19"/>
    <mergeCell ref="N20:O20"/>
    <mergeCell ref="N21:O21"/>
    <mergeCell ref="L19:M19"/>
    <mergeCell ref="L20:M20"/>
    <mergeCell ref="L21:M21"/>
    <mergeCell ref="F18:G18"/>
    <mergeCell ref="F19:G19"/>
    <mergeCell ref="F20:G20"/>
  </mergeCells>
  <phoneticPr fontId="2" type="noConversion"/>
  <conditionalFormatting sqref="B15">
    <cfRule type="expression" dxfId="2" priority="5">
      <formula>$B$14&lt;$B$17</formula>
    </cfRule>
  </conditionalFormatting>
  <conditionalFormatting sqref="D15">
    <cfRule type="expression" dxfId="1" priority="2">
      <formula>$D$17&lt;$D$14</formula>
    </cfRule>
  </conditionalFormatting>
  <conditionalFormatting sqref="V17">
    <cfRule type="expression" dxfId="0" priority="1">
      <formula>$V$17&lt;&gt;$V$23</formula>
    </cfRule>
  </conditionalFormatting>
  <pageMargins left="0.39" right="0.39" top="0.36" bottom="0.37" header="0.24" footer="0.24"/>
  <pageSetup paperSize="9" orientation="landscape" horizontalDpi="4294967293" verticalDpi="4294967293" r:id="rId1"/>
  <headerFooter alignWithMargins="0"/>
  <ignoredErrors>
    <ignoredError sqref="T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pinner 2">
              <controlPr locked="0" defaultSize="0" autoPict="0">
                <anchor moveWithCells="1" siz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1</xdr:col>
                    <xdr:colOff>590550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locked="0" defaultSize="0" autoPict="0">
                <anchor moveWithCells="1" sizeWithCells="1">
                  <from>
                    <xdr:col>3</xdr:col>
                    <xdr:colOff>114300</xdr:colOff>
                    <xdr:row>8</xdr:row>
                    <xdr:rowOff>76200</xdr:rowOff>
                  </from>
                  <to>
                    <xdr:col>3</xdr:col>
                    <xdr:colOff>571500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Spinner 4">
              <controlPr locked="0" defaultSize="0" autoPict="0">
                <anchor moveWithCells="1" sizeWithCells="1">
                  <from>
                    <xdr:col>7</xdr:col>
                    <xdr:colOff>114300</xdr:colOff>
                    <xdr:row>8</xdr:row>
                    <xdr:rowOff>76200</xdr:rowOff>
                  </from>
                  <to>
                    <xdr:col>7</xdr:col>
                    <xdr:colOff>571500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Spinner 5">
              <controlPr locked="0" defaultSize="0" autoPict="0">
                <anchor moveWithCells="1" sizeWithCells="1">
                  <from>
                    <xdr:col>9</xdr:col>
                    <xdr:colOff>114300</xdr:colOff>
                    <xdr:row>8</xdr:row>
                    <xdr:rowOff>76200</xdr:rowOff>
                  </from>
                  <to>
                    <xdr:col>9</xdr:col>
                    <xdr:colOff>542925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Spinner 7">
              <controlPr locked="0" defaultSize="0" autoPict="0">
                <anchor moveWithCells="1" sizeWithCells="1">
                  <from>
                    <xdr:col>11</xdr:col>
                    <xdr:colOff>114300</xdr:colOff>
                    <xdr:row>8</xdr:row>
                    <xdr:rowOff>76200</xdr:rowOff>
                  </from>
                  <to>
                    <xdr:col>11</xdr:col>
                    <xdr:colOff>581025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Spinner 8">
              <controlPr defaultSize="0" autoPict="0">
                <anchor moveWithCells="1" sizeWithCells="1">
                  <from>
                    <xdr:col>13</xdr:col>
                    <xdr:colOff>114300</xdr:colOff>
                    <xdr:row>8</xdr:row>
                    <xdr:rowOff>76200</xdr:rowOff>
                  </from>
                  <to>
                    <xdr:col>13</xdr:col>
                    <xdr:colOff>476250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Spinner 9">
              <controlPr defaultSize="0" autoPict="0">
                <anchor moveWithCells="1" sizeWithCells="1">
                  <from>
                    <xdr:col>15</xdr:col>
                    <xdr:colOff>114300</xdr:colOff>
                    <xdr:row>8</xdr:row>
                    <xdr:rowOff>76200</xdr:rowOff>
                  </from>
                  <to>
                    <xdr:col>15</xdr:col>
                    <xdr:colOff>476250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Spinner 10">
              <controlPr defaultSize="0" autoPict="0">
                <anchor moveWithCells="1" sizeWithCells="1">
                  <from>
                    <xdr:col>17</xdr:col>
                    <xdr:colOff>114300</xdr:colOff>
                    <xdr:row>8</xdr:row>
                    <xdr:rowOff>76200</xdr:rowOff>
                  </from>
                  <to>
                    <xdr:col>17</xdr:col>
                    <xdr:colOff>476250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Spinner 11">
              <controlPr locked="0" defaultSize="0" autoPict="0">
                <anchor moveWithCells="1" sizeWithCells="1">
                  <from>
                    <xdr:col>19</xdr:col>
                    <xdr:colOff>114300</xdr:colOff>
                    <xdr:row>8</xdr:row>
                    <xdr:rowOff>76200</xdr:rowOff>
                  </from>
                  <to>
                    <xdr:col>19</xdr:col>
                    <xdr:colOff>581025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Spinner 16">
              <controlPr locked="0" defaultSize="0" autoPict="0">
                <anchor moveWithCells="1" sizeWithCells="1">
                  <from>
                    <xdr:col>1</xdr:col>
                    <xdr:colOff>57150</xdr:colOff>
                    <xdr:row>17</xdr:row>
                    <xdr:rowOff>76200</xdr:rowOff>
                  </from>
                  <to>
                    <xdr:col>1</xdr:col>
                    <xdr:colOff>647700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4" name="Spinner 31">
              <controlPr locked="0" defaultSize="0" autoPict="0">
                <anchor moveWithCells="1" sizeWithCells="1">
                  <from>
                    <xdr:col>3</xdr:col>
                    <xdr:colOff>76200</xdr:colOff>
                    <xdr:row>17</xdr:row>
                    <xdr:rowOff>76200</xdr:rowOff>
                  </from>
                  <to>
                    <xdr:col>3</xdr:col>
                    <xdr:colOff>638175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Spinner 36">
              <controlPr locked="0" defaultSize="0" autoPict="0">
                <anchor moveWithCells="1" sizeWithCells="1">
                  <from>
                    <xdr:col>5</xdr:col>
                    <xdr:colOff>161925</xdr:colOff>
                    <xdr:row>8</xdr:row>
                    <xdr:rowOff>76200</xdr:rowOff>
                  </from>
                  <to>
                    <xdr:col>5</xdr:col>
                    <xdr:colOff>600075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6" name="Spinner 41">
              <controlPr locked="0" defaultSize="0" autoPict="0">
                <anchor moveWithCells="1" sizeWithCells="1">
                  <from>
                    <xdr:col>13</xdr:col>
                    <xdr:colOff>114300</xdr:colOff>
                    <xdr:row>8</xdr:row>
                    <xdr:rowOff>76200</xdr:rowOff>
                  </from>
                  <to>
                    <xdr:col>13</xdr:col>
                    <xdr:colOff>600075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Spinner 42">
              <controlPr locked="0" defaultSize="0" autoPict="0">
                <anchor moveWithCells="1" sizeWithCells="1">
                  <from>
                    <xdr:col>15</xdr:col>
                    <xdr:colOff>114300</xdr:colOff>
                    <xdr:row>8</xdr:row>
                    <xdr:rowOff>76200</xdr:rowOff>
                  </from>
                  <to>
                    <xdr:col>15</xdr:col>
                    <xdr:colOff>571500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Spinner 43">
              <controlPr locked="0" defaultSize="0" autoPict="0">
                <anchor moveWithCells="1" sizeWithCells="1">
                  <from>
                    <xdr:col>17</xdr:col>
                    <xdr:colOff>114300</xdr:colOff>
                    <xdr:row>8</xdr:row>
                    <xdr:rowOff>76200</xdr:rowOff>
                  </from>
                  <to>
                    <xdr:col>17</xdr:col>
                    <xdr:colOff>561975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Group Box 45">
              <controlPr defaultSize="0" autoFill="0" autoPict="0">
                <anchor moveWithCells="1">
                  <from>
                    <xdr:col>21</xdr:col>
                    <xdr:colOff>0</xdr:colOff>
                    <xdr:row>5</xdr:row>
                    <xdr:rowOff>161925</xdr:rowOff>
                  </from>
                  <to>
                    <xdr:col>21</xdr:col>
                    <xdr:colOff>704850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Option Button 46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6</xdr:row>
                    <xdr:rowOff>57150</xdr:rowOff>
                  </from>
                  <to>
                    <xdr:col>21</xdr:col>
                    <xdr:colOff>590550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1" name="Group Box 48">
              <controlPr defaultSize="0" autoFill="0" autoPict="0">
                <anchor moveWithCells="1">
                  <from>
                    <xdr:col>4</xdr:col>
                    <xdr:colOff>95250</xdr:colOff>
                    <xdr:row>14</xdr:row>
                    <xdr:rowOff>0</xdr:rowOff>
                  </from>
                  <to>
                    <xdr:col>6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2" name="Option Button 49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7</xdr:row>
                    <xdr:rowOff>123825</xdr:rowOff>
                  </from>
                  <to>
                    <xdr:col>21</xdr:col>
                    <xdr:colOff>647700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3" name="Check Box 50">
              <controlPr locked="0" defaultSize="0" autoFill="0" autoLine="0" autoPict="0">
                <anchor moveWithCells="1">
                  <from>
                    <xdr:col>7</xdr:col>
                    <xdr:colOff>695325</xdr:colOff>
                    <xdr:row>15</xdr:row>
                    <xdr:rowOff>104775</xdr:rowOff>
                  </from>
                  <to>
                    <xdr:col>9</xdr:col>
                    <xdr:colOff>695325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4" name="Check Box 51">
              <controlPr locked="0" defaultSize="0" autoFill="0" autoLine="0" autoPict="0">
                <anchor moveWithCells="1">
                  <from>
                    <xdr:col>7</xdr:col>
                    <xdr:colOff>695325</xdr:colOff>
                    <xdr:row>17</xdr:row>
                    <xdr:rowOff>0</xdr:rowOff>
                  </from>
                  <to>
                    <xdr:col>9</xdr:col>
                    <xdr:colOff>609600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Check Box 53">
              <controlPr locked="0" defaultSize="0" autoFill="0" autoLine="0" autoPict="0">
                <anchor moveWithCells="1">
                  <from>
                    <xdr:col>7</xdr:col>
                    <xdr:colOff>695325</xdr:colOff>
                    <xdr:row>18</xdr:row>
                    <xdr:rowOff>85725</xdr:rowOff>
                  </from>
                  <to>
                    <xdr:col>9</xdr:col>
                    <xdr:colOff>609600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6" name="Option Button 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66675</xdr:rowOff>
                  </from>
                  <to>
                    <xdr:col>7</xdr:col>
                    <xdr:colOff>85725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7" name="Option Button 58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16</xdr:row>
                    <xdr:rowOff>66675</xdr:rowOff>
                  </from>
                  <to>
                    <xdr:col>7</xdr:col>
                    <xdr:colOff>76200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8" name="Option Button 60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57150</xdr:rowOff>
                  </from>
                  <to>
                    <xdr:col>7</xdr:col>
                    <xdr:colOff>76200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9" name="Group Box 65">
              <controlPr defaultSize="0" autoFill="0" autoPict="0">
                <anchor moveWithCells="1">
                  <from>
                    <xdr:col>20</xdr:col>
                    <xdr:colOff>95250</xdr:colOff>
                    <xdr:row>6</xdr:row>
                    <xdr:rowOff>0</xdr:rowOff>
                  </from>
                  <to>
                    <xdr:col>21</xdr:col>
                    <xdr:colOff>704850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0" name="Option Button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57150</xdr:rowOff>
                  </from>
                  <to>
                    <xdr:col>7</xdr:col>
                    <xdr:colOff>85725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1" name="Check Box 68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28575</xdr:rowOff>
                  </from>
                  <to>
                    <xdr:col>21</xdr:col>
                    <xdr:colOff>685800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2" name="Spinner 71">
              <controlPr locked="0" defaultSize="0" autoPict="0">
                <anchor moveWithCells="1" sizeWithCells="1">
                  <from>
                    <xdr:col>21</xdr:col>
                    <xdr:colOff>57150</xdr:colOff>
                    <xdr:row>17</xdr:row>
                    <xdr:rowOff>28575</xdr:rowOff>
                  </from>
                  <to>
                    <xdr:col>21</xdr:col>
                    <xdr:colOff>647700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3" name="Check Box 72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17</xdr:row>
                    <xdr:rowOff>66675</xdr:rowOff>
                  </from>
                  <to>
                    <xdr:col>7</xdr:col>
                    <xdr:colOff>552450</xdr:colOff>
                    <xdr:row>19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12"/>
  <sheetViews>
    <sheetView zoomScale="80" zoomScaleNormal="80" workbookViewId="0">
      <selection activeCell="F118" sqref="F118"/>
    </sheetView>
  </sheetViews>
  <sheetFormatPr defaultColWidth="8.85546875" defaultRowHeight="12.75" x14ac:dyDescent="0.2"/>
  <cols>
    <col min="1" max="1" width="4.140625" style="118" customWidth="1"/>
    <col min="2" max="2" width="28.5703125" style="118" customWidth="1"/>
    <col min="3" max="3" width="14.28515625" style="147" customWidth="1"/>
    <col min="4" max="9" width="8.85546875" style="118"/>
    <col min="10" max="10" width="21.42578125" style="118" customWidth="1"/>
    <col min="11" max="11" width="8.85546875" style="118"/>
    <col min="12" max="12" width="14.28515625" style="119" customWidth="1"/>
    <col min="13" max="18" width="8.85546875" style="119"/>
    <col min="19" max="16384" width="8.85546875" style="118"/>
  </cols>
  <sheetData>
    <row r="1" spans="1:20" x14ac:dyDescent="0.2">
      <c r="A1" s="116"/>
      <c r="B1" s="116"/>
      <c r="C1" s="117"/>
    </row>
    <row r="2" spans="1:20" ht="13.5" thickBot="1" x14ac:dyDescent="0.25">
      <c r="A2" s="120"/>
      <c r="C2" s="117"/>
      <c r="D2" s="121" t="s">
        <v>112</v>
      </c>
      <c r="E2" s="121"/>
      <c r="F2" s="121"/>
      <c r="G2" s="121"/>
      <c r="H2" s="121"/>
      <c r="I2" s="121"/>
      <c r="J2" s="121"/>
      <c r="L2" s="122" t="s">
        <v>73</v>
      </c>
      <c r="M2" s="122"/>
      <c r="N2" s="122"/>
      <c r="O2" s="122"/>
      <c r="P2" s="122" t="s">
        <v>112</v>
      </c>
      <c r="Q2" s="122"/>
      <c r="R2" s="122"/>
      <c r="S2" s="122"/>
      <c r="T2" s="122"/>
    </row>
    <row r="3" spans="1:20" x14ac:dyDescent="0.2">
      <c r="A3" s="123" t="s">
        <v>0</v>
      </c>
      <c r="B3" s="124"/>
      <c r="C3" s="125"/>
      <c r="D3" s="126"/>
      <c r="E3" s="126"/>
      <c r="F3" s="126"/>
      <c r="G3" s="126"/>
      <c r="H3" s="126"/>
      <c r="I3" s="126"/>
      <c r="J3" s="127"/>
      <c r="L3" s="128" t="s">
        <v>5</v>
      </c>
      <c r="M3" s="129" t="s">
        <v>6</v>
      </c>
      <c r="N3" s="129" t="s">
        <v>7</v>
      </c>
      <c r="O3" s="129" t="s">
        <v>74</v>
      </c>
      <c r="P3" s="130" t="s">
        <v>111</v>
      </c>
      <c r="Q3" s="130"/>
      <c r="R3" s="130"/>
      <c r="S3" s="130"/>
      <c r="T3" s="131"/>
    </row>
    <row r="4" spans="1:20" x14ac:dyDescent="0.2">
      <c r="A4" s="132"/>
      <c r="B4" s="116" t="s">
        <v>50</v>
      </c>
      <c r="C4" s="117">
        <f>Input_Frequency</f>
        <v>10</v>
      </c>
      <c r="D4" s="133"/>
      <c r="E4" s="133"/>
      <c r="F4" s="133"/>
      <c r="G4" s="133"/>
      <c r="H4" s="133"/>
      <c r="I4" s="133"/>
      <c r="J4" s="134"/>
      <c r="L4" s="135" t="s">
        <v>9</v>
      </c>
      <c r="M4" s="136">
        <v>0</v>
      </c>
      <c r="N4" s="136">
        <f>(-TAN(RADIANS(Angle))*M4)-HALFPCS</f>
        <v>-28.5</v>
      </c>
      <c r="O4" s="136">
        <f>N4+Datum</f>
        <v>-28.5</v>
      </c>
      <c r="P4" s="137"/>
      <c r="Q4" s="137"/>
      <c r="R4" s="137"/>
      <c r="S4" s="137"/>
      <c r="T4" s="138"/>
    </row>
    <row r="5" spans="1:20" x14ac:dyDescent="0.2">
      <c r="A5" s="132"/>
      <c r="B5" s="116" t="s">
        <v>51</v>
      </c>
      <c r="C5" s="117">
        <f>Input_Diameter</f>
        <v>3</v>
      </c>
      <c r="D5" s="133"/>
      <c r="E5" s="133"/>
      <c r="F5" s="133"/>
      <c r="G5" s="133"/>
      <c r="H5" s="133"/>
      <c r="I5" s="133"/>
      <c r="J5" s="134"/>
      <c r="L5" s="135" t="s">
        <v>10</v>
      </c>
      <c r="M5" s="136">
        <f>-TAN(RADIANS(90-Angle))*HALFPCS</f>
        <v>-16.454482671904334</v>
      </c>
      <c r="N5" s="136">
        <f>(TAN(RADIANS(Angle))*-M5)-HALFPCS</f>
        <v>0</v>
      </c>
      <c r="O5" s="136">
        <f>N5+Datum</f>
        <v>0</v>
      </c>
      <c r="P5" s="137"/>
      <c r="Q5" s="137"/>
      <c r="R5" s="137"/>
      <c r="S5" s="137"/>
      <c r="T5" s="138"/>
    </row>
    <row r="6" spans="1:20" x14ac:dyDescent="0.2">
      <c r="A6" s="132"/>
      <c r="B6" s="116" t="s">
        <v>113</v>
      </c>
      <c r="C6" s="117">
        <v>15</v>
      </c>
      <c r="D6" s="133" t="s">
        <v>114</v>
      </c>
      <c r="E6" s="133"/>
      <c r="F6" s="133"/>
      <c r="G6" s="133"/>
      <c r="H6" s="133"/>
      <c r="I6" s="133"/>
      <c r="J6" s="134"/>
      <c r="L6" s="135"/>
      <c r="M6" s="139"/>
      <c r="N6" s="139"/>
      <c r="O6" s="136"/>
      <c r="P6" s="137"/>
      <c r="Q6" s="137"/>
      <c r="R6" s="137"/>
      <c r="S6" s="137"/>
      <c r="T6" s="138"/>
    </row>
    <row r="7" spans="1:20" x14ac:dyDescent="0.2">
      <c r="A7" s="132"/>
      <c r="B7" s="116" t="s">
        <v>70</v>
      </c>
      <c r="C7" s="117">
        <f>C6/10</f>
        <v>1.5</v>
      </c>
      <c r="D7" s="133" t="s">
        <v>120</v>
      </c>
      <c r="E7" s="133"/>
      <c r="F7" s="133"/>
      <c r="G7" s="133"/>
      <c r="H7" s="133"/>
      <c r="I7" s="133"/>
      <c r="J7" s="134"/>
      <c r="L7" s="140" t="s">
        <v>11</v>
      </c>
      <c r="M7" s="139" t="s">
        <v>6</v>
      </c>
      <c r="N7" s="139" t="s">
        <v>7</v>
      </c>
      <c r="O7" s="136"/>
      <c r="P7" s="137"/>
      <c r="Q7" s="137"/>
      <c r="R7" s="137"/>
      <c r="S7" s="137"/>
      <c r="T7" s="138"/>
    </row>
    <row r="8" spans="1:20" x14ac:dyDescent="0.2">
      <c r="A8" s="132"/>
      <c r="B8" s="116"/>
      <c r="C8" s="117"/>
      <c r="D8" s="133"/>
      <c r="E8" s="133"/>
      <c r="F8" s="133"/>
      <c r="G8" s="133"/>
      <c r="H8" s="133"/>
      <c r="I8" s="133"/>
      <c r="J8" s="134"/>
      <c r="L8" s="135" t="s">
        <v>9</v>
      </c>
      <c r="M8" s="136">
        <f>M4</f>
        <v>0</v>
      </c>
      <c r="N8" s="136">
        <f>-N4</f>
        <v>28.5</v>
      </c>
      <c r="O8" s="136">
        <f>N8+Datum</f>
        <v>28.5</v>
      </c>
      <c r="P8" s="137"/>
      <c r="Q8" s="137"/>
      <c r="R8" s="137"/>
      <c r="S8" s="137"/>
      <c r="T8" s="138"/>
    </row>
    <row r="9" spans="1:20" x14ac:dyDescent="0.2">
      <c r="A9" s="132"/>
      <c r="B9" s="120" t="s">
        <v>48</v>
      </c>
      <c r="C9" s="117"/>
      <c r="D9" s="133"/>
      <c r="E9" s="133"/>
      <c r="F9" s="133"/>
      <c r="G9" s="133"/>
      <c r="H9" s="133"/>
      <c r="I9" s="133"/>
      <c r="J9" s="134"/>
      <c r="L9" s="135" t="s">
        <v>10</v>
      </c>
      <c r="M9" s="136">
        <f>M5</f>
        <v>-16.454482671904334</v>
      </c>
      <c r="N9" s="136">
        <f>-N5</f>
        <v>0</v>
      </c>
      <c r="O9" s="136">
        <f>N9+Datum</f>
        <v>0</v>
      </c>
      <c r="P9" s="137"/>
      <c r="Q9" s="137"/>
      <c r="R9" s="137"/>
      <c r="S9" s="137"/>
      <c r="T9" s="138"/>
    </row>
    <row r="10" spans="1:20" x14ac:dyDescent="0.2">
      <c r="A10" s="132"/>
      <c r="B10" s="116" t="s">
        <v>52</v>
      </c>
      <c r="C10" s="117">
        <f>Input_Index</f>
        <v>8</v>
      </c>
      <c r="D10" s="133"/>
      <c r="E10" s="133"/>
      <c r="F10" s="133"/>
      <c r="G10" s="133"/>
      <c r="H10" s="133"/>
      <c r="I10" s="133"/>
      <c r="J10" s="134"/>
      <c r="L10" s="135"/>
      <c r="M10" s="139"/>
      <c r="N10" s="139"/>
      <c r="O10" s="136"/>
      <c r="P10" s="137"/>
      <c r="Q10" s="137"/>
      <c r="R10" s="137"/>
      <c r="S10" s="137"/>
      <c r="T10" s="138"/>
    </row>
    <row r="11" spans="1:20" x14ac:dyDescent="0.2">
      <c r="A11" s="132"/>
      <c r="B11" s="116" t="s">
        <v>53</v>
      </c>
      <c r="C11" s="117">
        <f>Input_Perspex</f>
        <v>5</v>
      </c>
      <c r="D11" s="133"/>
      <c r="E11" s="133"/>
      <c r="F11" s="133"/>
      <c r="G11" s="133"/>
      <c r="H11" s="133"/>
      <c r="I11" s="133"/>
      <c r="J11" s="134"/>
      <c r="L11" s="140" t="s">
        <v>14</v>
      </c>
      <c r="M11" s="139" t="s">
        <v>6</v>
      </c>
      <c r="N11" s="139" t="s">
        <v>7</v>
      </c>
      <c r="O11" s="136"/>
      <c r="P11" s="137"/>
      <c r="Q11" s="137"/>
      <c r="R11" s="137"/>
      <c r="S11" s="137"/>
      <c r="T11" s="138"/>
    </row>
    <row r="12" spans="1:20" x14ac:dyDescent="0.2">
      <c r="A12" s="132"/>
      <c r="B12" s="116" t="s">
        <v>144</v>
      </c>
      <c r="C12" s="117">
        <f>Input_Angle</f>
        <v>60</v>
      </c>
      <c r="D12" s="133"/>
      <c r="E12" s="133"/>
      <c r="F12" s="133"/>
      <c r="G12" s="133"/>
      <c r="H12" s="133"/>
      <c r="I12" s="133"/>
      <c r="J12" s="134"/>
      <c r="L12" s="135" t="s">
        <v>9</v>
      </c>
      <c r="M12" s="136">
        <v>0</v>
      </c>
      <c r="N12" s="136">
        <f>IF(ISERROR(TAN(RADIANS(BS_in_Material_Upper)*M12)-HALFPCS),100,TAN(RADIANS(BS_in_Material_Upper)*M12)-HALFPCS)</f>
        <v>-28.5</v>
      </c>
      <c r="O12" s="136">
        <f>N12+Offset</f>
        <v>-28.5</v>
      </c>
      <c r="P12" s="137"/>
      <c r="Q12" s="137"/>
      <c r="R12" s="137"/>
      <c r="S12" s="137"/>
      <c r="T12" s="138"/>
    </row>
    <row r="13" spans="1:20" x14ac:dyDescent="0.2">
      <c r="A13" s="132"/>
      <c r="B13" s="116" t="s">
        <v>54</v>
      </c>
      <c r="C13" s="117">
        <v>2400</v>
      </c>
      <c r="D13" s="133"/>
      <c r="E13" s="133"/>
      <c r="F13" s="133"/>
      <c r="G13" s="133"/>
      <c r="H13" s="133"/>
      <c r="I13" s="133"/>
      <c r="J13" s="134"/>
      <c r="L13" s="135" t="s">
        <v>10</v>
      </c>
      <c r="M13" s="136">
        <f>IF(ISERROR(-TAN(RADIANS(90-(BS_in_Material_Upper)))*HALFPCS),0,-TAN(RADIANS(90-(BS_in_Material_Upper)))*HALFPCS)</f>
        <v>-16.454482671904326</v>
      </c>
      <c r="N13" s="136">
        <f>IF(M13=0,100,0)</f>
        <v>0</v>
      </c>
      <c r="O13" s="136">
        <f>IF(O12="#NUM",0,N13+Offset)</f>
        <v>0</v>
      </c>
      <c r="P13" s="137"/>
      <c r="Q13" s="137"/>
      <c r="R13" s="137"/>
      <c r="S13" s="137"/>
      <c r="T13" s="138"/>
    </row>
    <row r="14" spans="1:20" x14ac:dyDescent="0.2">
      <c r="A14" s="132"/>
      <c r="B14" s="116"/>
      <c r="C14" s="117"/>
      <c r="D14" s="133"/>
      <c r="E14" s="133"/>
      <c r="F14" s="133"/>
      <c r="G14" s="133"/>
      <c r="H14" s="133"/>
      <c r="I14" s="133"/>
      <c r="J14" s="134"/>
      <c r="L14" s="135"/>
      <c r="M14" s="139"/>
      <c r="N14" s="139"/>
      <c r="O14" s="136"/>
      <c r="P14" s="137"/>
      <c r="Q14" s="137"/>
      <c r="R14" s="137"/>
      <c r="S14" s="137"/>
      <c r="T14" s="138"/>
    </row>
    <row r="15" spans="1:20" x14ac:dyDescent="0.2">
      <c r="A15" s="141" t="s">
        <v>1</v>
      </c>
      <c r="B15" s="142"/>
      <c r="C15" s="117"/>
      <c r="D15" s="133"/>
      <c r="E15" s="133"/>
      <c r="F15" s="133"/>
      <c r="G15" s="133"/>
      <c r="H15" s="133"/>
      <c r="I15" s="133"/>
      <c r="J15" s="134"/>
      <c r="L15" s="140" t="s">
        <v>15</v>
      </c>
      <c r="M15" s="139" t="s">
        <v>6</v>
      </c>
      <c r="N15" s="139" t="s">
        <v>7</v>
      </c>
      <c r="O15" s="136"/>
      <c r="P15" s="137"/>
      <c r="Q15" s="137"/>
      <c r="R15" s="137"/>
      <c r="S15" s="137"/>
      <c r="T15" s="138"/>
    </row>
    <row r="16" spans="1:20" x14ac:dyDescent="0.2">
      <c r="A16" s="132"/>
      <c r="B16" s="116" t="s">
        <v>55</v>
      </c>
      <c r="C16" s="117">
        <f>Input_Velocity</f>
        <v>5900</v>
      </c>
      <c r="D16" s="133"/>
      <c r="E16" s="133"/>
      <c r="F16" s="133"/>
      <c r="G16" s="133"/>
      <c r="H16" s="133"/>
      <c r="I16" s="133"/>
      <c r="J16" s="134"/>
      <c r="L16" s="135" t="s">
        <v>9</v>
      </c>
      <c r="M16" s="136">
        <v>0</v>
      </c>
      <c r="N16" s="136">
        <f>(TAN(RADIANS(C44))*M16)-HALFPCS</f>
        <v>-28.5</v>
      </c>
      <c r="O16" s="136">
        <f>IF(C39=4,1000,N16+Offset)</f>
        <v>1000</v>
      </c>
      <c r="P16" s="137"/>
      <c r="Q16" s="137"/>
      <c r="R16" s="137"/>
      <c r="S16" s="137"/>
      <c r="T16" s="138"/>
    </row>
    <row r="17" spans="1:21" x14ac:dyDescent="0.2">
      <c r="A17" s="132"/>
      <c r="B17" s="116" t="s">
        <v>56</v>
      </c>
      <c r="C17" s="117">
        <f>Input_Thickness</f>
        <v>25</v>
      </c>
      <c r="D17" s="133"/>
      <c r="E17" s="133"/>
      <c r="F17" s="133"/>
      <c r="G17" s="133"/>
      <c r="H17" s="133"/>
      <c r="I17" s="133"/>
      <c r="J17" s="134"/>
      <c r="L17" s="135" t="s">
        <v>10</v>
      </c>
      <c r="M17" s="139">
        <f>-Thickness</f>
        <v>-25</v>
      </c>
      <c r="N17" s="136">
        <f>N16+Thickness/TAN(RADIANS(90-(BS_in_Material_Lower)))</f>
        <v>14.801270189221952</v>
      </c>
      <c r="O17" s="136">
        <f>IF(C39=4,1000,N17+Offset)</f>
        <v>1000</v>
      </c>
      <c r="P17" s="137"/>
      <c r="Q17" s="137"/>
      <c r="R17" s="137"/>
      <c r="S17" s="137"/>
      <c r="T17" s="138"/>
      <c r="U17" s="136"/>
    </row>
    <row r="18" spans="1:21" x14ac:dyDescent="0.2">
      <c r="A18" s="132"/>
      <c r="B18" s="116" t="s">
        <v>57</v>
      </c>
      <c r="C18" s="117">
        <f>Input_Root_Gap</f>
        <v>3</v>
      </c>
      <c r="D18" s="133"/>
      <c r="E18" s="133"/>
      <c r="F18" s="133"/>
      <c r="G18" s="133"/>
      <c r="H18" s="133"/>
      <c r="I18" s="133"/>
      <c r="J18" s="134"/>
      <c r="L18" s="135"/>
      <c r="M18" s="139"/>
      <c r="N18" s="139"/>
      <c r="O18" s="136"/>
      <c r="P18" s="137"/>
      <c r="Q18" s="137"/>
      <c r="R18" s="137"/>
      <c r="S18" s="137"/>
      <c r="T18" s="138"/>
    </row>
    <row r="19" spans="1:21" x14ac:dyDescent="0.2">
      <c r="A19" s="132"/>
      <c r="B19" s="116" t="s">
        <v>145</v>
      </c>
      <c r="C19" s="117">
        <f>Input_Prepangle</f>
        <v>35</v>
      </c>
      <c r="D19" s="133"/>
      <c r="E19" s="133"/>
      <c r="F19" s="133"/>
      <c r="G19" s="133"/>
      <c r="H19" s="133"/>
      <c r="I19" s="133"/>
      <c r="J19" s="134"/>
      <c r="L19" s="140" t="s">
        <v>16</v>
      </c>
      <c r="M19" s="139" t="s">
        <v>6</v>
      </c>
      <c r="N19" s="139" t="s">
        <v>7</v>
      </c>
      <c r="O19" s="136"/>
      <c r="P19" s="137"/>
      <c r="Q19" s="137"/>
      <c r="R19" s="137"/>
      <c r="S19" s="137"/>
      <c r="T19" s="138"/>
    </row>
    <row r="20" spans="1:21" x14ac:dyDescent="0.2">
      <c r="A20" s="132"/>
      <c r="B20" s="116" t="s">
        <v>49</v>
      </c>
      <c r="C20" s="117">
        <v>1</v>
      </c>
      <c r="D20" s="133" t="s">
        <v>115</v>
      </c>
      <c r="E20" s="133"/>
      <c r="F20" s="133"/>
      <c r="G20" s="133"/>
      <c r="H20" s="133"/>
      <c r="I20" s="133"/>
      <c r="J20" s="134"/>
      <c r="L20" s="135" t="s">
        <v>9</v>
      </c>
      <c r="M20" s="136">
        <f>M12</f>
        <v>0</v>
      </c>
      <c r="N20" s="136">
        <f>-N12</f>
        <v>28.5</v>
      </c>
      <c r="O20" s="136">
        <f>N20+Offset</f>
        <v>28.5</v>
      </c>
      <c r="P20" s="137"/>
      <c r="Q20" s="137"/>
      <c r="R20" s="137"/>
      <c r="S20" s="137"/>
      <c r="T20" s="138"/>
    </row>
    <row r="21" spans="1:21" x14ac:dyDescent="0.2">
      <c r="A21" s="132"/>
      <c r="B21" s="116" t="s">
        <v>58</v>
      </c>
      <c r="C21" s="117">
        <f>Input_Offset</f>
        <v>0</v>
      </c>
      <c r="D21" s="133"/>
      <c r="E21" s="133"/>
      <c r="F21" s="133"/>
      <c r="G21" s="133"/>
      <c r="H21" s="133"/>
      <c r="I21" s="133"/>
      <c r="J21" s="134"/>
      <c r="L21" s="135" t="s">
        <v>10</v>
      </c>
      <c r="M21" s="136">
        <f>M13</f>
        <v>-16.454482671904326</v>
      </c>
      <c r="N21" s="136">
        <f>-N13</f>
        <v>0</v>
      </c>
      <c r="O21" s="136">
        <f>N21+Offset</f>
        <v>0</v>
      </c>
      <c r="P21" s="137"/>
      <c r="Q21" s="137"/>
      <c r="R21" s="137"/>
      <c r="S21" s="137"/>
      <c r="T21" s="138"/>
    </row>
    <row r="22" spans="1:21" x14ac:dyDescent="0.2">
      <c r="A22" s="132"/>
      <c r="B22" s="116" t="s">
        <v>123</v>
      </c>
      <c r="C22" s="117">
        <v>57</v>
      </c>
      <c r="D22" s="143"/>
      <c r="E22" s="143"/>
      <c r="F22" s="143"/>
      <c r="G22" s="143"/>
      <c r="H22" s="143"/>
      <c r="I22" s="143"/>
      <c r="J22" s="144"/>
      <c r="L22" s="135"/>
      <c r="M22" s="139"/>
      <c r="N22" s="139"/>
      <c r="O22" s="136"/>
      <c r="P22" s="137"/>
      <c r="Q22" s="137"/>
      <c r="R22" s="137"/>
      <c r="S22" s="137"/>
      <c r="T22" s="138"/>
    </row>
    <row r="23" spans="1:21" x14ac:dyDescent="0.2">
      <c r="A23" s="132"/>
      <c r="B23" s="116" t="s">
        <v>59</v>
      </c>
      <c r="C23" s="117">
        <f>IF(Ground=TRUE,PCS_Input,IF(PCS_Input/2&lt;(C52+Index),((C52+Index)*2),PCS_Input))</f>
        <v>57</v>
      </c>
      <c r="D23" s="133"/>
      <c r="E23" s="133"/>
      <c r="F23" s="133"/>
      <c r="G23" s="133"/>
      <c r="H23" s="133"/>
      <c r="I23" s="133"/>
      <c r="J23" s="134"/>
      <c r="L23" s="140" t="s">
        <v>17</v>
      </c>
      <c r="M23" s="139" t="s">
        <v>6</v>
      </c>
      <c r="N23" s="139" t="s">
        <v>7</v>
      </c>
      <c r="O23" s="136"/>
      <c r="P23" s="137"/>
      <c r="Q23" s="137"/>
      <c r="R23" s="137"/>
      <c r="S23" s="137"/>
      <c r="T23" s="138"/>
    </row>
    <row r="24" spans="1:21" x14ac:dyDescent="0.2">
      <c r="A24" s="132"/>
      <c r="B24" s="116" t="s">
        <v>75</v>
      </c>
      <c r="C24" s="117">
        <f>PCS/2</f>
        <v>28.5</v>
      </c>
      <c r="D24" s="133"/>
      <c r="E24" s="133"/>
      <c r="F24" s="133"/>
      <c r="G24" s="133"/>
      <c r="H24" s="133"/>
      <c r="I24" s="133"/>
      <c r="J24" s="134"/>
      <c r="L24" s="135" t="s">
        <v>9</v>
      </c>
      <c r="M24" s="136">
        <f>M16</f>
        <v>0</v>
      </c>
      <c r="N24" s="136">
        <f>-N16</f>
        <v>28.5</v>
      </c>
      <c r="O24" s="136">
        <f>IF(C39=4,1000,N24+Offset)</f>
        <v>1000</v>
      </c>
      <c r="P24" s="137"/>
      <c r="Q24" s="137"/>
      <c r="R24" s="137"/>
      <c r="S24" s="137"/>
      <c r="T24" s="138"/>
    </row>
    <row r="25" spans="1:21" x14ac:dyDescent="0.2">
      <c r="A25" s="145" t="s">
        <v>3</v>
      </c>
      <c r="B25" s="116"/>
      <c r="C25" s="117"/>
      <c r="D25" s="143"/>
      <c r="E25" s="143"/>
      <c r="F25" s="143"/>
      <c r="G25" s="143"/>
      <c r="H25" s="143"/>
      <c r="I25" s="143"/>
      <c r="J25" s="144"/>
      <c r="L25" s="135" t="s">
        <v>10</v>
      </c>
      <c r="M25" s="136">
        <f>-Thickness</f>
        <v>-25</v>
      </c>
      <c r="N25" s="136">
        <f>N24-Thickness/TAN(RADIANS(90-(BS_in_Material_Lower)))</f>
        <v>-14.801270189221952</v>
      </c>
      <c r="O25" s="136">
        <f>IF(C39=4,1000,N25+Offset)</f>
        <v>1000</v>
      </c>
      <c r="P25" s="137"/>
      <c r="Q25" s="137"/>
      <c r="R25" s="137"/>
      <c r="S25" s="137"/>
      <c r="T25" s="138"/>
    </row>
    <row r="26" spans="1:21" x14ac:dyDescent="0.2">
      <c r="A26" s="132"/>
      <c r="B26" s="146"/>
      <c r="C26" s="117"/>
      <c r="D26" s="133"/>
      <c r="E26" s="133"/>
      <c r="F26" s="133"/>
      <c r="G26" s="133"/>
      <c r="H26" s="133"/>
      <c r="I26" s="133"/>
      <c r="J26" s="134"/>
      <c r="L26" s="135"/>
      <c r="M26" s="139"/>
      <c r="N26" s="139"/>
      <c r="O26" s="139"/>
      <c r="P26" s="137"/>
      <c r="Q26" s="137"/>
      <c r="R26" s="137"/>
      <c r="S26" s="137"/>
      <c r="T26" s="138"/>
    </row>
    <row r="27" spans="1:21" x14ac:dyDescent="0.2">
      <c r="A27" s="132"/>
      <c r="B27" s="116" t="s">
        <v>2</v>
      </c>
      <c r="C27" s="117">
        <f>100-C28</f>
        <v>19</v>
      </c>
      <c r="D27" s="133"/>
      <c r="E27" s="133"/>
      <c r="F27" s="133"/>
      <c r="G27" s="133"/>
      <c r="H27" s="133"/>
      <c r="I27" s="133"/>
      <c r="J27" s="134"/>
      <c r="L27" s="135"/>
      <c r="M27" s="139" t="s">
        <v>6</v>
      </c>
      <c r="N27" s="139" t="s">
        <v>7</v>
      </c>
      <c r="O27" s="139"/>
      <c r="P27" s="137"/>
      <c r="Q27" s="137"/>
      <c r="R27" s="137"/>
      <c r="S27" s="137"/>
      <c r="T27" s="138"/>
    </row>
    <row r="28" spans="1:21" x14ac:dyDescent="0.2">
      <c r="A28" s="132"/>
      <c r="B28" s="116" t="s">
        <v>29</v>
      </c>
      <c r="C28" s="117">
        <v>81</v>
      </c>
      <c r="D28" s="133"/>
      <c r="E28" s="133"/>
      <c r="F28" s="133"/>
      <c r="G28" s="133"/>
      <c r="H28" s="133"/>
      <c r="I28" s="133"/>
      <c r="J28" s="134"/>
      <c r="L28" s="140" t="s">
        <v>76</v>
      </c>
      <c r="M28" s="139">
        <f>-Thickness</f>
        <v>-25</v>
      </c>
      <c r="N28" s="139">
        <v>-125</v>
      </c>
      <c r="O28" s="139"/>
      <c r="P28" s="137"/>
      <c r="Q28" s="137"/>
      <c r="R28" s="137"/>
      <c r="S28" s="137"/>
      <c r="T28" s="138"/>
    </row>
    <row r="29" spans="1:21" x14ac:dyDescent="0.2">
      <c r="A29" s="132"/>
      <c r="B29" s="116" t="s">
        <v>8</v>
      </c>
      <c r="C29" s="117">
        <f>IF(Ground=TRUE,Datum_Input,(IF(HALFPCS-Index-Datum_Input&lt;C52,(HALFPCS-Index-C52),Datum_Input)))</f>
        <v>0</v>
      </c>
      <c r="D29" s="133"/>
      <c r="E29" s="133"/>
      <c r="F29" s="133"/>
      <c r="G29" s="133"/>
      <c r="H29" s="133"/>
      <c r="I29" s="133"/>
      <c r="J29" s="134"/>
      <c r="L29" s="135"/>
      <c r="M29" s="139">
        <f>-Thickness</f>
        <v>-25</v>
      </c>
      <c r="N29" s="139">
        <f>-Root_Offset</f>
        <v>-1.5</v>
      </c>
      <c r="O29" s="139"/>
      <c r="P29" s="137"/>
      <c r="Q29" s="137"/>
      <c r="R29" s="137"/>
      <c r="S29" s="137"/>
      <c r="T29" s="138"/>
    </row>
    <row r="30" spans="1:21" x14ac:dyDescent="0.2">
      <c r="A30" s="132"/>
      <c r="B30" s="116" t="s">
        <v>125</v>
      </c>
      <c r="C30" s="117">
        <v>0</v>
      </c>
      <c r="D30" s="143"/>
      <c r="E30" s="143"/>
      <c r="F30" s="143"/>
      <c r="G30" s="143"/>
      <c r="H30" s="143"/>
      <c r="I30" s="143"/>
      <c r="J30" s="144"/>
      <c r="L30" s="140" t="s">
        <v>77</v>
      </c>
      <c r="M30" s="139">
        <f>-Thickness</f>
        <v>-25</v>
      </c>
      <c r="N30" s="139">
        <v>125</v>
      </c>
      <c r="O30" s="139"/>
      <c r="P30" s="137"/>
      <c r="Q30" s="137"/>
      <c r="R30" s="137"/>
      <c r="S30" s="137"/>
      <c r="T30" s="138"/>
    </row>
    <row r="31" spans="1:21" x14ac:dyDescent="0.2">
      <c r="A31" s="132"/>
      <c r="B31" s="116" t="s">
        <v>66</v>
      </c>
      <c r="C31" s="117">
        <f>Velocity_Wedge/Frequency/1000</f>
        <v>0.24</v>
      </c>
      <c r="D31" s="133"/>
      <c r="E31" s="133"/>
      <c r="F31" s="133"/>
      <c r="G31" s="133"/>
      <c r="H31" s="133"/>
      <c r="I31" s="133"/>
      <c r="J31" s="134"/>
      <c r="L31" s="135"/>
      <c r="M31" s="139">
        <f>-Thickness</f>
        <v>-25</v>
      </c>
      <c r="N31" s="139">
        <f>Root_Offset</f>
        <v>1.5</v>
      </c>
      <c r="O31" s="139"/>
      <c r="P31" s="137"/>
      <c r="Q31" s="137"/>
      <c r="R31" s="137"/>
      <c r="S31" s="137"/>
      <c r="T31" s="138"/>
    </row>
    <row r="32" spans="1:21" x14ac:dyDescent="0.2">
      <c r="A32" s="132"/>
      <c r="B32" s="116" t="s">
        <v>67</v>
      </c>
      <c r="C32" s="117">
        <f>Material_Velocity/Frequency/1000</f>
        <v>0.59</v>
      </c>
      <c r="D32" s="133"/>
      <c r="E32" s="133"/>
      <c r="F32" s="133"/>
      <c r="G32" s="133"/>
      <c r="H32" s="133"/>
      <c r="I32" s="133"/>
      <c r="J32" s="134"/>
      <c r="K32" s="147"/>
      <c r="L32" s="135"/>
      <c r="M32" s="139"/>
      <c r="N32" s="139"/>
      <c r="O32" s="139"/>
      <c r="P32" s="137"/>
      <c r="Q32" s="137"/>
      <c r="R32" s="137"/>
      <c r="S32" s="137"/>
      <c r="T32" s="138"/>
    </row>
    <row r="33" spans="1:20" x14ac:dyDescent="0.2">
      <c r="A33" s="132"/>
      <c r="B33" s="116" t="s">
        <v>146</v>
      </c>
      <c r="C33" s="117">
        <f>Wavelength_in_Material/Material_Velocity*1000</f>
        <v>9.9999999999999992E-2</v>
      </c>
      <c r="D33" s="133"/>
      <c r="E33" s="133"/>
      <c r="F33" s="133"/>
      <c r="G33" s="133"/>
      <c r="H33" s="133"/>
      <c r="I33" s="133"/>
      <c r="J33" s="134"/>
      <c r="L33" s="135"/>
      <c r="M33" s="139" t="s">
        <v>6</v>
      </c>
      <c r="N33" s="139" t="s">
        <v>7</v>
      </c>
      <c r="O33" s="139"/>
      <c r="P33" s="137"/>
      <c r="Q33" s="137"/>
      <c r="R33" s="137"/>
      <c r="S33" s="137"/>
      <c r="T33" s="138"/>
    </row>
    <row r="34" spans="1:20" x14ac:dyDescent="0.2">
      <c r="A34" s="132"/>
      <c r="B34" s="116" t="s">
        <v>65</v>
      </c>
      <c r="C34" s="117">
        <f>Pulse_Length____of_ʎ__Calculated</f>
        <v>1.5</v>
      </c>
      <c r="D34" s="133"/>
      <c r="E34" s="133"/>
      <c r="F34" s="133"/>
      <c r="G34" s="133"/>
      <c r="H34" s="133"/>
      <c r="I34" s="133"/>
      <c r="J34" s="134"/>
      <c r="L34" s="140" t="s">
        <v>78</v>
      </c>
      <c r="M34" s="139">
        <v>0</v>
      </c>
      <c r="N34" s="139">
        <v>-125</v>
      </c>
      <c r="O34" s="139"/>
      <c r="P34" s="137"/>
      <c r="Q34" s="137"/>
      <c r="R34" s="137"/>
      <c r="S34" s="137"/>
      <c r="T34" s="138"/>
    </row>
    <row r="35" spans="1:20" x14ac:dyDescent="0.2">
      <c r="A35" s="132"/>
      <c r="B35" s="116" t="s">
        <v>147</v>
      </c>
      <c r="C35" s="117">
        <f>Pulse_Length_in_Material_ʎ*Wavelength_in_Material/Material_Velocity*1000</f>
        <v>0.15000000000000002</v>
      </c>
      <c r="D35" s="133"/>
      <c r="E35" s="133"/>
      <c r="F35" s="133"/>
      <c r="G35" s="133"/>
      <c r="H35" s="133"/>
      <c r="I35" s="133"/>
      <c r="J35" s="134"/>
      <c r="L35" s="135"/>
      <c r="M35" s="139">
        <v>0</v>
      </c>
      <c r="N35" s="136">
        <f>-C52</f>
        <v>-19.005188455242742</v>
      </c>
      <c r="O35" s="139"/>
      <c r="P35" s="137"/>
      <c r="Q35" s="137"/>
      <c r="R35" s="137"/>
      <c r="S35" s="137"/>
      <c r="T35" s="138"/>
    </row>
    <row r="36" spans="1:20" x14ac:dyDescent="0.2">
      <c r="A36" s="145" t="s">
        <v>60</v>
      </c>
      <c r="B36" s="116"/>
      <c r="C36" s="117"/>
      <c r="D36" s="133"/>
      <c r="E36" s="133"/>
      <c r="F36" s="133"/>
      <c r="G36" s="133"/>
      <c r="H36" s="133"/>
      <c r="I36" s="133"/>
      <c r="J36" s="134"/>
      <c r="L36" s="140" t="s">
        <v>79</v>
      </c>
      <c r="M36" s="139">
        <v>0</v>
      </c>
      <c r="N36" s="139">
        <v>125</v>
      </c>
      <c r="O36" s="139"/>
      <c r="P36" s="137"/>
      <c r="Q36" s="137"/>
      <c r="R36" s="137"/>
      <c r="S36" s="137"/>
      <c r="T36" s="138"/>
    </row>
    <row r="37" spans="1:20" x14ac:dyDescent="0.2">
      <c r="A37" s="132"/>
      <c r="B37" s="116" t="s">
        <v>12</v>
      </c>
      <c r="C37" s="148">
        <f>ASIN(Constant*(wavelength)/Diameter)*180/3.142</f>
        <v>0</v>
      </c>
      <c r="D37" s="133"/>
      <c r="E37" s="133"/>
      <c r="F37" s="133"/>
      <c r="G37" s="133"/>
      <c r="H37" s="133"/>
      <c r="I37" s="133"/>
      <c r="J37" s="134"/>
      <c r="L37" s="135"/>
      <c r="M37" s="139">
        <v>0</v>
      </c>
      <c r="N37" s="136">
        <f>C52</f>
        <v>19.005188455242742</v>
      </c>
      <c r="O37" s="139"/>
      <c r="P37" s="137"/>
      <c r="Q37" s="137"/>
      <c r="R37" s="137"/>
      <c r="S37" s="137"/>
      <c r="T37" s="138"/>
    </row>
    <row r="38" spans="1:20" x14ac:dyDescent="0.2">
      <c r="A38" s="132"/>
      <c r="B38" s="116" t="s">
        <v>13</v>
      </c>
      <c r="C38" s="117">
        <f>IF(C39=1,0.51,IF(C39=2,0.87,IF(C39=3,1.22,0)))</f>
        <v>0</v>
      </c>
      <c r="D38" s="133" t="s">
        <v>116</v>
      </c>
      <c r="E38" s="133"/>
      <c r="F38" s="133"/>
      <c r="G38" s="133"/>
      <c r="H38" s="133"/>
      <c r="I38" s="133"/>
      <c r="J38" s="134"/>
      <c r="L38" s="135"/>
      <c r="M38" s="139"/>
      <c r="N38" s="139"/>
      <c r="O38" s="139"/>
      <c r="P38" s="137"/>
      <c r="Q38" s="137"/>
      <c r="R38" s="137"/>
      <c r="S38" s="137"/>
      <c r="T38" s="138"/>
    </row>
    <row r="39" spans="1:20" x14ac:dyDescent="0.2">
      <c r="A39" s="132"/>
      <c r="B39" s="116" t="s">
        <v>24</v>
      </c>
      <c r="C39" s="117">
        <v>4</v>
      </c>
      <c r="D39" s="133" t="s">
        <v>117</v>
      </c>
      <c r="E39" s="133"/>
      <c r="F39" s="133"/>
      <c r="G39" s="133"/>
      <c r="H39" s="133"/>
      <c r="I39" s="133"/>
      <c r="J39" s="134"/>
      <c r="L39" s="135"/>
      <c r="M39" s="139" t="s">
        <v>6</v>
      </c>
      <c r="N39" s="139" t="s">
        <v>7</v>
      </c>
      <c r="O39" s="139"/>
      <c r="P39" s="137"/>
      <c r="Q39" s="137"/>
      <c r="R39" s="137"/>
      <c r="S39" s="137"/>
      <c r="T39" s="138"/>
    </row>
    <row r="40" spans="1:20" x14ac:dyDescent="0.2">
      <c r="A40" s="132"/>
      <c r="B40" s="116" t="s">
        <v>45</v>
      </c>
      <c r="C40" s="149">
        <f>DEGREES(ASIN(SIN(RADIANS(Angle))*Velocity_Wedge/Material_Velocity))</f>
        <v>20.626926731266316</v>
      </c>
      <c r="D40" s="133"/>
      <c r="E40" s="133"/>
      <c r="F40" s="133"/>
      <c r="G40" s="133"/>
      <c r="H40" s="133"/>
      <c r="I40" s="133"/>
      <c r="J40" s="134"/>
      <c r="L40" s="140" t="s">
        <v>81</v>
      </c>
      <c r="M40" s="139">
        <v>0</v>
      </c>
      <c r="N40" s="139">
        <f>-HALFPCS-(2*Perspex_Thickness)+Datum</f>
        <v>-38.5</v>
      </c>
      <c r="O40" s="139"/>
      <c r="P40" s="137"/>
      <c r="Q40" s="137"/>
      <c r="R40" s="137"/>
      <c r="S40" s="137"/>
      <c r="T40" s="138"/>
    </row>
    <row r="41" spans="1:20" x14ac:dyDescent="0.2">
      <c r="A41" s="132"/>
      <c r="B41" s="116" t="s">
        <v>46</v>
      </c>
      <c r="C41" s="150">
        <f>Incident_Wedge+Wedge_Beam_Spread</f>
        <v>20.626926731266316</v>
      </c>
      <c r="D41" s="133"/>
      <c r="E41" s="133"/>
      <c r="F41" s="133"/>
      <c r="G41" s="133"/>
      <c r="H41" s="133"/>
      <c r="I41" s="133"/>
      <c r="J41" s="134"/>
      <c r="L41" s="135"/>
      <c r="M41" s="139">
        <f>Perspex_Thickness-2</f>
        <v>3</v>
      </c>
      <c r="N41" s="139">
        <f>N40</f>
        <v>-38.5</v>
      </c>
      <c r="O41" s="139"/>
      <c r="P41" s="137"/>
      <c r="Q41" s="137"/>
      <c r="R41" s="137"/>
      <c r="S41" s="137"/>
      <c r="T41" s="138"/>
    </row>
    <row r="42" spans="1:20" x14ac:dyDescent="0.2">
      <c r="A42" s="132"/>
      <c r="B42" s="116" t="s">
        <v>44</v>
      </c>
      <c r="C42" s="150">
        <f>Incident_Wedge-Wedge_Beam_Spread</f>
        <v>20.626926731266316</v>
      </c>
      <c r="D42" s="133"/>
      <c r="E42" s="133"/>
      <c r="F42" s="133"/>
      <c r="G42" s="133"/>
      <c r="H42" s="133"/>
      <c r="I42" s="133"/>
      <c r="J42" s="134"/>
      <c r="L42" s="135"/>
      <c r="M42" s="139">
        <f>TAN(RADIANS(Incident_Wedge))*(-(N41-N42))+(Perspex_Thickness-2)</f>
        <v>9.7754113346489699</v>
      </c>
      <c r="N42" s="139">
        <f>-HALFPCS+Index+Datum</f>
        <v>-20.5</v>
      </c>
      <c r="O42" s="139"/>
      <c r="P42" s="137"/>
      <c r="Q42" s="137"/>
      <c r="R42" s="137"/>
      <c r="S42" s="137"/>
      <c r="T42" s="138"/>
    </row>
    <row r="43" spans="1:20" x14ac:dyDescent="0.2">
      <c r="A43" s="132"/>
      <c r="B43" s="116" t="s">
        <v>42</v>
      </c>
      <c r="C43" s="151">
        <f>DEGREES(ASIN((SIN(RADIANS(BS_in_Wedge_Upper)))*Material_Velocity/Velocity_Wedge))</f>
        <v>60.000000000000007</v>
      </c>
      <c r="D43" s="133"/>
      <c r="E43" s="133"/>
      <c r="F43" s="133"/>
      <c r="G43" s="133"/>
      <c r="H43" s="133"/>
      <c r="I43" s="133"/>
      <c r="J43" s="134"/>
      <c r="L43" s="135"/>
      <c r="M43" s="139">
        <v>0</v>
      </c>
      <c r="N43" s="139">
        <f>-HALFPCS+Index+Datum</f>
        <v>-20.5</v>
      </c>
      <c r="O43" s="139"/>
      <c r="P43" s="137"/>
      <c r="Q43" s="137"/>
      <c r="R43" s="137"/>
      <c r="S43" s="137"/>
      <c r="T43" s="138"/>
    </row>
    <row r="44" spans="1:20" x14ac:dyDescent="0.2">
      <c r="A44" s="132"/>
      <c r="B44" s="116" t="s">
        <v>43</v>
      </c>
      <c r="C44" s="151">
        <f>DEGREES(ASIN((SIN(RADIANS(BS_In_Wedge_Lower)))*Material_Velocity/Velocity_Wedge))</f>
        <v>60.000000000000007</v>
      </c>
      <c r="D44" s="133"/>
      <c r="E44" s="133"/>
      <c r="F44" s="133"/>
      <c r="G44" s="133"/>
      <c r="H44" s="133"/>
      <c r="I44" s="133"/>
      <c r="J44" s="134"/>
      <c r="L44" s="140" t="s">
        <v>82</v>
      </c>
      <c r="M44" s="139">
        <v>0</v>
      </c>
      <c r="N44" s="139">
        <f>N45</f>
        <v>38.5</v>
      </c>
      <c r="O44" s="139"/>
      <c r="P44" s="137"/>
      <c r="Q44" s="137"/>
      <c r="R44" s="137"/>
      <c r="S44" s="137"/>
      <c r="T44" s="138"/>
    </row>
    <row r="45" spans="1:20" x14ac:dyDescent="0.2">
      <c r="A45" s="132"/>
      <c r="B45" s="116" t="s">
        <v>33</v>
      </c>
      <c r="C45" s="152">
        <f>IF((BS_in_Material_Upper)&gt;90,90,BS_in_Material_Upper)</f>
        <v>60.000000000000007</v>
      </c>
      <c r="D45" s="133" t="s">
        <v>109</v>
      </c>
      <c r="E45" s="133"/>
      <c r="F45" s="133"/>
      <c r="G45" s="133"/>
      <c r="H45" s="133"/>
      <c r="I45" s="133"/>
      <c r="J45" s="134"/>
      <c r="L45" s="135"/>
      <c r="M45" s="139">
        <f>M41</f>
        <v>3</v>
      </c>
      <c r="N45" s="139">
        <f>-N40+(2*Datum)</f>
        <v>38.5</v>
      </c>
      <c r="O45" s="139"/>
      <c r="P45" s="137"/>
      <c r="Q45" s="137"/>
      <c r="R45" s="137"/>
      <c r="S45" s="137"/>
      <c r="T45" s="138"/>
    </row>
    <row r="46" spans="1:20" x14ac:dyDescent="0.2">
      <c r="A46" s="132"/>
      <c r="B46" s="116" t="s">
        <v>34</v>
      </c>
      <c r="C46" s="152">
        <f>IF((BS_in_Material_Lower)&gt;90,90,BS_in_Material_Lower)</f>
        <v>60.000000000000007</v>
      </c>
      <c r="D46" s="133"/>
      <c r="E46" s="133"/>
      <c r="F46" s="133"/>
      <c r="G46" s="133"/>
      <c r="H46" s="133"/>
      <c r="I46" s="133"/>
      <c r="J46" s="134"/>
      <c r="L46" s="135"/>
      <c r="M46" s="139">
        <f>M42</f>
        <v>9.7754113346489699</v>
      </c>
      <c r="N46" s="139">
        <f>HALFPCS-Index+Datum</f>
        <v>20.5</v>
      </c>
      <c r="O46" s="139"/>
      <c r="P46" s="137"/>
      <c r="Q46" s="137"/>
      <c r="R46" s="137"/>
      <c r="S46" s="137"/>
      <c r="T46" s="138"/>
    </row>
    <row r="47" spans="1:20" x14ac:dyDescent="0.2">
      <c r="A47" s="145" t="s">
        <v>107</v>
      </c>
      <c r="B47" s="116"/>
      <c r="C47" s="151"/>
      <c r="D47" s="133"/>
      <c r="E47" s="133"/>
      <c r="F47" s="133"/>
      <c r="G47" s="133"/>
      <c r="H47" s="133"/>
      <c r="I47" s="133"/>
      <c r="J47" s="134"/>
      <c r="L47" s="135"/>
      <c r="M47" s="139">
        <v>0</v>
      </c>
      <c r="N47" s="139">
        <f>N46</f>
        <v>20.5</v>
      </c>
      <c r="O47" s="139"/>
      <c r="P47" s="137"/>
      <c r="Q47" s="137"/>
      <c r="R47" s="137"/>
      <c r="S47" s="137"/>
      <c r="T47" s="138"/>
    </row>
    <row r="48" spans="1:20" x14ac:dyDescent="0.2">
      <c r="A48" s="132"/>
      <c r="B48" s="116" t="s">
        <v>99</v>
      </c>
      <c r="C48" s="117" t="b">
        <v>0</v>
      </c>
      <c r="D48" s="133"/>
      <c r="E48" s="133"/>
      <c r="F48" s="133"/>
      <c r="G48" s="133"/>
      <c r="H48" s="133"/>
      <c r="I48" s="133"/>
      <c r="J48" s="134"/>
      <c r="L48" s="135"/>
      <c r="M48" s="139"/>
      <c r="N48" s="139"/>
      <c r="O48" s="139"/>
      <c r="P48" s="137"/>
      <c r="Q48" s="137"/>
      <c r="R48" s="137"/>
      <c r="S48" s="137"/>
      <c r="T48" s="138"/>
    </row>
    <row r="49" spans="1:20" x14ac:dyDescent="0.2">
      <c r="A49" s="132"/>
      <c r="B49" s="116" t="s">
        <v>100</v>
      </c>
      <c r="C49" s="117" t="b">
        <v>0</v>
      </c>
      <c r="D49" s="133"/>
      <c r="E49" s="133"/>
      <c r="F49" s="133"/>
      <c r="G49" s="133"/>
      <c r="H49" s="133"/>
      <c r="I49" s="133"/>
      <c r="J49" s="134"/>
      <c r="L49" s="140" t="s">
        <v>83</v>
      </c>
      <c r="M49" s="136">
        <v>0</v>
      </c>
      <c r="N49" s="136">
        <f>-C52</f>
        <v>-19.005188455242742</v>
      </c>
      <c r="O49" s="139"/>
      <c r="P49" s="137"/>
      <c r="Q49" s="137"/>
      <c r="R49" s="137"/>
      <c r="S49" s="137"/>
      <c r="T49" s="138"/>
    </row>
    <row r="50" spans="1:20" x14ac:dyDescent="0.2">
      <c r="A50" s="132"/>
      <c r="B50" s="116" t="s">
        <v>106</v>
      </c>
      <c r="C50" s="117" t="b">
        <v>0</v>
      </c>
      <c r="D50" s="133"/>
      <c r="E50" s="133"/>
      <c r="F50" s="133"/>
      <c r="G50" s="133"/>
      <c r="H50" s="133"/>
      <c r="I50" s="133"/>
      <c r="J50" s="134"/>
      <c r="L50" s="135"/>
      <c r="M50" s="139">
        <f>-C54</f>
        <v>-25</v>
      </c>
      <c r="N50" s="139">
        <f>-C55</f>
        <v>-1.5</v>
      </c>
      <c r="O50" s="139"/>
      <c r="P50" s="137"/>
      <c r="Q50" s="137"/>
      <c r="R50" s="137"/>
      <c r="S50" s="137"/>
      <c r="T50" s="138"/>
    </row>
    <row r="51" spans="1:20" x14ac:dyDescent="0.2">
      <c r="A51" s="145" t="s">
        <v>108</v>
      </c>
      <c r="B51" s="116"/>
      <c r="C51" s="117"/>
      <c r="D51" s="133"/>
      <c r="E51" s="133"/>
      <c r="F51" s="133"/>
      <c r="G51" s="133"/>
      <c r="H51" s="133"/>
      <c r="I51" s="133"/>
      <c r="J51" s="134"/>
      <c r="L51" s="135"/>
      <c r="M51" s="139">
        <f>IF(Prep_Type=1,M50,-Thickness)</f>
        <v>-25</v>
      </c>
      <c r="N51" s="139">
        <f>IF(Prep_Type=1,N50,-Root_Offset)</f>
        <v>-1.5</v>
      </c>
      <c r="O51" s="139"/>
      <c r="P51" s="137"/>
      <c r="Q51" s="137"/>
      <c r="R51" s="137"/>
      <c r="S51" s="137"/>
      <c r="T51" s="138"/>
    </row>
    <row r="52" spans="1:20" x14ac:dyDescent="0.2">
      <c r="A52" s="132"/>
      <c r="B52" s="116" t="s">
        <v>80</v>
      </c>
      <c r="C52" s="148">
        <f>IF(Prep_Type=1,(TAN(RADIANS(Prep_Angle))*Thickness)+(Root_Gap/2),(TAN(RADIANS(Prep_Angle))*(Thickness/2))+(Root_Gap/2))</f>
        <v>19.005188455242742</v>
      </c>
      <c r="D52" s="133"/>
      <c r="E52" s="133"/>
      <c r="F52" s="133"/>
      <c r="G52" s="133"/>
      <c r="H52" s="133"/>
      <c r="I52" s="133"/>
      <c r="J52" s="134"/>
      <c r="L52" s="135"/>
      <c r="M52" s="139"/>
      <c r="N52" s="139"/>
      <c r="O52" s="139"/>
      <c r="P52" s="137"/>
      <c r="Q52" s="137"/>
      <c r="R52" s="137"/>
      <c r="S52" s="137"/>
      <c r="T52" s="138"/>
    </row>
    <row r="53" spans="1:20" x14ac:dyDescent="0.2">
      <c r="A53" s="132"/>
      <c r="B53" s="116" t="s">
        <v>85</v>
      </c>
      <c r="C53" s="148">
        <f>IF(Prep_Type=1,(Root_Gap/2),(TAN(RADIANS(Prep_Angle))*(Thickness/2))+(Root_Gap/2))</f>
        <v>1.5</v>
      </c>
      <c r="D53" s="133"/>
      <c r="E53" s="133"/>
      <c r="F53" s="133"/>
      <c r="G53" s="133"/>
      <c r="H53" s="133"/>
      <c r="I53" s="133"/>
      <c r="J53" s="134"/>
      <c r="L53" s="135"/>
      <c r="M53" s="139" t="s">
        <v>6</v>
      </c>
      <c r="N53" s="139" t="s">
        <v>7</v>
      </c>
      <c r="O53" s="139"/>
      <c r="P53" s="137"/>
      <c r="Q53" s="137"/>
      <c r="R53" s="137"/>
      <c r="S53" s="137"/>
      <c r="T53" s="138"/>
    </row>
    <row r="54" spans="1:20" x14ac:dyDescent="0.2">
      <c r="A54" s="132"/>
      <c r="B54" s="116" t="s">
        <v>84</v>
      </c>
      <c r="C54" s="117">
        <f>IF(Prep_Type=1,Thickness,Thickness/2)</f>
        <v>25</v>
      </c>
      <c r="D54" s="133"/>
      <c r="E54" s="133"/>
      <c r="F54" s="133"/>
      <c r="G54" s="133"/>
      <c r="H54" s="133"/>
      <c r="I54" s="133"/>
      <c r="J54" s="134"/>
      <c r="L54" s="140" t="s">
        <v>83</v>
      </c>
      <c r="M54" s="136">
        <v>0</v>
      </c>
      <c r="N54" s="136">
        <f>-N49</f>
        <v>19.005188455242742</v>
      </c>
      <c r="O54" s="139"/>
      <c r="P54" s="137"/>
      <c r="Q54" s="137"/>
      <c r="R54" s="137"/>
      <c r="S54" s="137"/>
      <c r="T54" s="138"/>
    </row>
    <row r="55" spans="1:20" x14ac:dyDescent="0.2">
      <c r="A55" s="132"/>
      <c r="B55" s="116" t="s">
        <v>86</v>
      </c>
      <c r="C55" s="117">
        <f>Root_Gap/2</f>
        <v>1.5</v>
      </c>
      <c r="D55" s="133"/>
      <c r="E55" s="133"/>
      <c r="F55" s="133"/>
      <c r="G55" s="133"/>
      <c r="H55" s="133"/>
      <c r="I55" s="133"/>
      <c r="J55" s="134"/>
      <c r="L55" s="135"/>
      <c r="M55" s="139">
        <f>M50</f>
        <v>-25</v>
      </c>
      <c r="N55" s="139">
        <f>-N50</f>
        <v>1.5</v>
      </c>
      <c r="O55" s="139"/>
      <c r="P55" s="137"/>
      <c r="Q55" s="137"/>
      <c r="R55" s="137"/>
      <c r="S55" s="137"/>
      <c r="T55" s="138"/>
    </row>
    <row r="56" spans="1:20" x14ac:dyDescent="0.2">
      <c r="A56" s="145"/>
      <c r="B56" s="116" t="s">
        <v>122</v>
      </c>
      <c r="C56" s="117" t="b">
        <v>0</v>
      </c>
      <c r="D56" s="133"/>
      <c r="E56" s="133"/>
      <c r="F56" s="133"/>
      <c r="G56" s="133"/>
      <c r="H56" s="133"/>
      <c r="I56" s="133"/>
      <c r="J56" s="134"/>
      <c r="L56" s="135"/>
      <c r="M56" s="139">
        <f>M51</f>
        <v>-25</v>
      </c>
      <c r="N56" s="139">
        <f>IF(Prep_Type=1,N55,Root_Offset)</f>
        <v>1.5</v>
      </c>
      <c r="O56" s="139"/>
      <c r="P56" s="137"/>
      <c r="Q56" s="137"/>
      <c r="R56" s="137"/>
      <c r="S56" s="137"/>
      <c r="T56" s="138"/>
    </row>
    <row r="57" spans="1:20" x14ac:dyDescent="0.2">
      <c r="A57" s="153" t="s">
        <v>110</v>
      </c>
      <c r="B57" s="146"/>
      <c r="C57" s="117"/>
      <c r="D57" s="133"/>
      <c r="E57" s="133"/>
      <c r="F57" s="133"/>
      <c r="G57" s="133"/>
      <c r="H57" s="133"/>
      <c r="I57" s="133"/>
      <c r="J57" s="134"/>
      <c r="L57" s="135"/>
      <c r="M57" s="139"/>
      <c r="N57" s="139"/>
      <c r="O57" s="139"/>
      <c r="P57" s="137"/>
      <c r="Q57" s="137"/>
      <c r="R57" s="137"/>
      <c r="S57" s="137"/>
      <c r="T57" s="138"/>
    </row>
    <row r="58" spans="1:20" x14ac:dyDescent="0.2">
      <c r="A58" s="132"/>
      <c r="B58" s="116" t="s">
        <v>148</v>
      </c>
      <c r="C58" s="148">
        <f>Perspex_Thickness*2/Velocity_Wedge*1000</f>
        <v>4.166666666666667</v>
      </c>
      <c r="D58" s="133"/>
      <c r="E58" s="133"/>
      <c r="F58" s="133"/>
      <c r="G58" s="133"/>
      <c r="H58" s="133"/>
      <c r="I58" s="133"/>
      <c r="J58" s="134"/>
      <c r="L58" s="140" t="s">
        <v>87</v>
      </c>
      <c r="M58" s="139" t="s">
        <v>6</v>
      </c>
      <c r="N58" s="139" t="s">
        <v>7</v>
      </c>
      <c r="O58" s="139"/>
      <c r="P58" s="137"/>
      <c r="Q58" s="137"/>
      <c r="R58" s="137"/>
      <c r="S58" s="137"/>
      <c r="T58" s="138"/>
    </row>
    <row r="59" spans="1:20" x14ac:dyDescent="0.2">
      <c r="A59" s="132"/>
      <c r="B59" s="116" t="s">
        <v>149</v>
      </c>
      <c r="C59" s="148">
        <f>PCS/Material_Velocity*1000</f>
        <v>9.6610169491525433</v>
      </c>
      <c r="D59" s="133"/>
      <c r="E59" s="133"/>
      <c r="F59" s="133"/>
      <c r="G59" s="133"/>
      <c r="H59" s="133"/>
      <c r="I59" s="133"/>
      <c r="J59" s="134"/>
      <c r="L59" s="135"/>
      <c r="M59" s="139">
        <v>0</v>
      </c>
      <c r="N59" s="136">
        <f>-C52</f>
        <v>-19.005188455242742</v>
      </c>
      <c r="O59" s="139"/>
      <c r="P59" s="137"/>
      <c r="Q59" s="137"/>
      <c r="R59" s="137"/>
      <c r="S59" s="137"/>
      <c r="T59" s="138"/>
    </row>
    <row r="60" spans="1:20" x14ac:dyDescent="0.2">
      <c r="A60" s="132"/>
      <c r="B60" s="116" t="s">
        <v>150</v>
      </c>
      <c r="C60" s="148">
        <f>SQRT((PCS/2)^2+Thickness^2)*2/Material_Velocity*1000</f>
        <v>12.851213618486348</v>
      </c>
      <c r="D60" s="133"/>
      <c r="E60" s="133"/>
      <c r="F60" s="133"/>
      <c r="G60" s="133"/>
      <c r="H60" s="133"/>
      <c r="I60" s="133"/>
      <c r="J60" s="134"/>
      <c r="L60" s="135"/>
      <c r="M60" s="139">
        <f>IF(Ground=TRUE,0,Thickness/8)</f>
        <v>3.125</v>
      </c>
      <c r="N60" s="139">
        <v>0</v>
      </c>
      <c r="O60" s="139"/>
      <c r="P60" s="137"/>
      <c r="Q60" s="137"/>
      <c r="R60" s="137"/>
      <c r="S60" s="137"/>
      <c r="T60" s="138"/>
    </row>
    <row r="61" spans="1:20" x14ac:dyDescent="0.2">
      <c r="A61" s="132"/>
      <c r="B61" s="116" t="s">
        <v>151</v>
      </c>
      <c r="C61" s="148">
        <f>BWE_Arrival_Time-C59</f>
        <v>3.1901966693338046</v>
      </c>
      <c r="D61" s="133"/>
      <c r="E61" s="133"/>
      <c r="F61" s="133"/>
      <c r="G61" s="133"/>
      <c r="H61" s="133"/>
      <c r="I61" s="133"/>
      <c r="J61" s="134"/>
      <c r="L61" s="135"/>
      <c r="M61" s="139">
        <v>0</v>
      </c>
      <c r="N61" s="136">
        <f>C52</f>
        <v>19.005188455242742</v>
      </c>
      <c r="O61" s="139"/>
      <c r="P61" s="137"/>
      <c r="Q61" s="137"/>
      <c r="R61" s="137"/>
      <c r="S61" s="137"/>
      <c r="T61" s="138"/>
    </row>
    <row r="62" spans="1:20" x14ac:dyDescent="0.2">
      <c r="A62" s="132"/>
      <c r="B62" s="116" t="s">
        <v>37</v>
      </c>
      <c r="C62" s="148">
        <f>SQRT(((Material_Velocity/1000^2*Pulse_Length_in_Material_µs^2)/4)+((PCS/2)*Material_Velocity/1000*Pulse_Length_in_Material_µs))</f>
        <v>5.0222040169132915</v>
      </c>
      <c r="D62" s="133"/>
      <c r="E62" s="133"/>
      <c r="F62" s="133"/>
      <c r="G62" s="133"/>
      <c r="H62" s="133"/>
      <c r="I62" s="133"/>
      <c r="J62" s="134"/>
      <c r="L62" s="135"/>
      <c r="M62" s="139"/>
      <c r="N62" s="139"/>
      <c r="O62" s="139"/>
      <c r="P62" s="137"/>
      <c r="Q62" s="137"/>
      <c r="R62" s="137"/>
      <c r="S62" s="137"/>
      <c r="T62" s="138"/>
    </row>
    <row r="63" spans="1:20" x14ac:dyDescent="0.2">
      <c r="A63" s="132"/>
      <c r="B63" s="116" t="s">
        <v>38</v>
      </c>
      <c r="C63" s="148">
        <f>SQRT(((Material_Velocity/1000)^2)*((BWE_Arrival_Time+Pulse_Length_in_Material_µs)^2)/4-((PCS/2)^2))-Thickness</f>
        <v>0.66606927841626984</v>
      </c>
      <c r="D63" s="133"/>
      <c r="E63" s="133"/>
      <c r="F63" s="133"/>
      <c r="G63" s="133"/>
      <c r="H63" s="133"/>
      <c r="I63" s="133"/>
      <c r="J63" s="134"/>
      <c r="L63" s="140" t="s">
        <v>88</v>
      </c>
      <c r="M63" s="139">
        <f>-Thickness</f>
        <v>-25</v>
      </c>
      <c r="N63" s="139">
        <f>-Root_Offset</f>
        <v>-1.5</v>
      </c>
      <c r="O63" s="139"/>
      <c r="P63" s="137"/>
      <c r="Q63" s="137"/>
      <c r="R63" s="137"/>
      <c r="S63" s="137"/>
      <c r="T63" s="138"/>
    </row>
    <row r="64" spans="1:20" x14ac:dyDescent="0.2">
      <c r="A64" s="132"/>
      <c r="B64" s="116" t="s">
        <v>132</v>
      </c>
      <c r="C64" s="117">
        <v>10</v>
      </c>
      <c r="D64" s="133"/>
      <c r="E64" s="133"/>
      <c r="F64" s="133"/>
      <c r="G64" s="133"/>
      <c r="H64" s="133"/>
      <c r="I64" s="133"/>
      <c r="J64" s="134"/>
      <c r="L64" s="135"/>
      <c r="M64" s="139">
        <f>IF(Ground=TRUE,-Thickness,-Thickness - (Thickness/8))</f>
        <v>-28.125</v>
      </c>
      <c r="N64" s="139">
        <v>0</v>
      </c>
      <c r="O64" s="139"/>
      <c r="P64" s="137"/>
      <c r="Q64" s="137"/>
      <c r="R64" s="137"/>
      <c r="S64" s="137"/>
      <c r="T64" s="138"/>
    </row>
    <row r="65" spans="1:20" x14ac:dyDescent="0.2">
      <c r="A65" s="132"/>
      <c r="B65" s="116" t="s">
        <v>133</v>
      </c>
      <c r="C65" s="117">
        <f>IF(Flaw_Depth&gt;Thickness-1,Thickness-1,Flaw_Depth)</f>
        <v>10</v>
      </c>
      <c r="D65" s="133" t="s">
        <v>134</v>
      </c>
      <c r="E65" s="133"/>
      <c r="F65" s="133"/>
      <c r="G65" s="133"/>
      <c r="H65" s="133"/>
      <c r="I65" s="133"/>
      <c r="J65" s="134"/>
      <c r="L65" s="135"/>
      <c r="M65" s="139">
        <f>-Thickness</f>
        <v>-25</v>
      </c>
      <c r="N65" s="139">
        <f>Root_Offset</f>
        <v>1.5</v>
      </c>
      <c r="O65" s="139"/>
      <c r="P65" s="137"/>
      <c r="Q65" s="137"/>
      <c r="R65" s="137"/>
      <c r="S65" s="137"/>
      <c r="T65" s="138"/>
    </row>
    <row r="66" spans="1:20" x14ac:dyDescent="0.2">
      <c r="A66" s="132"/>
      <c r="B66" s="116" t="s">
        <v>40</v>
      </c>
      <c r="C66" s="148">
        <f>(SQRT((PCS/2)^2+Flaw_Depth_Final^2)*2/Material_Velocity*1000)</f>
        <v>10.238466651212851</v>
      </c>
      <c r="D66" s="133"/>
      <c r="E66" s="133"/>
      <c r="F66" s="133"/>
      <c r="G66" s="133"/>
      <c r="H66" s="133"/>
      <c r="I66" s="133"/>
      <c r="J66" s="134"/>
      <c r="L66" s="135"/>
      <c r="M66" s="139"/>
      <c r="N66" s="139"/>
      <c r="O66" s="139"/>
      <c r="P66" s="137"/>
      <c r="Q66" s="137"/>
      <c r="R66" s="137"/>
      <c r="S66" s="137"/>
      <c r="T66" s="138"/>
    </row>
    <row r="67" spans="1:20" x14ac:dyDescent="0.2">
      <c r="A67" s="132"/>
      <c r="B67" s="116" t="s">
        <v>41</v>
      </c>
      <c r="C67" s="148">
        <f>SQRT(((Material_Velocity/1000)^2)*((TOF_to_Flaw_Tip+Pulse_Length_in_Material_µs)^2)/4-((PCS/2)^2))-Flaw_Depth_Final</f>
        <v>1.2661387821939236</v>
      </c>
      <c r="D67" s="133"/>
      <c r="E67" s="133"/>
      <c r="F67" s="133"/>
      <c r="G67" s="133"/>
      <c r="H67" s="133"/>
      <c r="I67" s="133"/>
      <c r="J67" s="134"/>
      <c r="L67" s="140" t="s">
        <v>104</v>
      </c>
      <c r="M67" s="139" t="s">
        <v>6</v>
      </c>
      <c r="N67" s="139" t="s">
        <v>7</v>
      </c>
      <c r="O67" s="139"/>
      <c r="P67" s="137"/>
      <c r="Q67" s="137"/>
      <c r="R67" s="137"/>
      <c r="S67" s="137"/>
      <c r="T67" s="138"/>
    </row>
    <row r="68" spans="1:20" x14ac:dyDescent="0.2">
      <c r="A68" s="132"/>
      <c r="B68" s="116" t="s">
        <v>89</v>
      </c>
      <c r="C68" s="152">
        <f>TAN(RADIANS(90-Angle))*HALFPCS</f>
        <v>16.454482671904334</v>
      </c>
      <c r="D68" s="133"/>
      <c r="E68" s="133"/>
      <c r="F68" s="133"/>
      <c r="G68" s="133"/>
      <c r="H68" s="133"/>
      <c r="I68" s="133"/>
      <c r="J68" s="134"/>
      <c r="L68" s="135"/>
      <c r="M68" s="136">
        <f>-C62</f>
        <v>-5.0222040169132915</v>
      </c>
      <c r="N68" s="139">
        <v>100</v>
      </c>
      <c r="O68" s="139"/>
      <c r="P68" s="137"/>
      <c r="Q68" s="137"/>
      <c r="R68" s="137"/>
      <c r="S68" s="137"/>
      <c r="T68" s="138"/>
    </row>
    <row r="69" spans="1:20" x14ac:dyDescent="0.2">
      <c r="A69" s="132"/>
      <c r="B69" s="116" t="s">
        <v>90</v>
      </c>
      <c r="C69" s="148">
        <f>Focal_Depth/Thickness</f>
        <v>0.65817930687617332</v>
      </c>
      <c r="D69" s="133" t="s">
        <v>121</v>
      </c>
      <c r="E69" s="133"/>
      <c r="F69" s="133"/>
      <c r="G69" s="133"/>
      <c r="H69" s="133"/>
      <c r="I69" s="133"/>
      <c r="J69" s="134"/>
      <c r="L69" s="135"/>
      <c r="M69" s="136">
        <f>-C62</f>
        <v>-5.0222040169132915</v>
      </c>
      <c r="N69" s="139">
        <f>IF(C48=TRUE,-100,100)</f>
        <v>100</v>
      </c>
      <c r="O69" s="139"/>
      <c r="P69" s="137"/>
      <c r="Q69" s="137"/>
      <c r="R69" s="137"/>
      <c r="S69" s="137"/>
      <c r="T69" s="138"/>
    </row>
    <row r="70" spans="1:20" x14ac:dyDescent="0.2">
      <c r="A70" s="132"/>
      <c r="B70" s="116" t="s">
        <v>101</v>
      </c>
      <c r="C70" s="148">
        <f>Time_Window_µS/C33</f>
        <v>31.90196669333805</v>
      </c>
      <c r="D70" s="133" t="s">
        <v>152</v>
      </c>
      <c r="E70" s="133"/>
      <c r="F70" s="133"/>
      <c r="G70" s="133"/>
      <c r="H70" s="133"/>
      <c r="I70" s="133"/>
      <c r="J70" s="134"/>
      <c r="L70" s="135"/>
      <c r="M70" s="139"/>
      <c r="N70" s="139"/>
      <c r="O70" s="139"/>
      <c r="P70" s="137"/>
      <c r="Q70" s="137"/>
      <c r="R70" s="137"/>
      <c r="S70" s="137"/>
      <c r="T70" s="138"/>
    </row>
    <row r="71" spans="1:20" x14ac:dyDescent="0.2">
      <c r="A71" s="132"/>
      <c r="B71" s="116" t="s">
        <v>141</v>
      </c>
      <c r="C71" s="117" t="b">
        <v>0</v>
      </c>
      <c r="D71" s="154"/>
      <c r="E71" s="154"/>
      <c r="F71" s="154"/>
      <c r="G71" s="154"/>
      <c r="H71" s="154"/>
      <c r="I71" s="154"/>
      <c r="J71" s="155"/>
      <c r="L71" s="140" t="s">
        <v>105</v>
      </c>
      <c r="M71" s="139" t="s">
        <v>6</v>
      </c>
      <c r="N71" s="139" t="s">
        <v>7</v>
      </c>
      <c r="O71" s="139"/>
      <c r="P71" s="137"/>
      <c r="Q71" s="137"/>
      <c r="R71" s="137"/>
      <c r="S71" s="137"/>
      <c r="T71" s="138"/>
    </row>
    <row r="72" spans="1:20" ht="13.5" thickBot="1" x14ac:dyDescent="0.25">
      <c r="A72" s="156"/>
      <c r="B72" s="157" t="s">
        <v>137</v>
      </c>
      <c r="C72" s="158">
        <f>(SQRT((PCS/2)^2+Flaw_Depth_Final^2)*2)</f>
        <v>60.406953242155822</v>
      </c>
      <c r="D72" s="159"/>
      <c r="E72" s="159"/>
      <c r="F72" s="159"/>
      <c r="G72" s="159"/>
      <c r="H72" s="159"/>
      <c r="I72" s="159"/>
      <c r="J72" s="160"/>
      <c r="L72" s="135"/>
      <c r="M72" s="136">
        <f>-Thickness + BWE_Dead_Zone</f>
        <v>-24.33393072158373</v>
      </c>
      <c r="N72" s="139">
        <v>100</v>
      </c>
      <c r="O72" s="139"/>
      <c r="P72" s="137"/>
      <c r="Q72" s="137"/>
      <c r="R72" s="137"/>
      <c r="S72" s="137"/>
      <c r="T72" s="138"/>
    </row>
    <row r="73" spans="1:20" x14ac:dyDescent="0.2">
      <c r="A73" s="116"/>
      <c r="K73" s="147"/>
      <c r="L73" s="135"/>
      <c r="M73" s="136">
        <f>M72</f>
        <v>-24.33393072158373</v>
      </c>
      <c r="N73" s="139">
        <f>IF(C49=TRUE,-100,100)</f>
        <v>100</v>
      </c>
      <c r="O73" s="139"/>
      <c r="P73" s="137"/>
      <c r="Q73" s="137"/>
      <c r="R73" s="137"/>
      <c r="S73" s="137"/>
      <c r="T73" s="138"/>
    </row>
    <row r="74" spans="1:20" x14ac:dyDescent="0.2">
      <c r="A74" s="116"/>
      <c r="K74" s="147"/>
      <c r="L74" s="135"/>
      <c r="M74" s="139"/>
      <c r="N74" s="139"/>
      <c r="O74" s="139"/>
      <c r="P74" s="137"/>
      <c r="Q74" s="137"/>
      <c r="R74" s="137"/>
      <c r="S74" s="137"/>
      <c r="T74" s="138"/>
    </row>
    <row r="75" spans="1:20" x14ac:dyDescent="0.2">
      <c r="A75" s="116"/>
      <c r="K75" s="147"/>
      <c r="L75" s="140" t="s">
        <v>103</v>
      </c>
      <c r="M75" s="139" t="s">
        <v>6</v>
      </c>
      <c r="N75" s="139" t="s">
        <v>7</v>
      </c>
      <c r="O75" s="139"/>
      <c r="P75" s="137"/>
      <c r="Q75" s="137"/>
      <c r="R75" s="137"/>
      <c r="S75" s="137"/>
      <c r="T75" s="138"/>
    </row>
    <row r="76" spans="1:20" x14ac:dyDescent="0.2">
      <c r="A76" s="116"/>
      <c r="L76" s="135"/>
      <c r="M76" s="136">
        <f>-Flaw_Depth_Final</f>
        <v>-10</v>
      </c>
      <c r="N76" s="139">
        <v>100</v>
      </c>
      <c r="O76" s="139"/>
      <c r="P76" s="137"/>
      <c r="Q76" s="137"/>
      <c r="R76" s="137"/>
      <c r="S76" s="137"/>
      <c r="T76" s="138"/>
    </row>
    <row r="77" spans="1:20" x14ac:dyDescent="0.2">
      <c r="A77" s="116"/>
      <c r="L77" s="135"/>
      <c r="M77" s="136">
        <f>M76</f>
        <v>-10</v>
      </c>
      <c r="N77" s="139">
        <f>IF(C50=TRUE,-100,100)</f>
        <v>100</v>
      </c>
      <c r="O77" s="139"/>
      <c r="P77" s="137"/>
      <c r="Q77" s="137"/>
      <c r="R77" s="137"/>
      <c r="S77" s="137"/>
      <c r="T77" s="138"/>
    </row>
    <row r="78" spans="1:20" x14ac:dyDescent="0.2">
      <c r="A78" s="116"/>
      <c r="K78" s="147"/>
      <c r="L78" s="135"/>
      <c r="M78" s="136">
        <f>-(Flaw_Depth_Final+Spatial_Resolution)</f>
        <v>-11.266138782193924</v>
      </c>
      <c r="N78" s="139">
        <f>N77</f>
        <v>100</v>
      </c>
      <c r="O78" s="139"/>
      <c r="P78" s="137"/>
      <c r="Q78" s="137"/>
      <c r="R78" s="137"/>
      <c r="S78" s="137"/>
      <c r="T78" s="138"/>
    </row>
    <row r="79" spans="1:20" x14ac:dyDescent="0.2">
      <c r="A79" s="116"/>
      <c r="K79" s="147"/>
      <c r="L79" s="135"/>
      <c r="M79" s="136">
        <f>M78</f>
        <v>-11.266138782193924</v>
      </c>
      <c r="N79" s="139">
        <f>N76</f>
        <v>100</v>
      </c>
      <c r="O79" s="139"/>
      <c r="P79" s="137"/>
      <c r="Q79" s="137"/>
      <c r="R79" s="137"/>
      <c r="S79" s="137"/>
      <c r="T79" s="138"/>
    </row>
    <row r="80" spans="1:20" x14ac:dyDescent="0.2">
      <c r="A80" s="116"/>
      <c r="K80" s="147"/>
      <c r="L80" s="140" t="s">
        <v>138</v>
      </c>
      <c r="M80" s="139" t="s">
        <v>136</v>
      </c>
      <c r="N80" s="139" t="s">
        <v>135</v>
      </c>
      <c r="O80" s="139"/>
      <c r="P80" s="139"/>
      <c r="Q80" s="139"/>
      <c r="R80" s="139"/>
      <c r="S80" s="116"/>
      <c r="T80" s="161"/>
    </row>
    <row r="81" spans="11:20" x14ac:dyDescent="0.2">
      <c r="L81" s="162">
        <v>1</v>
      </c>
      <c r="M81" s="139">
        <f>IF(TOF_Locus_Display_On_Off=TRUE,-HALFPCS+Datum,1000)</f>
        <v>1000</v>
      </c>
      <c r="N81" s="116" t="e">
        <f t="shared" ref="N81:N110" si="0">-0.5*SQRT((((CT^2)-(PCS^2))*((CT^2)-(4*((M81-Datum)^2))))/CT^2)</f>
        <v>#NUM!</v>
      </c>
      <c r="O81" s="116"/>
      <c r="P81" s="116"/>
      <c r="Q81" s="116"/>
      <c r="R81" s="116"/>
      <c r="S81" s="116"/>
      <c r="T81" s="161"/>
    </row>
    <row r="82" spans="11:20" x14ac:dyDescent="0.2">
      <c r="L82" s="162">
        <v>2</v>
      </c>
      <c r="M82" s="139">
        <f t="shared" ref="M82:M110" si="1">(PCS/29)+M81</f>
        <v>1001.9655172413793</v>
      </c>
      <c r="N82" s="116" t="e">
        <f t="shared" si="0"/>
        <v>#NUM!</v>
      </c>
      <c r="O82" s="116"/>
      <c r="P82" s="116"/>
      <c r="Q82" s="116"/>
      <c r="R82" s="116"/>
      <c r="S82" s="116"/>
      <c r="T82" s="161"/>
    </row>
    <row r="83" spans="11:20" x14ac:dyDescent="0.2">
      <c r="L83" s="162">
        <v>3</v>
      </c>
      <c r="M83" s="139">
        <f t="shared" si="1"/>
        <v>1003.9310344827586</v>
      </c>
      <c r="N83" s="116" t="e">
        <f t="shared" si="0"/>
        <v>#NUM!</v>
      </c>
      <c r="O83" s="116"/>
      <c r="P83" s="116"/>
      <c r="Q83" s="116"/>
      <c r="R83" s="116"/>
      <c r="S83" s="116"/>
      <c r="T83" s="161"/>
    </row>
    <row r="84" spans="11:20" x14ac:dyDescent="0.2">
      <c r="L84" s="162">
        <v>4</v>
      </c>
      <c r="M84" s="139">
        <f t="shared" si="1"/>
        <v>1005.8965517241379</v>
      </c>
      <c r="N84" s="116" t="e">
        <f t="shared" si="0"/>
        <v>#NUM!</v>
      </c>
      <c r="O84" s="116"/>
      <c r="P84" s="116"/>
      <c r="Q84" s="116"/>
      <c r="R84" s="116"/>
      <c r="S84" s="116"/>
      <c r="T84" s="161"/>
    </row>
    <row r="85" spans="11:20" x14ac:dyDescent="0.2">
      <c r="L85" s="162">
        <v>5</v>
      </c>
      <c r="M85" s="139">
        <f t="shared" si="1"/>
        <v>1007.8620689655172</v>
      </c>
      <c r="N85" s="116" t="e">
        <f t="shared" si="0"/>
        <v>#NUM!</v>
      </c>
      <c r="O85" s="116"/>
      <c r="P85" s="116"/>
      <c r="Q85" s="116"/>
      <c r="R85" s="116"/>
      <c r="S85" s="116"/>
      <c r="T85" s="161"/>
    </row>
    <row r="86" spans="11:20" x14ac:dyDescent="0.2">
      <c r="L86" s="162">
        <v>6</v>
      </c>
      <c r="M86" s="139">
        <f t="shared" si="1"/>
        <v>1009.8275862068965</v>
      </c>
      <c r="N86" s="116" t="e">
        <f t="shared" si="0"/>
        <v>#NUM!</v>
      </c>
      <c r="O86" s="116"/>
      <c r="P86" s="116"/>
      <c r="Q86" s="116"/>
      <c r="R86" s="116"/>
      <c r="S86" s="116"/>
      <c r="T86" s="161"/>
    </row>
    <row r="87" spans="11:20" x14ac:dyDescent="0.2">
      <c r="L87" s="162">
        <v>7</v>
      </c>
      <c r="M87" s="139">
        <f t="shared" si="1"/>
        <v>1011.7931034482758</v>
      </c>
      <c r="N87" s="116" t="e">
        <f t="shared" si="0"/>
        <v>#NUM!</v>
      </c>
      <c r="O87" s="116"/>
      <c r="P87" s="116"/>
      <c r="Q87" s="116"/>
      <c r="R87" s="116"/>
      <c r="S87" s="116"/>
      <c r="T87" s="161"/>
    </row>
    <row r="88" spans="11:20" x14ac:dyDescent="0.2">
      <c r="L88" s="162">
        <v>8</v>
      </c>
      <c r="M88" s="139">
        <f t="shared" si="1"/>
        <v>1013.7586206896551</v>
      </c>
      <c r="N88" s="116" t="e">
        <f t="shared" si="0"/>
        <v>#NUM!</v>
      </c>
      <c r="O88" s="116"/>
      <c r="P88" s="116"/>
      <c r="Q88" s="116"/>
      <c r="R88" s="116"/>
      <c r="S88" s="116"/>
      <c r="T88" s="161"/>
    </row>
    <row r="89" spans="11:20" x14ac:dyDescent="0.2">
      <c r="L89" s="162">
        <v>9</v>
      </c>
      <c r="M89" s="139">
        <f t="shared" si="1"/>
        <v>1015.7241379310344</v>
      </c>
      <c r="N89" s="116" t="e">
        <f t="shared" si="0"/>
        <v>#NUM!</v>
      </c>
      <c r="O89" s="116"/>
      <c r="P89" s="116"/>
      <c r="Q89" s="116"/>
      <c r="R89" s="116"/>
      <c r="S89" s="116"/>
      <c r="T89" s="161"/>
    </row>
    <row r="90" spans="11:20" x14ac:dyDescent="0.2">
      <c r="L90" s="162">
        <v>10</v>
      </c>
      <c r="M90" s="139">
        <f t="shared" si="1"/>
        <v>1017.6896551724137</v>
      </c>
      <c r="N90" s="116" t="e">
        <f t="shared" si="0"/>
        <v>#NUM!</v>
      </c>
      <c r="O90" s="116"/>
      <c r="P90" s="116"/>
      <c r="Q90" s="116"/>
      <c r="R90" s="116"/>
      <c r="S90" s="116"/>
      <c r="T90" s="161"/>
    </row>
    <row r="91" spans="11:20" x14ac:dyDescent="0.2">
      <c r="L91" s="162">
        <v>11</v>
      </c>
      <c r="M91" s="139">
        <f t="shared" si="1"/>
        <v>1019.655172413793</v>
      </c>
      <c r="N91" s="116" t="e">
        <f t="shared" si="0"/>
        <v>#NUM!</v>
      </c>
      <c r="O91" s="139"/>
      <c r="P91" s="139"/>
      <c r="Q91" s="139"/>
      <c r="R91" s="139"/>
      <c r="S91" s="116"/>
      <c r="T91" s="161"/>
    </row>
    <row r="92" spans="11:20" x14ac:dyDescent="0.2">
      <c r="L92" s="162">
        <v>12</v>
      </c>
      <c r="M92" s="139">
        <f t="shared" si="1"/>
        <v>1021.6206896551723</v>
      </c>
      <c r="N92" s="116" t="e">
        <f t="shared" si="0"/>
        <v>#NUM!</v>
      </c>
      <c r="O92" s="139"/>
      <c r="P92" s="139"/>
      <c r="Q92" s="139"/>
      <c r="R92" s="139"/>
      <c r="S92" s="116"/>
      <c r="T92" s="161"/>
    </row>
    <row r="93" spans="11:20" x14ac:dyDescent="0.2">
      <c r="K93" s="147"/>
      <c r="L93" s="162">
        <v>13</v>
      </c>
      <c r="M93" s="139">
        <f t="shared" si="1"/>
        <v>1023.5862068965516</v>
      </c>
      <c r="N93" s="116" t="e">
        <f t="shared" si="0"/>
        <v>#NUM!</v>
      </c>
      <c r="O93" s="139"/>
      <c r="P93" s="139"/>
      <c r="Q93" s="139"/>
      <c r="R93" s="139"/>
      <c r="S93" s="116"/>
      <c r="T93" s="161"/>
    </row>
    <row r="94" spans="11:20" x14ac:dyDescent="0.2">
      <c r="K94" s="147"/>
      <c r="L94" s="162">
        <v>14</v>
      </c>
      <c r="M94" s="139">
        <f t="shared" si="1"/>
        <v>1025.5517241379309</v>
      </c>
      <c r="N94" s="116" t="e">
        <f t="shared" si="0"/>
        <v>#NUM!</v>
      </c>
      <c r="O94" s="139"/>
      <c r="P94" s="139"/>
      <c r="Q94" s="139"/>
      <c r="R94" s="139"/>
      <c r="S94" s="116"/>
      <c r="T94" s="161"/>
    </row>
    <row r="95" spans="11:20" x14ac:dyDescent="0.2">
      <c r="K95" s="147"/>
      <c r="L95" s="162">
        <v>15</v>
      </c>
      <c r="M95" s="139">
        <f t="shared" si="1"/>
        <v>1027.5172413793102</v>
      </c>
      <c r="N95" s="116" t="e">
        <f t="shared" si="0"/>
        <v>#NUM!</v>
      </c>
      <c r="O95" s="139"/>
      <c r="P95" s="139"/>
      <c r="Q95" s="139"/>
      <c r="R95" s="139"/>
      <c r="S95" s="116"/>
      <c r="T95" s="161"/>
    </row>
    <row r="96" spans="11:20" x14ac:dyDescent="0.2">
      <c r="L96" s="162">
        <v>16</v>
      </c>
      <c r="M96" s="139">
        <f t="shared" si="1"/>
        <v>1029.4827586206895</v>
      </c>
      <c r="N96" s="116" t="e">
        <f t="shared" si="0"/>
        <v>#NUM!</v>
      </c>
      <c r="O96" s="139"/>
      <c r="P96" s="139"/>
      <c r="Q96" s="139"/>
      <c r="R96" s="139"/>
      <c r="S96" s="116"/>
      <c r="T96" s="161"/>
    </row>
    <row r="97" spans="11:20" x14ac:dyDescent="0.2">
      <c r="K97" s="147"/>
      <c r="L97" s="162">
        <v>17</v>
      </c>
      <c r="M97" s="139">
        <f t="shared" si="1"/>
        <v>1031.4482758620688</v>
      </c>
      <c r="N97" s="116" t="e">
        <f t="shared" si="0"/>
        <v>#NUM!</v>
      </c>
      <c r="O97" s="139"/>
      <c r="P97" s="139"/>
      <c r="Q97" s="139"/>
      <c r="R97" s="139"/>
      <c r="S97" s="116"/>
      <c r="T97" s="161"/>
    </row>
    <row r="98" spans="11:20" x14ac:dyDescent="0.2">
      <c r="K98" s="147"/>
      <c r="L98" s="162">
        <v>18</v>
      </c>
      <c r="M98" s="139">
        <f t="shared" si="1"/>
        <v>1033.4137931034481</v>
      </c>
      <c r="N98" s="116" t="e">
        <f t="shared" si="0"/>
        <v>#NUM!</v>
      </c>
      <c r="O98" s="139"/>
      <c r="P98" s="139"/>
      <c r="Q98" s="139"/>
      <c r="R98" s="139"/>
      <c r="S98" s="116"/>
      <c r="T98" s="161"/>
    </row>
    <row r="99" spans="11:20" x14ac:dyDescent="0.2">
      <c r="K99" s="147"/>
      <c r="L99" s="162">
        <v>19</v>
      </c>
      <c r="M99" s="139">
        <f t="shared" si="1"/>
        <v>1035.3793103448274</v>
      </c>
      <c r="N99" s="116" t="e">
        <f t="shared" si="0"/>
        <v>#NUM!</v>
      </c>
      <c r="O99" s="139"/>
      <c r="P99" s="139"/>
      <c r="Q99" s="139"/>
      <c r="R99" s="139"/>
      <c r="S99" s="116"/>
      <c r="T99" s="161"/>
    </row>
    <row r="100" spans="11:20" ht="13.5" thickBot="1" x14ac:dyDescent="0.25">
      <c r="L100" s="162">
        <v>20</v>
      </c>
      <c r="M100" s="139">
        <f t="shared" si="1"/>
        <v>1037.3448275862067</v>
      </c>
      <c r="N100" s="116" t="e">
        <f t="shared" si="0"/>
        <v>#NUM!</v>
      </c>
      <c r="O100" s="163"/>
      <c r="P100" s="163"/>
      <c r="Q100" s="163"/>
      <c r="R100" s="163"/>
      <c r="S100" s="157"/>
      <c r="T100" s="164"/>
    </row>
    <row r="101" spans="11:20" x14ac:dyDescent="0.2">
      <c r="L101" s="162">
        <v>21</v>
      </c>
      <c r="M101" s="139">
        <f t="shared" si="1"/>
        <v>1039.3103448275861</v>
      </c>
      <c r="N101" s="116" t="e">
        <f t="shared" si="0"/>
        <v>#NUM!</v>
      </c>
      <c r="O101" s="139"/>
      <c r="P101" s="139"/>
      <c r="Q101" s="139"/>
      <c r="R101" s="139"/>
      <c r="S101" s="116"/>
      <c r="T101" s="161"/>
    </row>
    <row r="102" spans="11:20" x14ac:dyDescent="0.2">
      <c r="K102" s="165"/>
      <c r="L102" s="162">
        <v>22</v>
      </c>
      <c r="M102" s="139">
        <f t="shared" si="1"/>
        <v>1041.2758620689654</v>
      </c>
      <c r="N102" s="116" t="e">
        <f t="shared" si="0"/>
        <v>#NUM!</v>
      </c>
      <c r="O102" s="139"/>
      <c r="P102" s="139"/>
      <c r="Q102" s="139"/>
      <c r="R102" s="139"/>
      <c r="S102" s="116"/>
      <c r="T102" s="161"/>
    </row>
    <row r="103" spans="11:20" x14ac:dyDescent="0.2">
      <c r="L103" s="162">
        <v>23</v>
      </c>
      <c r="M103" s="139">
        <f t="shared" si="1"/>
        <v>1043.2413793103447</v>
      </c>
      <c r="N103" s="116" t="e">
        <f t="shared" si="0"/>
        <v>#NUM!</v>
      </c>
      <c r="O103" s="139"/>
      <c r="P103" s="139"/>
      <c r="Q103" s="139"/>
      <c r="R103" s="139"/>
      <c r="S103" s="116"/>
      <c r="T103" s="161"/>
    </row>
    <row r="104" spans="11:20" x14ac:dyDescent="0.2">
      <c r="L104" s="162">
        <v>24</v>
      </c>
      <c r="M104" s="139">
        <f t="shared" si="1"/>
        <v>1045.206896551724</v>
      </c>
      <c r="N104" s="116" t="e">
        <f t="shared" si="0"/>
        <v>#NUM!</v>
      </c>
      <c r="O104" s="139"/>
      <c r="P104" s="139"/>
      <c r="Q104" s="139"/>
      <c r="R104" s="139"/>
      <c r="S104" s="116"/>
      <c r="T104" s="161"/>
    </row>
    <row r="105" spans="11:20" x14ac:dyDescent="0.2">
      <c r="L105" s="162">
        <v>25</v>
      </c>
      <c r="M105" s="139">
        <f t="shared" si="1"/>
        <v>1047.1724137931033</v>
      </c>
      <c r="N105" s="116" t="e">
        <f t="shared" si="0"/>
        <v>#NUM!</v>
      </c>
      <c r="O105" s="139"/>
      <c r="P105" s="139"/>
      <c r="Q105" s="139"/>
      <c r="R105" s="139"/>
      <c r="S105" s="116"/>
      <c r="T105" s="161"/>
    </row>
    <row r="106" spans="11:20" x14ac:dyDescent="0.2">
      <c r="L106" s="162">
        <v>26</v>
      </c>
      <c r="M106" s="139">
        <f t="shared" si="1"/>
        <v>1049.1379310344826</v>
      </c>
      <c r="N106" s="116" t="e">
        <f t="shared" si="0"/>
        <v>#NUM!</v>
      </c>
      <c r="O106" s="139"/>
      <c r="P106" s="139"/>
      <c r="Q106" s="139"/>
      <c r="R106" s="139"/>
      <c r="S106" s="116"/>
      <c r="T106" s="161"/>
    </row>
    <row r="107" spans="11:20" x14ac:dyDescent="0.2">
      <c r="L107" s="162">
        <v>27</v>
      </c>
      <c r="M107" s="139">
        <f t="shared" si="1"/>
        <v>1051.1034482758619</v>
      </c>
      <c r="N107" s="116" t="e">
        <f t="shared" si="0"/>
        <v>#NUM!</v>
      </c>
      <c r="O107" s="139"/>
      <c r="P107" s="139"/>
      <c r="Q107" s="139"/>
      <c r="R107" s="139"/>
      <c r="S107" s="116"/>
      <c r="T107" s="161"/>
    </row>
    <row r="108" spans="11:20" x14ac:dyDescent="0.2">
      <c r="L108" s="162">
        <v>28</v>
      </c>
      <c r="M108" s="139">
        <f t="shared" si="1"/>
        <v>1053.0689655172412</v>
      </c>
      <c r="N108" s="116" t="e">
        <f t="shared" si="0"/>
        <v>#NUM!</v>
      </c>
      <c r="O108" s="139"/>
      <c r="P108" s="139"/>
      <c r="Q108" s="139"/>
      <c r="R108" s="139"/>
      <c r="S108" s="116"/>
      <c r="T108" s="161"/>
    </row>
    <row r="109" spans="11:20" x14ac:dyDescent="0.2">
      <c r="L109" s="162">
        <v>29</v>
      </c>
      <c r="M109" s="139">
        <f t="shared" si="1"/>
        <v>1055.0344827586205</v>
      </c>
      <c r="N109" s="116" t="e">
        <f t="shared" si="0"/>
        <v>#NUM!</v>
      </c>
      <c r="O109" s="139"/>
      <c r="P109" s="139"/>
      <c r="Q109" s="139"/>
      <c r="R109" s="139"/>
      <c r="S109" s="116"/>
      <c r="T109" s="161"/>
    </row>
    <row r="110" spans="11:20" x14ac:dyDescent="0.2">
      <c r="L110" s="162">
        <v>30</v>
      </c>
      <c r="M110" s="139">
        <f t="shared" si="1"/>
        <v>1056.9999999999998</v>
      </c>
      <c r="N110" s="116" t="e">
        <f t="shared" si="0"/>
        <v>#NUM!</v>
      </c>
      <c r="O110" s="139"/>
      <c r="P110" s="139"/>
      <c r="Q110" s="139"/>
      <c r="R110" s="139"/>
      <c r="S110" s="116"/>
      <c r="T110" s="161"/>
    </row>
    <row r="111" spans="11:20" ht="13.5" thickBot="1" x14ac:dyDescent="0.25">
      <c r="L111" s="166"/>
      <c r="M111" s="163"/>
      <c r="N111" s="163"/>
      <c r="O111" s="163"/>
      <c r="P111" s="163"/>
      <c r="Q111" s="163"/>
      <c r="R111" s="163"/>
      <c r="S111" s="157"/>
      <c r="T111" s="164"/>
    </row>
    <row r="112" spans="11:20" x14ac:dyDescent="0.2">
      <c r="L112" s="117"/>
    </row>
  </sheetData>
  <sheetProtection algorithmName="SHA-512" hashValue="DvORWO7AynY13lpe+XAbJ+wGWUwldLHOnTpQ17QbmLnraaMgAtvVHDa4KW84iGqmoaHzlWDboGCRvejhLXbbOw==" saltValue="ae+g3xxkL46tGzl2dU0DBw==" spinCount="100000" sheet="1" objects="1" scenarios="1" selectLockedCells="1" selectUnlockedCells="1"/>
  <mergeCells count="149">
    <mergeCell ref="D71:J71"/>
    <mergeCell ref="D72:J72"/>
    <mergeCell ref="A3:B3"/>
    <mergeCell ref="A15:B15"/>
    <mergeCell ref="L2:O2"/>
    <mergeCell ref="D7:J7"/>
    <mergeCell ref="D8:J8"/>
    <mergeCell ref="D9:J9"/>
    <mergeCell ref="D10:J10"/>
    <mergeCell ref="D11:J11"/>
    <mergeCell ref="D12:J12"/>
    <mergeCell ref="D13:J13"/>
    <mergeCell ref="D14:J14"/>
    <mergeCell ref="D15:J15"/>
    <mergeCell ref="D16:J16"/>
    <mergeCell ref="D45:J45"/>
    <mergeCell ref="D48:J48"/>
    <mergeCell ref="D49:J49"/>
    <mergeCell ref="D50:J50"/>
    <mergeCell ref="D51:J51"/>
    <mergeCell ref="D52:J52"/>
    <mergeCell ref="D21:J21"/>
    <mergeCell ref="D23:J23"/>
    <mergeCell ref="D24:J24"/>
    <mergeCell ref="D26:J26"/>
    <mergeCell ref="D17:J17"/>
    <mergeCell ref="D18:J18"/>
    <mergeCell ref="D19:J19"/>
    <mergeCell ref="D20:J20"/>
    <mergeCell ref="P3:T3"/>
    <mergeCell ref="D3:J3"/>
    <mergeCell ref="D4:J4"/>
    <mergeCell ref="D5:J5"/>
    <mergeCell ref="D6:J6"/>
    <mergeCell ref="P22:T22"/>
    <mergeCell ref="P23:T23"/>
    <mergeCell ref="P24:T24"/>
    <mergeCell ref="P25:T25"/>
    <mergeCell ref="P26:T26"/>
    <mergeCell ref="P17:T17"/>
    <mergeCell ref="P18:T18"/>
    <mergeCell ref="P19:T19"/>
    <mergeCell ref="P20:T20"/>
    <mergeCell ref="P21:T21"/>
    <mergeCell ref="D33:J33"/>
    <mergeCell ref="D34:J34"/>
    <mergeCell ref="D35:J35"/>
    <mergeCell ref="D36:J36"/>
    <mergeCell ref="D27:J27"/>
    <mergeCell ref="D28:J28"/>
    <mergeCell ref="D29:J29"/>
    <mergeCell ref="D31:J31"/>
    <mergeCell ref="D32:J32"/>
    <mergeCell ref="D60:J60"/>
    <mergeCell ref="D61:J61"/>
    <mergeCell ref="D42:J42"/>
    <mergeCell ref="D43:J43"/>
    <mergeCell ref="D44:J44"/>
    <mergeCell ref="D46:J46"/>
    <mergeCell ref="D47:J47"/>
    <mergeCell ref="D37:J37"/>
    <mergeCell ref="D38:J38"/>
    <mergeCell ref="D39:J39"/>
    <mergeCell ref="D40:J40"/>
    <mergeCell ref="D41:J41"/>
    <mergeCell ref="D53:J53"/>
    <mergeCell ref="D54:J54"/>
    <mergeCell ref="D55:J55"/>
    <mergeCell ref="D56:J56"/>
    <mergeCell ref="D68:J68"/>
    <mergeCell ref="D69:J69"/>
    <mergeCell ref="D70:J70"/>
    <mergeCell ref="P4:T4"/>
    <mergeCell ref="P5:T5"/>
    <mergeCell ref="P6:T6"/>
    <mergeCell ref="P7:T7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D62:J62"/>
    <mergeCell ref="D63:J63"/>
    <mergeCell ref="D64:J64"/>
    <mergeCell ref="D66:J66"/>
    <mergeCell ref="D67:J67"/>
    <mergeCell ref="D57:J57"/>
    <mergeCell ref="D58:J58"/>
    <mergeCell ref="D59:J59"/>
    <mergeCell ref="P32:T32"/>
    <mergeCell ref="P33:T33"/>
    <mergeCell ref="P34:T34"/>
    <mergeCell ref="P35:T35"/>
    <mergeCell ref="P36:T36"/>
    <mergeCell ref="P27:T27"/>
    <mergeCell ref="P28:T28"/>
    <mergeCell ref="P29:T29"/>
    <mergeCell ref="P30:T30"/>
    <mergeCell ref="P31:T31"/>
    <mergeCell ref="P42:T42"/>
    <mergeCell ref="P43:T43"/>
    <mergeCell ref="P44:T44"/>
    <mergeCell ref="P45:T45"/>
    <mergeCell ref="P46:T46"/>
    <mergeCell ref="P37:T37"/>
    <mergeCell ref="P38:T38"/>
    <mergeCell ref="P39:T39"/>
    <mergeCell ref="P40:T40"/>
    <mergeCell ref="P41:T41"/>
    <mergeCell ref="P60:T60"/>
    <mergeCell ref="P61:T61"/>
    <mergeCell ref="P52:T52"/>
    <mergeCell ref="P53:T53"/>
    <mergeCell ref="P54:T54"/>
    <mergeCell ref="P55:T55"/>
    <mergeCell ref="P56:T56"/>
    <mergeCell ref="P47:T47"/>
    <mergeCell ref="P48:T48"/>
    <mergeCell ref="P49:T49"/>
    <mergeCell ref="P50:T50"/>
    <mergeCell ref="P51:T51"/>
    <mergeCell ref="D65:J65"/>
    <mergeCell ref="P77:T77"/>
    <mergeCell ref="P78:T78"/>
    <mergeCell ref="P79:T79"/>
    <mergeCell ref="P2:T2"/>
    <mergeCell ref="D2:J2"/>
    <mergeCell ref="P72:T72"/>
    <mergeCell ref="P73:T73"/>
    <mergeCell ref="P74:T74"/>
    <mergeCell ref="P75:T75"/>
    <mergeCell ref="P76:T76"/>
    <mergeCell ref="P67:T67"/>
    <mergeCell ref="P68:T68"/>
    <mergeCell ref="P69:T69"/>
    <mergeCell ref="P70:T70"/>
    <mergeCell ref="P71:T71"/>
    <mergeCell ref="P62:T62"/>
    <mergeCell ref="P63:T63"/>
    <mergeCell ref="P64:T64"/>
    <mergeCell ref="P65:T65"/>
    <mergeCell ref="P66:T66"/>
    <mergeCell ref="P57:T57"/>
    <mergeCell ref="P58:T58"/>
    <mergeCell ref="P59:T59"/>
  </mergeCells>
  <phoneticPr fontId="2" type="noConversion"/>
  <pageMargins left="0.75" right="0.75" top="1" bottom="1" header="0.5" footer="0.5"/>
  <pageSetup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3" baseType="lpstr">
      <vt:lpstr>Instructions</vt:lpstr>
      <vt:lpstr>View</vt:lpstr>
      <vt:lpstr>Data</vt:lpstr>
      <vt:lpstr>Angle</vt:lpstr>
      <vt:lpstr>BS_in_Material_Lower</vt:lpstr>
      <vt:lpstr>BS_in_Material_Upper</vt:lpstr>
      <vt:lpstr>BS_In_Wedge_Lower</vt:lpstr>
      <vt:lpstr>BS_in_Wedge_Upper</vt:lpstr>
      <vt:lpstr>BWE_Arrival_Time</vt:lpstr>
      <vt:lpstr>BWE_Dead_Zone</vt:lpstr>
      <vt:lpstr>Constant</vt:lpstr>
      <vt:lpstr>CT</vt:lpstr>
      <vt:lpstr>Datum</vt:lpstr>
      <vt:lpstr>Datum_Input</vt:lpstr>
      <vt:lpstr>Diameter</vt:lpstr>
      <vt:lpstr>Flaw_Depth</vt:lpstr>
      <vt:lpstr>Flaw_Depth_Final</vt:lpstr>
      <vt:lpstr>Focal_Depth</vt:lpstr>
      <vt:lpstr>Focal_Percentage</vt:lpstr>
      <vt:lpstr>Frequency</vt:lpstr>
      <vt:lpstr>Ground</vt:lpstr>
      <vt:lpstr>HALFPCS</vt:lpstr>
      <vt:lpstr>Incident_Wedge</vt:lpstr>
      <vt:lpstr>Index</vt:lpstr>
      <vt:lpstr>Input_Angle</vt:lpstr>
      <vt:lpstr>Input_Diameter</vt:lpstr>
      <vt:lpstr>Input_Frequency</vt:lpstr>
      <vt:lpstr>Input_Index</vt:lpstr>
      <vt:lpstr>Input_Offset</vt:lpstr>
      <vt:lpstr>Input_PCS</vt:lpstr>
      <vt:lpstr>Input_Perspex</vt:lpstr>
      <vt:lpstr>Input_Prepangle</vt:lpstr>
      <vt:lpstr>Input_Root_Gap</vt:lpstr>
      <vt:lpstr>Input_Thickness</vt:lpstr>
      <vt:lpstr>Input_Velocity</vt:lpstr>
      <vt:lpstr>Lateral_Wave_Arrival_Time_µs</vt:lpstr>
      <vt:lpstr>Material_Velocity</vt:lpstr>
      <vt:lpstr>Near_Surface_Dead_Zone</vt:lpstr>
      <vt:lpstr>Number_ʎ_in_Time_Window</vt:lpstr>
      <vt:lpstr>Offset</vt:lpstr>
      <vt:lpstr>PCS</vt:lpstr>
      <vt:lpstr>PCS_Input</vt:lpstr>
      <vt:lpstr>Perspex_Thickness</vt:lpstr>
      <vt:lpstr>Prep_Angle</vt:lpstr>
      <vt:lpstr>Prep_Type</vt:lpstr>
      <vt:lpstr>Pulse_Length____of_ʎ__Calculated</vt:lpstr>
      <vt:lpstr>Pulse_Length_in_Material_µs</vt:lpstr>
      <vt:lpstr>Pulse_Length_in_Material_ʎ</vt:lpstr>
      <vt:lpstr>Root_Gap</vt:lpstr>
      <vt:lpstr>Root_Offset</vt:lpstr>
      <vt:lpstr>Spatial_Resolution</vt:lpstr>
      <vt:lpstr>SV</vt:lpstr>
      <vt:lpstr>Thickness</vt:lpstr>
      <vt:lpstr>Time_Window_µS</vt:lpstr>
      <vt:lpstr>TOF_Locus_Display_On_Off</vt:lpstr>
      <vt:lpstr>TOF_to_Flaw_Tip</vt:lpstr>
      <vt:lpstr>Velocity_Wedge</vt:lpstr>
      <vt:lpstr>wavelength</vt:lpstr>
      <vt:lpstr>Wavelength_in_Material</vt:lpstr>
      <vt:lpstr>Wavelength_in_Wedge</vt:lpstr>
      <vt:lpstr>Wavelength_Wedge</vt:lpstr>
      <vt:lpstr>Wedge_Beam_Spread</vt:lpstr>
      <vt:lpstr>Wedge_Delay_µs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</dc:creator>
  <cp:lastModifiedBy>G</cp:lastModifiedBy>
  <cp:lastPrinted>2013-04-23T01:06:39Z</cp:lastPrinted>
  <dcterms:created xsi:type="dcterms:W3CDTF">2005-03-25T02:45:04Z</dcterms:created>
  <dcterms:modified xsi:type="dcterms:W3CDTF">2013-07-30T01:13:52Z</dcterms:modified>
</cp:coreProperties>
</file>