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Объекты\ЦПС Расширение\1. Анализ ПСД\1 этап строительства\144-10\АС\"/>
    </mc:Choice>
  </mc:AlternateContent>
  <bookViews>
    <workbookView xWindow="0" yWindow="0" windowWidth="28800" windowHeight="12135" firstSheet="3" activeTab="3"/>
    <workbookView xWindow="0" yWindow="0" windowWidth="28800" windowHeight="12135" firstSheet="3" activeTab="3"/>
  </bookViews>
  <sheets>
    <sheet name="0. ОД" sheetId="10" state="hidden" r:id="rId1"/>
    <sheet name="1. СМС" sheetId="1" state="hidden" r:id="rId2"/>
    <sheet name="2.СМ" sheetId="2" state="hidden" r:id="rId3"/>
    <sheet name="3.ВО" sheetId="18" r:id="rId4"/>
    <sheet name="4.Анализ_сметы" sheetId="13" state="hidden" r:id="rId5"/>
    <sheet name="5.Анализ_осн.материалов" sheetId="15" r:id="rId6"/>
    <sheet name="6.Анализ_объемов" sheetId="16" r:id="rId7"/>
    <sheet name="7.Заявка_на_материалы" sheetId="17" r:id="rId8"/>
    <sheet name="99. Смета 03-01-01" sheetId="12" state="hidden" r:id="rId9"/>
  </sheets>
  <externalReferences>
    <externalReference r:id="rId10"/>
  </externalReferences>
  <definedNames>
    <definedName name="_xlnm._FilterDatabase" localSheetId="3" hidden="1">'3.ВО'!$A$12:$O$73</definedName>
    <definedName name="Главный_инженер" localSheetId="0">#REF!</definedName>
    <definedName name="Главный_инженер" localSheetId="3">#REF!</definedName>
    <definedName name="Главный_инженер" localSheetId="4">#REF!</definedName>
    <definedName name="Главный_инженер">#REF!</definedName>
    <definedName name="_xlnm.Print_Area" localSheetId="3">'3.ВО'!$A$1:$K$85</definedName>
    <definedName name="_xlnm.Print_Area" localSheetId="5">'5.Анализ_осн.материалов'!$A$2:$H$37</definedName>
    <definedName name="_xlnm.Print_Area" localSheetId="6">'6.Анализ_объемов'!$A$2:$H$68</definedName>
    <definedName name="_xlnm.Print_Area" localSheetId="7">'7.Заявка_на_материалы'!$A$2:$H$38</definedName>
  </definedNames>
  <calcPr calcId="152511"/>
</workbook>
</file>

<file path=xl/calcChain.xml><?xml version="1.0" encoding="utf-8"?>
<calcChain xmlns="http://schemas.openxmlformats.org/spreadsheetml/2006/main">
  <c r="G19" i="13" l="1"/>
  <c r="G20" i="13"/>
  <c r="G21" i="13"/>
  <c r="G22" i="13"/>
  <c r="E20" i="16"/>
  <c r="E21" i="16"/>
  <c r="E26" i="16"/>
  <c r="E28" i="16"/>
  <c r="E29" i="16"/>
  <c r="E32" i="16"/>
  <c r="E34" i="16"/>
  <c r="E41" i="16"/>
  <c r="E42" i="16"/>
  <c r="E43" i="16"/>
  <c r="E44" i="16"/>
  <c r="E52" i="16"/>
  <c r="E53" i="16"/>
  <c r="E54" i="16"/>
  <c r="E18" i="16"/>
  <c r="G59" i="18"/>
  <c r="G64" i="18"/>
  <c r="F33" i="13"/>
  <c r="E33" i="18"/>
  <c r="E29" i="18"/>
  <c r="E27" i="18"/>
  <c r="E23" i="18"/>
  <c r="E26" i="18" s="1"/>
  <c r="F27" i="13"/>
  <c r="F28" i="13" s="1"/>
  <c r="F30" i="13" s="1"/>
  <c r="E25" i="18"/>
  <c r="E27" i="16" s="1"/>
  <c r="E24" i="18"/>
  <c r="E18" i="18"/>
  <c r="F25" i="13"/>
  <c r="E19" i="18"/>
  <c r="E20" i="18" s="1"/>
  <c r="F23" i="13"/>
  <c r="E17" i="18"/>
  <c r="E15" i="18"/>
  <c r="E19" i="16" s="1"/>
  <c r="F18" i="13"/>
  <c r="F31" i="13" l="1"/>
  <c r="E22" i="16"/>
  <c r="E25" i="16"/>
  <c r="I12" i="15"/>
  <c r="M26" i="12" l="1"/>
  <c r="M27" i="12"/>
  <c r="M28" i="12"/>
  <c r="M29" i="12"/>
  <c r="M30" i="12"/>
  <c r="M31" i="12"/>
  <c r="M32" i="12"/>
  <c r="M33" i="12"/>
  <c r="G62" i="18" l="1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G34" i="16" l="1"/>
  <c r="G41" i="16"/>
  <c r="G42" i="16"/>
  <c r="G44" i="16"/>
  <c r="G52" i="16"/>
  <c r="G54" i="16"/>
  <c r="G19" i="16"/>
  <c r="G20" i="16"/>
  <c r="G21" i="16"/>
  <c r="G22" i="16"/>
  <c r="G25" i="16"/>
  <c r="G26" i="16"/>
  <c r="G27" i="16"/>
  <c r="G18" i="16"/>
  <c r="G32" i="16"/>
  <c r="G29" i="16"/>
  <c r="F29" i="13"/>
  <c r="E16" i="18"/>
  <c r="E12" i="15"/>
  <c r="E24" i="15"/>
  <c r="E25" i="15"/>
  <c r="E26" i="15"/>
  <c r="E23" i="15"/>
  <c r="E20" i="15"/>
  <c r="E19" i="15" l="1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12" i="15"/>
  <c r="F74" i="13" l="1"/>
  <c r="F73" i="13"/>
  <c r="F75" i="13"/>
  <c r="F77" i="13"/>
  <c r="F65" i="13" l="1"/>
  <c r="E68" i="18"/>
  <c r="J64" i="18"/>
  <c r="F63" i="13"/>
  <c r="F64" i="13"/>
  <c r="E65" i="18"/>
  <c r="G65" i="18" s="1"/>
  <c r="E64" i="18"/>
  <c r="E61" i="18"/>
  <c r="G61" i="18" s="1"/>
  <c r="F60" i="18"/>
  <c r="G60" i="18" s="1"/>
  <c r="G46" i="18"/>
  <c r="J46" i="18" s="1"/>
  <c r="J59" i="18" s="1"/>
  <c r="G47" i="18"/>
  <c r="J50" i="18"/>
  <c r="J51" i="18" s="1"/>
  <c r="J52" i="18" s="1"/>
  <c r="J54" i="18" s="1"/>
  <c r="F52" i="13"/>
  <c r="E45" i="18"/>
  <c r="E44" i="18"/>
  <c r="E35" i="18"/>
  <c r="E69" i="18" l="1"/>
  <c r="E55" i="16"/>
  <c r="G55" i="16" s="1"/>
  <c r="E58" i="18"/>
  <c r="G63" i="18"/>
  <c r="F41" i="13"/>
  <c r="F42" i="13" s="1"/>
  <c r="E36" i="18"/>
  <c r="F36" i="13"/>
  <c r="E32" i="18"/>
  <c r="E30" i="18"/>
  <c r="J24" i="18"/>
  <c r="G23" i="18"/>
  <c r="E51" i="16" l="1"/>
  <c r="G51" i="16" s="1"/>
  <c r="E57" i="18"/>
  <c r="E50" i="16" s="1"/>
  <c r="G50" i="16" s="1"/>
  <c r="E37" i="18"/>
  <c r="E35" i="16"/>
  <c r="G35" i="16" s="1"/>
  <c r="E31" i="18"/>
  <c r="E31" i="16" s="1"/>
  <c r="G31" i="16" s="1"/>
  <c r="E30" i="16"/>
  <c r="G30" i="16" s="1"/>
  <c r="E56" i="16"/>
  <c r="G56" i="16" s="1"/>
  <c r="E70" i="18"/>
  <c r="G19" i="18"/>
  <c r="G16" i="18"/>
  <c r="G18" i="18"/>
  <c r="G17" i="18"/>
  <c r="E14" i="18"/>
  <c r="E22" i="18" s="1"/>
  <c r="C3" i="18"/>
  <c r="C4" i="18"/>
  <c r="C5" i="18"/>
  <c r="C6" i="18"/>
  <c r="C7" i="18"/>
  <c r="E50" i="18"/>
  <c r="G13" i="18"/>
  <c r="E21" i="18" s="1"/>
  <c r="C2" i="18"/>
  <c r="F26" i="13"/>
  <c r="G21" i="18" l="1"/>
  <c r="E23" i="16"/>
  <c r="G23" i="16" s="1"/>
  <c r="E51" i="18"/>
  <c r="E45" i="16"/>
  <c r="G45" i="16" s="1"/>
  <c r="E71" i="18"/>
  <c r="G71" i="18" s="1"/>
  <c r="G70" i="18" s="1"/>
  <c r="E57" i="16"/>
  <c r="G57" i="16" s="1"/>
  <c r="E72" i="18"/>
  <c r="G22" i="18"/>
  <c r="E24" i="16"/>
  <c r="G24" i="16" s="1"/>
  <c r="E38" i="18"/>
  <c r="E36" i="16"/>
  <c r="G36" i="16" s="1"/>
  <c r="G15" i="18"/>
  <c r="E58" i="16" l="1"/>
  <c r="G58" i="16" s="1"/>
  <c r="E73" i="18"/>
  <c r="G73" i="18" s="1"/>
  <c r="G72" i="18" s="1"/>
  <c r="E52" i="18"/>
  <c r="E46" i="16"/>
  <c r="G46" i="16" s="1"/>
  <c r="E39" i="18"/>
  <c r="E37" i="16"/>
  <c r="G37" i="16" s="1"/>
  <c r="E40" i="18"/>
  <c r="F15" i="13"/>
  <c r="F34" i="13"/>
  <c r="F35" i="13" s="1"/>
  <c r="F43" i="13"/>
  <c r="F53" i="13"/>
  <c r="F54" i="13" s="1"/>
  <c r="F56" i="13" s="1"/>
  <c r="F51" i="13"/>
  <c r="F50" i="13" s="1"/>
  <c r="F76" i="13"/>
  <c r="F66" i="13"/>
  <c r="F67" i="13" s="1"/>
  <c r="F68" i="13" s="1"/>
  <c r="F17" i="13" l="1"/>
  <c r="F16" i="13"/>
  <c r="F37" i="13"/>
  <c r="F38" i="13" s="1"/>
  <c r="F39" i="13" s="1"/>
  <c r="E41" i="18"/>
  <c r="E38" i="16"/>
  <c r="G38" i="16" s="1"/>
  <c r="E47" i="16"/>
  <c r="G47" i="16" s="1"/>
  <c r="E53" i="18"/>
  <c r="E54" i="18"/>
  <c r="F57" i="13"/>
  <c r="F55" i="13"/>
  <c r="F58" i="13"/>
  <c r="F44" i="13"/>
  <c r="F45" i="13" s="1"/>
  <c r="F46" i="13"/>
  <c r="F47" i="13" s="1"/>
  <c r="F69" i="13"/>
  <c r="F70" i="13"/>
  <c r="F71" i="13" s="1"/>
  <c r="B11" i="17"/>
  <c r="B12" i="17"/>
  <c r="B10" i="16"/>
  <c r="B11" i="16"/>
  <c r="B6" i="15"/>
  <c r="B5" i="15"/>
  <c r="E48" i="16" l="1"/>
  <c r="G48" i="16" s="1"/>
  <c r="E55" i="18"/>
  <c r="E39" i="16"/>
  <c r="G39" i="16" s="1"/>
  <c r="E42" i="18"/>
  <c r="G15" i="13"/>
  <c r="G16" i="13" l="1"/>
  <c r="G17" i="13"/>
  <c r="G18" i="13"/>
  <c r="G23" i="13"/>
  <c r="G24" i="13"/>
  <c r="G25" i="13"/>
  <c r="G26" i="13"/>
  <c r="G27" i="13"/>
  <c r="G28" i="13"/>
  <c r="G29" i="13"/>
  <c r="G30" i="13"/>
  <c r="G31" i="13"/>
  <c r="G33" i="13"/>
  <c r="G34" i="13"/>
  <c r="G35" i="13"/>
  <c r="G36" i="13"/>
  <c r="G37" i="13"/>
  <c r="G38" i="13"/>
  <c r="G39" i="13"/>
  <c r="G41" i="13"/>
  <c r="G42" i="13"/>
  <c r="G43" i="13"/>
  <c r="G44" i="13"/>
  <c r="G45" i="13"/>
  <c r="G46" i="13"/>
  <c r="G48" i="13"/>
  <c r="G50" i="13"/>
  <c r="G51" i="13"/>
  <c r="G52" i="13"/>
  <c r="G53" i="13"/>
  <c r="G54" i="13"/>
  <c r="G55" i="13"/>
  <c r="G56" i="13"/>
  <c r="G57" i="13"/>
  <c r="G58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3" i="13"/>
  <c r="G74" i="13"/>
  <c r="G75" i="13"/>
  <c r="G76" i="13"/>
  <c r="G77" i="13"/>
  <c r="G79" i="13"/>
  <c r="C3" i="2" l="1"/>
  <c r="C4" i="2"/>
  <c r="C5" i="2"/>
  <c r="C6" i="2"/>
  <c r="C7" i="2"/>
  <c r="C2" i="2"/>
  <c r="C3" i="1"/>
  <c r="C4" i="1"/>
  <c r="C5" i="1"/>
  <c r="C6" i="1"/>
  <c r="C7" i="1"/>
  <c r="C2" i="1"/>
  <c r="I20" i="2" l="1"/>
  <c r="G47" i="13" l="1"/>
</calcChain>
</file>

<file path=xl/comments1.xml><?xml version="1.0" encoding="utf-8"?>
<comments xmlns="http://schemas.openxmlformats.org/spreadsheetml/2006/main">
  <authors>
    <author>Артур Х. Кантюков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Артур Х. Кантюков:</t>
        </r>
        <r>
          <rPr>
            <sz val="9"/>
            <color indexed="81"/>
            <rFont val="Tahoma"/>
            <family val="2"/>
            <charset val="204"/>
          </rPr>
          <t xml:space="preserve">
до 0,35 м2</t>
        </r>
      </text>
    </comment>
  </commentList>
</comments>
</file>

<file path=xl/sharedStrings.xml><?xml version="1.0" encoding="utf-8"?>
<sst xmlns="http://schemas.openxmlformats.org/spreadsheetml/2006/main" count="1480" uniqueCount="672">
  <si>
    <t>Обустройство Среднеботуобинского НГКМ. Расширение ЦПС</t>
  </si>
  <si>
    <t>Сводная спецификация металлопроката</t>
  </si>
  <si>
    <t>Наименование профиля ГОСТ, ТУ</t>
  </si>
  <si>
    <t>Наименование или марка металла ГОСТ, ТУ</t>
  </si>
  <si>
    <t>Номер или размеры профиля, мм</t>
  </si>
  <si>
    <t>№ п.п.</t>
  </si>
  <si>
    <t>Масса металла по элементам конструкций, т</t>
  </si>
  <si>
    <t>Общая масса, т</t>
  </si>
  <si>
    <t>Ростверки</t>
  </si>
  <si>
    <t>Колонны</t>
  </si>
  <si>
    <t>Стойки фахверка</t>
  </si>
  <si>
    <t>Фермы</t>
  </si>
  <si>
    <t>Балки</t>
  </si>
  <si>
    <t>Пролетные строения</t>
  </si>
  <si>
    <t>Траверсы</t>
  </si>
  <si>
    <t>Прогоны</t>
  </si>
  <si>
    <t>Связи</t>
  </si>
  <si>
    <t>Элементы лестниц</t>
  </si>
  <si>
    <t>Прочее</t>
  </si>
  <si>
    <t>4</t>
  </si>
  <si>
    <t>Швеллер стальной горячекатаный ГОСТ 8240-97</t>
  </si>
  <si>
    <t>С345-3 ГОСТ 27772-88</t>
  </si>
  <si>
    <t>ИТОГО</t>
  </si>
  <si>
    <t>Всего профиля</t>
  </si>
  <si>
    <t>Труба стальная электросварная прямошовная ГОСТ 10704-91</t>
  </si>
  <si>
    <t>09Г2С ГОСТ 10705-80</t>
  </si>
  <si>
    <t>219x8</t>
  </si>
  <si>
    <t>Прокат стальной горячекатаный широкополосный универсальный ГОСТ 82-70</t>
  </si>
  <si>
    <t>Всего масса металла</t>
  </si>
  <si>
    <t>В том числе по маркам</t>
  </si>
  <si>
    <t>09Г2С</t>
  </si>
  <si>
    <t>С345-3</t>
  </si>
  <si>
    <t>ОАО ГИПРОВОСТОКНЕФТЬ</t>
  </si>
  <si>
    <t>ООО "Коксохиммонтаж-Промстрой", Спб</t>
  </si>
  <si>
    <t>Объект:</t>
  </si>
  <si>
    <t>№ Проекта:</t>
  </si>
  <si>
    <t>Генеральный подрядчик:</t>
  </si>
  <si>
    <t>Проектный институт:</t>
  </si>
  <si>
    <t>Проект:</t>
  </si>
  <si>
    <t>Спецификация оборудования, изделий и материалов</t>
  </si>
  <si>
    <t>Материалы для конструкций, изготавливаемых на площадке строительства</t>
  </si>
  <si>
    <t>Ед. изм.</t>
  </si>
  <si>
    <t>Кол-во</t>
  </si>
  <si>
    <t>Масса единицы, кг</t>
  </si>
  <si>
    <t>Масса всего, кг</t>
  </si>
  <si>
    <t>Наименование и техническая характеристика</t>
  </si>
  <si>
    <t>Тип, марка. Обозначение документа, опросного листа</t>
  </si>
  <si>
    <t>Код оборудования, изделия, материала</t>
  </si>
  <si>
    <t>Завод-изготовитель</t>
  </si>
  <si>
    <t>Примечание</t>
  </si>
  <si>
    <t>шт.</t>
  </si>
  <si>
    <t>Обустройство Среднеботуобинского НГКМ. Расширение ЦПС.</t>
  </si>
  <si>
    <t>(наименование стройки)</t>
  </si>
  <si>
    <t xml:space="preserve">на </t>
  </si>
  <si>
    <t>Сметная стоимость _______________________________________________________________________________________________</t>
  </si>
  <si>
    <t>тыс. руб.</t>
  </si>
  <si>
    <t xml:space="preserve">      строительных работ _______________________________________________________________________________________________</t>
  </si>
  <si>
    <t xml:space="preserve">      монтажных работ _______________________________________________________________________________________________</t>
  </si>
  <si>
    <t>Средства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</si>
  <si>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</si>
  <si>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чел.час</t>
  </si>
  <si>
    <t>№ пп</t>
  </si>
  <si>
    <t>Шифр и номер позиции норматива</t>
  </si>
  <si>
    <t>Наименование работ и затрат, единица измерения</t>
  </si>
  <si>
    <t>Количество</t>
  </si>
  <si>
    <t>Стоимость единицы, руб.</t>
  </si>
  <si>
    <t>Общая стоимость, руб.</t>
  </si>
  <si>
    <t>Затраты труда рабочих, чел.-ч, не занятых обслуживанием машин</t>
  </si>
  <si>
    <t>всего</t>
  </si>
  <si>
    <t>эксплуата-
ции машин</t>
  </si>
  <si>
    <t>Всего</t>
  </si>
  <si>
    <t>оплаты труда</t>
  </si>
  <si>
    <t>эксплуата-
ция машин</t>
  </si>
  <si>
    <t>в т.ч. оплаты труда</t>
  </si>
  <si>
    <t>на единицу</t>
  </si>
  <si>
    <t xml:space="preserve">                                       Раздел 1. </t>
  </si>
  <si>
    <t xml:space="preserve">                                       Свайное поле</t>
  </si>
  <si>
    <t>ФЕР04-01-037-04</t>
  </si>
  <si>
    <t>Шнековое бурение скважин станками типа ЛБУ-50 глубиной бурения до 10 м в грунтах группы: 4
(100 м бурения скважины)</t>
  </si>
  <si>
    <t>6545,48
823,47</t>
  </si>
  <si>
    <t>3925,04
595,08</t>
  </si>
  <si>
    <t>ФССЦ-109-0136</t>
  </si>
  <si>
    <t>Долота шнековые диаметром: 198 мм
(шт.)</t>
  </si>
  <si>
    <t>ФЕР05-01-095-06</t>
  </si>
  <si>
    <t>ФССЦ-103-0471</t>
  </si>
  <si>
    <t>Трубы стальные бесшовные, горячедеформированные со снятой фаской из стали марок 15, 20, 25, наружным диаметром: 219 мм, толщина стенки 8 мм
(м)</t>
  </si>
  <si>
    <t>ФЕР04-04-003-02</t>
  </si>
  <si>
    <t>Засыпка в межтрубное пространство при всех видах бурения: песка
(10 м3 засыпаемого материала)</t>
  </si>
  <si>
    <t>972,42
972,42</t>
  </si>
  <si>
    <t>ФЕР01-01-013-01</t>
  </si>
  <si>
    <t>Разработка грунта с погрузкой на автомобили-самосвалы экскаваторами с ковшом вместимостью: 1 (1-1,2) м3, группа грунтов 1
(1000 м3 грунта)</t>
  </si>
  <si>
    <t>2141,34
49,92</t>
  </si>
  <si>
    <t>2088,17
250,56</t>
  </si>
  <si>
    <t>ФЕР27-10-007-01</t>
  </si>
  <si>
    <t>Приготовление смеси в установке, установленной в карьере, цементогрунтовой: из несвязных грунтов (засыпка цем-песчаной смеси внутрь свай)
(100 м3 смеси (в рыхлом состоянии))</t>
  </si>
  <si>
    <t>1856,69
47,72</t>
  </si>
  <si>
    <t>1782,37
184,94</t>
  </si>
  <si>
    <t>7
1</t>
  </si>
  <si>
    <t>ФЕР01-01-012-07</t>
  </si>
  <si>
    <t>Разработка грунта с погрузкой на автомобили-самосвалы экскаваторами с ковшом вместимостью: 1,6 (1,25-1,6) м3, группа грунтов 1
(1000 м3 грунта)</t>
  </si>
  <si>
    <t>2331,87
37,91</t>
  </si>
  <si>
    <t>2291,79
320,63</t>
  </si>
  <si>
    <t>ФССЦ-101-1305</t>
  </si>
  <si>
    <t>Портландцемент общестроительного назначения бездобавочный, марки 400
(т)</t>
  </si>
  <si>
    <t>ФЕР09-06-024-05</t>
  </si>
  <si>
    <t>1661,75
575,55</t>
  </si>
  <si>
    <t>841,58
16,79</t>
  </si>
  <si>
    <t>ФЕРм38-01-006-01</t>
  </si>
  <si>
    <t>Сборка с помощью крана на автомобильном ходу: листовые конструкции массой до 0,5 т (бачки, течки, воронки, желоба, лотки и пр.)
(1 т конструкций)</t>
  </si>
  <si>
    <t>5916,29
1513,4</t>
  </si>
  <si>
    <t>3893,15
139,53</t>
  </si>
  <si>
    <t>ФЕР13-06-004-01</t>
  </si>
  <si>
    <t>Обеспыливание поверхности
(1 м2 обеспыливаемой поверхности)</t>
  </si>
  <si>
    <t>1,12
0,85</t>
  </si>
  <si>
    <t>ФЕР13-07-001-01</t>
  </si>
  <si>
    <t>Обезжиривание поверхностей аппаратов и трубопроводов диаметром до 500 мм: бензином
(100 м2 обезжириваемой поверхности)</t>
  </si>
  <si>
    <t>234,75
79,36</t>
  </si>
  <si>
    <t>2,66
0,1</t>
  </si>
  <si>
    <t>ФЕР13-06-002-01</t>
  </si>
  <si>
    <t>Очистка кварцевым песком: сплошных наружных поверхностей
(1 м2 очищаемой поверхности)</t>
  </si>
  <si>
    <t>49,01
3,33</t>
  </si>
  <si>
    <t>37,36
2,92</t>
  </si>
  <si>
    <t>ФЕР13-03-004-22</t>
  </si>
  <si>
    <t>110,26
44,44</t>
  </si>
  <si>
    <t>12,44
0,2</t>
  </si>
  <si>
    <t>Прайс-лист дек. 2014 г (Ростов-на-Дону)</t>
  </si>
  <si>
    <t>Калькуляция №1</t>
  </si>
  <si>
    <t>Калькуляция №2</t>
  </si>
  <si>
    <t>ФЕР13-03-002-07</t>
  </si>
  <si>
    <t>Огрунтовка металлических поверхностей за один раз: грунтовкой ВЛ-02
(100 м2 окрашиваемой поверхности)</t>
  </si>
  <si>
    <t>134,8
42,88</t>
  </si>
  <si>
    <t>10,3
0,1</t>
  </si>
  <si>
    <t>ФССЦ-113-0441</t>
  </si>
  <si>
    <t>Грунтовка эпоксидная цинконаполненная марки "ЦИНЭП"
(кг)</t>
  </si>
  <si>
    <t>ФЕР13-03-002-10</t>
  </si>
  <si>
    <t>4777,56
129,3</t>
  </si>
  <si>
    <t>33,51
0,3</t>
  </si>
  <si>
    <t>ФЕР13-03-004-02</t>
  </si>
  <si>
    <t>Окраска металлических огрунтованных поверхностей: эмалью ХС-759
(100 м2 окрашиваемой поверхности)</t>
  </si>
  <si>
    <t>67,63
22,86</t>
  </si>
  <si>
    <t>7,09
0,1</t>
  </si>
  <si>
    <t>ФССЦ-113-8098</t>
  </si>
  <si>
    <t>Эмаль полиуретановая защитно-декоративная "Политон-УР"
(кг)</t>
  </si>
  <si>
    <t>ФЕР09-05-003-01</t>
  </si>
  <si>
    <t>Постановка болтов: строительных с гайками и шайбами
(100 шт. болтов)</t>
  </si>
  <si>
    <t>110,55
107,93</t>
  </si>
  <si>
    <t>ФССЦ-101-0124</t>
  </si>
  <si>
    <t>Гайки шестигранные диаметр резьбы: 16-18 мм
(т)</t>
  </si>
  <si>
    <t>ФССЦ-101-3001</t>
  </si>
  <si>
    <t>Шайбы из жаростойкой стали
(кг)</t>
  </si>
  <si>
    <t xml:space="preserve">                                       Раздел 2. Металлопрокат</t>
  </si>
  <si>
    <t>ФССЦ-101-3776</t>
  </si>
  <si>
    <t xml:space="preserve">                                       Дополнительный транспорт</t>
  </si>
  <si>
    <t>Итого прямые затраты по смете в ценах 2001г.</t>
  </si>
  <si>
    <t>Накладные расходы</t>
  </si>
  <si>
    <t>Сметная прибыль</t>
  </si>
  <si>
    <t>Итоги по смете:</t>
  </si>
  <si>
    <t xml:space="preserve">  Итого Строительные работы</t>
  </si>
  <si>
    <t xml:space="preserve">  Итого Монтажные работы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</si>
  <si>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</si>
  <si>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</si>
  <si>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</si>
  <si>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</si>
  <si>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</si>
  <si>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</si>
  <si>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</si>
  <si>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ВСЕГО по смете</t>
  </si>
  <si>
    <t>ПОТРЕБНОЕ КОЛИЧЕСТВО РЕСУРСОВ:</t>
  </si>
  <si>
    <t>№ п.п</t>
  </si>
  <si>
    <t>Код ресурса</t>
  </si>
  <si>
    <t>Наименование</t>
  </si>
  <si>
    <t>Ресурсы подрядчика</t>
  </si>
  <si>
    <t xml:space="preserve">          Трудозатраты</t>
  </si>
  <si>
    <t>Затраты труда рабочих (ср 2)</t>
  </si>
  <si>
    <t>Затраты труда рабочих (ср 3)</t>
  </si>
  <si>
    <t>Затраты труда рабочих (ср 3,2)</t>
  </si>
  <si>
    <t>Затраты труда рабочих (ср 3,5)</t>
  </si>
  <si>
    <t>Затраты труда рабочих (ср 3,7)</t>
  </si>
  <si>
    <t>Затраты труда рабочих (ср 3,8)</t>
  </si>
  <si>
    <t>Затраты труда рабочих (ср 4)</t>
  </si>
  <si>
    <t>Затраты труда рабочих (ср 4,9)</t>
  </si>
  <si>
    <t>Затраты труда машинистов</t>
  </si>
  <si>
    <t xml:space="preserve">          Машины и механизмы</t>
  </si>
  <si>
    <t>Краны на автомобильном ходу при работе на монтаже технологического оборудования 10 т</t>
  </si>
  <si>
    <t>маш.час</t>
  </si>
  <si>
    <t>Краны на автомобильном ходу при работе на монтаже технологического оборудования 16 т</t>
  </si>
  <si>
    <t>Краны на автомобильном ходу при работе на других видах строительства 10 т</t>
  </si>
  <si>
    <t>Автопогрузчики 5 т</t>
  </si>
  <si>
    <t>Лебедки электрические тяговым усилием до 5,79 кН (0,59 т)</t>
  </si>
  <si>
    <t>Лебедки электрические тяговым усилием 19,62 кН (2 т)</t>
  </si>
  <si>
    <t>Агрегаты сварочные передвижные с номинальным сварочным током 250-400 А с дизельным двигателем</t>
  </si>
  <si>
    <t>Автоматы сварочные с номинальным сварочным током 450-1250 А</t>
  </si>
  <si>
    <t>Аппарат для газовой сварки и резки</t>
  </si>
  <si>
    <t>Преобразователи сварочные с номинальным сварочным током 315-500 А</t>
  </si>
  <si>
    <t>Компрессоры передвижные с двигателем внутреннего сгорания давлением: до 686 кПа (7 ат), производительность до 5 м3/мин</t>
  </si>
  <si>
    <t>Экскаваторы одноковшовые дизельные на гусеничном ходу при работе на других видах строительства: 1 м3</t>
  </si>
  <si>
    <t>Экскаваторы одноковшовые дизельные на гусеничном ходу при работе на других видах строительства: 1,6 м3</t>
  </si>
  <si>
    <t>Бульдозеры при работе на других видах строительства 79 кВт (108 л.с.)</t>
  </si>
  <si>
    <t>Комплекты оборудования шнекового бурения на базе автомобиля глубина бурения до 50 м, грузоподъемность мачты 3,7 т</t>
  </si>
  <si>
    <t>Установки цементационные: автоматизированные 15 м3/ч</t>
  </si>
  <si>
    <t>Вибратор глубинный</t>
  </si>
  <si>
    <t>Машины поливомоечные 6000 л</t>
  </si>
  <si>
    <t>Установки для приготовления грунтовых смесей 116 кВт (158 л.с.)</t>
  </si>
  <si>
    <t>Трубоукладчики для труб диаметром: до 700 мм грузоподъемностью 12,5 т</t>
  </si>
  <si>
    <t>Дрели: электрические</t>
  </si>
  <si>
    <t>Машины шлифовальные: электрические</t>
  </si>
  <si>
    <t>Машины листогибочные специальные (вальцы)</t>
  </si>
  <si>
    <t>Ножницы: листовые кривошипные гильотинные</t>
  </si>
  <si>
    <t>Пылесосы промышленные</t>
  </si>
  <si>
    <t>Аппарат пескоструйный при работе от передвижного компрессора</t>
  </si>
  <si>
    <t>Агрегаты окрасочные высокого давления для окраски поверхностей конструкций мощностью: 1 кВт</t>
  </si>
  <si>
    <t>Пресс: листогибочный кривошипный 1000 кН (100 тс)</t>
  </si>
  <si>
    <t>Автомобили бортовые, грузоподъемность до 5 т</t>
  </si>
  <si>
    <t>Автомобили бортовые, грузоподъемность до 8 т</t>
  </si>
  <si>
    <t>1 т груза</t>
  </si>
  <si>
    <t xml:space="preserve">          Материалы</t>
  </si>
  <si>
    <t>101-0069</t>
  </si>
  <si>
    <t>Бензин авиационный Б-70</t>
  </si>
  <si>
    <t>т</t>
  </si>
  <si>
    <t>101-0309</t>
  </si>
  <si>
    <t>Канаты пеньковые пропитанные</t>
  </si>
  <si>
    <t>101-0324</t>
  </si>
  <si>
    <t>Кислород технический: газообразный</t>
  </si>
  <si>
    <t>м3</t>
  </si>
  <si>
    <t>101-0797</t>
  </si>
  <si>
    <t>Проволока горячекатаная в мотках, диаметром 6,3-6,5 мм</t>
  </si>
  <si>
    <t>101-1019</t>
  </si>
  <si>
    <t>Швеллеры № 40 из стали марки: Ст0</t>
  </si>
  <si>
    <t>101-1513</t>
  </si>
  <si>
    <t>Электроды диаметром: 4 мм Э42</t>
  </si>
  <si>
    <t>101-1515</t>
  </si>
  <si>
    <t>Электроды диаметром: 4 мм Э46</t>
  </si>
  <si>
    <t>101-1522</t>
  </si>
  <si>
    <t>Электроды диаметром: 5 мм Э42А</t>
  </si>
  <si>
    <t>101-1602</t>
  </si>
  <si>
    <t>Ацетилен газообразный технический</t>
  </si>
  <si>
    <t>101-1714</t>
  </si>
  <si>
    <t>Болты с гайками и шайбами строительные</t>
  </si>
  <si>
    <t>101-1734</t>
  </si>
  <si>
    <t>Сталь листовая горячекатаная углеродистая обыкновенного качества: Ст3пс толщиной 13-20 мм</t>
  </si>
  <si>
    <t>101-1757</t>
  </si>
  <si>
    <t>Ветошь</t>
  </si>
  <si>
    <t>кг</t>
  </si>
  <si>
    <t>101-1805</t>
  </si>
  <si>
    <t>Гвозди строительные</t>
  </si>
  <si>
    <t>101-2215</t>
  </si>
  <si>
    <t>Сталь листовая горячекатаная марки Ст3 толщиной: 1 мм</t>
  </si>
  <si>
    <t>101-2278</t>
  </si>
  <si>
    <t>Пропан-бутан, смесь техническая</t>
  </si>
  <si>
    <t>101-2467</t>
  </si>
  <si>
    <t>Растворитель марки: Р-4</t>
  </si>
  <si>
    <t>101-2468</t>
  </si>
  <si>
    <t>Растворитель марки: Р-5</t>
  </si>
  <si>
    <t>101-2473</t>
  </si>
  <si>
    <t>Растворитель марки: № 648</t>
  </si>
  <si>
    <t>102-0023</t>
  </si>
  <si>
    <t>Бруски обрезные хвойных пород длиной: 4-6,5 м, шириной 75-150 мм, толщиной 40-75 мм, I сорта</t>
  </si>
  <si>
    <t>103-0134</t>
  </si>
  <si>
    <t>Трубы стальные электросварные прямошовные со снятой фаской из стали марок БСт2кп-БСт4кп и БСт2пс-БСт4пс наружный диаметр: 40 мм, толщина стенки 3 мм</t>
  </si>
  <si>
    <t>м</t>
  </si>
  <si>
    <t>109-0148</t>
  </si>
  <si>
    <t>Шнек: диаметром 135 мм</t>
  </si>
  <si>
    <t>113-0003</t>
  </si>
  <si>
    <t>Ацетон технический, сорт I</t>
  </si>
  <si>
    <t>113-0021</t>
  </si>
  <si>
    <t>Грунтовка: ГФ-021 красно-коричневая</t>
  </si>
  <si>
    <t>113-0077</t>
  </si>
  <si>
    <t>Ксилол нефтяной марки А</t>
  </si>
  <si>
    <t>113-0336</t>
  </si>
  <si>
    <t>Грунтовка: ЭП-057</t>
  </si>
  <si>
    <t>113-0366</t>
  </si>
  <si>
    <t>Отвердитель: № 3</t>
  </si>
  <si>
    <t>408-0015</t>
  </si>
  <si>
    <t>Щебень из природного камня для строительных работ марка: 800, фракция 20-40 мм</t>
  </si>
  <si>
    <t>408-0442</t>
  </si>
  <si>
    <t>Песок кварцевый ЛПК-5</t>
  </si>
  <si>
    <t>411-0001</t>
  </si>
  <si>
    <t>Вода</t>
  </si>
  <si>
    <t>508-0097</t>
  </si>
  <si>
    <t>Канат двойной свивки типа ТК, конструкции 6х19(1+6+12)+1 о.с., оцинкованный из проволок марки В, маркировочная группа: 1770 н/мм2, диаметром 5,5 мм</t>
  </si>
  <si>
    <t>10 м</t>
  </si>
  <si>
    <t>999-9950</t>
  </si>
  <si>
    <t>Вспомогательные ненормируемые материальные ресурсы (2% от оплаты труда рабочих)</t>
  </si>
  <si>
    <t>руб.</t>
  </si>
  <si>
    <t>Дополнительны...</t>
  </si>
  <si>
    <t>Эмаль КО-198 221,95/1,18/5,663*1000</t>
  </si>
  <si>
    <t>Гайки шестигранные диаметр резьбы: 16-18 мм</t>
  </si>
  <si>
    <t>Портландцемент общестроительного назначения бездобавочный, марки 400</t>
  </si>
  <si>
    <t>Шайбы из жаростойкой стали</t>
  </si>
  <si>
    <t>Трубы стальные бесшовные, горячедеформированные со снятой фаской из стали марок 15, 20, 25, наружным диаметром: 219 мм, толщина стенки 8 мм</t>
  </si>
  <si>
    <t>Долота шнековые диаметром: 198 мм</t>
  </si>
  <si>
    <t>Грунтовка эпоксидная цинконаполненная марки "ЦИНЭП"</t>
  </si>
  <si>
    <t>Эмаль полиуретановая защитно-декоративная "Политон-УР"</t>
  </si>
  <si>
    <t>м2</t>
  </si>
  <si>
    <t>Удаленные и замененные ресурсы</t>
  </si>
  <si>
    <t>113-0028</t>
  </si>
  <si>
    <t>Грунтовка: фосфатирующая ВЛ-02 зеленовато-желтого цвета</t>
  </si>
  <si>
    <t>113-0240</t>
  </si>
  <si>
    <t>Эмаль ХС-759 белая</t>
  </si>
  <si>
    <t>113-0250</t>
  </si>
  <si>
    <t>Эмаль кремнийорганическая: КО-88 серебристая термостойкая</t>
  </si>
  <si>
    <t>402-0006</t>
  </si>
  <si>
    <t>Раствор готовый кладочный цементный марки: 200</t>
  </si>
  <si>
    <t>402-0056</t>
  </si>
  <si>
    <t>Раствор грунтовый (шлам)</t>
  </si>
  <si>
    <t>407-0024</t>
  </si>
  <si>
    <t>Грунт песчаный, супесчаный</t>
  </si>
  <si>
    <t>408-0143</t>
  </si>
  <si>
    <t>Песок природный для строительных: растворов средний, обогащенный</t>
  </si>
  <si>
    <t>Неучтенные ресурсы</t>
  </si>
  <si>
    <t>101-9540</t>
  </si>
  <si>
    <t>Цемент</t>
  </si>
  <si>
    <t>101-9722</t>
  </si>
  <si>
    <t>Добавка поверхностно-активная (каменноугольный деготь)</t>
  </si>
  <si>
    <t>103-9080</t>
  </si>
  <si>
    <t>Трубы стальные обсадные</t>
  </si>
  <si>
    <t>109-9034</t>
  </si>
  <si>
    <t>Долота шнековые</t>
  </si>
  <si>
    <t>201-9002</t>
  </si>
  <si>
    <t>Конструкции стальные</t>
  </si>
  <si>
    <t>405-0254</t>
  </si>
  <si>
    <t>Известь строительная: негашеная хлорная, марки А</t>
  </si>
  <si>
    <t xml:space="preserve">Составил: ___________________________А.В. Еремеева </t>
  </si>
  <si>
    <t>(должность, подпись, расшифровка)</t>
  </si>
  <si>
    <t>Проверил: ___________________________И.Е. Борисова</t>
  </si>
  <si>
    <r>
      <t>Монтаж: рекуператоров, экранов, коробок, загрузочных и разгрузочных камер вращающихся печей и сушил из листовой стали (монтаж оголовника)
(1 т конструкций)</t>
    </r>
    <r>
      <rPr>
        <i/>
        <sz val="9"/>
        <rFont val="Times New Roman"/>
        <family val="1"/>
        <charset val="204"/>
      </rPr>
      <t xml:space="preserve">
(ОП п.1.9.5, Прил.9.1 п.2 При применении в рабочих чертежах марок стали с повышенным расчетным сопротивлением: предел текучести в зависимости от вида толщины проката 265-345 МПа (27-35 кгс/мм2), марка стали С345, С345к, С345Т1 - прочие конструктивные элементы ПЗ=1,1 (ОЗП=1,1; ЭМ=1,1 к расх.; ЗПМ=1,1; МАТ=1,1 к расх.; ТЗ=1,1; ТЗМ=1,1))</t>
    </r>
  </si>
  <si>
    <r>
      <t>Окраска металлических огрунтованных поверхностей: эмалью КО-88
(100 м2 окрашиваемой поверхности)</t>
    </r>
    <r>
      <rPr>
        <i/>
        <sz val="9"/>
        <rFont val="Times New Roman"/>
        <family val="1"/>
        <charset val="204"/>
      </rPr>
      <t xml:space="preserve">
(в 2 слоя ПЗ=2 (ОЗП=2; ЭМ=2 к расх.; ЗПМ=2; МАТ=2 к расх.; ТЗ=2; ТЗМ=2))</t>
    </r>
  </si>
  <si>
    <r>
      <t>Эмаль КО-198 221,95/1,18/5,663*1000
(т)</t>
    </r>
    <r>
      <rPr>
        <i/>
        <sz val="9"/>
        <rFont val="Times New Roman"/>
        <family val="1"/>
        <charset val="204"/>
      </rPr>
      <t xml:space="preserve">
МАТ=221,95/1,18/5,663*1000
(заготовительно-складские расходы МАТ=1,02 к расх.)</t>
    </r>
  </si>
  <si>
    <r>
      <t>Огрунтовка металлических поверхностей за один раз: грунтовкой ЭП-057
(100 м2 окрашиваемой поверхности)</t>
    </r>
    <r>
      <rPr>
        <i/>
        <sz val="9"/>
        <rFont val="Times New Roman"/>
        <family val="1"/>
        <charset val="204"/>
      </rPr>
      <t xml:space="preserve">
(в 3 слоя ПЗ=3 (ОЗП=3; ЭМ=3 к расх.; ЗПМ=3; МАТ=3 к расх.; ТЗ=3; ТЗМ=3))</t>
    </r>
  </si>
  <si>
    <t>Шнековое бурение скважин станками типа ЛБУ-50 глубиной бурения до 10 м в грунтах группы: 4</t>
  </si>
  <si>
    <t>100 м бурения скважины</t>
  </si>
  <si>
    <t>Установка в скважины в мерзлых и вечномерзлых грунтах: стальных свай объемом до 0,2 м3</t>
  </si>
  <si>
    <t>1 м3 свай</t>
  </si>
  <si>
    <t>Засыпка в межтрубное пространство при всех видах бурения: песка</t>
  </si>
  <si>
    <t>10 м3 засыпаемого материала</t>
  </si>
  <si>
    <t>Разработка грунта с погрузкой на автомобили-самосвалы экскаваторами с ковшом вместимостью: 1 (1-1,2) м3, группа грунтов 1</t>
  </si>
  <si>
    <t>1000 м3 грунта</t>
  </si>
  <si>
    <t>Приготовление смеси в установке, установленной в карьере, цементогрунтовой: из несвязных грунтов (засыпка цем-песчаной смеси внутрь свай)</t>
  </si>
  <si>
    <t>100 м3 смеси (в рыхлом состоянии)</t>
  </si>
  <si>
    <t>Разработка грунта с погрузкой на автомобили-самосвалы экскаваторами с ковшом вместимостью: 1,6 (1,25-1,6) м3, группа грунтов 1</t>
  </si>
  <si>
    <t>(ОП п.1.9.5, Прил.9.1 п.2 При применении в рабочих чертежах марок стали с повышенным расчетным сопротивлением: предел текучести в зависимости от вида толщины проката 265-345 МПа (27-35 кгс/мм2), марка стали С345, С345к, С345Т1 - прочие конструктивные элементы ПЗ=1,1 (ОЗП=1,1; ЭМ=1,1 к расх.; ЗПМ=1,1; МАТ=1,1 к расх.; ТЗ=1,1; ТЗМ=1,1))</t>
  </si>
  <si>
    <t>Монтаж: рекуператоров, экранов, коробок, загрузочных и разгрузочных камер вращающихся печей и сушил из листовой стали (монтаж оголовника)</t>
  </si>
  <si>
    <t>1 т конструкций</t>
  </si>
  <si>
    <t>Сборка с помощью крана на автомобильном ходу: листовые конструкции массой до 0,5 т (бачки, течки, воронки, желоба, лотки и пр.)</t>
  </si>
  <si>
    <t>Обеспыливание поверхности</t>
  </si>
  <si>
    <t>1 м2 обеспыливаемой поверхности</t>
  </si>
  <si>
    <t>(в 2 слоя ПЗ=2 (ОЗП=2; ЭМ=2 к расх.; ЗПМ=2; МАТ=2 к расх.; ТЗ=2; ТЗМ=2))</t>
  </si>
  <si>
    <t>Окраска металлических огрунтованных поверхностей: эмалью КО-88</t>
  </si>
  <si>
    <t>100 м2 окрашиваемой поверхности</t>
  </si>
  <si>
    <t>Очистка кварцевым песком: сплошных наружных поверхностей</t>
  </si>
  <si>
    <t>1 м2 очищаемой поверхности</t>
  </si>
  <si>
    <t>Обезжиривание поверхностей аппаратов и трубопроводов диаметром до 500 мм: бензином</t>
  </si>
  <si>
    <t>100 м2 обезжириваемой поверхности</t>
  </si>
  <si>
    <t>(заготовительно-складские расходы МАТ=1,02 к расх.)</t>
  </si>
  <si>
    <t>Дополнительные транспортные расходы</t>
  </si>
  <si>
    <t>Огрунтовка металлических поверхностей за один раз: грунтовкой ВЛ-02</t>
  </si>
  <si>
    <t>(в 3 слоя ПЗ=3 (ОЗП=3; ЭМ=3 к расх.; ЗПМ=3; МАТ=3 к расх.; ТЗ=3; ТЗМ=3))</t>
  </si>
  <si>
    <t>Огрунтовка металлических поверхностей за один раз: грунтовкой ЭП-057</t>
  </si>
  <si>
    <t>Окраска металлических огрунтованных поверхностей: эмалью ХС-759</t>
  </si>
  <si>
    <t>100 шт. болтов</t>
  </si>
  <si>
    <t>Наименование в проекте АС</t>
  </si>
  <si>
    <t>Марка стали</t>
  </si>
  <si>
    <t>№ листа проекта АС</t>
  </si>
  <si>
    <t>Поз. в смете</t>
  </si>
  <si>
    <t>тн</t>
  </si>
  <si>
    <t>1.1</t>
  </si>
  <si>
    <t>мп</t>
  </si>
  <si>
    <t>№1,2</t>
  </si>
  <si>
    <t>1.2</t>
  </si>
  <si>
    <t>1.3</t>
  </si>
  <si>
    <t>1.4</t>
  </si>
  <si>
    <t>1.5</t>
  </si>
  <si>
    <t>Сбор бурового шлама, погрузка, вывоз за пределы площадки.</t>
  </si>
  <si>
    <t>-</t>
  </si>
  <si>
    <t>1.6</t>
  </si>
  <si>
    <t>2.1</t>
  </si>
  <si>
    <t>2.2</t>
  </si>
  <si>
    <t>2.3</t>
  </si>
  <si>
    <t>09Г2С-6</t>
  </si>
  <si>
    <t>2.4</t>
  </si>
  <si>
    <t>2.5</t>
  </si>
  <si>
    <t>2.6</t>
  </si>
  <si>
    <t>4.1</t>
  </si>
  <si>
    <t>4.2</t>
  </si>
  <si>
    <t>4.3</t>
  </si>
  <si>
    <t>4.4</t>
  </si>
  <si>
    <t>4.5</t>
  </si>
  <si>
    <t>4.6</t>
  </si>
  <si>
    <t>4.7</t>
  </si>
  <si>
    <t>4.8</t>
  </si>
  <si>
    <t>Ведомость объемов работ</t>
  </si>
  <si>
    <t>Кол-во в смете</t>
  </si>
  <si>
    <t>Кол-во по проекту</t>
  </si>
  <si>
    <t>Разница</t>
  </si>
  <si>
    <t>№ Сметы:</t>
  </si>
  <si>
    <t>Пождепо.1 этап строительства. Сооружения пожарного депо.</t>
  </si>
  <si>
    <t>03-01-01</t>
  </si>
  <si>
    <t>ЛОКАЛЬНАЯ СМЕТА №  03-01-01</t>
  </si>
  <si>
    <t>строительные работы сооружения пожарного депо. 1 этап строительства. Сооружения пожарного депо</t>
  </si>
  <si>
    <t>(наименование работ и затрат, наименование объекта)</t>
  </si>
  <si>
    <t>Основание: 0349-Р-001.001.144-АС-10-Ч-002</t>
  </si>
  <si>
    <t>___________________________823,452</t>
  </si>
  <si>
    <t>_______________________________________________________________________________________________798,341</t>
  </si>
  <si>
    <t>_______________________________________________________________________________________________25,111</t>
  </si>
  <si>
    <t>___________________________65,094</t>
  </si>
  <si>
    <t>_______________________________________________________________________________________________221,01</t>
  </si>
  <si>
    <t>Составлен(а) в текущих (прогнозных) ценах по состоянию на 1 квартал 2015г</t>
  </si>
  <si>
    <t>1884
286</t>
  </si>
  <si>
    <t>Установка в скважины в мерзлых и вечномерзлых грунтах: стальных свай объемом до 0,2 м3
(1 м3 свай)</t>
  </si>
  <si>
    <t>769,56
128,76</t>
  </si>
  <si>
    <t>460,09
45,26</t>
  </si>
  <si>
    <t>1564
154</t>
  </si>
  <si>
    <t>ФССЦ-407-0024</t>
  </si>
  <si>
    <t>Грунт песчаный, супесчаный
(м3)</t>
  </si>
  <si>
    <t>ФССЦпг-03-21-01-007</t>
  </si>
  <si>
    <t>Перевозка грузов автомобилями-самосвалами грузоподъемностью 10 т, работающих вне карьера, на расстояние: до 7 км I класс груза
(1 т груза)</t>
  </si>
  <si>
    <t>32
3</t>
  </si>
  <si>
    <t>5
1</t>
  </si>
  <si>
    <t xml:space="preserve">                                       Антикоррозийная защита свай до погружения ( 4м)</t>
  </si>
  <si>
    <t>822
64</t>
  </si>
  <si>
    <t>Транспортные расходы до первого базиса поставки  (1463,8*1,02=1493,076)
(т)</t>
  </si>
  <si>
    <t>Дополнительные транспортные расходы (662,79*1,02=676,0458)
(т)</t>
  </si>
  <si>
    <t xml:space="preserve">                                       Антикоррозийная защита свай после погружения</t>
  </si>
  <si>
    <t>112
9</t>
  </si>
  <si>
    <t xml:space="preserve">                                       Монтаж оголовника</t>
  </si>
  <si>
    <t>164
3</t>
  </si>
  <si>
    <t>728
26</t>
  </si>
  <si>
    <t>224
18</t>
  </si>
  <si>
    <t xml:space="preserve">                                       Балка Б1</t>
  </si>
  <si>
    <t>ФЕР09-03-003-01</t>
  </si>
  <si>
    <t>796,44
161,77</t>
  </si>
  <si>
    <t>495,12
49,97</t>
  </si>
  <si>
    <t>264
27</t>
  </si>
  <si>
    <t>ФЕРм38-01-002-01</t>
  </si>
  <si>
    <t>Монорельсы, балки и другие аналогичные конструкции промышленных зданий, сборка с помощью: крана на автомобильном ходу.
(1 т конструкций)</t>
  </si>
  <si>
    <t>524,28
224,15</t>
  </si>
  <si>
    <t>259,46
13,5</t>
  </si>
  <si>
    <t>133
7</t>
  </si>
  <si>
    <t>560
44</t>
  </si>
  <si>
    <t>ФССЦ-101-3779</t>
  </si>
  <si>
    <t>Сталь листовая горячекатаная марки Ст3 толщиной: 20-25 мм
(т)</t>
  </si>
  <si>
    <t>Сталь листовая горячекатаная марки Ст3 толщиной: 6-9 мм
(т)</t>
  </si>
  <si>
    <t>ФССЦ-101-3690</t>
  </si>
  <si>
    <t>Швеллеры: № 20 сталь марки Ст3пс
(т)</t>
  </si>
  <si>
    <t>ФССЦ-101-2229</t>
  </si>
  <si>
    <t>Прокат стальной круглый горячекатаный диметром: 24 мм, сталь марки Ст3
(100 кг)</t>
  </si>
  <si>
    <t>ФССЦ-101-2217</t>
  </si>
  <si>
    <t>Сталь листовая горячекатаная марки Ст3 толщиной: 6-8 мм (лист 8-Б-ПН-НО)
(т)</t>
  </si>
  <si>
    <t>Дополнительный транспортные расходы (662,79*1,02=676,0458)
(т)</t>
  </si>
  <si>
    <t>6594
643</t>
  </si>
  <si>
    <t>Итого прямые затраты по смете с учетом индексов, в текущих ценах</t>
  </si>
  <si>
    <t>64424
15677</t>
  </si>
  <si>
    <t>Затраты труда рабочих (ср 3,6)</t>
  </si>
  <si>
    <t>Краны козловые при работе на монтаже технологического оборудования 32 т</t>
  </si>
  <si>
    <t>Краны на гусеничном ходу при работе на других видах строительства 25 т</t>
  </si>
  <si>
    <t>Установки для сварки ручной дуговой (постоянного тока)</t>
  </si>
  <si>
    <t>Выпрямители сварочные многопостовые с количеством постов до 30</t>
  </si>
  <si>
    <t>Станок: сверлильный</t>
  </si>
  <si>
    <t>101-1521</t>
  </si>
  <si>
    <t>Электроды диаметром: 5 мм Э42</t>
  </si>
  <si>
    <t>201-0756</t>
  </si>
  <si>
    <t>Отдельные конструктивные элементы зданий и сооружений с преобладанием: горячекатаных профилей, средняя масса сборочной единицы от 0,1 до 0,5 т</t>
  </si>
  <si>
    <t>Транспортные расходы до первого базиса поставки  (1463,8*1,02=1493,076)</t>
  </si>
  <si>
    <t xml:space="preserve">   - Дополнительные транспортные расходы (662,79*1,02=676,0458)</t>
  </si>
  <si>
    <t xml:space="preserve">   - Дополнительный транспортные расходы (662,79*1,02=676,0458)</t>
  </si>
  <si>
    <t>Сталь листовая горячекатаная марки Ст3 толщиной: 6-8 мм (лист 8-Б-ПН-НО)</t>
  </si>
  <si>
    <t>Прокат стальной круглый горячекатаный диметром: 24 мм, сталь марки Ст3</t>
  </si>
  <si>
    <t>100 кг</t>
  </si>
  <si>
    <t>Швеллеры: № 20 сталь марки Ст3пс</t>
  </si>
  <si>
    <t>Сталь листовая горячекатаная марки Ст3 толщиной: 6-9 мм</t>
  </si>
  <si>
    <t>Сталь листовая горячекатаная марки Ст3 толщиной: 20-25 мм</t>
  </si>
  <si>
    <t xml:space="preserve">          Перевозка</t>
  </si>
  <si>
    <t>Перевозка грузов автомобилями-самосвалами грузоподъемностью 10 т, работающих вне карьера, на расстояние: до 7 км I класс груза</t>
  </si>
  <si>
    <t>101-1015</t>
  </si>
  <si>
    <t>Балки двутавровые № 60 из стали марки: Ст3сп</t>
  </si>
  <si>
    <t>Прокат сортовой стальной горячекатаный круглый ГОСТ 2590-2006</t>
  </si>
  <si>
    <t>Прокат листовой горячекатаный ГОСТ 19903-74</t>
  </si>
  <si>
    <t>Гайка шестигранная класса точности В ГОСТ 5915-70</t>
  </si>
  <si>
    <t>Шайба ГОСТ 11371-78</t>
  </si>
  <si>
    <t>20У</t>
  </si>
  <si>
    <t>24-В1</t>
  </si>
  <si>
    <t>t8</t>
  </si>
  <si>
    <t>20x450</t>
  </si>
  <si>
    <t>8x200</t>
  </si>
  <si>
    <t>Сваи и оголовники</t>
  </si>
  <si>
    <t>Стойки и опоры</t>
  </si>
  <si>
    <t>Площадки и ограждения</t>
  </si>
  <si>
    <r>
      <t>Монтаж одиночных подкрановых балок на отметке до 25 м массой: до 1,0 т
(1 т конструкций)</t>
    </r>
    <r>
      <rPr>
        <i/>
        <sz val="9"/>
        <rFont val="Times New Roman"/>
        <family val="1"/>
        <charset val="204"/>
      </rPr>
      <t xml:space="preserve">
(ОП п.1.9.5, Прил.9.1 п.2 При применении в рабочих чертежах марок стали с повышенным расчетным сопротивлением: предел текучести в зависимости от вида толщины проката 265-345 МПа (27-35 кгс/мм2), марка стали С345, С345к, С345Т1 - прочие конструктивные элементы ПЗ=1,1 (ОЗП=1,1; ЭМ=1,1 к расх.; ЗПМ=1,1; МАТ=1,1 к расх.; ТЗ=1,1; ТЗМ=1,1))</t>
    </r>
  </si>
  <si>
    <t>Эмаль КО-198</t>
  </si>
  <si>
    <t>Транспортные расходы до первого базиса поставки</t>
  </si>
  <si>
    <t>Монтаж одиночных подкрановых балок на отметке до 25 м массой: до 1,0 т</t>
  </si>
  <si>
    <t>Монорельсы, балки и другие аналогичные конструкции промышленных зданий, сборка с помощью: крана на автомобильном ходу.</t>
  </si>
  <si>
    <t>Постановка болтов: строительных с гайками и шайбами</t>
  </si>
  <si>
    <t>Дополнительный транспортные расходы</t>
  </si>
  <si>
    <t>Форма № Ф-121.1</t>
  </si>
  <si>
    <t>Анализ основных материалов</t>
  </si>
  <si>
    <t>№
п/п</t>
  </si>
  <si>
    <t>Материал</t>
  </si>
  <si>
    <t>Характеристика</t>
  </si>
  <si>
    <t>Ед.изм.</t>
  </si>
  <si>
    <r>
      <t xml:space="preserve">Кол-во по </t>
    </r>
    <r>
      <rPr>
        <b/>
        <sz val="10"/>
        <color indexed="8"/>
        <rFont val="Times New Roman"/>
        <family val="1"/>
        <charset val="204"/>
      </rPr>
      <t>Проекту</t>
    </r>
  </si>
  <si>
    <r>
      <t xml:space="preserve">Кол-во по </t>
    </r>
    <r>
      <rPr>
        <b/>
        <sz val="10"/>
        <color indexed="8"/>
        <rFont val="Times New Roman"/>
        <family val="1"/>
        <charset val="204"/>
      </rPr>
      <t>Смете</t>
    </r>
  </si>
  <si>
    <t>1</t>
  </si>
  <si>
    <t>Исполнитель :</t>
  </si>
  <si>
    <t>0349-Р-001.001.144-АС-10</t>
  </si>
  <si>
    <t>Форма № Ф-122</t>
  </si>
  <si>
    <t>Утверждаю</t>
  </si>
  <si>
    <t>Генеральный директор</t>
  </si>
  <si>
    <t>ООО "Промстроймонтаж"</t>
  </si>
  <si>
    <t>Спыну Е.А.</t>
  </si>
  <si>
    <t>"____"  ______________2015 г</t>
  </si>
  <si>
    <t>Протокол объёмов работ</t>
  </si>
  <si>
    <t>Наименование объекта (вид работ)</t>
  </si>
  <si>
    <t>Кол-во по ВР</t>
  </si>
  <si>
    <t>Кол-во по расчету</t>
  </si>
  <si>
    <t>Кол-во по смете</t>
  </si>
  <si>
    <t>Проверил:</t>
  </si>
  <si>
    <t>Форма № Ф-121</t>
  </si>
  <si>
    <t>срок исполнения ____________________</t>
  </si>
  <si>
    <t xml:space="preserve">Лимитно-заборная карта  №_____  от "___"_________2015 г. </t>
  </si>
  <si>
    <t>Поставщик</t>
  </si>
  <si>
    <t>№ п/п</t>
  </si>
  <si>
    <t>Наименование материалов</t>
  </si>
  <si>
    <t>ГОСТ, ТУ</t>
  </si>
  <si>
    <t>ВСЕГО</t>
  </si>
  <si>
    <t>Коэф</t>
  </si>
  <si>
    <t>ЛОКАЛЬНАЯ СМЕТА № 03-01-01</t>
  </si>
  <si>
    <t>Дополнительный транспорт</t>
  </si>
  <si>
    <t>Балка Б1</t>
  </si>
  <si>
    <t>Монтаж оголовника</t>
  </si>
  <si>
    <t>Антикоррозийная защита свай после погружения</t>
  </si>
  <si>
    <t>Антикоррозийная защита свай до погружения (4 м)</t>
  </si>
  <si>
    <t>Свайное поле</t>
  </si>
  <si>
    <t xml:space="preserve">Раздел 1. </t>
  </si>
  <si>
    <t>Масса всего, тн</t>
  </si>
  <si>
    <t>шт</t>
  </si>
  <si>
    <t>Установка стальных свай диаметром 219 мм в скважины в мерзлых и вечномерзлых грунтах: объемом до 0,35 м3</t>
  </si>
  <si>
    <t>Разработка грунта с погрузкой на автомобили-самосвалы экскаваторами с ковшом вместимостью: 1 (1-1,2) м3, группа грунтов 1 с перевозкой на 2 км</t>
  </si>
  <si>
    <t>Обеспыливание поверхности сваи диаметром 219 мм на всей длине</t>
  </si>
  <si>
    <t>Обезжиривание поверхности трубопроводов диаметром 219 мм: бензином на всей длине</t>
  </si>
  <si>
    <t>Очистка кварцевым песком трубопроводов диаметром 219 мм на всей длине</t>
  </si>
  <si>
    <t>Окраска металлических огрунтованных поверхностей: эмалью КО-198 по ТУ 6-02-841-74 на участке длиной 4 м. в два слоя</t>
  </si>
  <si>
    <t>Разработка песка с погрузкой на автомобили-самосвалы экскаваторами с ковшом вместимостью: 1,6 (1,25-1,6) м3, группа грунтов 1 на расстояние 2 км</t>
  </si>
  <si>
    <t>Приготовление цементно-песчаного смеси марки М100.</t>
  </si>
  <si>
    <t>Заполнение внутренней полости сваи, на глубину 2 м от уровня планировки сухой цементно-песчаной смесью марки М100.</t>
  </si>
  <si>
    <t>Обеспыливание поверхности металлоконструкций по всей длине</t>
  </si>
  <si>
    <t>п. 13</t>
  </si>
  <si>
    <t>Обезжиривание поверхности металлоконструкций: бензином по всей длине</t>
  </si>
  <si>
    <t>Очистка кварцевым песком металлоконструкций по всей длине</t>
  </si>
  <si>
    <t>Огрунтовка поверхности металлоконструкций битумной грунтовкой ГТ-76 ТУ 102-346-88 по всей поверхности</t>
  </si>
  <si>
    <t>Окраска поверхности металлоконструкций битумно-резиновой мастикой марки МБР-90 ГОСТ 15836-79 толщиной 3 мм по всей поверхности</t>
  </si>
  <si>
    <t>Инженер ПТО</t>
  </si>
  <si>
    <t>Начальник ПТО</t>
  </si>
  <si>
    <t>Инженер СДО</t>
  </si>
  <si>
    <t>Сваи-трубы Ø219х8 L=12500 мм - 4 шт.</t>
  </si>
  <si>
    <t>Бурение лидерных скважин: Ø300 мм на глубину 8 метров</t>
  </si>
  <si>
    <t>Труба 219х8 длиной 12,5 м (ГОСТ 10704-91/10705-80)</t>
  </si>
  <si>
    <t>Засыпка в трубное пространство при всех видах бурения: песка до 2 м до пл.отметки</t>
  </si>
  <si>
    <t>Забивка свай дизель-молотом (8-10 ударов) трубы Ø219х8 L=12500</t>
  </si>
  <si>
    <t>1.7</t>
  </si>
  <si>
    <t>1.8</t>
  </si>
  <si>
    <t>1.9</t>
  </si>
  <si>
    <t>1.10</t>
  </si>
  <si>
    <t>2/ 3,2</t>
  </si>
  <si>
    <t>10/ 11</t>
  </si>
  <si>
    <t>1.11</t>
  </si>
  <si>
    <t>1.12</t>
  </si>
  <si>
    <t>1.13</t>
  </si>
  <si>
    <t>1.14</t>
  </si>
  <si>
    <t>2</t>
  </si>
  <si>
    <t>Обеспыливание поверхности сваи диаметром 219 мм</t>
  </si>
  <si>
    <t>Огрунтовка металлических поверхностей за один раз: грунтовкой ЭП-057 в три слоя</t>
  </si>
  <si>
    <t>3</t>
  </si>
  <si>
    <t>3.1</t>
  </si>
  <si>
    <t>3.2</t>
  </si>
  <si>
    <t>3.3</t>
  </si>
  <si>
    <t>Монтаж оголовника сваи</t>
  </si>
  <si>
    <t>№2</t>
  </si>
  <si>
    <t>Сборка оголовника сваи</t>
  </si>
  <si>
    <t>3.4</t>
  </si>
  <si>
    <t>3.5</t>
  </si>
  <si>
    <t>3.6</t>
  </si>
  <si>
    <t>3.7</t>
  </si>
  <si>
    <t>Антикоррозийная защита</t>
  </si>
  <si>
    <t>Монтаж балки Б1 резервуара V-50 м3</t>
  </si>
  <si>
    <t>Сборка балки резервуара</t>
  </si>
  <si>
    <t>Полоса 20х450 длиной 0,45 м (ГОСТ 82-70/ГОСТ 27772-88)</t>
  </si>
  <si>
    <t>Полоса 8х200 длиной 0,3 м (ГОСТ 82-70/ГОСТ 27772-88)</t>
  </si>
  <si>
    <t>Полоса 20х450 длиной 2,8 м (ГОСТ 82-70/ГОСТ 27772-88)</t>
  </si>
  <si>
    <t>Швеллер 20У длиной 2,8 м (ГОСТ 82-70/ГОСТ 27772-88)</t>
  </si>
  <si>
    <t>Лист 8-Б-ПН-НО (ГОСТ 19903-74/ГОСТ 27772-88)</t>
  </si>
  <si>
    <t>Круг 24-В1 длиной 0,15 м (ГОСТ 2590-2006/27772-88</t>
  </si>
  <si>
    <t>Постановка строительных болтов М24 с гайками и шайбами</t>
  </si>
  <si>
    <t>Гайка 2М24-6Н.8.019 (ГОСТ 5915-70)</t>
  </si>
  <si>
    <t>Шайба С.24.05.019 (ГОСТ 11371-78)</t>
  </si>
  <si>
    <t>п.4 сметы</t>
  </si>
  <si>
    <t>п.6 сметы</t>
  </si>
  <si>
    <t>п.12 сметы</t>
  </si>
  <si>
    <t>п.13 сметы</t>
  </si>
  <si>
    <t>п.18 сметы</t>
  </si>
  <si>
    <t>п.25 сметы</t>
  </si>
  <si>
    <t>п.28 сметы</t>
  </si>
  <si>
    <t>п.50 сметы</t>
  </si>
  <si>
    <t>п.51 сметы</t>
  </si>
  <si>
    <t>п.35 сметы</t>
  </si>
  <si>
    <t>п.37 сметы</t>
  </si>
  <si>
    <t>п.52 сметы</t>
  </si>
  <si>
    <t>п.54 сметы</t>
  </si>
  <si>
    <t>п.53 сметы</t>
  </si>
  <si>
    <t>п.41 сметы</t>
  </si>
  <si>
    <t>п.42 сметы</t>
  </si>
  <si>
    <t>п.47 сметы</t>
  </si>
  <si>
    <t>п.49 сметы</t>
  </si>
  <si>
    <t>п. 1 сметы</t>
  </si>
  <si>
    <t>п. 3 сметы</t>
  </si>
  <si>
    <t>п. 5 сметы</t>
  </si>
  <si>
    <t/>
  </si>
  <si>
    <t>п. 7 сметы</t>
  </si>
  <si>
    <t>п. 10/ 11 сметы</t>
  </si>
  <si>
    <t>п. 9 сметы</t>
  </si>
  <si>
    <t>п. 14 сметы</t>
  </si>
  <si>
    <t>п. 15 сметы</t>
  </si>
  <si>
    <t>п. 16 сметы</t>
  </si>
  <si>
    <t>п. 17 сметы</t>
  </si>
  <si>
    <t>п. 21 сметы</t>
  </si>
  <si>
    <t>п. 22 сметы</t>
  </si>
  <si>
    <t>п. 23 сметы</t>
  </si>
  <si>
    <t>п. 24 сметы</t>
  </si>
  <si>
    <t>п. 26 сметы</t>
  </si>
  <si>
    <t>п. 27 сметы</t>
  </si>
  <si>
    <t>п. 30 сметы</t>
  </si>
  <si>
    <t>п. 29 сметы</t>
  </si>
  <si>
    <t>п. 31 сметы</t>
  </si>
  <si>
    <t>п. 32 сметы</t>
  </si>
  <si>
    <t>п. 33 сметы</t>
  </si>
  <si>
    <t>п. 34 сметы</t>
  </si>
  <si>
    <t>п. 36 сметы</t>
  </si>
  <si>
    <t>п. 39 сметы</t>
  </si>
  <si>
    <t>п. 38 сметы</t>
  </si>
  <si>
    <t>п. 40 сметы</t>
  </si>
  <si>
    <t>п. 43 сметы</t>
  </si>
  <si>
    <t>п. 44 сметы</t>
  </si>
  <si>
    <t>п. 45 сметы</t>
  </si>
  <si>
    <t>п. 46 сметы</t>
  </si>
  <si>
    <t>п. 48 сметы</t>
  </si>
  <si>
    <t>ГОСТ 25100-95</t>
  </si>
  <si>
    <t>ГОСТ 10178-85</t>
  </si>
  <si>
    <t>ТУ 6-02-841-74</t>
  </si>
  <si>
    <t>ТУ 2312-022-12288779-2000</t>
  </si>
  <si>
    <t>ТУ 2312-029-12288779-2002</t>
  </si>
  <si>
    <t>Гайка 2М24-6Н.8.019</t>
  </si>
  <si>
    <t>Шайба С.24.05.019</t>
  </si>
  <si>
    <t>Труба 219х8 длиной 12,5 м (09Г2С-6)</t>
  </si>
  <si>
    <t>Полоса 20х450 длиной 0,45 м (С345-3)</t>
  </si>
  <si>
    <t>Полоса 8х200 длиной 0,3 м (С345-3)</t>
  </si>
  <si>
    <t>Полоса 20х450 длиной 2,8 м (С345-3)</t>
  </si>
  <si>
    <t>Швеллер 20У длиной 2,8 м (С345-3)</t>
  </si>
  <si>
    <t>Лист 8-Б-ПН-НО (С345-3)</t>
  </si>
  <si>
    <t>Круг 24-В1 длиной 0,15 м (С345-3)</t>
  </si>
  <si>
    <t>ГОСТ 2590-2006/27772-88</t>
  </si>
  <si>
    <t>ГОСТ 10704-91/10705-80</t>
  </si>
  <si>
    <t>ГОСТ 82-70/ГОСТ 27772-88</t>
  </si>
  <si>
    <t>ГОСТ 19903-74/ГОСТ 27772-88</t>
  </si>
  <si>
    <t>ГОСТ 5915-70</t>
  </si>
  <si>
    <t>ГОСТ 11371-78</t>
  </si>
  <si>
    <t>Песок сухой</t>
  </si>
  <si>
    <t>ГОСТ 8240-97/ГОСТ 27772-88</t>
  </si>
  <si>
    <t>Количество по смете</t>
  </si>
  <si>
    <t>7/ 8</t>
  </si>
  <si>
    <t>3,434/ 5,5716</t>
  </si>
  <si>
    <t>Раздел 2. Металлопрокат</t>
  </si>
  <si>
    <t>отс. раб. в смете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</si>
</sst>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р_._-;\-* #,##0.00_р_._-;_-* &quot;-&quot;??_р_._-;_-@_-"/>
    <numFmt numFmtId="164" formatCode="0.000"/>
    <numFmt numFmtId="165" formatCode="000000"/>
    <numFmt numFmtId="166" formatCode="0.0"/>
    <numFmt numFmtId="167" formatCode="#,##0.00_р_."/>
    <numFmt numFmtId="168" formatCode="#,##0.000"/>
    <numFmt numFmtId="169" formatCode="0.000000"/>
    <numFmt numFmtId="170" formatCode="0.00000"/>
    <numFmt numFmtId="171" formatCode="0.0000"/>
    <numFmt numFmtId="172" formatCode="#,##0.0000"/>
    <numFmt numFmtId="173" formatCode="#,##0.00000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i/>
      <sz val="9"/>
      <name val="Times New Roman"/>
      <family val="1"/>
      <charset val="204"/>
    </font>
    <font>
      <sz val="6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1"/>
    <xf numFmtId="0" fontId="9" fillId="0" borderId="1"/>
    <xf numFmtId="0" fontId="3" fillId="0" borderId="1"/>
    <xf numFmtId="0" fontId="2" fillId="0" borderId="1"/>
    <xf numFmtId="43" fontId="17" fillId="0" borderId="1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1"/>
    <xf numFmtId="0" fontId="1" fillId="0" borderId="1"/>
  </cellStyleXfs>
  <cellXfs count="384">
    <xf numFmtId="0" fontId="0" fillId="0" borderId="0" xfId="0"/>
    <xf numFmtId="0" fontId="5" fillId="0" borderId="0" xfId="0" applyFont="1"/>
    <xf numFmtId="0" fontId="7" fillId="0" borderId="0" xfId="0" applyFont="1"/>
    <xf numFmtId="0" fontId="5" fillId="0" borderId="1" xfId="0" applyFont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5" fillId="0" borderId="2" xfId="1" applyNumberFormat="1" applyFont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 wrapText="1"/>
    </xf>
    <xf numFmtId="0" fontId="5" fillId="0" borderId="1" xfId="1" applyFont="1"/>
    <xf numFmtId="0" fontId="5" fillId="0" borderId="1" xfId="1" applyFont="1" applyAlignment="1">
      <alignment horizontal="center" vertical="center"/>
    </xf>
    <xf numFmtId="0" fontId="6" fillId="0" borderId="0" xfId="0" applyFont="1"/>
    <xf numFmtId="2" fontId="5" fillId="0" borderId="1" xfId="1" applyNumberFormat="1" applyFont="1" applyAlignment="1">
      <alignment horizontal="center" vertical="center"/>
    </xf>
    <xf numFmtId="49" fontId="6" fillId="0" borderId="1" xfId="2" applyNumberFormat="1" applyFont="1" applyAlignment="1">
      <alignment horizontal="left" vertical="top"/>
    </xf>
    <xf numFmtId="0" fontId="6" fillId="0" borderId="1" xfId="2" applyFont="1" applyAlignment="1">
      <alignment horizontal="left" vertical="top" wrapText="1"/>
    </xf>
    <xf numFmtId="0" fontId="6" fillId="0" borderId="1" xfId="2" applyFont="1" applyAlignment="1">
      <alignment horizontal="center" vertical="top" wrapText="1"/>
    </xf>
    <xf numFmtId="49" fontId="6" fillId="0" borderId="1" xfId="2" applyNumberFormat="1" applyFont="1" applyAlignment="1">
      <alignment horizontal="center" vertical="top"/>
    </xf>
    <xf numFmtId="49" fontId="6" fillId="0" borderId="1" xfId="2" applyNumberFormat="1" applyFont="1" applyAlignment="1">
      <alignment horizontal="left" vertical="top" wrapText="1"/>
    </xf>
    <xf numFmtId="49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top"/>
    </xf>
    <xf numFmtId="165" fontId="8" fillId="0" borderId="2" xfId="2" applyNumberFormat="1" applyFont="1" applyBorder="1" applyAlignment="1">
      <alignment horizontal="left" vertical="top" wrapText="1"/>
    </xf>
    <xf numFmtId="0" fontId="6" fillId="0" borderId="2" xfId="2" applyFont="1" applyBorder="1" applyAlignment="1">
      <alignment horizontal="left" vertical="top" wrapText="1"/>
    </xf>
    <xf numFmtId="0" fontId="6" fillId="0" borderId="2" xfId="2" applyFont="1" applyBorder="1" applyAlignment="1">
      <alignment horizontal="center" vertical="top" wrapText="1"/>
    </xf>
    <xf numFmtId="0" fontId="6" fillId="0" borderId="2" xfId="2" applyFont="1" applyBorder="1" applyAlignment="1">
      <alignment horizontal="center" vertical="top"/>
    </xf>
    <xf numFmtId="165" fontId="6" fillId="0" borderId="1" xfId="2" applyNumberFormat="1" applyFont="1" applyAlignment="1">
      <alignment horizontal="left" vertical="top" wrapText="1"/>
    </xf>
    <xf numFmtId="49" fontId="8" fillId="0" borderId="5" xfId="2" applyNumberFormat="1" applyFont="1" applyBorder="1" applyAlignment="1">
      <alignment horizontal="center" vertical="center" wrapText="1"/>
    </xf>
    <xf numFmtId="165" fontId="8" fillId="0" borderId="5" xfId="2" applyNumberFormat="1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165" fontId="6" fillId="0" borderId="2" xfId="2" applyNumberFormat="1" applyFont="1" applyBorder="1" applyAlignment="1">
      <alignment horizontal="left" vertical="top" wrapText="1"/>
    </xf>
    <xf numFmtId="49" fontId="10" fillId="0" borderId="2" xfId="2" applyNumberFormat="1" applyFont="1" applyBorder="1" applyAlignment="1">
      <alignment horizontal="center" vertical="top"/>
    </xf>
    <xf numFmtId="165" fontId="10" fillId="0" borderId="2" xfId="2" applyNumberFormat="1" applyFont="1" applyBorder="1" applyAlignment="1">
      <alignment horizontal="left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center" vertical="top"/>
    </xf>
    <xf numFmtId="0" fontId="6" fillId="0" borderId="1" xfId="2" applyFont="1" applyAlignment="1">
      <alignment horizontal="right" vertical="top" wrapText="1"/>
    </xf>
    <xf numFmtId="0" fontId="6" fillId="0" borderId="1" xfId="2" applyFont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49" fontId="6" fillId="0" borderId="4" xfId="2" applyNumberFormat="1" applyFont="1" applyBorder="1" applyAlignment="1">
      <alignment horizontal="right" vertical="top"/>
    </xf>
    <xf numFmtId="0" fontId="6" fillId="0" borderId="4" xfId="2" applyFont="1" applyBorder="1" applyAlignment="1">
      <alignment horizontal="right" vertical="top"/>
    </xf>
    <xf numFmtId="0" fontId="10" fillId="0" borderId="4" xfId="2" applyFont="1" applyBorder="1" applyAlignment="1">
      <alignment horizontal="center" vertical="top"/>
    </xf>
    <xf numFmtId="0" fontId="10" fillId="0" borderId="4" xfId="2" applyFont="1" applyBorder="1" applyAlignment="1">
      <alignment horizontal="right" vertical="top"/>
    </xf>
    <xf numFmtId="0" fontId="10" fillId="0" borderId="1" xfId="2" applyFont="1" applyBorder="1" applyAlignment="1">
      <alignment horizontal="center" vertical="top"/>
    </xf>
    <xf numFmtId="0" fontId="6" fillId="0" borderId="1" xfId="2" applyFont="1" applyBorder="1" applyAlignment="1">
      <alignment horizontal="right" vertical="top"/>
    </xf>
    <xf numFmtId="49" fontId="6" fillId="0" borderId="1" xfId="2" applyNumberFormat="1" applyFont="1"/>
    <xf numFmtId="0" fontId="8" fillId="0" borderId="1" xfId="2" applyFont="1" applyAlignment="1">
      <alignment horizontal="center" vertical="top"/>
    </xf>
    <xf numFmtId="49" fontId="6" fillId="0" borderId="1" xfId="2" applyNumberFormat="1" applyFont="1" applyAlignment="1">
      <alignment horizontal="right" vertical="top" wrapText="1"/>
    </xf>
    <xf numFmtId="49" fontId="6" fillId="0" borderId="1" xfId="2" applyNumberFormat="1" applyFont="1" applyAlignment="1">
      <alignment horizontal="right" vertical="top"/>
    </xf>
    <xf numFmtId="49" fontId="6" fillId="0" borderId="1" xfId="2" applyNumberFormat="1" applyFont="1" applyAlignment="1">
      <alignment horizontal="left"/>
    </xf>
    <xf numFmtId="0" fontId="6" fillId="0" borderId="1" xfId="2" applyFont="1" applyBorder="1" applyAlignment="1">
      <alignment horizontal="left" vertical="top"/>
    </xf>
    <xf numFmtId="0" fontId="6" fillId="0" borderId="1" xfId="2" applyFont="1" applyBorder="1" applyAlignment="1">
      <alignment horizontal="left"/>
    </xf>
    <xf numFmtId="0" fontId="6" fillId="0" borderId="1" xfId="2" applyFont="1" applyAlignment="1">
      <alignment horizontal="left"/>
    </xf>
    <xf numFmtId="0" fontId="6" fillId="0" borderId="1" xfId="2" applyFont="1" applyBorder="1" applyAlignment="1">
      <alignment horizontal="left" vertical="top" wrapText="1"/>
    </xf>
    <xf numFmtId="49" fontId="6" fillId="0" borderId="1" xfId="2" applyNumberFormat="1" applyFont="1" applyAlignment="1"/>
    <xf numFmtId="0" fontId="6" fillId="0" borderId="2" xfId="2" applyFont="1" applyBorder="1" applyAlignment="1">
      <alignment horizontal="right" vertical="top" wrapText="1"/>
    </xf>
    <xf numFmtId="0" fontId="6" fillId="0" borderId="2" xfId="2" applyFont="1" applyBorder="1" applyAlignment="1">
      <alignment horizontal="right" vertical="top"/>
    </xf>
    <xf numFmtId="0" fontId="8" fillId="0" borderId="2" xfId="2" applyFont="1" applyBorder="1" applyAlignment="1">
      <alignment horizontal="right" vertical="top" wrapText="1"/>
    </xf>
    <xf numFmtId="0" fontId="10" fillId="0" borderId="2" xfId="2" applyFont="1" applyBorder="1" applyAlignment="1">
      <alignment horizontal="right" vertical="top"/>
    </xf>
    <xf numFmtId="0" fontId="6" fillId="0" borderId="1" xfId="2" applyFont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8" fillId="0" borderId="1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2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1" xfId="2" applyNumberFormat="1" applyFont="1" applyAlignment="1">
      <alignment horizontal="center" vertical="top" wrapText="1"/>
    </xf>
    <xf numFmtId="0" fontId="6" fillId="0" borderId="1" xfId="2" applyFont="1" applyAlignment="1">
      <alignment horizontal="center" vertical="top"/>
    </xf>
    <xf numFmtId="0" fontId="6" fillId="0" borderId="2" xfId="2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1" xfId="2" applyFont="1"/>
    <xf numFmtId="49" fontId="6" fillId="0" borderId="4" xfId="2" applyNumberFormat="1" applyFont="1" applyBorder="1"/>
    <xf numFmtId="49" fontId="6" fillId="0" borderId="2" xfId="2" applyNumberFormat="1" applyFont="1" applyBorder="1" applyAlignment="1">
      <alignment vertical="center" wrapText="1"/>
    </xf>
    <xf numFmtId="0" fontId="11" fillId="0" borderId="0" xfId="0" applyFont="1" applyAlignment="1">
      <alignment vertical="top"/>
    </xf>
    <xf numFmtId="0" fontId="6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vertical="top"/>
    </xf>
    <xf numFmtId="0" fontId="11" fillId="0" borderId="2" xfId="0" applyFont="1" applyBorder="1" applyAlignment="1">
      <alignment vertical="top" wrapText="1"/>
    </xf>
    <xf numFmtId="49" fontId="5" fillId="0" borderId="1" xfId="4" applyNumberFormat="1" applyFont="1" applyAlignment="1">
      <alignment horizontal="center" wrapText="1"/>
    </xf>
    <xf numFmtId="0" fontId="5" fillId="0" borderId="1" xfId="4" applyFont="1" applyBorder="1" applyAlignment="1">
      <alignment horizontal="center" wrapText="1"/>
    </xf>
    <xf numFmtId="2" fontId="5" fillId="0" borderId="1" xfId="4" applyNumberFormat="1" applyFont="1" applyBorder="1" applyAlignment="1">
      <alignment horizontal="center" wrapText="1"/>
    </xf>
    <xf numFmtId="0" fontId="5" fillId="0" borderId="1" xfId="4" applyFont="1"/>
    <xf numFmtId="0" fontId="5" fillId="0" borderId="1" xfId="4" applyFont="1" applyAlignment="1">
      <alignment wrapText="1"/>
    </xf>
    <xf numFmtId="0" fontId="5" fillId="0" borderId="1" xfId="4" applyFont="1" applyFill="1" applyAlignment="1">
      <alignment horizontal="center" vertical="center" wrapText="1"/>
    </xf>
    <xf numFmtId="167" fontId="5" fillId="0" borderId="1" xfId="4" applyNumberFormat="1" applyFont="1" applyAlignment="1">
      <alignment horizontal="center" vertical="center" wrapText="1"/>
    </xf>
    <xf numFmtId="0" fontId="12" fillId="0" borderId="1" xfId="4" applyFont="1" applyBorder="1"/>
    <xf numFmtId="0" fontId="12" fillId="0" borderId="1" xfId="4" applyFont="1" applyBorder="1" applyAlignment="1">
      <alignment horizontal="center"/>
    </xf>
    <xf numFmtId="0" fontId="12" fillId="0" borderId="1" xfId="4" applyFont="1"/>
    <xf numFmtId="0" fontId="13" fillId="0" borderId="1" xfId="1" applyFont="1"/>
    <xf numFmtId="2" fontId="14" fillId="0" borderId="3" xfId="4" applyNumberFormat="1" applyFont="1" applyBorder="1" applyAlignment="1">
      <alignment vertical="top"/>
    </xf>
    <xf numFmtId="2" fontId="14" fillId="0" borderId="3" xfId="4" applyNumberFormat="1" applyFont="1" applyBorder="1" applyAlignment="1">
      <alignment vertical="top" wrapText="1"/>
    </xf>
    <xf numFmtId="0" fontId="12" fillId="0" borderId="3" xfId="4" applyFont="1" applyBorder="1" applyAlignment="1"/>
    <xf numFmtId="0" fontId="12" fillId="0" borderId="1" xfId="4" applyFont="1" applyBorder="1" applyAlignment="1"/>
    <xf numFmtId="0" fontId="14" fillId="0" borderId="1" xfId="4" applyFont="1" applyBorder="1"/>
    <xf numFmtId="0" fontId="15" fillId="0" borderId="1" xfId="4" applyFont="1" applyAlignment="1">
      <alignment horizontal="left" wrapText="1" indent="3"/>
    </xf>
    <xf numFmtId="0" fontId="15" fillId="0" borderId="1" xfId="4" applyFont="1" applyAlignment="1">
      <alignment horizontal="left" wrapText="1"/>
    </xf>
    <xf numFmtId="0" fontId="15" fillId="0" borderId="1" xfId="4" applyFont="1" applyFill="1" applyAlignment="1">
      <alignment horizontal="center" vertical="center" wrapText="1"/>
    </xf>
    <xf numFmtId="0" fontId="15" fillId="0" borderId="1" xfId="4" applyFont="1" applyFill="1" applyAlignment="1">
      <alignment horizontal="left" wrapText="1" indent="3"/>
    </xf>
    <xf numFmtId="0" fontId="12" fillId="0" borderId="1" xfId="4" applyFont="1" applyAlignment="1">
      <alignment horizontal="center" vertical="center"/>
    </xf>
    <xf numFmtId="49" fontId="16" fillId="0" borderId="3" xfId="4" applyNumberFormat="1" applyFont="1" applyBorder="1" applyAlignment="1">
      <alignment horizontal="center" wrapText="1"/>
    </xf>
    <xf numFmtId="0" fontId="16" fillId="0" borderId="3" xfId="4" applyFont="1" applyBorder="1" applyAlignment="1">
      <alignment horizontal="left" wrapText="1"/>
    </xf>
    <xf numFmtId="0" fontId="16" fillId="0" borderId="3" xfId="4" applyFont="1" applyBorder="1" applyAlignment="1">
      <alignment horizontal="center" wrapText="1"/>
    </xf>
    <xf numFmtId="2" fontId="16" fillId="0" borderId="3" xfId="4" applyNumberFormat="1" applyFont="1" applyFill="1" applyBorder="1" applyAlignment="1">
      <alignment horizontal="center" vertical="center" wrapText="1"/>
    </xf>
    <xf numFmtId="2" fontId="16" fillId="0" borderId="3" xfId="4" applyNumberFormat="1" applyFont="1" applyFill="1" applyBorder="1" applyAlignment="1">
      <alignment horizontal="center" wrapText="1"/>
    </xf>
    <xf numFmtId="0" fontId="16" fillId="0" borderId="3" xfId="4" applyFont="1" applyFill="1" applyBorder="1" applyAlignment="1">
      <alignment horizontal="center" vertical="center" wrapText="1"/>
    </xf>
    <xf numFmtId="49" fontId="16" fillId="0" borderId="5" xfId="4" applyNumberFormat="1" applyFont="1" applyBorder="1" applyAlignment="1">
      <alignment horizontal="center" vertical="center" wrapText="1"/>
    </xf>
    <xf numFmtId="0" fontId="16" fillId="0" borderId="5" xfId="4" applyFont="1" applyBorder="1" applyAlignment="1">
      <alignment horizontal="center" vertical="center" wrapText="1"/>
    </xf>
    <xf numFmtId="2" fontId="16" fillId="0" borderId="5" xfId="4" applyNumberFormat="1" applyFont="1" applyFill="1" applyBorder="1" applyAlignment="1">
      <alignment horizontal="center" vertical="center" wrapText="1"/>
    </xf>
    <xf numFmtId="2" fontId="16" fillId="0" borderId="18" xfId="4" applyNumberFormat="1" applyFont="1" applyFill="1" applyBorder="1" applyAlignment="1">
      <alignment horizontal="center" vertical="center" wrapText="1"/>
    </xf>
    <xf numFmtId="0" fontId="16" fillId="0" borderId="2" xfId="4" applyFont="1" applyFill="1" applyBorder="1" applyAlignment="1">
      <alignment horizontal="center" vertical="center" wrapText="1"/>
    </xf>
    <xf numFmtId="0" fontId="16" fillId="0" borderId="1" xfId="4" applyFont="1" applyAlignment="1">
      <alignment horizontal="center" vertical="center" wrapText="1"/>
    </xf>
    <xf numFmtId="0" fontId="16" fillId="0" borderId="1" xfId="4" applyFont="1" applyAlignment="1">
      <alignment vertical="center" wrapText="1"/>
    </xf>
    <xf numFmtId="0" fontId="16" fillId="0" borderId="2" xfId="4" applyNumberFormat="1" applyFont="1" applyBorder="1" applyAlignment="1">
      <alignment horizontal="center" vertical="center" wrapText="1"/>
    </xf>
    <xf numFmtId="0" fontId="16" fillId="0" borderId="2" xfId="4" applyNumberFormat="1" applyFont="1" applyFill="1" applyBorder="1" applyAlignment="1">
      <alignment horizontal="center" vertical="center" wrapText="1"/>
    </xf>
    <xf numFmtId="2" fontId="5" fillId="0" borderId="2" xfId="4" applyNumberFormat="1" applyFont="1" applyFill="1" applyBorder="1" applyAlignment="1">
      <alignment horizontal="center" vertical="center" wrapText="1"/>
    </xf>
    <xf numFmtId="0" fontId="16" fillId="0" borderId="1" xfId="4" applyFont="1" applyFill="1" applyAlignment="1">
      <alignment horizontal="center" vertical="center" wrapText="1"/>
    </xf>
    <xf numFmtId="0" fontId="16" fillId="0" borderId="5" xfId="4" applyNumberFormat="1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right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left" vertical="center" wrapText="1"/>
    </xf>
    <xf numFmtId="49" fontId="16" fillId="0" borderId="1" xfId="4" applyNumberFormat="1" applyFont="1" applyAlignment="1">
      <alignment horizontal="center" wrapText="1"/>
    </xf>
    <xf numFmtId="0" fontId="16" fillId="0" borderId="1" xfId="4" applyFont="1" applyBorder="1" applyAlignment="1">
      <alignment horizontal="left" wrapText="1"/>
    </xf>
    <xf numFmtId="0" fontId="16" fillId="0" borderId="1" xfId="4" applyFont="1" applyBorder="1" applyAlignment="1">
      <alignment horizontal="center" wrapText="1"/>
    </xf>
    <xf numFmtId="2" fontId="16" fillId="0" borderId="1" xfId="4" applyNumberFormat="1" applyFont="1" applyFill="1" applyBorder="1" applyAlignment="1">
      <alignment horizontal="center" vertical="center" wrapText="1"/>
    </xf>
    <xf numFmtId="2" fontId="16" fillId="0" borderId="1" xfId="4" applyNumberFormat="1" applyFont="1" applyFill="1" applyBorder="1" applyAlignment="1">
      <alignment horizontal="center" wrapText="1"/>
    </xf>
    <xf numFmtId="0" fontId="16" fillId="0" borderId="1" xfId="4" applyFont="1" applyAlignment="1">
      <alignment wrapText="1"/>
    </xf>
    <xf numFmtId="0" fontId="12" fillId="0" borderId="1" xfId="4" applyFont="1" applyAlignment="1"/>
    <xf numFmtId="0" fontId="5" fillId="0" borderId="1" xfId="4" applyFont="1" applyBorder="1" applyAlignment="1">
      <alignment horizontal="left" wrapText="1"/>
    </xf>
    <xf numFmtId="49" fontId="12" fillId="0" borderId="1" xfId="4" applyNumberFormat="1" applyFont="1" applyBorder="1" applyAlignment="1">
      <alignment horizontal="center"/>
    </xf>
    <xf numFmtId="0" fontId="7" fillId="0" borderId="3" xfId="4" applyFont="1" applyBorder="1" applyAlignment="1">
      <alignment horizontal="center" vertical="center" wrapText="1"/>
    </xf>
    <xf numFmtId="49" fontId="5" fillId="0" borderId="2" xfId="4" applyNumberFormat="1" applyFont="1" applyFill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1" xfId="4" applyFont="1" applyFill="1" applyAlignment="1">
      <alignment vertical="center" wrapText="1"/>
    </xf>
    <xf numFmtId="0" fontId="5" fillId="0" borderId="2" xfId="4" applyNumberFormat="1" applyFont="1" applyFill="1" applyBorder="1" applyAlignment="1">
      <alignment horizontal="center" vertical="center" wrapText="1"/>
    </xf>
    <xf numFmtId="49" fontId="5" fillId="0" borderId="1" xfId="4" applyNumberFormat="1" applyFont="1" applyBorder="1" applyAlignment="1">
      <alignment horizontal="center" wrapText="1"/>
    </xf>
    <xf numFmtId="167" fontId="5" fillId="0" borderId="1" xfId="4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6" fillId="2" borderId="2" xfId="2" applyFont="1" applyFill="1" applyBorder="1" applyAlignment="1">
      <alignment vertical="top" wrapText="1"/>
    </xf>
    <xf numFmtId="49" fontId="8" fillId="2" borderId="2" xfId="2" applyNumberFormat="1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top"/>
    </xf>
    <xf numFmtId="165" fontId="8" fillId="2" borderId="2" xfId="2" applyNumberFormat="1" applyFont="1" applyFill="1" applyBorder="1" applyAlignment="1">
      <alignment horizontal="left" vertical="top" wrapText="1"/>
    </xf>
    <xf numFmtId="165" fontId="8" fillId="4" borderId="2" xfId="2" applyNumberFormat="1" applyFont="1" applyFill="1" applyBorder="1" applyAlignment="1">
      <alignment horizontal="left" vertical="top" wrapText="1"/>
    </xf>
    <xf numFmtId="169" fontId="6" fillId="0" borderId="2" xfId="0" applyNumberFormat="1" applyFont="1" applyBorder="1" applyAlignment="1">
      <alignment horizontal="center" vertical="center"/>
    </xf>
    <xf numFmtId="170" fontId="6" fillId="0" borderId="2" xfId="0" applyNumberFormat="1" applyFont="1" applyBorder="1" applyAlignment="1">
      <alignment horizontal="center" vertical="center"/>
    </xf>
    <xf numFmtId="171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2" fontId="6" fillId="0" borderId="2" xfId="6" applyNumberFormat="1" applyFont="1" applyBorder="1" applyAlignment="1">
      <alignment horizontal="center" vertical="center"/>
    </xf>
    <xf numFmtId="164" fontId="6" fillId="0" borderId="2" xfId="2" applyNumberFormat="1" applyFont="1" applyBorder="1" applyAlignment="1">
      <alignment horizontal="center" vertical="center" wrapText="1"/>
    </xf>
    <xf numFmtId="0" fontId="19" fillId="0" borderId="1" xfId="7" applyFont="1" applyFill="1"/>
    <xf numFmtId="0" fontId="12" fillId="0" borderId="1" xfId="7" applyFont="1" applyFill="1"/>
    <xf numFmtId="0" fontId="7" fillId="0" borderId="1" xfId="1" applyFont="1"/>
    <xf numFmtId="0" fontId="5" fillId="0" borderId="1" xfId="1" applyFont="1" applyAlignment="1">
      <alignment horizontal="left" vertical="center"/>
    </xf>
    <xf numFmtId="0" fontId="5" fillId="0" borderId="1" xfId="1" applyFont="1" applyAlignment="1">
      <alignment horizontal="center"/>
    </xf>
    <xf numFmtId="0" fontId="12" fillId="0" borderId="19" xfId="7" applyFont="1" applyFill="1" applyBorder="1" applyAlignment="1">
      <alignment horizontal="center" vertical="center" wrapText="1"/>
    </xf>
    <xf numFmtId="0" fontId="12" fillId="0" borderId="20" xfId="7" applyFont="1" applyFill="1" applyBorder="1" applyAlignment="1">
      <alignment horizontal="center" vertical="center" wrapText="1"/>
    </xf>
    <xf numFmtId="0" fontId="12" fillId="0" borderId="21" xfId="7" applyFont="1" applyFill="1" applyBorder="1" applyAlignment="1">
      <alignment horizontal="center" vertical="center" wrapText="1"/>
    </xf>
    <xf numFmtId="0" fontId="12" fillId="0" borderId="6" xfId="7" applyFont="1" applyFill="1" applyBorder="1" applyAlignment="1">
      <alignment horizontal="center" vertical="center"/>
    </xf>
    <xf numFmtId="0" fontId="12" fillId="0" borderId="7" xfId="7" applyFont="1" applyFill="1" applyBorder="1" applyAlignment="1">
      <alignment horizontal="center" vertical="center"/>
    </xf>
    <xf numFmtId="0" fontId="12" fillId="0" borderId="8" xfId="7" applyFont="1" applyFill="1" applyBorder="1" applyAlignment="1">
      <alignment horizontal="center" vertical="center"/>
    </xf>
    <xf numFmtId="0" fontId="19" fillId="5" borderId="6" xfId="7" applyFont="1" applyFill="1" applyBorder="1" applyAlignment="1">
      <alignment horizontal="center" vertical="center"/>
    </xf>
    <xf numFmtId="0" fontId="19" fillId="5" borderId="7" xfId="7" applyFont="1" applyFill="1" applyBorder="1" applyAlignment="1">
      <alignment horizontal="left" vertical="center"/>
    </xf>
    <xf numFmtId="0" fontId="19" fillId="5" borderId="7" xfId="7" applyFont="1" applyFill="1" applyBorder="1" applyAlignment="1">
      <alignment horizontal="center" vertical="center"/>
    </xf>
    <xf numFmtId="3" fontId="19" fillId="5" borderId="7" xfId="7" applyNumberFormat="1" applyFont="1" applyFill="1" applyBorder="1" applyAlignment="1">
      <alignment horizontal="center" vertical="center"/>
    </xf>
    <xf numFmtId="164" fontId="19" fillId="5" borderId="7" xfId="7" applyNumberFormat="1" applyFont="1" applyFill="1" applyBorder="1" applyAlignment="1">
      <alignment horizontal="center" vertical="center"/>
    </xf>
    <xf numFmtId="0" fontId="19" fillId="5" borderId="8" xfId="7" applyFont="1" applyFill="1" applyBorder="1" applyAlignment="1">
      <alignment horizontal="center" vertical="center"/>
    </xf>
    <xf numFmtId="49" fontId="12" fillId="6" borderId="9" xfId="7" applyNumberFormat="1" applyFont="1" applyFill="1" applyBorder="1" applyAlignment="1">
      <alignment horizontal="center" vertical="center"/>
    </xf>
    <xf numFmtId="0" fontId="12" fillId="6" borderId="10" xfId="7" applyFont="1" applyFill="1" applyBorder="1" applyAlignment="1">
      <alignment horizontal="left" vertical="center"/>
    </xf>
    <xf numFmtId="0" fontId="12" fillId="6" borderId="10" xfId="7" applyFont="1" applyFill="1" applyBorder="1" applyAlignment="1">
      <alignment horizontal="center" vertical="center"/>
    </xf>
    <xf numFmtId="4" fontId="12" fillId="6" borderId="10" xfId="7" applyNumberFormat="1" applyFont="1" applyFill="1" applyBorder="1" applyAlignment="1">
      <alignment horizontal="center" vertical="center"/>
    </xf>
    <xf numFmtId="166" fontId="12" fillId="6" borderId="10" xfId="7" applyNumberFormat="1" applyFont="1" applyFill="1" applyBorder="1" applyAlignment="1">
      <alignment horizontal="center" vertical="center"/>
    </xf>
    <xf numFmtId="2" fontId="12" fillId="6" borderId="10" xfId="7" applyNumberFormat="1" applyFont="1" applyFill="1" applyBorder="1" applyAlignment="1">
      <alignment horizontal="center" vertical="center"/>
    </xf>
    <xf numFmtId="0" fontId="12" fillId="6" borderId="11" xfId="7" applyFont="1" applyFill="1" applyBorder="1" applyAlignment="1">
      <alignment horizontal="center" vertical="center"/>
    </xf>
    <xf numFmtId="0" fontId="12" fillId="6" borderId="2" xfId="7" applyFont="1" applyFill="1" applyBorder="1" applyAlignment="1">
      <alignment horizontal="left" vertical="center" wrapText="1"/>
    </xf>
    <xf numFmtId="0" fontId="12" fillId="6" borderId="2" xfId="7" applyFont="1" applyFill="1" applyBorder="1" applyAlignment="1">
      <alignment horizontal="center" vertical="center"/>
    </xf>
    <xf numFmtId="168" fontId="12" fillId="6" borderId="2" xfId="7" applyNumberFormat="1" applyFont="1" applyFill="1" applyBorder="1" applyAlignment="1">
      <alignment horizontal="center" vertical="center"/>
    </xf>
    <xf numFmtId="166" fontId="12" fillId="6" borderId="2" xfId="7" applyNumberFormat="1" applyFont="1" applyFill="1" applyBorder="1" applyAlignment="1">
      <alignment horizontal="center" vertical="center"/>
    </xf>
    <xf numFmtId="164" fontId="12" fillId="6" borderId="2" xfId="7" applyNumberFormat="1" applyFont="1" applyFill="1" applyBorder="1" applyAlignment="1">
      <alignment horizontal="center" vertical="center"/>
    </xf>
    <xf numFmtId="0" fontId="12" fillId="6" borderId="13" xfId="7" applyFont="1" applyFill="1" applyBorder="1" applyAlignment="1">
      <alignment horizontal="center" vertical="center"/>
    </xf>
    <xf numFmtId="49" fontId="12" fillId="0" borderId="9" xfId="7" applyNumberFormat="1" applyFont="1" applyFill="1" applyBorder="1" applyAlignment="1">
      <alignment horizontal="center" vertical="center"/>
    </xf>
    <xf numFmtId="0" fontId="12" fillId="0" borderId="2" xfId="7" applyFont="1" applyFill="1" applyBorder="1" applyAlignment="1">
      <alignment horizontal="left" vertical="center" wrapText="1"/>
    </xf>
    <xf numFmtId="0" fontId="12" fillId="0" borderId="2" xfId="7" applyFont="1" applyFill="1" applyBorder="1" applyAlignment="1">
      <alignment horizontal="center" vertical="center"/>
    </xf>
    <xf numFmtId="168" fontId="12" fillId="0" borderId="2" xfId="7" applyNumberFormat="1" applyFont="1" applyFill="1" applyBorder="1" applyAlignment="1">
      <alignment horizontal="center" vertical="center"/>
    </xf>
    <xf numFmtId="166" fontId="12" fillId="0" borderId="2" xfId="7" applyNumberFormat="1" applyFont="1" applyFill="1" applyBorder="1" applyAlignment="1">
      <alignment horizontal="center" vertical="center"/>
    </xf>
    <xf numFmtId="164" fontId="12" fillId="0" borderId="2" xfId="7" applyNumberFormat="1" applyFont="1" applyFill="1" applyBorder="1" applyAlignment="1">
      <alignment horizontal="center" vertical="center"/>
    </xf>
    <xf numFmtId="0" fontId="12" fillId="0" borderId="13" xfId="7" applyFont="1" applyFill="1" applyBorder="1" applyAlignment="1">
      <alignment horizontal="center" vertical="center"/>
    </xf>
    <xf numFmtId="0" fontId="12" fillId="6" borderId="2" xfId="7" quotePrefix="1" applyFont="1" applyFill="1" applyBorder="1" applyAlignment="1">
      <alignment horizontal="center" vertical="center"/>
    </xf>
    <xf numFmtId="0" fontId="12" fillId="6" borderId="13" xfId="7" quotePrefix="1" applyFont="1" applyFill="1" applyBorder="1" applyAlignment="1">
      <alignment horizontal="center" vertical="center"/>
    </xf>
    <xf numFmtId="0" fontId="12" fillId="6" borderId="2" xfId="7" applyFont="1" applyFill="1" applyBorder="1" applyAlignment="1">
      <alignment horizontal="left" vertical="center"/>
    </xf>
    <xf numFmtId="4" fontId="12" fillId="6" borderId="2" xfId="7" applyNumberFormat="1" applyFont="1" applyFill="1" applyBorder="1" applyAlignment="1">
      <alignment horizontal="center" vertical="center"/>
    </xf>
    <xf numFmtId="4" fontId="12" fillId="6" borderId="2" xfId="7" applyNumberFormat="1" applyFont="1" applyFill="1" applyBorder="1" applyAlignment="1">
      <alignment horizontal="center" vertical="center" wrapText="1"/>
    </xf>
    <xf numFmtId="49" fontId="12" fillId="6" borderId="13" xfId="7" applyNumberFormat="1" applyFont="1" applyFill="1" applyBorder="1" applyAlignment="1">
      <alignment horizontal="center" vertical="center"/>
    </xf>
    <xf numFmtId="49" fontId="12" fillId="0" borderId="22" xfId="7" applyNumberFormat="1" applyFont="1" applyFill="1" applyBorder="1" applyAlignment="1">
      <alignment horizontal="center" vertical="center"/>
    </xf>
    <xf numFmtId="0" fontId="12" fillId="0" borderId="15" xfId="7" applyFont="1" applyFill="1" applyBorder="1" applyAlignment="1">
      <alignment horizontal="left" vertical="center" wrapText="1"/>
    </xf>
    <xf numFmtId="0" fontId="12" fillId="0" borderId="15" xfId="7" applyFont="1" applyFill="1" applyBorder="1" applyAlignment="1">
      <alignment horizontal="center" vertical="center"/>
    </xf>
    <xf numFmtId="4" fontId="12" fillId="0" borderId="15" xfId="7" applyNumberFormat="1" applyFont="1" applyFill="1" applyBorder="1" applyAlignment="1">
      <alignment horizontal="center" vertical="center"/>
    </xf>
    <xf numFmtId="166" fontId="12" fillId="0" borderId="15" xfId="7" applyNumberFormat="1" applyFont="1" applyFill="1" applyBorder="1" applyAlignment="1">
      <alignment horizontal="center" vertical="center"/>
    </xf>
    <xf numFmtId="4" fontId="12" fillId="0" borderId="15" xfId="7" applyNumberFormat="1" applyFont="1" applyFill="1" applyBorder="1" applyAlignment="1">
      <alignment horizontal="center" vertical="center" wrapText="1"/>
    </xf>
    <xf numFmtId="49" fontId="19" fillId="5" borderId="6" xfId="7" applyNumberFormat="1" applyFont="1" applyFill="1" applyBorder="1" applyAlignment="1">
      <alignment horizontal="center" vertical="center"/>
    </xf>
    <xf numFmtId="2" fontId="19" fillId="5" borderId="7" xfId="7" applyNumberFormat="1" applyFont="1" applyFill="1" applyBorder="1" applyAlignment="1">
      <alignment horizontal="center" vertical="center"/>
    </xf>
    <xf numFmtId="0" fontId="12" fillId="6" borderId="10" xfId="1" applyFont="1" applyFill="1" applyBorder="1" applyAlignment="1">
      <alignment vertical="center" wrapText="1"/>
    </xf>
    <xf numFmtId="0" fontId="5" fillId="6" borderId="10" xfId="1" applyFont="1" applyFill="1" applyBorder="1" applyAlignment="1">
      <alignment horizontal="center" vertical="center" wrapText="1"/>
    </xf>
    <xf numFmtId="2" fontId="5" fillId="6" borderId="10" xfId="5" applyNumberFormat="1" applyFont="1" applyFill="1" applyBorder="1" applyAlignment="1">
      <alignment horizontal="center" vertical="center"/>
    </xf>
    <xf numFmtId="4" fontId="5" fillId="6" borderId="10" xfId="1" applyNumberFormat="1" applyFont="1" applyFill="1" applyBorder="1" applyAlignment="1">
      <alignment horizontal="center" vertical="center"/>
    </xf>
    <xf numFmtId="0" fontId="5" fillId="6" borderId="10" xfId="1" applyFont="1" applyFill="1" applyBorder="1"/>
    <xf numFmtId="0" fontId="5" fillId="6" borderId="10" xfId="1" applyFont="1" applyFill="1" applyBorder="1" applyAlignment="1">
      <alignment horizontal="center" vertical="center"/>
    </xf>
    <xf numFmtId="0" fontId="6" fillId="6" borderId="10" xfId="2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vertical="center" wrapText="1"/>
    </xf>
    <xf numFmtId="2" fontId="5" fillId="0" borderId="2" xfId="5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49" fontId="12" fillId="0" borderId="2" xfId="7" applyNumberFormat="1" applyFont="1" applyFill="1" applyBorder="1" applyAlignment="1">
      <alignment horizontal="center" vertical="center"/>
    </xf>
    <xf numFmtId="0" fontId="12" fillId="0" borderId="2" xfId="7" applyFont="1" applyFill="1" applyBorder="1" applyAlignment="1">
      <alignment horizontal="left" vertical="center"/>
    </xf>
    <xf numFmtId="164" fontId="12" fillId="6" borderId="2" xfId="7" quotePrefix="1" applyNumberFormat="1" applyFont="1" applyFill="1" applyBorder="1" applyAlignment="1">
      <alignment horizontal="center" vertical="center"/>
    </xf>
    <xf numFmtId="0" fontId="12" fillId="6" borderId="5" xfId="7" applyFont="1" applyFill="1" applyBorder="1" applyAlignment="1">
      <alignment horizontal="left" vertical="center" wrapText="1"/>
    </xf>
    <xf numFmtId="0" fontId="12" fillId="6" borderId="5" xfId="7" applyFont="1" applyFill="1" applyBorder="1" applyAlignment="1">
      <alignment horizontal="center" vertical="center"/>
    </xf>
    <xf numFmtId="4" fontId="12" fillId="6" borderId="5" xfId="7" applyNumberFormat="1" applyFont="1" applyFill="1" applyBorder="1" applyAlignment="1">
      <alignment horizontal="center" vertical="center"/>
    </xf>
    <xf numFmtId="166" fontId="12" fillId="6" borderId="5" xfId="7" applyNumberFormat="1" applyFont="1" applyFill="1" applyBorder="1" applyAlignment="1">
      <alignment horizontal="center" vertical="center"/>
    </xf>
    <xf numFmtId="4" fontId="12" fillId="6" borderId="5" xfId="7" applyNumberFormat="1" applyFont="1" applyFill="1" applyBorder="1" applyAlignment="1">
      <alignment horizontal="center" vertical="center" wrapText="1"/>
    </xf>
    <xf numFmtId="49" fontId="12" fillId="0" borderId="14" xfId="7" applyNumberFormat="1" applyFont="1" applyFill="1" applyBorder="1" applyAlignment="1">
      <alignment horizontal="center" vertical="center"/>
    </xf>
    <xf numFmtId="0" fontId="12" fillId="0" borderId="5" xfId="7" applyFont="1" applyFill="1" applyBorder="1" applyAlignment="1">
      <alignment horizontal="left" vertical="center" wrapText="1"/>
    </xf>
    <xf numFmtId="0" fontId="12" fillId="0" borderId="5" xfId="7" applyFont="1" applyFill="1" applyBorder="1" applyAlignment="1">
      <alignment horizontal="center" vertical="center"/>
    </xf>
    <xf numFmtId="4" fontId="12" fillId="0" borderId="5" xfId="7" applyNumberFormat="1" applyFont="1" applyFill="1" applyBorder="1" applyAlignment="1">
      <alignment horizontal="center" vertical="center"/>
    </xf>
    <xf numFmtId="166" fontId="12" fillId="0" borderId="5" xfId="7" applyNumberFormat="1" applyFont="1" applyFill="1" applyBorder="1" applyAlignment="1">
      <alignment horizontal="center" vertical="center"/>
    </xf>
    <xf numFmtId="4" fontId="12" fillId="0" borderId="5" xfId="7" applyNumberFormat="1" applyFont="1" applyFill="1" applyBorder="1" applyAlignment="1">
      <alignment horizontal="center" vertical="center" wrapText="1"/>
    </xf>
    <xf numFmtId="164" fontId="12" fillId="0" borderId="2" xfId="7" quotePrefix="1" applyNumberFormat="1" applyFont="1" applyFill="1" applyBorder="1" applyAlignment="1">
      <alignment horizontal="center" vertical="center"/>
    </xf>
    <xf numFmtId="164" fontId="12" fillId="0" borderId="15" xfId="7" quotePrefix="1" applyNumberFormat="1" applyFont="1" applyFill="1" applyBorder="1" applyAlignment="1">
      <alignment horizontal="center" vertical="center"/>
    </xf>
    <xf numFmtId="4" fontId="12" fillId="0" borderId="2" xfId="7" applyNumberFormat="1" applyFont="1" applyFill="1" applyBorder="1" applyAlignment="1">
      <alignment horizontal="center" vertical="center"/>
    </xf>
    <xf numFmtId="4" fontId="12" fillId="0" borderId="2" xfId="7" applyNumberFormat="1" applyFont="1" applyFill="1" applyBorder="1" applyAlignment="1">
      <alignment horizontal="center" vertical="center" wrapText="1"/>
    </xf>
    <xf numFmtId="2" fontId="12" fillId="0" borderId="2" xfId="7" quotePrefix="1" applyNumberFormat="1" applyFont="1" applyFill="1" applyBorder="1" applyAlignment="1">
      <alignment horizontal="center" vertical="center"/>
    </xf>
    <xf numFmtId="1" fontId="12" fillId="6" borderId="2" xfId="7" applyNumberFormat="1" applyFont="1" applyFill="1" applyBorder="1" applyAlignment="1">
      <alignment horizontal="center" vertical="center"/>
    </xf>
    <xf numFmtId="2" fontId="12" fillId="0" borderId="2" xfId="7" applyNumberFormat="1" applyFont="1" applyFill="1" applyBorder="1" applyAlignment="1">
      <alignment horizontal="center" vertical="center"/>
    </xf>
    <xf numFmtId="49" fontId="16" fillId="0" borderId="1" xfId="8" applyNumberFormat="1" applyFont="1" applyAlignment="1">
      <alignment horizontal="center" wrapText="1"/>
    </xf>
    <xf numFmtId="0" fontId="16" fillId="0" borderId="1" xfId="8" applyFont="1" applyBorder="1" applyAlignment="1">
      <alignment horizontal="left" wrapText="1"/>
    </xf>
    <xf numFmtId="0" fontId="16" fillId="0" borderId="1" xfId="8" applyFont="1" applyBorder="1" applyAlignment="1">
      <alignment horizontal="center" wrapText="1"/>
    </xf>
    <xf numFmtId="2" fontId="16" fillId="0" borderId="1" xfId="8" applyNumberFormat="1" applyFont="1" applyFill="1" applyBorder="1" applyAlignment="1">
      <alignment horizontal="center" vertical="center" wrapText="1"/>
    </xf>
    <xf numFmtId="2" fontId="16" fillId="0" borderId="1" xfId="8" applyNumberFormat="1" applyFont="1" applyFill="1" applyBorder="1" applyAlignment="1">
      <alignment horizontal="center" wrapText="1"/>
    </xf>
    <xf numFmtId="0" fontId="16" fillId="0" borderId="1" xfId="8" applyFont="1" applyFill="1" applyAlignment="1">
      <alignment horizontal="center" vertical="center" wrapText="1"/>
    </xf>
    <xf numFmtId="0" fontId="16" fillId="0" borderId="1" xfId="8" applyFont="1" applyAlignment="1">
      <alignment wrapText="1"/>
    </xf>
    <xf numFmtId="0" fontId="13" fillId="0" borderId="1" xfId="8" applyFont="1" applyBorder="1" applyAlignment="1">
      <alignment horizontal="right" vertical="center" wrapText="1"/>
    </xf>
    <xf numFmtId="2" fontId="5" fillId="0" borderId="1" xfId="8" applyNumberFormat="1" applyFont="1" applyBorder="1" applyAlignment="1">
      <alignment horizontal="center" wrapText="1"/>
    </xf>
    <xf numFmtId="0" fontId="5" fillId="0" borderId="1" xfId="8" applyFont="1" applyFill="1" applyBorder="1" applyAlignment="1">
      <alignment horizontal="center" vertical="center" wrapText="1"/>
    </xf>
    <xf numFmtId="0" fontId="12" fillId="0" borderId="1" xfId="8" applyFont="1"/>
    <xf numFmtId="0" fontId="12" fillId="0" borderId="1" xfId="8" applyFont="1" applyFill="1" applyBorder="1" applyAlignment="1">
      <alignment vertical="center"/>
    </xf>
    <xf numFmtId="0" fontId="12" fillId="0" borderId="3" xfId="8" applyFont="1" applyFill="1" applyBorder="1" applyAlignment="1">
      <alignment vertical="center" wrapText="1"/>
    </xf>
    <xf numFmtId="0" fontId="12" fillId="0" borderId="1" xfId="8" applyFont="1" applyFill="1" applyBorder="1" applyAlignment="1">
      <alignment vertical="center" wrapText="1"/>
    </xf>
    <xf numFmtId="0" fontId="12" fillId="0" borderId="1" xfId="8" applyFont="1" applyFill="1" applyBorder="1" applyAlignment="1">
      <alignment horizontal="left" vertical="center"/>
    </xf>
    <xf numFmtId="0" fontId="12" fillId="0" borderId="1" xfId="8" applyFont="1" applyFill="1" applyBorder="1" applyAlignment="1">
      <alignment horizontal="left" vertical="center" wrapText="1"/>
    </xf>
    <xf numFmtId="49" fontId="16" fillId="0" borderId="1" xfId="8" applyNumberFormat="1" applyFont="1" applyAlignment="1">
      <alignment horizontal="center"/>
    </xf>
    <xf numFmtId="164" fontId="6" fillId="6" borderId="2" xfId="0" applyNumberFormat="1" applyFont="1" applyFill="1" applyBorder="1" applyAlignment="1">
      <alignment horizontal="center" vertical="center"/>
    </xf>
    <xf numFmtId="165" fontId="8" fillId="0" borderId="2" xfId="2" applyNumberFormat="1" applyFont="1" applyFill="1" applyBorder="1" applyAlignment="1">
      <alignment horizontal="left" vertical="top" wrapText="1"/>
    </xf>
    <xf numFmtId="0" fontId="12" fillId="6" borderId="17" xfId="7" quotePrefix="1" applyFont="1" applyFill="1" applyBorder="1" applyAlignment="1">
      <alignment horizontal="center" vertical="center"/>
    </xf>
    <xf numFmtId="1" fontId="12" fillId="0" borderId="2" xfId="7" applyNumberFormat="1" applyFont="1" applyFill="1" applyBorder="1" applyAlignment="1">
      <alignment horizontal="center" vertical="center"/>
    </xf>
    <xf numFmtId="0" fontId="12" fillId="6" borderId="13" xfId="7" applyNumberFormat="1" applyFont="1" applyFill="1" applyBorder="1" applyAlignment="1">
      <alignment horizontal="center" vertical="center"/>
    </xf>
    <xf numFmtId="0" fontId="12" fillId="0" borderId="23" xfId="7" applyNumberFormat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vertical="top"/>
    </xf>
    <xf numFmtId="0" fontId="12" fillId="6" borderId="10" xfId="7" applyFont="1" applyFill="1" applyBorder="1" applyAlignment="1">
      <alignment horizontal="left" vertical="center" wrapText="1"/>
    </xf>
    <xf numFmtId="164" fontId="6" fillId="6" borderId="10" xfId="0" applyNumberFormat="1" applyFont="1" applyFill="1" applyBorder="1" applyAlignment="1">
      <alignment horizontal="center" vertical="center"/>
    </xf>
    <xf numFmtId="4" fontId="12" fillId="6" borderId="10" xfId="7" applyNumberFormat="1" applyFont="1" applyFill="1" applyBorder="1" applyAlignment="1">
      <alignment horizontal="center" vertical="center" wrapText="1"/>
    </xf>
    <xf numFmtId="0" fontId="12" fillId="6" borderId="11" xfId="7" applyNumberFormat="1" applyFont="1" applyFill="1" applyBorder="1" applyAlignment="1">
      <alignment horizontal="center" vertical="center"/>
    </xf>
    <xf numFmtId="0" fontId="8" fillId="2" borderId="2" xfId="0" applyFont="1" applyFill="1" applyBorder="1"/>
    <xf numFmtId="2" fontId="12" fillId="6" borderId="2" xfId="7" applyNumberFormat="1" applyFont="1" applyFill="1" applyBorder="1" applyAlignment="1">
      <alignment horizontal="center" vertical="center"/>
    </xf>
    <xf numFmtId="2" fontId="12" fillId="0" borderId="15" xfId="7" applyNumberFormat="1" applyFont="1" applyFill="1" applyBorder="1" applyAlignment="1">
      <alignment horizontal="center" vertical="center"/>
    </xf>
    <xf numFmtId="1" fontId="12" fillId="0" borderId="2" xfId="7" quotePrefix="1" applyNumberFormat="1" applyFont="1" applyFill="1" applyBorder="1" applyAlignment="1">
      <alignment horizontal="center" vertical="center"/>
    </xf>
    <xf numFmtId="3" fontId="12" fillId="0" borderId="2" xfId="7" applyNumberFormat="1" applyFont="1" applyFill="1" applyBorder="1" applyAlignment="1">
      <alignment horizontal="center" vertical="center"/>
    </xf>
    <xf numFmtId="172" fontId="12" fillId="0" borderId="2" xfId="7" applyNumberFormat="1" applyFont="1" applyFill="1" applyBorder="1" applyAlignment="1">
      <alignment horizontal="center" vertical="center"/>
    </xf>
    <xf numFmtId="173" fontId="12" fillId="0" borderId="2" xfId="7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/>
    </xf>
    <xf numFmtId="0" fontId="12" fillId="0" borderId="1" xfId="4" applyFont="1" applyFill="1" applyBorder="1" applyAlignment="1">
      <alignment horizontal="left" vertical="center"/>
    </xf>
    <xf numFmtId="49" fontId="16" fillId="0" borderId="1" xfId="4" applyNumberFormat="1" applyFont="1" applyAlignment="1">
      <alignment horizontal="center"/>
    </xf>
    <xf numFmtId="0" fontId="12" fillId="0" borderId="2" xfId="7" applyNumberFormat="1" applyFont="1" applyFill="1" applyBorder="1" applyAlignment="1">
      <alignment horizontal="center" vertical="center"/>
    </xf>
    <xf numFmtId="49" fontId="12" fillId="0" borderId="2" xfId="7" applyNumberFormat="1" applyFont="1" applyFill="1" applyBorder="1" applyAlignment="1">
      <alignment horizontal="center" vertical="center" wrapText="1"/>
    </xf>
    <xf numFmtId="0" fontId="12" fillId="0" borderId="2" xfId="7" applyFont="1" applyFill="1" applyBorder="1" applyAlignment="1">
      <alignment horizontal="center" vertical="center" wrapText="1"/>
    </xf>
    <xf numFmtId="168" fontId="12" fillId="0" borderId="2" xfId="7" applyNumberFormat="1" applyFont="1" applyFill="1" applyBorder="1" applyAlignment="1">
      <alignment horizontal="center" vertical="center" wrapText="1"/>
    </xf>
    <xf numFmtId="164" fontId="12" fillId="0" borderId="2" xfId="7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71" fontId="12" fillId="0" borderId="2" xfId="7" applyNumberFormat="1" applyFont="1" applyFill="1" applyBorder="1" applyAlignment="1">
      <alignment horizontal="center" vertical="center" wrapText="1"/>
    </xf>
    <xf numFmtId="1" fontId="12" fillId="0" borderId="2" xfId="7" applyNumberFormat="1" applyFont="1" applyFill="1" applyBorder="1" applyAlignment="1">
      <alignment horizontal="center" vertical="center" wrapText="1"/>
    </xf>
    <xf numFmtId="2" fontId="12" fillId="0" borderId="2" xfId="7" applyNumberFormat="1" applyFont="1" applyFill="1" applyBorder="1" applyAlignment="1">
      <alignment horizontal="center" vertical="center" wrapText="1"/>
    </xf>
    <xf numFmtId="0" fontId="12" fillId="0" borderId="2" xfId="7" applyNumberFormat="1" applyFont="1" applyFill="1" applyBorder="1" applyAlignment="1">
      <alignment horizontal="center" vertical="center" wrapText="1"/>
    </xf>
    <xf numFmtId="164" fontId="12" fillId="0" borderId="2" xfId="7" quotePrefix="1" applyNumberFormat="1" applyFont="1" applyFill="1" applyBorder="1" applyAlignment="1">
      <alignment horizontal="center" vertical="center" wrapText="1"/>
    </xf>
    <xf numFmtId="1" fontId="12" fillId="0" borderId="2" xfId="7" quotePrefix="1" applyNumberFormat="1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vertical="center" wrapText="1"/>
    </xf>
    <xf numFmtId="172" fontId="12" fillId="0" borderId="2" xfId="7" applyNumberFormat="1" applyFont="1" applyFill="1" applyBorder="1" applyAlignment="1">
      <alignment horizontal="center" vertical="center" wrapText="1"/>
    </xf>
    <xf numFmtId="0" fontId="8" fillId="2" borderId="14" xfId="0" applyFont="1" applyFill="1" applyBorder="1"/>
    <xf numFmtId="0" fontId="8" fillId="2" borderId="13" xfId="0" applyFont="1" applyFill="1" applyBorder="1"/>
    <xf numFmtId="49" fontId="12" fillId="6" borderId="14" xfId="7" applyNumberFormat="1" applyFont="1" applyFill="1" applyBorder="1" applyAlignment="1">
      <alignment horizontal="center" vertical="center"/>
    </xf>
    <xf numFmtId="49" fontId="12" fillId="6" borderId="9" xfId="1" applyNumberFormat="1" applyFont="1" applyFill="1" applyBorder="1" applyAlignment="1">
      <alignment horizontal="center" vertical="center" wrapText="1" shrinkToFit="1"/>
    </xf>
    <xf numFmtId="0" fontId="5" fillId="6" borderId="11" xfId="1" applyFont="1" applyFill="1" applyBorder="1" applyAlignment="1">
      <alignment horizontal="center" vertical="center"/>
    </xf>
    <xf numFmtId="1" fontId="12" fillId="6" borderId="13" xfId="7" quotePrefix="1" applyNumberFormat="1" applyFont="1" applyFill="1" applyBorder="1" applyAlignment="1">
      <alignment horizontal="center" vertical="center"/>
    </xf>
    <xf numFmtId="1" fontId="12" fillId="0" borderId="13" xfId="7" quotePrefix="1" applyNumberFormat="1" applyFont="1" applyFill="1" applyBorder="1" applyAlignment="1">
      <alignment horizontal="center" vertical="center"/>
    </xf>
    <xf numFmtId="1" fontId="12" fillId="0" borderId="23" xfId="7" quotePrefix="1" applyNumberFormat="1" applyFont="1" applyFill="1" applyBorder="1" applyAlignment="1">
      <alignment horizontal="center" vertical="center"/>
    </xf>
    <xf numFmtId="49" fontId="12" fillId="0" borderId="24" xfId="7" applyNumberFormat="1" applyFont="1" applyFill="1" applyBorder="1" applyAlignment="1">
      <alignment horizontal="center" vertical="center"/>
    </xf>
    <xf numFmtId="0" fontId="12" fillId="0" borderId="25" xfId="7" applyFont="1" applyFill="1" applyBorder="1" applyAlignment="1">
      <alignment horizontal="left" vertical="center"/>
    </xf>
    <xf numFmtId="0" fontId="12" fillId="0" borderId="25" xfId="7" applyFont="1" applyFill="1" applyBorder="1" applyAlignment="1">
      <alignment horizontal="center" vertical="center"/>
    </xf>
    <xf numFmtId="0" fontId="6" fillId="0" borderId="25" xfId="2" applyFont="1" applyBorder="1" applyAlignment="1">
      <alignment horizontal="center" vertical="center" wrapText="1"/>
    </xf>
    <xf numFmtId="164" fontId="12" fillId="0" borderId="25" xfId="7" applyNumberFormat="1" applyFont="1" applyFill="1" applyBorder="1" applyAlignment="1">
      <alignment horizontal="center" vertical="center"/>
    </xf>
    <xf numFmtId="2" fontId="12" fillId="0" borderId="25" xfId="7" applyNumberFormat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12" fillId="0" borderId="27" xfId="7" applyFont="1" applyFill="1" applyBorder="1" applyAlignment="1">
      <alignment horizontal="center" vertical="center"/>
    </xf>
    <xf numFmtId="0" fontId="12" fillId="0" borderId="2" xfId="7" quotePrefix="1" applyFont="1" applyFill="1" applyBorder="1" applyAlignment="1">
      <alignment horizontal="center" vertical="center"/>
    </xf>
    <xf numFmtId="0" fontId="16" fillId="0" borderId="5" xfId="4" applyNumberFormat="1" applyFont="1" applyBorder="1" applyAlignment="1">
      <alignment horizontal="center" vertical="center" wrapText="1"/>
    </xf>
    <xf numFmtId="49" fontId="12" fillId="0" borderId="2" xfId="1" applyNumberFormat="1" applyFont="1" applyFill="1" applyBorder="1" applyAlignment="1">
      <alignment horizontal="center" vertical="center" wrapText="1" shrinkToFit="1"/>
    </xf>
    <xf numFmtId="0" fontId="16" fillId="0" borderId="1" xfId="4" applyFont="1" applyBorder="1" applyAlignment="1">
      <alignment horizontal="left"/>
    </xf>
    <xf numFmtId="0" fontId="16" fillId="0" borderId="1" xfId="4" applyFont="1" applyBorder="1" applyAlignment="1">
      <alignment horizontal="center"/>
    </xf>
    <xf numFmtId="0" fontId="12" fillId="0" borderId="3" xfId="4" applyFont="1" applyFill="1" applyBorder="1" applyAlignment="1">
      <alignment vertical="center"/>
    </xf>
    <xf numFmtId="49" fontId="19" fillId="5" borderId="2" xfId="7" applyNumberFormat="1" applyFont="1" applyFill="1" applyBorder="1" applyAlignment="1">
      <alignment horizontal="center" vertical="center"/>
    </xf>
    <xf numFmtId="0" fontId="19" fillId="5" borderId="2" xfId="7" applyFont="1" applyFill="1" applyBorder="1" applyAlignment="1">
      <alignment horizontal="left" vertical="center"/>
    </xf>
    <xf numFmtId="0" fontId="19" fillId="5" borderId="2" xfId="7" applyFont="1" applyFill="1" applyBorder="1" applyAlignment="1">
      <alignment horizontal="center" vertical="center"/>
    </xf>
    <xf numFmtId="0" fontId="8" fillId="6" borderId="2" xfId="0" applyFont="1" applyFill="1" applyBorder="1"/>
    <xf numFmtId="49" fontId="8" fillId="6" borderId="2" xfId="2" applyNumberFormat="1" applyFont="1" applyFill="1" applyBorder="1" applyAlignment="1">
      <alignment vertical="top" wrapText="1"/>
    </xf>
    <xf numFmtId="0" fontId="8" fillId="6" borderId="2" xfId="2" applyFont="1" applyFill="1" applyBorder="1" applyAlignment="1">
      <alignment vertical="top" wrapText="1"/>
    </xf>
    <xf numFmtId="2" fontId="19" fillId="5" borderId="2" xfId="7" applyNumberFormat="1" applyFont="1" applyFill="1" applyBorder="1" applyAlignment="1">
      <alignment horizontal="center" vertical="center"/>
    </xf>
    <xf numFmtId="3" fontId="19" fillId="5" borderId="2" xfId="7" applyNumberFormat="1" applyFont="1" applyFill="1" applyBorder="1" applyAlignment="1">
      <alignment horizontal="center" vertical="center"/>
    </xf>
    <xf numFmtId="2" fontId="8" fillId="6" borderId="2" xfId="0" applyNumberFormat="1" applyFont="1" applyFill="1" applyBorder="1"/>
    <xf numFmtId="2" fontId="6" fillId="0" borderId="2" xfId="2" applyNumberFormat="1" applyFont="1" applyFill="1" applyBorder="1" applyAlignment="1">
      <alignment horizontal="center" vertical="center" wrapText="1"/>
    </xf>
    <xf numFmtId="0" fontId="12" fillId="0" borderId="2" xfId="7" applyFont="1" applyFill="1" applyBorder="1"/>
    <xf numFmtId="0" fontId="12" fillId="0" borderId="1" xfId="4" applyFont="1" applyBorder="1" applyAlignment="1">
      <alignment wrapText="1"/>
    </xf>
    <xf numFmtId="0" fontId="12" fillId="0" borderId="3" xfId="4" applyFont="1" applyBorder="1" applyAlignment="1">
      <alignment wrapText="1"/>
    </xf>
    <xf numFmtId="0" fontId="12" fillId="0" borderId="16" xfId="4" applyFont="1" applyBorder="1" applyAlignment="1">
      <alignment wrapText="1"/>
    </xf>
    <xf numFmtId="0" fontId="5" fillId="0" borderId="2" xfId="2" applyFont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/>
    </xf>
    <xf numFmtId="49" fontId="5" fillId="0" borderId="1" xfId="4" applyNumberFormat="1" applyFont="1" applyBorder="1" applyAlignment="1">
      <alignment horizontal="center"/>
    </xf>
    <xf numFmtId="0" fontId="5" fillId="0" borderId="1" xfId="4" applyFont="1" applyBorder="1" applyAlignment="1">
      <alignment horizontal="left"/>
    </xf>
    <xf numFmtId="164" fontId="6" fillId="0" borderId="2" xfId="2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12" fillId="2" borderId="2" xfId="7" applyFont="1" applyFill="1" applyBorder="1" applyAlignment="1">
      <alignment horizontal="left" vertical="center" wrapText="1"/>
    </xf>
    <xf numFmtId="2" fontId="12" fillId="0" borderId="1" xfId="4" applyNumberFormat="1" applyFont="1"/>
    <xf numFmtId="49" fontId="6" fillId="0" borderId="2" xfId="2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167" fontId="7" fillId="0" borderId="1" xfId="4" applyNumberFormat="1" applyFont="1" applyAlignment="1">
      <alignment horizontal="right" vertical="center" wrapText="1"/>
    </xf>
    <xf numFmtId="0" fontId="16" fillId="0" borderId="1" xfId="4" applyFont="1" applyFill="1" applyAlignment="1">
      <alignment horizontal="center" wrapText="1"/>
    </xf>
    <xf numFmtId="0" fontId="12" fillId="0" borderId="1" xfId="4" applyFont="1" applyBorder="1" applyAlignment="1">
      <alignment horizontal="right"/>
    </xf>
    <xf numFmtId="0" fontId="7" fillId="0" borderId="1" xfId="4" applyFont="1" applyBorder="1" applyAlignment="1">
      <alignment horizontal="center" vertical="center" wrapText="1"/>
    </xf>
    <xf numFmtId="167" fontId="7" fillId="0" borderId="1" xfId="4" applyNumberFormat="1" applyFont="1" applyAlignment="1">
      <alignment horizontal="center" vertical="center" wrapText="1"/>
    </xf>
    <xf numFmtId="49" fontId="8" fillId="0" borderId="2" xfId="2" applyNumberFormat="1" applyFont="1" applyBorder="1" applyAlignment="1">
      <alignment horizontal="left" vertical="top" wrapText="1"/>
    </xf>
    <xf numFmtId="0" fontId="6" fillId="0" borderId="2" xfId="2" applyFont="1" applyBorder="1" applyAlignment="1">
      <alignment vertical="top" wrapText="1"/>
    </xf>
    <xf numFmtId="49" fontId="6" fillId="0" borderId="1" xfId="2" applyNumberFormat="1" applyFont="1" applyAlignment="1">
      <alignment horizontal="center" vertical="top" wrapText="1"/>
    </xf>
    <xf numFmtId="0" fontId="6" fillId="0" borderId="1" xfId="2" applyFont="1" applyAlignment="1">
      <alignment vertical="top" wrapText="1"/>
    </xf>
    <xf numFmtId="49" fontId="10" fillId="0" borderId="1" xfId="2" applyNumberFormat="1" applyFont="1" applyAlignment="1">
      <alignment horizontal="center" vertical="top" wrapText="1"/>
    </xf>
    <xf numFmtId="49" fontId="6" fillId="0" borderId="2" xfId="2" applyNumberFormat="1" applyFont="1" applyBorder="1" applyAlignment="1">
      <alignment horizontal="left" vertical="top" wrapText="1"/>
    </xf>
    <xf numFmtId="49" fontId="8" fillId="0" borderId="1" xfId="2" applyNumberFormat="1" applyFont="1" applyAlignment="1">
      <alignment horizontal="center" vertical="top"/>
    </xf>
    <xf numFmtId="0" fontId="6" fillId="0" borderId="1" xfId="2" applyFont="1" applyAlignment="1">
      <alignment horizontal="center" vertical="top"/>
    </xf>
    <xf numFmtId="0" fontId="6" fillId="0" borderId="2" xfId="2" applyFont="1" applyBorder="1" applyAlignment="1">
      <alignment horizontal="center" vertical="center" wrapText="1"/>
    </xf>
    <xf numFmtId="49" fontId="6" fillId="0" borderId="2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right"/>
    </xf>
    <xf numFmtId="0" fontId="6" fillId="0" borderId="1" xfId="2" applyFont="1" applyAlignment="1">
      <alignment horizontal="right"/>
    </xf>
    <xf numFmtId="49" fontId="6" fillId="0" borderId="1" xfId="2" applyNumberFormat="1" applyFont="1" applyAlignment="1">
      <alignment horizontal="center" vertical="center" wrapText="1"/>
    </xf>
    <xf numFmtId="49" fontId="6" fillId="0" borderId="1" xfId="2" applyNumberFormat="1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6" fillId="3" borderId="2" xfId="2" applyNumberFormat="1" applyFont="1" applyFill="1" applyBorder="1" applyAlignment="1">
      <alignment horizontal="center" vertical="center"/>
    </xf>
    <xf numFmtId="49" fontId="12" fillId="6" borderId="13" xfId="7" quotePrefix="1" applyNumberFormat="1" applyFont="1" applyFill="1" applyBorder="1" applyAlignment="1">
      <alignment horizontal="center" vertical="center"/>
    </xf>
    <xf numFmtId="0" fontId="12" fillId="0" borderId="1" xfId="4" applyFont="1" applyFill="1"/>
    <xf numFmtId="164" fontId="8" fillId="6" borderId="2" xfId="2" applyNumberFormat="1" applyFont="1" applyFill="1" applyBorder="1" applyAlignment="1">
      <alignment vertical="top" wrapText="1"/>
    </xf>
    <xf numFmtId="164" fontId="8" fillId="6" borderId="2" xfId="0" applyNumberFormat="1" applyFont="1" applyFill="1" applyBorder="1"/>
    <xf numFmtId="164" fontId="6" fillId="0" borderId="10" xfId="0" applyNumberFormat="1" applyFont="1" applyFill="1" applyBorder="1" applyAlignment="1">
      <alignment horizontal="center" vertical="center"/>
    </xf>
    <xf numFmtId="164" fontId="19" fillId="5" borderId="2" xfId="7" applyNumberFormat="1" applyFont="1" applyFill="1" applyBorder="1" applyAlignment="1">
      <alignment horizontal="center" vertical="center"/>
    </xf>
    <xf numFmtId="0" fontId="19" fillId="2" borderId="2" xfId="7" applyFont="1" applyFill="1" applyBorder="1" applyAlignment="1">
      <alignment horizontal="left" vertical="center" wrapText="1"/>
    </xf>
    <xf numFmtId="49" fontId="19" fillId="2" borderId="2" xfId="7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wrapText="1"/>
    </xf>
    <xf numFmtId="0" fontId="19" fillId="2" borderId="2" xfId="7" applyFont="1" applyFill="1" applyBorder="1" applyAlignment="1">
      <alignment horizontal="center" vertical="center" wrapText="1"/>
    </xf>
    <xf numFmtId="168" fontId="19" fillId="2" borderId="2" xfId="7" applyNumberFormat="1" applyFont="1" applyFill="1" applyBorder="1" applyAlignment="1">
      <alignment horizontal="center" vertical="center" wrapText="1"/>
    </xf>
    <xf numFmtId="164" fontId="19" fillId="2" borderId="2" xfId="7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3" xfId="2"/>
    <cellStyle name="Обычный 4" xfId="3"/>
    <cellStyle name="Обычный 4 2" xfId="7"/>
    <cellStyle name="Обычный 5" xfId="8"/>
    <cellStyle name="Обычный 5 2" xfId="4"/>
    <cellStyle name="Финансовый" xfId="6" builtinId="3"/>
    <cellStyle name="Финансовый 2" xfId="5"/>
  </cellStyles>
  <dxfs count="7">
    <dxf>
      <fill>
        <patternFill>
          <bgColor rgb="FF92D050"/>
        </patternFill>
      </fill>
    </dxf>
    <dxf>
      <fill>
        <patternFill>
          <bgColor rgb="FFFF9797"/>
        </patternFill>
      </fill>
    </dxf>
    <dxf>
      <fill>
        <patternFill>
          <bgColor rgb="FF92D050"/>
        </patternFill>
      </fill>
    </dxf>
    <dxf>
      <fill>
        <patternFill>
          <bgColor rgb="FFFF9797"/>
        </patternFill>
      </fill>
    </dxf>
    <dxf>
      <fill>
        <patternFill>
          <bgColor rgb="FFFF9797"/>
        </patternFill>
      </fill>
    </dxf>
    <dxf>
      <fill>
        <patternFill>
          <bgColor rgb="FF92D050"/>
        </patternFill>
      </fill>
    </dxf>
    <dxf>
      <fill>
        <patternFill>
          <bgColor rgb="FFFF9797"/>
        </patternFill>
      </fill>
    </dxf>
  </dxfs>
  <tableStyles count="0" defaultTableStyle="TableStyleMedium2" defaultPivotStyle="PivotStyleLight16"/>
  <colors>
    <mruColors>
      <color rgb="FFC0C0C0"/>
      <color rgb="FFFFFFFF"/>
      <color rgb="FF000000"/>
      <color rgb="FF010101"/>
      <color rgb="FF030303"/>
      <color rgb="FF020202"/>
      <color rgb="FFFF9797"/>
      <color rgb="FF92D050"/>
      <color rgb="FFFFBDBD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98;&#1077;&#1082;&#1090;&#1099;/&#1062;&#1055;&#1057;%20&#1056;&#1072;&#1089;&#1096;&#1080;&#1088;&#1077;&#1085;&#1080;&#1077;/1.%20&#1040;&#1085;&#1072;&#1083;&#1080;&#1079;%20&#1055;&#1057;&#1044;/1%20&#1101;&#1090;&#1072;&#1087;%20&#1089;&#1090;&#1088;&#1086;&#1080;&#1090;&#1077;&#1083;&#1100;&#1089;&#1090;&#1074;&#1072;/120-10/&#1040;&#1057;/120-10-&#1040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ОД"/>
      <sheetName val="1. СМС"/>
      <sheetName val="2.СМ"/>
      <sheetName val="3. ВО"/>
      <sheetName val="4. Анализ сметы"/>
      <sheetName val="5. Анализ осн.материалов"/>
      <sheetName val="6. Анализ объемов"/>
      <sheetName val="7. Заявка на материалы"/>
      <sheetName val="99. Смета 06-01-01"/>
    </sheetNames>
    <sheetDataSet>
      <sheetData sheetId="0">
        <row r="2">
          <cell r="B2" t="str">
            <v>Проектный институт:</v>
          </cell>
          <cell r="C2" t="str">
            <v>ОАО ГИПРОВОСТОКНЕФТЬ</v>
          </cell>
        </row>
        <row r="3">
          <cell r="B3" t="str">
            <v>Генеральный подрядчик:</v>
          </cell>
          <cell r="C3" t="str">
            <v>ООО "Промстроймонтаж", Спб</v>
          </cell>
        </row>
        <row r="4">
          <cell r="B4" t="str">
            <v>Объект:</v>
          </cell>
          <cell r="C4" t="str">
            <v>Обустройство Среднеботуобинского НГКМ. Расширение ЦПС</v>
          </cell>
        </row>
        <row r="5">
          <cell r="B5" t="str">
            <v>Проект:</v>
          </cell>
          <cell r="C5" t="str">
            <v>Пождепо. 1 этап строительства. Сооружения производственно-дождевой канализации</v>
          </cell>
        </row>
        <row r="6">
          <cell r="B6" t="str">
            <v>№ Проекта:</v>
          </cell>
          <cell r="C6" t="str">
            <v>0349-Р-001.001.120-АС-10</v>
          </cell>
        </row>
        <row r="7">
          <cell r="B7" t="str">
            <v>№ Сметы:</v>
          </cell>
          <cell r="C7" t="str">
            <v>06-01-01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"/>
  <sheetViews>
    <sheetView workbookViewId="0">
      <selection activeCell="C5" sqref="C5"/>
    </sheetView>
    <sheetView workbookViewId="1"/>
  </sheetViews>
  <sheetFormatPr defaultRowHeight="12.75" x14ac:dyDescent="0.2"/>
  <cols>
    <col min="1" max="1" width="3.85546875" style="5" customWidth="1"/>
    <col min="2" max="2" width="25.28515625" style="1" customWidth="1"/>
    <col min="3" max="3" width="18.28515625" style="5" customWidth="1"/>
    <col min="4" max="4" width="9.42578125" style="5" customWidth="1"/>
    <col min="5" max="17" width="6" style="4" customWidth="1"/>
    <col min="18" max="18" width="6" style="5" customWidth="1"/>
    <col min="19" max="19" width="8.7109375" style="5" customWidth="1"/>
    <col min="20" max="16384" width="9.140625" style="1"/>
  </cols>
  <sheetData>
    <row r="2" spans="2:3" ht="15" customHeight="1" x14ac:dyDescent="0.2">
      <c r="B2" s="2" t="s">
        <v>37</v>
      </c>
      <c r="C2" s="10" t="s">
        <v>32</v>
      </c>
    </row>
    <row r="3" spans="2:3" ht="15" customHeight="1" x14ac:dyDescent="0.2">
      <c r="B3" s="2" t="s">
        <v>36</v>
      </c>
      <c r="C3" s="10" t="s">
        <v>33</v>
      </c>
    </row>
    <row r="4" spans="2:3" ht="15" customHeight="1" x14ac:dyDescent="0.2">
      <c r="B4" s="2" t="s">
        <v>34</v>
      </c>
      <c r="C4" s="10" t="s">
        <v>0</v>
      </c>
    </row>
    <row r="5" spans="2:3" ht="15" customHeight="1" x14ac:dyDescent="0.2">
      <c r="B5" s="2" t="s">
        <v>38</v>
      </c>
      <c r="C5" s="10" t="s">
        <v>395</v>
      </c>
    </row>
    <row r="6" spans="2:3" ht="15" customHeight="1" x14ac:dyDescent="0.2">
      <c r="B6" s="2" t="s">
        <v>35</v>
      </c>
      <c r="C6" s="10" t="s">
        <v>504</v>
      </c>
    </row>
    <row r="7" spans="2:3" ht="15" customHeight="1" x14ac:dyDescent="0.2">
      <c r="B7" s="2" t="s">
        <v>394</v>
      </c>
      <c r="C7" s="75" t="s">
        <v>396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9"/>
  <sheetViews>
    <sheetView workbookViewId="0"/>
    <sheetView workbookViewId="1"/>
  </sheetViews>
  <sheetFormatPr defaultRowHeight="12.75" x14ac:dyDescent="0.2"/>
  <cols>
    <col min="1" max="1" width="3.85546875" style="5" customWidth="1"/>
    <col min="2" max="2" width="33.140625" style="80" customWidth="1"/>
    <col min="3" max="3" width="18.28515625" style="5" customWidth="1"/>
    <col min="4" max="4" width="9.42578125" style="5" customWidth="1"/>
    <col min="5" max="17" width="6" style="4" customWidth="1"/>
    <col min="18" max="18" width="6" style="5" customWidth="1"/>
    <col min="19" max="19" width="8.7109375" style="5" customWidth="1"/>
    <col min="20" max="16384" width="9.140625" style="1"/>
  </cols>
  <sheetData>
    <row r="2" spans="1:19" ht="15" customHeight="1" x14ac:dyDescent="0.2">
      <c r="B2" s="78" t="s">
        <v>37</v>
      </c>
      <c r="C2" s="10" t="str">
        <f>VLOOKUP(B2,'0. ОД'!$B$2:$C$7,2,FALSE)</f>
        <v>ОАО ГИПРОВОСТОКНЕФТЬ</v>
      </c>
    </row>
    <row r="3" spans="1:19" ht="15" customHeight="1" x14ac:dyDescent="0.2">
      <c r="B3" s="78" t="s">
        <v>36</v>
      </c>
      <c r="C3" s="10" t="str">
        <f>VLOOKUP(B3,'0. ОД'!$B$2:$C$7,2,FALSE)</f>
        <v>ООО "Коксохиммонтаж-Промстрой", Спб</v>
      </c>
    </row>
    <row r="4" spans="1:19" ht="15" customHeight="1" x14ac:dyDescent="0.2">
      <c r="B4" s="78" t="s">
        <v>34</v>
      </c>
      <c r="C4" s="10" t="str">
        <f>VLOOKUP(B4,'0. ОД'!$B$2:$C$7,2,FALSE)</f>
        <v>Обустройство Среднеботуобинского НГКМ. Расширение ЦПС</v>
      </c>
    </row>
    <row r="5" spans="1:19" ht="15" customHeight="1" x14ac:dyDescent="0.2">
      <c r="B5" s="78" t="s">
        <v>38</v>
      </c>
      <c r="C5" s="10" t="str">
        <f>VLOOKUP(B5,'0. ОД'!$B$2:$C$7,2,FALSE)</f>
        <v>Пождепо.1 этап строительства. Сооружения пожарного депо.</v>
      </c>
    </row>
    <row r="6" spans="1:19" ht="15" customHeight="1" x14ac:dyDescent="0.2">
      <c r="B6" s="78" t="s">
        <v>35</v>
      </c>
      <c r="C6" s="10" t="str">
        <f>VLOOKUP(B6,'0. ОД'!$B$2:$C$7,2,FALSE)</f>
        <v>0349-Р-001.001.144-АС-10</v>
      </c>
    </row>
    <row r="7" spans="1:19" ht="15" customHeight="1" x14ac:dyDescent="0.2">
      <c r="B7" s="78" t="s">
        <v>394</v>
      </c>
      <c r="C7" s="10" t="str">
        <f>VLOOKUP(B7,'0. ОД'!$B$2:$C$7,2,FALSE)</f>
        <v>03-01-01</v>
      </c>
    </row>
    <row r="8" spans="1:19" ht="15" customHeight="1" x14ac:dyDescent="0.2">
      <c r="B8" s="78"/>
    </row>
    <row r="9" spans="1:19" ht="15" customHeight="1" x14ac:dyDescent="0.2">
      <c r="A9" s="6"/>
      <c r="B9" s="79" t="s">
        <v>1</v>
      </c>
      <c r="C9" s="6"/>
      <c r="D9" s="6"/>
    </row>
    <row r="10" spans="1:19" ht="15" customHeight="1" x14ac:dyDescent="0.2"/>
    <row r="11" spans="1:19" ht="15" customHeight="1" x14ac:dyDescent="0.2">
      <c r="A11" s="346" t="s">
        <v>5</v>
      </c>
      <c r="B11" s="346" t="s">
        <v>2</v>
      </c>
      <c r="C11" s="348" t="s">
        <v>3</v>
      </c>
      <c r="D11" s="346" t="s">
        <v>4</v>
      </c>
      <c r="E11" s="346" t="s">
        <v>6</v>
      </c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 t="s">
        <v>7</v>
      </c>
    </row>
    <row r="12" spans="1:19" ht="54" customHeight="1" x14ac:dyDescent="0.2">
      <c r="A12" s="346"/>
      <c r="B12" s="346"/>
      <c r="C12" s="348"/>
      <c r="D12" s="346"/>
      <c r="E12" s="7" t="s">
        <v>484</v>
      </c>
      <c r="F12" s="7" t="s">
        <v>8</v>
      </c>
      <c r="G12" s="7" t="s">
        <v>485</v>
      </c>
      <c r="H12" s="7" t="s">
        <v>13</v>
      </c>
      <c r="I12" s="7" t="s">
        <v>14</v>
      </c>
      <c r="J12" s="7" t="s">
        <v>486</v>
      </c>
      <c r="K12" s="7" t="s">
        <v>9</v>
      </c>
      <c r="L12" s="7" t="s">
        <v>10</v>
      </c>
      <c r="M12" s="7" t="s">
        <v>12</v>
      </c>
      <c r="N12" s="7" t="s">
        <v>11</v>
      </c>
      <c r="O12" s="7" t="s">
        <v>15</v>
      </c>
      <c r="P12" s="7" t="s">
        <v>16</v>
      </c>
      <c r="Q12" s="7" t="s">
        <v>17</v>
      </c>
      <c r="R12" s="7" t="s">
        <v>18</v>
      </c>
      <c r="S12" s="346"/>
    </row>
    <row r="13" spans="1:19" s="4" customFormat="1" ht="15" customHeight="1" x14ac:dyDescent="0.2">
      <c r="A13" s="8">
        <v>1</v>
      </c>
      <c r="B13" s="77">
        <v>2</v>
      </c>
      <c r="C13" s="8">
        <v>3</v>
      </c>
      <c r="D13" s="76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8">
        <v>11</v>
      </c>
      <c r="L13" s="8">
        <v>12</v>
      </c>
      <c r="M13" s="8">
        <v>13</v>
      </c>
      <c r="N13" s="8">
        <v>14</v>
      </c>
      <c r="O13" s="8">
        <v>15</v>
      </c>
      <c r="P13" s="8">
        <v>16</v>
      </c>
      <c r="Q13" s="8">
        <v>17</v>
      </c>
      <c r="R13" s="8">
        <v>18</v>
      </c>
      <c r="S13" s="8">
        <v>19</v>
      </c>
    </row>
    <row r="14" spans="1:19" ht="15" customHeight="1" x14ac:dyDescent="0.2">
      <c r="A14" s="8">
        <v>1</v>
      </c>
      <c r="B14" s="346" t="s">
        <v>20</v>
      </c>
      <c r="C14" s="71" t="s">
        <v>21</v>
      </c>
      <c r="D14" s="9" t="s">
        <v>479</v>
      </c>
      <c r="E14" s="9"/>
      <c r="F14" s="8">
        <v>7.3999999999999996E-2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1"/>
      <c r="S14" s="8">
        <v>7.3999999999999996E-2</v>
      </c>
    </row>
    <row r="15" spans="1:19" ht="15" customHeight="1" x14ac:dyDescent="0.2">
      <c r="A15" s="8">
        <v>2</v>
      </c>
      <c r="B15" s="346"/>
      <c r="C15" s="71" t="s">
        <v>22</v>
      </c>
      <c r="D15" s="9"/>
      <c r="E15" s="9"/>
      <c r="F15" s="8">
        <v>7.3999999999999996E-2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8"/>
      <c r="S15" s="8">
        <v>7.3999999999999996E-2</v>
      </c>
    </row>
    <row r="16" spans="1:19" ht="15" customHeight="1" x14ac:dyDescent="0.2">
      <c r="A16" s="8">
        <v>3</v>
      </c>
      <c r="B16" s="71" t="s">
        <v>23</v>
      </c>
      <c r="C16" s="9"/>
      <c r="D16" s="9"/>
      <c r="E16" s="9"/>
      <c r="F16" s="8">
        <v>7.3999999999999996E-2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8">
        <v>7.3999999999999996E-2</v>
      </c>
    </row>
    <row r="17" spans="1:19" ht="15" customHeight="1" x14ac:dyDescent="0.2">
      <c r="A17" s="8">
        <v>4</v>
      </c>
      <c r="B17" s="346" t="s">
        <v>24</v>
      </c>
      <c r="C17" s="9" t="s">
        <v>25</v>
      </c>
      <c r="D17" s="9" t="s">
        <v>26</v>
      </c>
      <c r="E17" s="8">
        <v>2.0819999999999999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8">
        <v>2.0819999999999999</v>
      </c>
    </row>
    <row r="18" spans="1:19" ht="15" customHeight="1" x14ac:dyDescent="0.2">
      <c r="A18" s="8">
        <v>5</v>
      </c>
      <c r="B18" s="346"/>
      <c r="C18" s="71" t="s">
        <v>22</v>
      </c>
      <c r="D18" s="9"/>
      <c r="E18" s="8">
        <v>2.0819999999999999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8">
        <v>2.0819999999999999</v>
      </c>
    </row>
    <row r="19" spans="1:19" ht="15" customHeight="1" x14ac:dyDescent="0.2">
      <c r="A19" s="8">
        <v>6</v>
      </c>
      <c r="B19" s="71" t="s">
        <v>23</v>
      </c>
      <c r="C19" s="71"/>
      <c r="D19" s="9"/>
      <c r="E19" s="8">
        <v>2.0819999999999999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8">
        <v>2.0819999999999999</v>
      </c>
    </row>
    <row r="20" spans="1:19" ht="15" customHeight="1" x14ac:dyDescent="0.2">
      <c r="A20" s="8">
        <v>7</v>
      </c>
      <c r="B20" s="346" t="s">
        <v>475</v>
      </c>
      <c r="C20" s="9" t="s">
        <v>21</v>
      </c>
      <c r="D20" s="9" t="s">
        <v>480</v>
      </c>
      <c r="E20" s="8"/>
      <c r="F20" s="8">
        <v>4.0000000000000001E-3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>
        <v>4.0000000000000001E-3</v>
      </c>
    </row>
    <row r="21" spans="1:19" ht="15" customHeight="1" x14ac:dyDescent="0.2">
      <c r="A21" s="8">
        <v>8</v>
      </c>
      <c r="B21" s="346"/>
      <c r="C21" s="9" t="s">
        <v>22</v>
      </c>
      <c r="D21" s="9"/>
      <c r="E21" s="8"/>
      <c r="F21" s="8">
        <v>4.0000000000000001E-3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>
        <v>4.0000000000000001E-3</v>
      </c>
    </row>
    <row r="22" spans="1:19" ht="15" customHeight="1" x14ac:dyDescent="0.2">
      <c r="A22" s="8">
        <v>9</v>
      </c>
      <c r="B22" s="71" t="s">
        <v>23</v>
      </c>
      <c r="C22" s="71"/>
      <c r="D22" s="9"/>
      <c r="E22" s="9"/>
      <c r="F22" s="8">
        <v>4.0000000000000001E-3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1"/>
      <c r="S22" s="8">
        <v>4.0000000000000001E-3</v>
      </c>
    </row>
    <row r="23" spans="1:19" ht="15" customHeight="1" x14ac:dyDescent="0.2">
      <c r="A23" s="8">
        <v>10</v>
      </c>
      <c r="B23" s="346" t="s">
        <v>476</v>
      </c>
      <c r="C23" s="71" t="s">
        <v>21</v>
      </c>
      <c r="D23" s="9" t="s">
        <v>481</v>
      </c>
      <c r="E23" s="9"/>
      <c r="F23" s="8">
        <v>3.7999999999999999E-2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1"/>
      <c r="S23" s="8">
        <v>3.7999999999999999E-2</v>
      </c>
    </row>
    <row r="24" spans="1:19" ht="15" customHeight="1" x14ac:dyDescent="0.2">
      <c r="A24" s="8">
        <v>11</v>
      </c>
      <c r="B24" s="346"/>
      <c r="C24" s="71" t="s">
        <v>22</v>
      </c>
      <c r="D24" s="9"/>
      <c r="E24" s="9"/>
      <c r="F24" s="8">
        <v>3.7999999999999999E-2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11"/>
      <c r="S24" s="8">
        <v>3.7999999999999999E-2</v>
      </c>
    </row>
    <row r="25" spans="1:19" ht="15" customHeight="1" x14ac:dyDescent="0.2">
      <c r="A25" s="8">
        <v>12</v>
      </c>
      <c r="B25" s="71" t="s">
        <v>23</v>
      </c>
      <c r="C25" s="9"/>
      <c r="D25" s="9"/>
      <c r="E25" s="8"/>
      <c r="F25" s="8">
        <v>3.7999999999999999E-2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1"/>
      <c r="S25" s="8">
        <v>3.7999999999999999E-2</v>
      </c>
    </row>
    <row r="26" spans="1:19" ht="15" customHeight="1" x14ac:dyDescent="0.2">
      <c r="A26" s="8">
        <v>13</v>
      </c>
      <c r="B26" s="346" t="s">
        <v>27</v>
      </c>
      <c r="C26" s="347" t="s">
        <v>21</v>
      </c>
      <c r="D26" s="9" t="s">
        <v>482</v>
      </c>
      <c r="E26" s="8">
        <v>0.127</v>
      </c>
      <c r="F26" s="8">
        <v>0.39600000000000002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11"/>
      <c r="S26" s="8">
        <v>0.52300000000000002</v>
      </c>
    </row>
    <row r="27" spans="1:19" ht="15" customHeight="1" x14ac:dyDescent="0.2">
      <c r="A27" s="8">
        <v>14</v>
      </c>
      <c r="B27" s="346"/>
      <c r="C27" s="347"/>
      <c r="D27" s="9" t="s">
        <v>483</v>
      </c>
      <c r="E27" s="8">
        <v>0.06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8">
        <v>0.06</v>
      </c>
    </row>
    <row r="28" spans="1:19" ht="15" customHeight="1" x14ac:dyDescent="0.2">
      <c r="A28" s="8">
        <v>15</v>
      </c>
      <c r="B28" s="346"/>
      <c r="C28" s="71" t="s">
        <v>22</v>
      </c>
      <c r="D28" s="9"/>
      <c r="E28" s="8">
        <v>0.187</v>
      </c>
      <c r="F28" s="8">
        <v>0.39600000000000002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8"/>
      <c r="S28" s="8">
        <v>0.58299999999999996</v>
      </c>
    </row>
    <row r="29" spans="1:19" ht="15" customHeight="1" x14ac:dyDescent="0.2">
      <c r="A29" s="8">
        <v>16</v>
      </c>
      <c r="B29" s="71" t="s">
        <v>23</v>
      </c>
      <c r="C29" s="71"/>
      <c r="D29" s="9"/>
      <c r="E29" s="8">
        <v>0.187</v>
      </c>
      <c r="F29" s="8">
        <v>0.39600000000000002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>
        <v>0.58299999999999996</v>
      </c>
    </row>
    <row r="30" spans="1:19" ht="15" customHeight="1" x14ac:dyDescent="0.2">
      <c r="A30" s="8">
        <v>17</v>
      </c>
      <c r="B30" s="346" t="s">
        <v>477</v>
      </c>
      <c r="C30" s="8">
        <v>35</v>
      </c>
      <c r="D30" s="9"/>
      <c r="E30" s="8"/>
      <c r="F30" s="8">
        <v>2E-3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>
        <v>2E-3</v>
      </c>
    </row>
    <row r="31" spans="1:19" ht="15" customHeight="1" x14ac:dyDescent="0.2">
      <c r="A31" s="8">
        <v>18</v>
      </c>
      <c r="B31" s="346"/>
      <c r="C31" s="9" t="s">
        <v>22</v>
      </c>
      <c r="D31" s="9"/>
      <c r="E31" s="8"/>
      <c r="F31" s="8">
        <v>2E-3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>
        <v>2E-3</v>
      </c>
    </row>
    <row r="32" spans="1:19" ht="15" customHeight="1" x14ac:dyDescent="0.2">
      <c r="A32" s="8">
        <v>19</v>
      </c>
      <c r="B32" s="71" t="s">
        <v>23</v>
      </c>
      <c r="C32" s="9"/>
      <c r="D32" s="9"/>
      <c r="E32" s="11"/>
      <c r="F32" s="8">
        <v>2E-3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8">
        <v>2E-3</v>
      </c>
    </row>
    <row r="33" spans="1:19" ht="15" customHeight="1" x14ac:dyDescent="0.2">
      <c r="A33" s="8">
        <v>20</v>
      </c>
      <c r="B33" s="346" t="s">
        <v>478</v>
      </c>
      <c r="C33" s="8">
        <v>35</v>
      </c>
      <c r="D33" s="9"/>
      <c r="E33" s="8"/>
      <c r="F33" s="8">
        <v>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>
        <v>0</v>
      </c>
    </row>
    <row r="34" spans="1:19" ht="15" customHeight="1" x14ac:dyDescent="0.2">
      <c r="A34" s="8">
        <v>21</v>
      </c>
      <c r="B34" s="346"/>
      <c r="C34" s="9" t="s">
        <v>22</v>
      </c>
      <c r="D34" s="9"/>
      <c r="E34" s="8"/>
      <c r="F34" s="8">
        <v>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11"/>
      <c r="S34" s="8">
        <v>0</v>
      </c>
    </row>
    <row r="35" spans="1:19" ht="15" customHeight="1" x14ac:dyDescent="0.2">
      <c r="A35" s="8">
        <v>22</v>
      </c>
      <c r="B35" s="71" t="s">
        <v>23</v>
      </c>
      <c r="C35" s="9"/>
      <c r="D35" s="9"/>
      <c r="E35" s="81"/>
      <c r="F35" s="82">
        <v>0</v>
      </c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9"/>
      <c r="S35" s="8">
        <v>0</v>
      </c>
    </row>
    <row r="36" spans="1:19" ht="15" customHeight="1" x14ac:dyDescent="0.2">
      <c r="A36" s="8">
        <v>23</v>
      </c>
      <c r="B36" s="71" t="s">
        <v>28</v>
      </c>
      <c r="C36" s="9"/>
      <c r="D36" s="9"/>
      <c r="E36" s="82">
        <v>2.2690000000000001</v>
      </c>
      <c r="F36" s="82">
        <v>0.51300000000000001</v>
      </c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9"/>
      <c r="S36" s="8">
        <v>2.782</v>
      </c>
    </row>
    <row r="37" spans="1:19" ht="15" customHeight="1" x14ac:dyDescent="0.2">
      <c r="A37" s="8">
        <v>24</v>
      </c>
      <c r="B37" s="346" t="s">
        <v>29</v>
      </c>
      <c r="C37" s="9" t="s">
        <v>30</v>
      </c>
      <c r="D37" s="9"/>
      <c r="E37" s="82">
        <v>2.0819999999999999</v>
      </c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9"/>
      <c r="S37" s="8">
        <v>2.0819999999999999</v>
      </c>
    </row>
    <row r="38" spans="1:19" ht="15" customHeight="1" x14ac:dyDescent="0.2">
      <c r="A38" s="8">
        <v>25</v>
      </c>
      <c r="B38" s="346"/>
      <c r="C38" s="8">
        <v>35</v>
      </c>
      <c r="D38" s="9"/>
      <c r="E38" s="81"/>
      <c r="F38" s="82">
        <v>2E-3</v>
      </c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9"/>
      <c r="S38" s="8">
        <v>2E-3</v>
      </c>
    </row>
    <row r="39" spans="1:19" ht="15" customHeight="1" x14ac:dyDescent="0.2">
      <c r="A39" s="8">
        <v>26</v>
      </c>
      <c r="B39" s="346"/>
      <c r="C39" s="9" t="s">
        <v>31</v>
      </c>
      <c r="D39" s="9"/>
      <c r="E39" s="82">
        <v>0.187</v>
      </c>
      <c r="F39" s="82">
        <v>0.51100000000000001</v>
      </c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9"/>
      <c r="S39" s="8">
        <v>0.69899999999999995</v>
      </c>
    </row>
  </sheetData>
  <mergeCells count="15">
    <mergeCell ref="A11:A12"/>
    <mergeCell ref="E11:R11"/>
    <mergeCell ref="S11:S12"/>
    <mergeCell ref="C26:C27"/>
    <mergeCell ref="B11:B12"/>
    <mergeCell ref="C11:C12"/>
    <mergeCell ref="D11:D12"/>
    <mergeCell ref="B17:B18"/>
    <mergeCell ref="B14:B15"/>
    <mergeCell ref="B37:B39"/>
    <mergeCell ref="B30:B31"/>
    <mergeCell ref="B26:B28"/>
    <mergeCell ref="B23:B24"/>
    <mergeCell ref="B20:B21"/>
    <mergeCell ref="B33:B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"/>
  <sheetViews>
    <sheetView workbookViewId="0"/>
    <sheetView workbookViewId="1"/>
  </sheetViews>
  <sheetFormatPr defaultRowHeight="12.75" x14ac:dyDescent="0.2"/>
  <cols>
    <col min="1" max="1" width="4.5703125" style="17" customWidth="1"/>
    <col min="2" max="2" width="29.85546875" style="17" customWidth="1"/>
    <col min="3" max="3" width="24" style="17" customWidth="1"/>
    <col min="4" max="4" width="16.85546875" style="17" customWidth="1"/>
    <col min="5" max="5" width="12.140625" style="17" customWidth="1"/>
    <col min="6" max="6" width="5.28515625" style="17" customWidth="1"/>
    <col min="7" max="7" width="9.140625" style="17"/>
    <col min="8" max="8" width="10.28515625" style="17" customWidth="1"/>
    <col min="9" max="9" width="10.28515625" style="18" customWidth="1"/>
    <col min="10" max="10" width="10.5703125" style="17" customWidth="1"/>
    <col min="11" max="16384" width="9.140625" style="17"/>
  </cols>
  <sheetData>
    <row r="2" spans="1:20" s="1" customFormat="1" ht="15" customHeight="1" x14ac:dyDescent="0.2">
      <c r="A2" s="5"/>
      <c r="B2" s="2" t="s">
        <v>37</v>
      </c>
      <c r="C2" s="10" t="str">
        <f>VLOOKUP(B2,'0. ОД'!$B$2:$C$7,2,FALSE)</f>
        <v>ОАО ГИПРОВОСТОКНЕФТЬ</v>
      </c>
      <c r="D2" s="5"/>
      <c r="E2" s="4"/>
      <c r="F2" s="4"/>
      <c r="G2" s="4"/>
      <c r="H2" s="4"/>
      <c r="I2" s="5"/>
      <c r="J2" s="4"/>
      <c r="K2" s="4"/>
      <c r="L2" s="4"/>
      <c r="M2" s="4"/>
      <c r="N2" s="4"/>
      <c r="O2" s="4"/>
      <c r="P2" s="4"/>
      <c r="Q2" s="4"/>
      <c r="R2" s="4"/>
      <c r="S2" s="5"/>
      <c r="T2" s="5"/>
    </row>
    <row r="3" spans="1:20" s="1" customFormat="1" ht="15" customHeight="1" x14ac:dyDescent="0.2">
      <c r="A3" s="5"/>
      <c r="B3" s="2" t="s">
        <v>36</v>
      </c>
      <c r="C3" s="10" t="str">
        <f>VLOOKUP(B3,'0. ОД'!$B$2:$C$7,2,FALSE)</f>
        <v>ООО "Коксохиммонтаж-Промстрой", Спб</v>
      </c>
      <c r="D3" s="5"/>
      <c r="E3" s="4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4"/>
      <c r="S3" s="5"/>
      <c r="T3" s="5"/>
    </row>
    <row r="4" spans="1:20" s="1" customFormat="1" ht="15" customHeight="1" x14ac:dyDescent="0.2">
      <c r="A4" s="5"/>
      <c r="B4" s="2" t="s">
        <v>34</v>
      </c>
      <c r="C4" s="10" t="str">
        <f>VLOOKUP(B4,'0. ОД'!$B$2:$C$7,2,FALSE)</f>
        <v>Обустройство Среднеботуобинского НГКМ. Расширение ЦПС</v>
      </c>
      <c r="D4" s="5"/>
      <c r="E4" s="4"/>
      <c r="F4" s="4"/>
      <c r="G4" s="4"/>
      <c r="H4" s="4"/>
      <c r="I4" s="5"/>
      <c r="J4" s="4"/>
      <c r="K4" s="4"/>
      <c r="L4" s="4"/>
      <c r="M4" s="4"/>
      <c r="N4" s="4"/>
      <c r="O4" s="4"/>
      <c r="P4" s="4"/>
      <c r="Q4" s="4"/>
      <c r="R4" s="4"/>
      <c r="S4" s="5"/>
      <c r="T4" s="5"/>
    </row>
    <row r="5" spans="1:20" s="1" customFormat="1" ht="15" customHeight="1" x14ac:dyDescent="0.2">
      <c r="A5" s="5"/>
      <c r="B5" s="2" t="s">
        <v>38</v>
      </c>
      <c r="C5" s="10" t="str">
        <f>VLOOKUP(B5,'0. ОД'!$B$2:$C$7,2,FALSE)</f>
        <v>Пождепо.1 этап строительства. Сооружения пожарного депо.</v>
      </c>
      <c r="D5" s="5"/>
      <c r="E5" s="4"/>
      <c r="F5" s="4"/>
      <c r="G5" s="4"/>
      <c r="H5" s="4"/>
      <c r="I5" s="5"/>
      <c r="J5" s="4"/>
      <c r="K5" s="4"/>
      <c r="L5" s="4"/>
      <c r="M5" s="4"/>
      <c r="N5" s="4"/>
      <c r="O5" s="4"/>
      <c r="P5" s="4"/>
      <c r="Q5" s="4"/>
      <c r="R5" s="4"/>
      <c r="S5" s="5"/>
      <c r="T5" s="5"/>
    </row>
    <row r="6" spans="1:20" s="1" customFormat="1" ht="15" customHeight="1" x14ac:dyDescent="0.2">
      <c r="A6" s="5"/>
      <c r="B6" s="2" t="s">
        <v>35</v>
      </c>
      <c r="C6" s="10" t="str">
        <f>VLOOKUP(B6,'0. ОД'!$B$2:$C$7,2,FALSE)</f>
        <v>0349-Р-001.001.144-АС-10</v>
      </c>
      <c r="D6" s="5"/>
      <c r="E6" s="4"/>
      <c r="F6" s="4"/>
      <c r="G6" s="4"/>
      <c r="H6" s="4"/>
      <c r="I6" s="5"/>
      <c r="J6" s="4"/>
      <c r="K6" s="4"/>
      <c r="L6" s="4"/>
      <c r="M6" s="4"/>
      <c r="N6" s="4"/>
      <c r="O6" s="4"/>
      <c r="P6" s="4"/>
      <c r="Q6" s="4"/>
      <c r="R6" s="4"/>
      <c r="S6" s="5"/>
      <c r="T6" s="5"/>
    </row>
    <row r="7" spans="1:20" s="1" customFormat="1" ht="15" customHeight="1" x14ac:dyDescent="0.2">
      <c r="A7" s="5"/>
      <c r="B7" s="2" t="s">
        <v>394</v>
      </c>
      <c r="C7" s="10" t="str">
        <f>VLOOKUP(B7,'0. ОД'!$B$2:$C$7,2,FALSE)</f>
        <v>03-01-01</v>
      </c>
      <c r="D7" s="5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4"/>
      <c r="Q7" s="4"/>
      <c r="R7" s="4"/>
      <c r="S7" s="5"/>
      <c r="T7" s="5"/>
    </row>
    <row r="8" spans="1:20" s="1" customFormat="1" ht="15" customHeight="1" x14ac:dyDescent="0.2">
      <c r="A8" s="5"/>
      <c r="B8" s="2"/>
      <c r="C8" s="5"/>
      <c r="D8" s="5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4"/>
      <c r="S8" s="5"/>
      <c r="T8" s="5"/>
    </row>
    <row r="9" spans="1:20" s="1" customFormat="1" ht="15" customHeight="1" x14ac:dyDescent="0.2">
      <c r="A9" s="6"/>
      <c r="B9" s="3" t="s">
        <v>39</v>
      </c>
      <c r="C9" s="6"/>
      <c r="D9" s="6"/>
      <c r="E9" s="4"/>
      <c r="F9" s="4"/>
      <c r="G9" s="4"/>
      <c r="H9" s="4"/>
      <c r="I9" s="5"/>
      <c r="J9" s="4"/>
      <c r="K9" s="4"/>
      <c r="L9" s="4"/>
      <c r="M9" s="4"/>
      <c r="N9" s="4"/>
      <c r="O9" s="4"/>
      <c r="P9" s="4"/>
      <c r="Q9" s="4"/>
      <c r="R9" s="4"/>
      <c r="S9" s="5"/>
      <c r="T9" s="5"/>
    </row>
    <row r="10" spans="1:20" ht="15" customHeight="1" x14ac:dyDescent="0.2"/>
    <row r="11" spans="1:20" ht="38.25" x14ac:dyDescent="0.2">
      <c r="A11" s="12" t="s">
        <v>5</v>
      </c>
      <c r="B11" s="12" t="s">
        <v>45</v>
      </c>
      <c r="C11" s="12" t="s">
        <v>46</v>
      </c>
      <c r="D11" s="12" t="s">
        <v>47</v>
      </c>
      <c r="E11" s="12" t="s">
        <v>48</v>
      </c>
      <c r="F11" s="12" t="s">
        <v>41</v>
      </c>
      <c r="G11" s="12" t="s">
        <v>42</v>
      </c>
      <c r="H11" s="12" t="s">
        <v>43</v>
      </c>
      <c r="I11" s="12" t="s">
        <v>44</v>
      </c>
      <c r="J11" s="12" t="s">
        <v>49</v>
      </c>
    </row>
    <row r="12" spans="1:20" x14ac:dyDescent="0.2">
      <c r="A12" s="15">
        <v>1</v>
      </c>
      <c r="B12" s="16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15">
        <v>8</v>
      </c>
      <c r="I12" s="15">
        <v>9</v>
      </c>
      <c r="J12" s="15">
        <v>10</v>
      </c>
    </row>
    <row r="13" spans="1:20" x14ac:dyDescent="0.2">
      <c r="A13" s="13"/>
      <c r="B13" s="14" t="s">
        <v>40</v>
      </c>
      <c r="C13" s="13"/>
      <c r="D13" s="13"/>
      <c r="E13" s="13"/>
      <c r="F13" s="13"/>
      <c r="G13" s="13"/>
      <c r="H13" s="13"/>
      <c r="I13" s="13"/>
      <c r="J13" s="13"/>
    </row>
    <row r="14" spans="1:20" x14ac:dyDescent="0.2">
      <c r="A14" s="13"/>
      <c r="B14" s="12"/>
      <c r="C14" s="13"/>
      <c r="D14" s="13"/>
      <c r="E14" s="13"/>
      <c r="F14" s="13"/>
      <c r="G14" s="15"/>
      <c r="H14" s="15"/>
      <c r="I14" s="15"/>
      <c r="J14" s="13"/>
    </row>
    <row r="15" spans="1:20" x14ac:dyDescent="0.2">
      <c r="A15" s="13"/>
      <c r="B15" s="12"/>
      <c r="C15" s="13"/>
      <c r="D15" s="13"/>
      <c r="E15" s="13"/>
      <c r="F15" s="13"/>
      <c r="G15" s="15"/>
      <c r="H15" s="15"/>
      <c r="I15" s="15"/>
      <c r="J15" s="13"/>
    </row>
    <row r="16" spans="1:20" x14ac:dyDescent="0.2">
      <c r="A16" s="13"/>
      <c r="B16" s="12"/>
      <c r="C16" s="13"/>
      <c r="D16" s="13"/>
      <c r="E16" s="13"/>
      <c r="F16" s="13"/>
      <c r="G16" s="15"/>
      <c r="H16" s="15"/>
      <c r="I16" s="15"/>
      <c r="J16" s="13"/>
    </row>
    <row r="17" spans="1:10" x14ac:dyDescent="0.2">
      <c r="A17" s="13"/>
      <c r="B17" s="12"/>
      <c r="C17" s="13"/>
      <c r="D17" s="13"/>
      <c r="E17" s="13"/>
      <c r="F17" s="13"/>
      <c r="G17" s="15"/>
      <c r="H17" s="15"/>
      <c r="I17" s="15"/>
      <c r="J17" s="13"/>
    </row>
    <row r="18" spans="1:10" x14ac:dyDescent="0.2">
      <c r="A18" s="13"/>
      <c r="B18" s="12"/>
      <c r="C18" s="13"/>
      <c r="D18" s="13"/>
      <c r="E18" s="13"/>
      <c r="F18" s="13"/>
      <c r="G18" s="15"/>
      <c r="H18" s="15"/>
      <c r="I18" s="15"/>
      <c r="J18" s="13"/>
    </row>
    <row r="19" spans="1:10" x14ac:dyDescent="0.2">
      <c r="A19" s="13"/>
      <c r="B19" s="12"/>
      <c r="C19" s="13"/>
      <c r="D19" s="13"/>
      <c r="E19" s="13"/>
      <c r="F19" s="13"/>
      <c r="G19" s="15"/>
      <c r="H19" s="15"/>
      <c r="I19" s="15"/>
      <c r="J19" s="13"/>
    </row>
    <row r="20" spans="1:10" x14ac:dyDescent="0.2">
      <c r="I20" s="20">
        <f>SUM(I14:I19)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tabSelected="1" topLeftCell="A38" workbookViewId="0">
      <selection activeCell="J13" sqref="J13:K73"/>
    </sheetView>
    <sheetView tabSelected="1" topLeftCell="A25" workbookViewId="1">
      <selection activeCell="E21" sqref="E21"/>
    </sheetView>
  </sheetViews>
  <sheetFormatPr defaultRowHeight="12.75" x14ac:dyDescent="0.2"/>
  <cols>
    <col min="1" max="1" width="5.28515625" style="164" customWidth="1"/>
    <col min="2" max="2" width="65.85546875" style="164" customWidth="1"/>
    <col min="3" max="3" width="9.28515625" style="164" customWidth="1"/>
    <col min="4" max="4" width="7.85546875" style="164" customWidth="1"/>
    <col min="5" max="5" width="8.28515625" style="164" customWidth="1"/>
    <col min="6" max="6" width="12.5703125" style="164" customWidth="1"/>
    <col min="7" max="8" width="11" style="164" customWidth="1"/>
    <col min="9" max="9" width="12.28515625" style="164" customWidth="1"/>
    <col min="10" max="10" width="10.5703125" style="164" customWidth="1"/>
    <col min="11" max="11" width="9.5703125" style="164" customWidth="1" collapsed="1"/>
    <col min="12" max="16384" width="9.140625" style="164"/>
  </cols>
  <sheetData>
    <row r="1" spans="1:15" x14ac:dyDescent="0.2">
      <c r="A1" s="163"/>
      <c r="B1" s="163"/>
      <c r="C1" s="163"/>
    </row>
    <row r="2" spans="1:15" s="17" customFormat="1" x14ac:dyDescent="0.2">
      <c r="A2" s="18"/>
      <c r="B2" s="165" t="s">
        <v>37</v>
      </c>
      <c r="C2" s="166" t="str">
        <f>VLOOKUP(B2,'[1]0. ОД'!$B$2:$C$7,2,FALSE)</f>
        <v>ОАО ГИПРОВОСТОКНЕФТЬ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8"/>
      <c r="O2" s="18"/>
    </row>
    <row r="3" spans="1:15" s="17" customFormat="1" x14ac:dyDescent="0.2">
      <c r="A3" s="18"/>
      <c r="B3" s="165" t="s">
        <v>36</v>
      </c>
      <c r="C3" s="166" t="str">
        <f>VLOOKUP(B3,'0. ОД'!$B$2:$C$7,2,FALSE)</f>
        <v>ООО "Коксохиммонтаж-Промстрой", Спб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8"/>
      <c r="O3" s="18"/>
    </row>
    <row r="4" spans="1:15" s="17" customFormat="1" x14ac:dyDescent="0.2">
      <c r="A4" s="18"/>
      <c r="B4" s="165" t="s">
        <v>34</v>
      </c>
      <c r="C4" s="166" t="str">
        <f>VLOOKUP(B4,'0. ОД'!$B$2:$C$7,2,FALSE)</f>
        <v>Обустройство Среднеботуобинского НГКМ. Расширение ЦПС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8"/>
      <c r="O4" s="18"/>
    </row>
    <row r="5" spans="1:15" s="17" customFormat="1" x14ac:dyDescent="0.2">
      <c r="A5" s="18"/>
      <c r="B5" s="165" t="s">
        <v>38</v>
      </c>
      <c r="C5" s="166" t="str">
        <f>VLOOKUP(B5,'0. ОД'!$B$2:$C$7,2,FALSE)</f>
        <v>Пождепо.1 этап строительства. Сооружения пожарного депо.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8"/>
      <c r="O5" s="18"/>
    </row>
    <row r="6" spans="1:15" s="17" customFormat="1" x14ac:dyDescent="0.2">
      <c r="A6" s="18"/>
      <c r="B6" s="165" t="s">
        <v>35</v>
      </c>
      <c r="C6" s="166" t="str">
        <f>VLOOKUP(B6,'0. ОД'!$B$2:$C$7,2,FALSE)</f>
        <v>0349-Р-001.001.144-АС-10</v>
      </c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8"/>
      <c r="O6" s="18"/>
    </row>
    <row r="7" spans="1:15" s="17" customFormat="1" x14ac:dyDescent="0.2">
      <c r="A7" s="18"/>
      <c r="B7" s="165" t="s">
        <v>394</v>
      </c>
      <c r="C7" s="166" t="str">
        <f>VLOOKUP(B7,'0. ОД'!$B$2:$C$7,2,FALSE)</f>
        <v>03-01-01</v>
      </c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8"/>
      <c r="O7" s="18"/>
    </row>
    <row r="8" spans="1:15" s="17" customFormat="1" x14ac:dyDescent="0.2">
      <c r="A8" s="18"/>
      <c r="B8" s="165"/>
      <c r="C8" s="166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8"/>
      <c r="O8" s="18"/>
    </row>
    <row r="9" spans="1:15" s="17" customFormat="1" x14ac:dyDescent="0.2">
      <c r="A9" s="18"/>
      <c r="B9" s="165" t="s">
        <v>390</v>
      </c>
      <c r="C9" s="166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8"/>
      <c r="O9" s="18"/>
    </row>
    <row r="10" spans="1:15" ht="13.5" thickBot="1" x14ac:dyDescent="0.25"/>
    <row r="11" spans="1:15" ht="26.25" thickBot="1" x14ac:dyDescent="0.25">
      <c r="A11" s="168" t="s">
        <v>5</v>
      </c>
      <c r="B11" s="169" t="s">
        <v>360</v>
      </c>
      <c r="C11" s="169" t="s">
        <v>361</v>
      </c>
      <c r="D11" s="169" t="s">
        <v>41</v>
      </c>
      <c r="E11" s="169" t="s">
        <v>42</v>
      </c>
      <c r="F11" s="169" t="s">
        <v>43</v>
      </c>
      <c r="G11" s="169" t="s">
        <v>534</v>
      </c>
      <c r="H11" s="169" t="s">
        <v>362</v>
      </c>
      <c r="I11" s="169" t="s">
        <v>49</v>
      </c>
      <c r="J11" s="169" t="s">
        <v>391</v>
      </c>
      <c r="K11" s="170" t="s">
        <v>363</v>
      </c>
    </row>
    <row r="12" spans="1:15" ht="13.5" thickBot="1" x14ac:dyDescent="0.25">
      <c r="A12" s="171">
        <v>1</v>
      </c>
      <c r="B12" s="172">
        <v>2</v>
      </c>
      <c r="C12" s="172">
        <v>3</v>
      </c>
      <c r="D12" s="172">
        <v>4</v>
      </c>
      <c r="E12" s="172">
        <v>5</v>
      </c>
      <c r="F12" s="172">
        <v>6</v>
      </c>
      <c r="G12" s="172">
        <v>7</v>
      </c>
      <c r="H12" s="172">
        <v>8</v>
      </c>
      <c r="I12" s="172">
        <v>9</v>
      </c>
      <c r="J12" s="172">
        <v>10</v>
      </c>
      <c r="K12" s="173">
        <v>11</v>
      </c>
    </row>
    <row r="13" spans="1:15" ht="13.5" thickBot="1" x14ac:dyDescent="0.25">
      <c r="A13" s="174">
        <v>1</v>
      </c>
      <c r="B13" s="175" t="s">
        <v>554</v>
      </c>
      <c r="C13" s="176"/>
      <c r="D13" s="176" t="s">
        <v>535</v>
      </c>
      <c r="E13" s="177">
        <v>4</v>
      </c>
      <c r="F13" s="176">
        <v>567.24</v>
      </c>
      <c r="G13" s="178">
        <f>E13*F13/1000</f>
        <v>2.2689599999999999</v>
      </c>
      <c r="H13" s="176"/>
      <c r="I13" s="176"/>
      <c r="J13" s="176"/>
      <c r="K13" s="179"/>
    </row>
    <row r="14" spans="1:15" x14ac:dyDescent="0.2">
      <c r="A14" s="180" t="s">
        <v>365</v>
      </c>
      <c r="B14" s="181" t="s">
        <v>555</v>
      </c>
      <c r="C14" s="182"/>
      <c r="D14" s="182" t="s">
        <v>366</v>
      </c>
      <c r="E14" s="183">
        <f>4*12</f>
        <v>48</v>
      </c>
      <c r="F14" s="184"/>
      <c r="G14" s="184"/>
      <c r="H14" s="182" t="s">
        <v>367</v>
      </c>
      <c r="I14" s="182"/>
      <c r="J14" s="185">
        <v>48</v>
      </c>
      <c r="K14" s="186">
        <v>1</v>
      </c>
    </row>
    <row r="15" spans="1:15" ht="25.5" x14ac:dyDescent="0.2">
      <c r="A15" s="180" t="s">
        <v>368</v>
      </c>
      <c r="B15" s="187" t="s">
        <v>536</v>
      </c>
      <c r="C15" s="188"/>
      <c r="D15" s="188" t="s">
        <v>223</v>
      </c>
      <c r="E15" s="262">
        <f>0.15*0.15*3.1415*E14</f>
        <v>3.3928200000000004</v>
      </c>
      <c r="F15" s="190"/>
      <c r="G15" s="191">
        <f>G13</f>
        <v>2.2689599999999999</v>
      </c>
      <c r="H15" s="188" t="s">
        <v>367</v>
      </c>
      <c r="I15" s="188"/>
      <c r="J15" s="188">
        <v>3.4</v>
      </c>
      <c r="K15" s="192">
        <v>3</v>
      </c>
    </row>
    <row r="16" spans="1:15" x14ac:dyDescent="0.2">
      <c r="A16" s="193" t="s">
        <v>259</v>
      </c>
      <c r="B16" s="194" t="s">
        <v>556</v>
      </c>
      <c r="C16" s="195" t="s">
        <v>378</v>
      </c>
      <c r="D16" s="195" t="s">
        <v>366</v>
      </c>
      <c r="E16" s="196">
        <f>12.5*4*1.01</f>
        <v>50.5</v>
      </c>
      <c r="F16" s="197"/>
      <c r="G16" s="198">
        <f>12.5*4*41.63/1000</f>
        <v>2.0815000000000001</v>
      </c>
      <c r="H16" s="195"/>
      <c r="I16" s="195"/>
      <c r="J16" s="195">
        <v>50.5</v>
      </c>
      <c r="K16" s="199">
        <v>4</v>
      </c>
    </row>
    <row r="17" spans="1:11" x14ac:dyDescent="0.2">
      <c r="A17" s="180" t="s">
        <v>369</v>
      </c>
      <c r="B17" s="187" t="s">
        <v>333</v>
      </c>
      <c r="C17" s="188"/>
      <c r="D17" s="188" t="s">
        <v>223</v>
      </c>
      <c r="E17" s="189">
        <f>(3.393-(0.1095*0.1095*3.1415*8*4))</f>
        <v>2.1876441479999995</v>
      </c>
      <c r="F17" s="190"/>
      <c r="G17" s="191">
        <f>E17*1.6</f>
        <v>3.5002306367999996</v>
      </c>
      <c r="H17" s="188" t="s">
        <v>367</v>
      </c>
      <c r="I17" s="188"/>
      <c r="J17" s="191">
        <v>3.4</v>
      </c>
      <c r="K17" s="192">
        <v>5</v>
      </c>
    </row>
    <row r="18" spans="1:11" ht="25.5" x14ac:dyDescent="0.2">
      <c r="A18" s="180" t="s">
        <v>370</v>
      </c>
      <c r="B18" s="187" t="s">
        <v>557</v>
      </c>
      <c r="C18" s="188"/>
      <c r="D18" s="188" t="s">
        <v>223</v>
      </c>
      <c r="E18" s="189">
        <f>(0.203/2*0.203/2*PI()*10)*4</f>
        <v>1.2946189166178179</v>
      </c>
      <c r="F18" s="190"/>
      <c r="G18" s="191">
        <f>E18*1.6</f>
        <v>2.0713902665885087</v>
      </c>
      <c r="H18" s="188" t="s">
        <v>367</v>
      </c>
      <c r="I18" s="188"/>
      <c r="J18" s="200" t="s">
        <v>373</v>
      </c>
      <c r="K18" s="264" t="s">
        <v>373</v>
      </c>
    </row>
    <row r="19" spans="1:11" ht="25.5" x14ac:dyDescent="0.2">
      <c r="A19" s="180" t="s">
        <v>371</v>
      </c>
      <c r="B19" s="187" t="s">
        <v>537</v>
      </c>
      <c r="C19" s="188"/>
      <c r="D19" s="188" t="s">
        <v>223</v>
      </c>
      <c r="E19" s="189">
        <f>E18+E17</f>
        <v>3.4822630646178174</v>
      </c>
      <c r="F19" s="190"/>
      <c r="G19" s="191">
        <f>E19*1.6</f>
        <v>5.5716209033885082</v>
      </c>
      <c r="H19" s="188" t="s">
        <v>367</v>
      </c>
      <c r="I19" s="188"/>
      <c r="J19" s="200" t="s">
        <v>669</v>
      </c>
      <c r="K19" s="371" t="s">
        <v>668</v>
      </c>
    </row>
    <row r="20" spans="1:11" x14ac:dyDescent="0.2">
      <c r="A20" s="193" t="s">
        <v>259</v>
      </c>
      <c r="B20" s="194" t="s">
        <v>306</v>
      </c>
      <c r="C20" s="195"/>
      <c r="D20" s="195" t="s">
        <v>223</v>
      </c>
      <c r="E20" s="160">
        <f>E19</f>
        <v>3.4822630646178174</v>
      </c>
      <c r="F20" s="197"/>
      <c r="G20" s="198"/>
      <c r="H20" s="195"/>
      <c r="I20" s="195"/>
      <c r="J20" s="198">
        <v>3.4340000000000002</v>
      </c>
      <c r="K20" s="199">
        <v>6</v>
      </c>
    </row>
    <row r="21" spans="1:11" x14ac:dyDescent="0.2">
      <c r="A21" s="180" t="s">
        <v>374</v>
      </c>
      <c r="B21" s="202" t="s">
        <v>558</v>
      </c>
      <c r="C21" s="188"/>
      <c r="D21" s="188" t="s">
        <v>364</v>
      </c>
      <c r="E21" s="189">
        <f>G13</f>
        <v>2.2689599999999999</v>
      </c>
      <c r="F21" s="190"/>
      <c r="G21" s="191">
        <f>E21</f>
        <v>2.2689599999999999</v>
      </c>
      <c r="H21" s="188" t="s">
        <v>367</v>
      </c>
      <c r="I21" s="188"/>
      <c r="J21" s="200" t="s">
        <v>373</v>
      </c>
      <c r="K21" s="201" t="s">
        <v>373</v>
      </c>
    </row>
    <row r="22" spans="1:11" x14ac:dyDescent="0.2">
      <c r="A22" s="180" t="s">
        <v>559</v>
      </c>
      <c r="B22" s="202" t="s">
        <v>372</v>
      </c>
      <c r="C22" s="188"/>
      <c r="D22" s="188" t="s">
        <v>223</v>
      </c>
      <c r="E22" s="189">
        <f>0.1*0.1*3.14*E14</f>
        <v>1.5072000000000001</v>
      </c>
      <c r="F22" s="190"/>
      <c r="G22" s="191">
        <f>E22*1.75+E22*3</f>
        <v>7.1592000000000002</v>
      </c>
      <c r="H22" s="188" t="s">
        <v>367</v>
      </c>
      <c r="I22" s="188"/>
      <c r="J22" s="200" t="s">
        <v>373</v>
      </c>
      <c r="K22" s="201" t="s">
        <v>373</v>
      </c>
    </row>
    <row r="23" spans="1:11" ht="25.5" x14ac:dyDescent="0.2">
      <c r="A23" s="180" t="s">
        <v>560</v>
      </c>
      <c r="B23" s="187" t="s">
        <v>542</v>
      </c>
      <c r="C23" s="188"/>
      <c r="D23" s="188" t="s">
        <v>223</v>
      </c>
      <c r="E23" s="189">
        <f>E24*5/6</f>
        <v>0.215769819436303</v>
      </c>
      <c r="F23" s="190"/>
      <c r="G23" s="191">
        <f>E23*1.6</f>
        <v>0.34523171109808481</v>
      </c>
      <c r="H23" s="188" t="s">
        <v>367</v>
      </c>
      <c r="I23" s="188"/>
      <c r="J23" s="188" t="s">
        <v>563</v>
      </c>
      <c r="K23" s="205" t="s">
        <v>564</v>
      </c>
    </row>
    <row r="24" spans="1:11" x14ac:dyDescent="0.2">
      <c r="A24" s="180" t="s">
        <v>561</v>
      </c>
      <c r="B24" s="187" t="s">
        <v>543</v>
      </c>
      <c r="C24" s="188"/>
      <c r="D24" s="188" t="s">
        <v>223</v>
      </c>
      <c r="E24" s="189">
        <f>(0.203/2*0.203/2*PI()*2)*4</f>
        <v>0.25892378332356358</v>
      </c>
      <c r="F24" s="190"/>
      <c r="G24" s="190"/>
      <c r="H24" s="188" t="s">
        <v>367</v>
      </c>
      <c r="I24" s="188"/>
      <c r="J24" s="188">
        <f>0.018*100</f>
        <v>1.7999999999999998</v>
      </c>
      <c r="K24" s="192">
        <v>9</v>
      </c>
    </row>
    <row r="25" spans="1:11" ht="25.5" x14ac:dyDescent="0.2">
      <c r="A25" s="180" t="s">
        <v>562</v>
      </c>
      <c r="B25" s="187" t="s">
        <v>544</v>
      </c>
      <c r="C25" s="188"/>
      <c r="D25" s="188" t="s">
        <v>223</v>
      </c>
      <c r="E25" s="189">
        <f>E24</f>
        <v>0.25892378332356358</v>
      </c>
      <c r="F25" s="190"/>
      <c r="G25" s="190"/>
      <c r="H25" s="188" t="s">
        <v>367</v>
      </c>
      <c r="I25" s="188"/>
      <c r="J25" s="200" t="s">
        <v>373</v>
      </c>
      <c r="K25" s="201" t="s">
        <v>373</v>
      </c>
    </row>
    <row r="26" spans="1:11" x14ac:dyDescent="0.2">
      <c r="A26" s="193" t="s">
        <v>259</v>
      </c>
      <c r="B26" s="194" t="s">
        <v>306</v>
      </c>
      <c r="C26" s="195"/>
      <c r="D26" s="195" t="s">
        <v>223</v>
      </c>
      <c r="E26" s="196">
        <f>E23</f>
        <v>0.215769819436303</v>
      </c>
      <c r="F26" s="197"/>
      <c r="G26" s="198"/>
      <c r="H26" s="195"/>
      <c r="I26" s="195"/>
      <c r="J26" s="265">
        <v>2</v>
      </c>
      <c r="K26" s="199">
        <v>12</v>
      </c>
    </row>
    <row r="27" spans="1:11" x14ac:dyDescent="0.2">
      <c r="A27" s="193" t="s">
        <v>259</v>
      </c>
      <c r="B27" s="194" t="s">
        <v>287</v>
      </c>
      <c r="C27" s="195"/>
      <c r="D27" s="195" t="s">
        <v>364</v>
      </c>
      <c r="E27" s="196">
        <f>E25/6*1.2</f>
        <v>5.178475666471271E-2</v>
      </c>
      <c r="F27" s="197"/>
      <c r="G27" s="198"/>
      <c r="H27" s="195"/>
      <c r="I27" s="195"/>
      <c r="J27" s="265">
        <v>4</v>
      </c>
      <c r="K27" s="199">
        <v>13</v>
      </c>
    </row>
    <row r="28" spans="1:11" s="19" customFormat="1" ht="12" customHeight="1" x14ac:dyDescent="0.2">
      <c r="A28" s="301"/>
      <c r="B28" s="152" t="s">
        <v>531</v>
      </c>
      <c r="C28" s="275"/>
      <c r="D28" s="268"/>
      <c r="E28" s="268"/>
      <c r="F28" s="269"/>
      <c r="G28" s="269"/>
      <c r="H28" s="270"/>
      <c r="I28" s="275"/>
      <c r="J28" s="275"/>
      <c r="K28" s="302"/>
    </row>
    <row r="29" spans="1:11" x14ac:dyDescent="0.2">
      <c r="A29" s="180" t="s">
        <v>565</v>
      </c>
      <c r="B29" s="271" t="s">
        <v>538</v>
      </c>
      <c r="C29" s="182"/>
      <c r="D29" s="182" t="s">
        <v>293</v>
      </c>
      <c r="E29" s="272">
        <f>0.219*3.1415*4*4</f>
        <v>11.007816</v>
      </c>
      <c r="F29" s="184"/>
      <c r="G29" s="184"/>
      <c r="H29" s="182" t="s">
        <v>367</v>
      </c>
      <c r="I29" s="273"/>
      <c r="J29" s="185">
        <v>22</v>
      </c>
      <c r="K29" s="274">
        <v>14</v>
      </c>
    </row>
    <row r="30" spans="1:11" ht="25.5" x14ac:dyDescent="0.2">
      <c r="A30" s="180" t="s">
        <v>566</v>
      </c>
      <c r="B30" s="187" t="s">
        <v>539</v>
      </c>
      <c r="C30" s="188"/>
      <c r="D30" s="188" t="s">
        <v>293</v>
      </c>
      <c r="E30" s="262">
        <f>E29</f>
        <v>11.007816</v>
      </c>
      <c r="F30" s="190"/>
      <c r="G30" s="190"/>
      <c r="H30" s="188" t="s">
        <v>367</v>
      </c>
      <c r="I30" s="204"/>
      <c r="J30" s="276">
        <v>22</v>
      </c>
      <c r="K30" s="266">
        <v>15</v>
      </c>
    </row>
    <row r="31" spans="1:11" x14ac:dyDescent="0.2">
      <c r="A31" s="180" t="s">
        <v>567</v>
      </c>
      <c r="B31" s="187" t="s">
        <v>540</v>
      </c>
      <c r="C31" s="188"/>
      <c r="D31" s="188" t="s">
        <v>293</v>
      </c>
      <c r="E31" s="262">
        <f>E30</f>
        <v>11.007816</v>
      </c>
      <c r="F31" s="190"/>
      <c r="G31" s="190"/>
      <c r="H31" s="188" t="s">
        <v>367</v>
      </c>
      <c r="I31" s="204"/>
      <c r="J31" s="276">
        <v>22</v>
      </c>
      <c r="K31" s="266">
        <v>16</v>
      </c>
    </row>
    <row r="32" spans="1:11" ht="25.5" x14ac:dyDescent="0.2">
      <c r="A32" s="303" t="s">
        <v>568</v>
      </c>
      <c r="B32" s="187" t="s">
        <v>541</v>
      </c>
      <c r="C32" s="188"/>
      <c r="D32" s="188" t="s">
        <v>293</v>
      </c>
      <c r="E32" s="262">
        <f>0.219*3.1415*4*4</f>
        <v>11.007816</v>
      </c>
      <c r="F32" s="190"/>
      <c r="G32" s="190"/>
      <c r="H32" s="188" t="s">
        <v>367</v>
      </c>
      <c r="I32" s="204"/>
      <c r="J32" s="276">
        <v>22</v>
      </c>
      <c r="K32" s="266">
        <v>17</v>
      </c>
    </row>
    <row r="33" spans="1:11" ht="13.5" thickBot="1" x14ac:dyDescent="0.25">
      <c r="A33" s="232" t="s">
        <v>259</v>
      </c>
      <c r="B33" s="207" t="s">
        <v>488</v>
      </c>
      <c r="C33" s="208"/>
      <c r="D33" s="208" t="s">
        <v>242</v>
      </c>
      <c r="E33" s="209">
        <f>0.32*E32</f>
        <v>3.5225011200000003</v>
      </c>
      <c r="F33" s="210"/>
      <c r="G33" s="210"/>
      <c r="H33" s="208"/>
      <c r="I33" s="211"/>
      <c r="J33" s="277">
        <v>7</v>
      </c>
      <c r="K33" s="267">
        <v>18</v>
      </c>
    </row>
    <row r="34" spans="1:11" ht="13.5" thickBot="1" x14ac:dyDescent="0.25">
      <c r="A34" s="212" t="s">
        <v>569</v>
      </c>
      <c r="B34" s="175" t="s">
        <v>530</v>
      </c>
      <c r="C34" s="176"/>
      <c r="D34" s="176"/>
      <c r="E34" s="176"/>
      <c r="F34" s="176"/>
      <c r="G34" s="213"/>
      <c r="H34" s="176"/>
      <c r="I34" s="176"/>
      <c r="J34" s="213"/>
      <c r="K34" s="179"/>
    </row>
    <row r="35" spans="1:11" x14ac:dyDescent="0.2">
      <c r="A35" s="180" t="s">
        <v>375</v>
      </c>
      <c r="B35" s="187" t="s">
        <v>570</v>
      </c>
      <c r="C35" s="188"/>
      <c r="D35" s="188" t="s">
        <v>293</v>
      </c>
      <c r="E35" s="262">
        <f>0.219*3.1415*4*0.5</f>
        <v>1.375977</v>
      </c>
      <c r="F35" s="190"/>
      <c r="G35" s="190"/>
      <c r="H35" s="188" t="s">
        <v>367</v>
      </c>
      <c r="I35" s="204"/>
      <c r="J35" s="276">
        <v>3</v>
      </c>
      <c r="K35" s="266">
        <v>21</v>
      </c>
    </row>
    <row r="36" spans="1:11" ht="25.5" x14ac:dyDescent="0.2">
      <c r="A36" s="180" t="s">
        <v>376</v>
      </c>
      <c r="B36" s="187" t="s">
        <v>539</v>
      </c>
      <c r="C36" s="188"/>
      <c r="D36" s="188" t="s">
        <v>293</v>
      </c>
      <c r="E36" s="262">
        <f>E35</f>
        <v>1.375977</v>
      </c>
      <c r="F36" s="190"/>
      <c r="G36" s="190"/>
      <c r="H36" s="188" t="s">
        <v>367</v>
      </c>
      <c r="I36" s="204"/>
      <c r="J36" s="276">
        <v>3</v>
      </c>
      <c r="K36" s="266">
        <v>22</v>
      </c>
    </row>
    <row r="37" spans="1:11" x14ac:dyDescent="0.2">
      <c r="A37" s="180" t="s">
        <v>377</v>
      </c>
      <c r="B37" s="187" t="s">
        <v>540</v>
      </c>
      <c r="C37" s="188"/>
      <c r="D37" s="188" t="s">
        <v>293</v>
      </c>
      <c r="E37" s="262">
        <f>E36</f>
        <v>1.375977</v>
      </c>
      <c r="F37" s="190"/>
      <c r="G37" s="190"/>
      <c r="H37" s="188" t="s">
        <v>367</v>
      </c>
      <c r="I37" s="204"/>
      <c r="J37" s="276">
        <v>3</v>
      </c>
      <c r="K37" s="266">
        <v>23</v>
      </c>
    </row>
    <row r="38" spans="1:11" x14ac:dyDescent="0.2">
      <c r="A38" s="180" t="s">
        <v>379</v>
      </c>
      <c r="B38" s="187" t="s">
        <v>355</v>
      </c>
      <c r="C38" s="188"/>
      <c r="D38" s="188" t="s">
        <v>293</v>
      </c>
      <c r="E38" s="191">
        <f>E37</f>
        <v>1.375977</v>
      </c>
      <c r="F38" s="190"/>
      <c r="G38" s="191"/>
      <c r="H38" s="188" t="s">
        <v>367</v>
      </c>
      <c r="I38" s="188"/>
      <c r="J38" s="276">
        <v>1</v>
      </c>
      <c r="K38" s="192">
        <v>24</v>
      </c>
    </row>
    <row r="39" spans="1:11" x14ac:dyDescent="0.2">
      <c r="A39" s="232" t="s">
        <v>259</v>
      </c>
      <c r="B39" s="225" t="s">
        <v>291</v>
      </c>
      <c r="C39" s="195"/>
      <c r="D39" s="195" t="s">
        <v>242</v>
      </c>
      <c r="E39" s="198">
        <f>E38*0.49</f>
        <v>0.67422872999999994</v>
      </c>
      <c r="F39" s="197"/>
      <c r="G39" s="198"/>
      <c r="H39" s="195" t="s">
        <v>367</v>
      </c>
      <c r="I39" s="195"/>
      <c r="J39" s="244">
        <v>0.49</v>
      </c>
      <c r="K39" s="199">
        <v>25</v>
      </c>
    </row>
    <row r="40" spans="1:11" ht="25.5" x14ac:dyDescent="0.2">
      <c r="A40" s="303" t="s">
        <v>380</v>
      </c>
      <c r="B40" s="187" t="s">
        <v>571</v>
      </c>
      <c r="C40" s="188"/>
      <c r="D40" s="188" t="s">
        <v>293</v>
      </c>
      <c r="E40" s="191">
        <f>E38</f>
        <v>1.375977</v>
      </c>
      <c r="F40" s="190"/>
      <c r="G40" s="191"/>
      <c r="H40" s="188" t="s">
        <v>367</v>
      </c>
      <c r="I40" s="188"/>
      <c r="J40" s="276">
        <v>1</v>
      </c>
      <c r="K40" s="192">
        <v>26</v>
      </c>
    </row>
    <row r="41" spans="1:11" x14ac:dyDescent="0.2">
      <c r="A41" s="303" t="s">
        <v>381</v>
      </c>
      <c r="B41" s="187" t="s">
        <v>358</v>
      </c>
      <c r="C41" s="188"/>
      <c r="D41" s="188" t="s">
        <v>293</v>
      </c>
      <c r="E41" s="191">
        <f>E40</f>
        <v>1.375977</v>
      </c>
      <c r="F41" s="190"/>
      <c r="G41" s="191"/>
      <c r="H41" s="188" t="s">
        <v>367</v>
      </c>
      <c r="I41" s="188"/>
      <c r="J41" s="276">
        <v>1</v>
      </c>
      <c r="K41" s="192">
        <v>27</v>
      </c>
    </row>
    <row r="42" spans="1:11" ht="13.5" thickBot="1" x14ac:dyDescent="0.25">
      <c r="A42" s="232" t="s">
        <v>259</v>
      </c>
      <c r="B42" s="225" t="s">
        <v>292</v>
      </c>
      <c r="C42" s="195"/>
      <c r="D42" s="150" t="s">
        <v>242</v>
      </c>
      <c r="E42" s="198">
        <f>E41*0.25</f>
        <v>0.34399425</v>
      </c>
      <c r="F42" s="244"/>
      <c r="G42" s="198"/>
      <c r="H42" s="195" t="s">
        <v>367</v>
      </c>
      <c r="I42" s="195"/>
      <c r="J42" s="244">
        <v>0.25</v>
      </c>
      <c r="K42" s="199">
        <v>28</v>
      </c>
    </row>
    <row r="43" spans="1:11" ht="13.5" thickBot="1" x14ac:dyDescent="0.25">
      <c r="A43" s="212" t="s">
        <v>572</v>
      </c>
      <c r="B43" s="175" t="s">
        <v>529</v>
      </c>
      <c r="C43" s="176"/>
      <c r="D43" s="176"/>
      <c r="E43" s="176"/>
      <c r="F43" s="176"/>
      <c r="G43" s="213"/>
      <c r="H43" s="176"/>
      <c r="I43" s="176"/>
      <c r="J43" s="176"/>
      <c r="K43" s="179"/>
    </row>
    <row r="44" spans="1:11" s="17" customFormat="1" x14ac:dyDescent="0.2">
      <c r="A44" s="304" t="s">
        <v>573</v>
      </c>
      <c r="B44" s="214" t="s">
        <v>578</v>
      </c>
      <c r="C44" s="215"/>
      <c r="D44" s="216" t="s">
        <v>364</v>
      </c>
      <c r="E44" s="262">
        <f>((1*31.793+4*3.768)*4)/1000</f>
        <v>0.18745999999999999</v>
      </c>
      <c r="F44" s="217"/>
      <c r="G44" s="218"/>
      <c r="H44" s="219" t="s">
        <v>577</v>
      </c>
      <c r="I44" s="218"/>
      <c r="J44" s="220">
        <v>0.187</v>
      </c>
      <c r="K44" s="305">
        <v>30</v>
      </c>
    </row>
    <row r="45" spans="1:11" s="17" customFormat="1" x14ac:dyDescent="0.2">
      <c r="A45" s="304" t="s">
        <v>574</v>
      </c>
      <c r="B45" s="214" t="s">
        <v>576</v>
      </c>
      <c r="C45" s="215"/>
      <c r="D45" s="216" t="s">
        <v>364</v>
      </c>
      <c r="E45" s="262">
        <f>((1*31.793+4*3.768)*4)*1.04/1000</f>
        <v>0.19495839999999998</v>
      </c>
      <c r="F45" s="217"/>
      <c r="G45" s="218"/>
      <c r="H45" s="219" t="s">
        <v>577</v>
      </c>
      <c r="I45" s="218"/>
      <c r="J45" s="220">
        <v>0.19500000000000001</v>
      </c>
      <c r="K45" s="305">
        <v>29</v>
      </c>
    </row>
    <row r="46" spans="1:11" x14ac:dyDescent="0.2">
      <c r="A46" s="193" t="s">
        <v>259</v>
      </c>
      <c r="B46" s="194" t="s">
        <v>586</v>
      </c>
      <c r="C46" s="195" t="s">
        <v>31</v>
      </c>
      <c r="D46" s="195" t="s">
        <v>535</v>
      </c>
      <c r="E46" s="279">
        <v>4</v>
      </c>
      <c r="F46" s="197">
        <v>31.792999999999999</v>
      </c>
      <c r="G46" s="198">
        <f>E46*F46/1000</f>
        <v>0.12717200000000001</v>
      </c>
      <c r="H46" s="195"/>
      <c r="I46" s="195"/>
      <c r="J46" s="198">
        <f>G46</f>
        <v>0.12717200000000001</v>
      </c>
      <c r="K46" s="199">
        <v>50</v>
      </c>
    </row>
    <row r="47" spans="1:11" x14ac:dyDescent="0.2">
      <c r="A47" s="193" t="s">
        <v>259</v>
      </c>
      <c r="B47" s="194" t="s">
        <v>587</v>
      </c>
      <c r="C47" s="195" t="s">
        <v>31</v>
      </c>
      <c r="D47" s="195" t="s">
        <v>535</v>
      </c>
      <c r="E47" s="279">
        <v>16</v>
      </c>
      <c r="F47" s="197">
        <v>3.7679999999999998</v>
      </c>
      <c r="G47" s="198">
        <f>F47*E47/1000</f>
        <v>6.0287999999999994E-2</v>
      </c>
      <c r="H47" s="195"/>
      <c r="I47" s="195"/>
      <c r="J47" s="198">
        <v>6.3E-2</v>
      </c>
      <c r="K47" s="199">
        <v>51</v>
      </c>
    </row>
    <row r="48" spans="1:11" s="19" customFormat="1" ht="12" customHeight="1" x14ac:dyDescent="0.2">
      <c r="A48" s="301"/>
      <c r="B48" s="152" t="s">
        <v>583</v>
      </c>
      <c r="C48" s="275"/>
      <c r="D48" s="268"/>
      <c r="E48" s="268"/>
      <c r="F48" s="269"/>
      <c r="G48" s="269"/>
      <c r="H48" s="270"/>
      <c r="I48" s="275"/>
      <c r="J48" s="275"/>
      <c r="K48" s="302"/>
    </row>
    <row r="49" spans="1:11" x14ac:dyDescent="0.2">
      <c r="A49" s="304" t="s">
        <v>575</v>
      </c>
      <c r="B49" s="187" t="s">
        <v>545</v>
      </c>
      <c r="C49" s="188"/>
      <c r="D49" s="188" t="s">
        <v>293</v>
      </c>
      <c r="E49" s="203">
        <v>3.54</v>
      </c>
      <c r="F49" s="190"/>
      <c r="G49" s="190"/>
      <c r="H49" s="219" t="s">
        <v>577</v>
      </c>
      <c r="I49" s="204" t="s">
        <v>546</v>
      </c>
      <c r="J49" s="226">
        <v>6</v>
      </c>
      <c r="K49" s="306">
        <v>31</v>
      </c>
    </row>
    <row r="50" spans="1:11" x14ac:dyDescent="0.2">
      <c r="A50" s="304" t="s">
        <v>579</v>
      </c>
      <c r="B50" s="187" t="s">
        <v>547</v>
      </c>
      <c r="C50" s="188"/>
      <c r="D50" s="188" t="s">
        <v>293</v>
      </c>
      <c r="E50" s="203">
        <f>E49</f>
        <v>3.54</v>
      </c>
      <c r="F50" s="190"/>
      <c r="G50" s="190"/>
      <c r="H50" s="219" t="s">
        <v>577</v>
      </c>
      <c r="I50" s="204" t="s">
        <v>546</v>
      </c>
      <c r="J50" s="226">
        <f>J49</f>
        <v>6</v>
      </c>
      <c r="K50" s="306">
        <v>32</v>
      </c>
    </row>
    <row r="51" spans="1:11" x14ac:dyDescent="0.2">
      <c r="A51" s="304" t="s">
        <v>580</v>
      </c>
      <c r="B51" s="187" t="s">
        <v>548</v>
      </c>
      <c r="C51" s="188"/>
      <c r="D51" s="188" t="s">
        <v>293</v>
      </c>
      <c r="E51" s="203">
        <f>E50</f>
        <v>3.54</v>
      </c>
      <c r="F51" s="190"/>
      <c r="G51" s="190"/>
      <c r="H51" s="219" t="s">
        <v>577</v>
      </c>
      <c r="I51" s="204" t="s">
        <v>546</v>
      </c>
      <c r="J51" s="226">
        <f>J50</f>
        <v>6</v>
      </c>
      <c r="K51" s="306">
        <v>33</v>
      </c>
    </row>
    <row r="52" spans="1:11" x14ac:dyDescent="0.2">
      <c r="A52" s="304" t="s">
        <v>581</v>
      </c>
      <c r="B52" s="227" t="s">
        <v>355</v>
      </c>
      <c r="C52" s="228"/>
      <c r="D52" s="228" t="s">
        <v>293</v>
      </c>
      <c r="E52" s="229">
        <f>E51</f>
        <v>3.54</v>
      </c>
      <c r="F52" s="230"/>
      <c r="G52" s="230"/>
      <c r="H52" s="219" t="s">
        <v>577</v>
      </c>
      <c r="I52" s="231" t="s">
        <v>546</v>
      </c>
      <c r="J52" s="226">
        <f>J51</f>
        <v>6</v>
      </c>
      <c r="K52" s="306">
        <v>34</v>
      </c>
    </row>
    <row r="53" spans="1:11" x14ac:dyDescent="0.2">
      <c r="A53" s="232" t="s">
        <v>259</v>
      </c>
      <c r="B53" s="233" t="s">
        <v>291</v>
      </c>
      <c r="C53" s="234"/>
      <c r="D53" s="234" t="s">
        <v>242</v>
      </c>
      <c r="E53" s="235">
        <f>E52*0.49</f>
        <v>1.7345999999999999</v>
      </c>
      <c r="F53" s="236"/>
      <c r="G53" s="236"/>
      <c r="H53" s="195"/>
      <c r="I53" s="237"/>
      <c r="J53" s="238">
        <v>2.94</v>
      </c>
      <c r="K53" s="307">
        <v>35</v>
      </c>
    </row>
    <row r="54" spans="1:11" x14ac:dyDescent="0.2">
      <c r="A54" s="180" t="s">
        <v>582</v>
      </c>
      <c r="B54" s="187" t="s">
        <v>358</v>
      </c>
      <c r="C54" s="188"/>
      <c r="D54" s="188" t="s">
        <v>293</v>
      </c>
      <c r="E54" s="203">
        <f>E52</f>
        <v>3.54</v>
      </c>
      <c r="F54" s="190"/>
      <c r="G54" s="190"/>
      <c r="H54" s="219" t="s">
        <v>577</v>
      </c>
      <c r="I54" s="204" t="s">
        <v>546</v>
      </c>
      <c r="J54" s="226">
        <f>J52</f>
        <v>6</v>
      </c>
      <c r="K54" s="306">
        <v>36</v>
      </c>
    </row>
    <row r="55" spans="1:11" ht="13.5" thickBot="1" x14ac:dyDescent="0.25">
      <c r="A55" s="206" t="s">
        <v>259</v>
      </c>
      <c r="B55" s="207" t="s">
        <v>292</v>
      </c>
      <c r="C55" s="208"/>
      <c r="D55" s="208" t="s">
        <v>242</v>
      </c>
      <c r="E55" s="209">
        <f>E54*0.25*3</f>
        <v>2.6550000000000002</v>
      </c>
      <c r="F55" s="210"/>
      <c r="G55" s="210"/>
      <c r="H55" s="208"/>
      <c r="I55" s="211"/>
      <c r="J55" s="239">
        <v>1.5</v>
      </c>
      <c r="K55" s="308">
        <v>37</v>
      </c>
    </row>
    <row r="56" spans="1:11" ht="13.5" thickBot="1" x14ac:dyDescent="0.25">
      <c r="A56" s="212" t="s">
        <v>19</v>
      </c>
      <c r="B56" s="175" t="s">
        <v>584</v>
      </c>
      <c r="C56" s="176"/>
      <c r="D56" s="176"/>
      <c r="E56" s="176"/>
      <c r="F56" s="176"/>
      <c r="G56" s="213"/>
      <c r="H56" s="176"/>
      <c r="I56" s="176"/>
      <c r="J56" s="176"/>
      <c r="K56" s="179"/>
    </row>
    <row r="57" spans="1:11" s="17" customFormat="1" x14ac:dyDescent="0.2">
      <c r="A57" s="304" t="s">
        <v>382</v>
      </c>
      <c r="B57" s="214" t="s">
        <v>585</v>
      </c>
      <c r="C57" s="215"/>
      <c r="D57" s="216" t="s">
        <v>364</v>
      </c>
      <c r="E57" s="262">
        <f>(E58)/1.04</f>
        <v>0.64010826400000009</v>
      </c>
      <c r="F57" s="217"/>
      <c r="G57" s="218"/>
      <c r="H57" s="219" t="s">
        <v>577</v>
      </c>
      <c r="I57" s="218"/>
      <c r="J57" s="220">
        <v>0.51300000000000001</v>
      </c>
      <c r="K57" s="305">
        <v>39</v>
      </c>
    </row>
    <row r="58" spans="1:11" s="17" customFormat="1" x14ac:dyDescent="0.2">
      <c r="A58" s="304" t="s">
        <v>383</v>
      </c>
      <c r="B58" s="214" t="s">
        <v>584</v>
      </c>
      <c r="C58" s="215"/>
      <c r="D58" s="216" t="s">
        <v>364</v>
      </c>
      <c r="E58" s="262">
        <f>SUM(G59:G62)*1.04</f>
        <v>0.66571259456000009</v>
      </c>
      <c r="F58" s="217"/>
      <c r="G58" s="218"/>
      <c r="H58" s="219" t="s">
        <v>577</v>
      </c>
      <c r="I58" s="218"/>
      <c r="J58" s="220">
        <v>0.53400000000000003</v>
      </c>
      <c r="K58" s="305">
        <v>38</v>
      </c>
    </row>
    <row r="59" spans="1:11" x14ac:dyDescent="0.2">
      <c r="A59" s="193" t="s">
        <v>259</v>
      </c>
      <c r="B59" s="194" t="s">
        <v>588</v>
      </c>
      <c r="C59" s="195" t="s">
        <v>31</v>
      </c>
      <c r="D59" s="195" t="s">
        <v>535</v>
      </c>
      <c r="E59" s="279">
        <v>2</v>
      </c>
      <c r="F59" s="197">
        <v>197.82</v>
      </c>
      <c r="G59" s="198">
        <f>E59*F59/1000</f>
        <v>0.39563999999999999</v>
      </c>
      <c r="H59" s="195"/>
      <c r="I59" s="195"/>
      <c r="J59" s="198">
        <f>0.547-J46</f>
        <v>0.41982800000000003</v>
      </c>
      <c r="K59" s="199">
        <v>50</v>
      </c>
    </row>
    <row r="60" spans="1:11" x14ac:dyDescent="0.2">
      <c r="A60" s="193" t="s">
        <v>259</v>
      </c>
      <c r="B60" s="194" t="s">
        <v>589</v>
      </c>
      <c r="C60" s="195" t="s">
        <v>31</v>
      </c>
      <c r="D60" s="195" t="s">
        <v>535</v>
      </c>
      <c r="E60" s="279">
        <v>4</v>
      </c>
      <c r="F60" s="197">
        <f>18.4*2.8</f>
        <v>51.519999999999996</v>
      </c>
      <c r="G60" s="198">
        <f>F60*E60/1000</f>
        <v>0.20607999999999999</v>
      </c>
      <c r="H60" s="195"/>
      <c r="I60" s="195"/>
      <c r="J60" s="198">
        <v>3.7999999999999999E-2</v>
      </c>
      <c r="K60" s="199">
        <v>52</v>
      </c>
    </row>
    <row r="61" spans="1:11" x14ac:dyDescent="0.2">
      <c r="A61" s="193" t="s">
        <v>259</v>
      </c>
      <c r="B61" s="194" t="s">
        <v>590</v>
      </c>
      <c r="C61" s="195" t="s">
        <v>31</v>
      </c>
      <c r="D61" s="195" t="s">
        <v>293</v>
      </c>
      <c r="E61" s="281">
        <f>(0.22669+0.045)*2</f>
        <v>0.54337999999999997</v>
      </c>
      <c r="F61" s="197">
        <v>62.8</v>
      </c>
      <c r="G61" s="198">
        <f>E61*F61/1000</f>
        <v>3.4124263999999994E-2</v>
      </c>
      <c r="H61" s="195"/>
      <c r="I61" s="195"/>
      <c r="J61" s="198">
        <v>0.02</v>
      </c>
      <c r="K61" s="199">
        <v>54</v>
      </c>
    </row>
    <row r="62" spans="1:11" x14ac:dyDescent="0.2">
      <c r="A62" s="193" t="s">
        <v>259</v>
      </c>
      <c r="B62" s="194" t="s">
        <v>591</v>
      </c>
      <c r="C62" s="195" t="s">
        <v>31</v>
      </c>
      <c r="D62" s="195" t="s">
        <v>535</v>
      </c>
      <c r="E62" s="279">
        <v>8</v>
      </c>
      <c r="F62" s="198">
        <v>0.53300000000000003</v>
      </c>
      <c r="G62" s="198">
        <f>F62*E62/1000</f>
        <v>4.2640000000000004E-3</v>
      </c>
      <c r="H62" s="195"/>
      <c r="I62" s="195"/>
      <c r="J62" s="195">
        <v>2.1999999999999999E-2</v>
      </c>
      <c r="K62" s="199">
        <v>53</v>
      </c>
    </row>
    <row r="63" spans="1:11" x14ac:dyDescent="0.2">
      <c r="A63" s="303" t="s">
        <v>384</v>
      </c>
      <c r="B63" s="187" t="s">
        <v>592</v>
      </c>
      <c r="C63" s="188"/>
      <c r="D63" s="188" t="s">
        <v>535</v>
      </c>
      <c r="E63" s="243">
        <v>4</v>
      </c>
      <c r="F63" s="190"/>
      <c r="G63" s="191">
        <f>SUM(G64:G65)</f>
        <v>0.249968</v>
      </c>
      <c r="H63" s="188" t="s">
        <v>577</v>
      </c>
      <c r="I63" s="188"/>
      <c r="J63" s="188">
        <v>12</v>
      </c>
      <c r="K63" s="192">
        <v>40</v>
      </c>
    </row>
    <row r="64" spans="1:11" x14ac:dyDescent="0.2">
      <c r="A64" s="232" t="s">
        <v>259</v>
      </c>
      <c r="B64" s="225" t="s">
        <v>593</v>
      </c>
      <c r="C64" s="195"/>
      <c r="D64" s="195" t="s">
        <v>535</v>
      </c>
      <c r="E64" s="195">
        <f>8*2</f>
        <v>16</v>
      </c>
      <c r="F64" s="198">
        <v>0.123</v>
      </c>
      <c r="G64" s="198">
        <f>E64*F64/1000</f>
        <v>1.9680000000000001E-3</v>
      </c>
      <c r="H64" s="195" t="s">
        <v>577</v>
      </c>
      <c r="I64" s="195"/>
      <c r="J64" s="195">
        <f>0.001</f>
        <v>1E-3</v>
      </c>
      <c r="K64" s="199">
        <v>41</v>
      </c>
    </row>
    <row r="65" spans="1:11" x14ac:dyDescent="0.2">
      <c r="A65" s="232" t="s">
        <v>259</v>
      </c>
      <c r="B65" s="225" t="s">
        <v>594</v>
      </c>
      <c r="C65" s="195"/>
      <c r="D65" s="195" t="s">
        <v>535</v>
      </c>
      <c r="E65" s="195">
        <f>4*2</f>
        <v>8</v>
      </c>
      <c r="F65" s="198">
        <v>3.1E-2</v>
      </c>
      <c r="G65" s="198">
        <f>E65*F65</f>
        <v>0.248</v>
      </c>
      <c r="H65" s="195" t="s">
        <v>577</v>
      </c>
      <c r="I65" s="195"/>
      <c r="J65" s="195">
        <v>0.124</v>
      </c>
      <c r="K65" s="199">
        <v>42</v>
      </c>
    </row>
    <row r="66" spans="1:11" s="19" customFormat="1" ht="12" customHeight="1" x14ac:dyDescent="0.2">
      <c r="A66" s="301"/>
      <c r="B66" s="152" t="s">
        <v>583</v>
      </c>
      <c r="C66" s="275"/>
      <c r="D66" s="268"/>
      <c r="E66" s="268"/>
      <c r="F66" s="269"/>
      <c r="G66" s="269"/>
      <c r="H66" s="270"/>
      <c r="I66" s="275"/>
      <c r="J66" s="275"/>
      <c r="K66" s="302"/>
    </row>
    <row r="67" spans="1:11" x14ac:dyDescent="0.2">
      <c r="A67" s="304" t="s">
        <v>385</v>
      </c>
      <c r="B67" s="187" t="s">
        <v>545</v>
      </c>
      <c r="C67" s="188"/>
      <c r="D67" s="188" t="s">
        <v>293</v>
      </c>
      <c r="E67" s="189">
        <v>21.185032</v>
      </c>
      <c r="F67" s="190"/>
      <c r="G67" s="190"/>
      <c r="H67" s="219" t="s">
        <v>577</v>
      </c>
      <c r="I67" s="204" t="s">
        <v>546</v>
      </c>
      <c r="J67" s="226">
        <v>15</v>
      </c>
      <c r="K67" s="306">
        <v>43</v>
      </c>
    </row>
    <row r="68" spans="1:11" x14ac:dyDescent="0.2">
      <c r="A68" s="304" t="s">
        <v>386</v>
      </c>
      <c r="B68" s="187" t="s">
        <v>547</v>
      </c>
      <c r="C68" s="188"/>
      <c r="D68" s="188" t="s">
        <v>293</v>
      </c>
      <c r="E68" s="189">
        <f>E67</f>
        <v>21.185032</v>
      </c>
      <c r="F68" s="190"/>
      <c r="G68" s="190"/>
      <c r="H68" s="219" t="s">
        <v>577</v>
      </c>
      <c r="I68" s="204" t="s">
        <v>546</v>
      </c>
      <c r="J68" s="226">
        <v>15</v>
      </c>
      <c r="K68" s="306">
        <v>44</v>
      </c>
    </row>
    <row r="69" spans="1:11" x14ac:dyDescent="0.2">
      <c r="A69" s="304" t="s">
        <v>387</v>
      </c>
      <c r="B69" s="187" t="s">
        <v>548</v>
      </c>
      <c r="C69" s="188"/>
      <c r="D69" s="188" t="s">
        <v>293</v>
      </c>
      <c r="E69" s="189">
        <f>E68</f>
        <v>21.185032</v>
      </c>
      <c r="F69" s="190"/>
      <c r="G69" s="190"/>
      <c r="H69" s="219" t="s">
        <v>577</v>
      </c>
      <c r="I69" s="204" t="s">
        <v>546</v>
      </c>
      <c r="J69" s="226">
        <v>15</v>
      </c>
      <c r="K69" s="306">
        <v>45</v>
      </c>
    </row>
    <row r="70" spans="1:11" x14ac:dyDescent="0.2">
      <c r="A70" s="304" t="s">
        <v>388</v>
      </c>
      <c r="B70" s="187" t="s">
        <v>355</v>
      </c>
      <c r="C70" s="188"/>
      <c r="D70" s="188" t="s">
        <v>293</v>
      </c>
      <c r="E70" s="191">
        <f>E69</f>
        <v>21.185032</v>
      </c>
      <c r="F70" s="190"/>
      <c r="G70" s="191">
        <f>SUM(G71:G71)</f>
        <v>0</v>
      </c>
      <c r="H70" s="219" t="s">
        <v>577</v>
      </c>
      <c r="I70" s="188" t="s">
        <v>546</v>
      </c>
      <c r="J70" s="188">
        <v>15</v>
      </c>
      <c r="K70" s="192">
        <v>46</v>
      </c>
    </row>
    <row r="71" spans="1:11" x14ac:dyDescent="0.2">
      <c r="A71" s="232" t="s">
        <v>259</v>
      </c>
      <c r="B71" s="225" t="s">
        <v>291</v>
      </c>
      <c r="C71" s="195"/>
      <c r="D71" s="195" t="s">
        <v>242</v>
      </c>
      <c r="E71" s="198">
        <f>E70*0.49</f>
        <v>10.38066568</v>
      </c>
      <c r="F71" s="197"/>
      <c r="G71" s="198">
        <f>E71*F71/1000</f>
        <v>0</v>
      </c>
      <c r="H71" s="282" t="s">
        <v>577</v>
      </c>
      <c r="I71" s="195" t="s">
        <v>546</v>
      </c>
      <c r="J71" s="195">
        <v>7.35</v>
      </c>
      <c r="K71" s="199">
        <v>47</v>
      </c>
    </row>
    <row r="72" spans="1:11" x14ac:dyDescent="0.2">
      <c r="A72" s="303" t="s">
        <v>389</v>
      </c>
      <c r="B72" s="187" t="s">
        <v>358</v>
      </c>
      <c r="C72" s="188"/>
      <c r="D72" s="188" t="s">
        <v>293</v>
      </c>
      <c r="E72" s="191">
        <f>E70</f>
        <v>21.185032</v>
      </c>
      <c r="F72" s="190"/>
      <c r="G72" s="191">
        <f>SUM(G73:G73)</f>
        <v>0</v>
      </c>
      <c r="H72" s="219" t="s">
        <v>577</v>
      </c>
      <c r="I72" s="188" t="s">
        <v>546</v>
      </c>
      <c r="J72" s="188">
        <v>15</v>
      </c>
      <c r="K72" s="192">
        <v>48</v>
      </c>
    </row>
    <row r="73" spans="1:11" ht="13.5" thickBot="1" x14ac:dyDescent="0.25">
      <c r="A73" s="309" t="s">
        <v>259</v>
      </c>
      <c r="B73" s="310" t="s">
        <v>292</v>
      </c>
      <c r="C73" s="311"/>
      <c r="D73" s="312" t="s">
        <v>242</v>
      </c>
      <c r="E73" s="313">
        <f>E72*0.25</f>
        <v>5.2962579999999999</v>
      </c>
      <c r="F73" s="314"/>
      <c r="G73" s="313">
        <f>E73*F73/1000</f>
        <v>0</v>
      </c>
      <c r="H73" s="315" t="s">
        <v>577</v>
      </c>
      <c r="I73" s="311" t="s">
        <v>546</v>
      </c>
      <c r="J73" s="311">
        <v>3.75</v>
      </c>
      <c r="K73" s="316">
        <v>49</v>
      </c>
    </row>
    <row r="75" spans="1:11" s="251" customFormat="1" x14ac:dyDescent="0.2">
      <c r="A75" s="245"/>
      <c r="B75" s="246"/>
      <c r="C75" s="247"/>
      <c r="D75" s="248"/>
      <c r="E75" s="249"/>
      <c r="F75" s="249"/>
      <c r="G75" s="249"/>
      <c r="H75" s="250"/>
    </row>
    <row r="76" spans="1:11" s="255" customFormat="1" ht="13.5" customHeight="1" x14ac:dyDescent="0.2">
      <c r="A76" s="256" t="s">
        <v>503</v>
      </c>
      <c r="B76" s="258"/>
      <c r="C76" s="258"/>
      <c r="D76" s="252"/>
      <c r="E76" s="252"/>
      <c r="F76" s="252"/>
      <c r="G76" s="253"/>
      <c r="H76" s="254"/>
    </row>
    <row r="77" spans="1:11" s="255" customFormat="1" ht="13.5" x14ac:dyDescent="0.2">
      <c r="A77" s="256" t="s">
        <v>551</v>
      </c>
      <c r="B77" s="257"/>
      <c r="C77" s="258"/>
      <c r="D77" s="252"/>
      <c r="E77" s="252"/>
      <c r="F77" s="252"/>
      <c r="G77" s="253"/>
      <c r="H77" s="254"/>
    </row>
    <row r="78" spans="1:11" s="255" customFormat="1" ht="13.5" x14ac:dyDescent="0.2">
      <c r="A78" s="259"/>
      <c r="B78" s="260"/>
      <c r="C78" s="260"/>
      <c r="D78" s="252"/>
      <c r="E78" s="252"/>
      <c r="F78" s="252"/>
      <c r="G78" s="253"/>
      <c r="H78" s="254"/>
    </row>
    <row r="79" spans="1:11" s="255" customFormat="1" ht="13.5" x14ac:dyDescent="0.2">
      <c r="A79" s="256" t="s">
        <v>516</v>
      </c>
      <c r="B79" s="258"/>
      <c r="C79" s="258"/>
      <c r="D79" s="252"/>
      <c r="E79" s="252"/>
      <c r="F79" s="252"/>
      <c r="G79" s="253"/>
      <c r="H79" s="254"/>
    </row>
    <row r="80" spans="1:11" s="255" customFormat="1" ht="13.5" x14ac:dyDescent="0.2">
      <c r="A80" s="256" t="s">
        <v>552</v>
      </c>
      <c r="B80" s="257"/>
      <c r="C80" s="258"/>
      <c r="D80" s="252"/>
      <c r="E80" s="252"/>
      <c r="F80" s="252"/>
      <c r="G80" s="253"/>
      <c r="H80" s="254"/>
    </row>
    <row r="81" spans="1:8" s="251" customFormat="1" x14ac:dyDescent="0.2">
      <c r="A81" s="261"/>
      <c r="B81" s="246"/>
      <c r="C81" s="247"/>
      <c r="D81" s="248"/>
      <c r="E81" s="249"/>
      <c r="F81" s="249"/>
      <c r="G81" s="249"/>
      <c r="H81" s="250"/>
    </row>
    <row r="82" spans="1:8" s="255" customFormat="1" ht="13.5" x14ac:dyDescent="0.2">
      <c r="A82" s="256" t="s">
        <v>503</v>
      </c>
      <c r="B82" s="258"/>
      <c r="C82" s="258"/>
      <c r="D82" s="252"/>
      <c r="E82" s="252"/>
      <c r="F82" s="252"/>
      <c r="G82" s="253"/>
      <c r="H82" s="254"/>
    </row>
    <row r="83" spans="1:8" s="255" customFormat="1" ht="13.5" x14ac:dyDescent="0.2">
      <c r="A83" s="256" t="s">
        <v>553</v>
      </c>
      <c r="B83" s="257"/>
      <c r="C83" s="258"/>
      <c r="D83" s="252"/>
      <c r="E83" s="252"/>
      <c r="F83" s="252"/>
      <c r="G83" s="253"/>
      <c r="H83" s="254"/>
    </row>
    <row r="84" spans="1:8" s="251" customFormat="1" x14ac:dyDescent="0.2">
      <c r="A84" s="245"/>
      <c r="B84" s="246"/>
      <c r="C84" s="247"/>
      <c r="D84" s="248"/>
      <c r="E84" s="249"/>
      <c r="F84" s="249"/>
      <c r="G84" s="249"/>
      <c r="H84" s="250"/>
    </row>
  </sheetData>
  <autoFilter ref="A12:O73"/>
  <pageMargins left="0.24" right="0.24" top="0" bottom="0" header="0.31496062992125984" footer="0.31496062992125984"/>
  <pageSetup paperSize="9" scale="62" fitToHeight="25" orientation="portrait" r:id="rId1"/>
  <ignoredErrors>
    <ignoredError sqref="G6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79"/>
  <sheetViews>
    <sheetView topLeftCell="A4" workbookViewId="0">
      <selection activeCell="G18" sqref="G18"/>
    </sheetView>
    <sheetView workbookViewId="1"/>
  </sheetViews>
  <sheetFormatPr defaultRowHeight="12" x14ac:dyDescent="0.2"/>
  <cols>
    <col min="1" max="1" width="9.140625" style="68"/>
    <col min="2" max="2" width="18" style="19" customWidth="1"/>
    <col min="3" max="3" width="41.42578125" style="19" customWidth="1"/>
    <col min="4" max="4" width="15" style="68" customWidth="1"/>
    <col min="5" max="5" width="9.140625" style="68"/>
    <col min="6" max="7" width="9.28515625" style="68" customWidth="1"/>
    <col min="8" max="8" width="49.140625" style="86" customWidth="1"/>
    <col min="9" max="16384" width="9.140625" style="19"/>
  </cols>
  <sheetData>
    <row r="2" spans="1:8" x14ac:dyDescent="0.2">
      <c r="A2" s="366"/>
      <c r="B2" s="21"/>
      <c r="C2" s="73" t="s">
        <v>51</v>
      </c>
      <c r="D2" s="65"/>
    </row>
    <row r="3" spans="1:8" x14ac:dyDescent="0.2">
      <c r="A3" s="366"/>
      <c r="B3" s="45"/>
      <c r="C3" s="47" t="s">
        <v>52</v>
      </c>
      <c r="D3" s="66"/>
    </row>
    <row r="4" spans="1:8" x14ac:dyDescent="0.2">
      <c r="A4" s="366"/>
      <c r="B4" s="51"/>
      <c r="C4" s="43"/>
      <c r="D4" s="65"/>
      <c r="E4" s="65"/>
    </row>
    <row r="5" spans="1:8" x14ac:dyDescent="0.2">
      <c r="A5" s="366"/>
      <c r="B5" s="51"/>
      <c r="C5" s="52" t="s">
        <v>526</v>
      </c>
      <c r="D5" s="67"/>
    </row>
    <row r="6" spans="1:8" x14ac:dyDescent="0.2">
      <c r="A6" s="366"/>
      <c r="B6" s="51"/>
      <c r="C6" s="43"/>
      <c r="D6" s="65"/>
      <c r="E6" s="65"/>
    </row>
    <row r="7" spans="1:8" x14ac:dyDescent="0.2">
      <c r="A7" s="366"/>
      <c r="B7" s="51"/>
      <c r="C7" s="43"/>
      <c r="D7" s="65"/>
      <c r="E7" s="65"/>
    </row>
    <row r="8" spans="1:8" x14ac:dyDescent="0.2">
      <c r="A8" s="366" t="s">
        <v>53</v>
      </c>
      <c r="B8" s="55" t="s">
        <v>398</v>
      </c>
      <c r="C8" s="43"/>
      <c r="D8" s="65"/>
      <c r="E8" s="65"/>
    </row>
    <row r="9" spans="1:8" x14ac:dyDescent="0.2">
      <c r="A9" s="366"/>
      <c r="B9" s="84"/>
      <c r="C9" s="47" t="s">
        <v>399</v>
      </c>
      <c r="D9" s="66"/>
    </row>
    <row r="10" spans="1:8" x14ac:dyDescent="0.2">
      <c r="A10" s="367"/>
      <c r="B10" s="54"/>
      <c r="C10" s="43"/>
      <c r="D10" s="65"/>
      <c r="E10" s="65"/>
    </row>
    <row r="11" spans="1:8" ht="42.75" customHeight="1" x14ac:dyDescent="0.2">
      <c r="A11" s="345" t="s">
        <v>61</v>
      </c>
      <c r="B11" s="85" t="s">
        <v>62</v>
      </c>
      <c r="C11" s="69" t="s">
        <v>63</v>
      </c>
      <c r="D11" s="74" t="s">
        <v>41</v>
      </c>
      <c r="E11" s="74" t="s">
        <v>667</v>
      </c>
      <c r="F11" s="74" t="s">
        <v>392</v>
      </c>
      <c r="G11" s="70" t="s">
        <v>393</v>
      </c>
      <c r="H11" s="87" t="s">
        <v>49</v>
      </c>
    </row>
    <row r="12" spans="1:8" x14ac:dyDescent="0.2">
      <c r="A12" s="26">
        <v>1</v>
      </c>
      <c r="B12" s="26">
        <v>2</v>
      </c>
      <c r="C12" s="74">
        <v>3</v>
      </c>
      <c r="D12" s="74">
        <v>4</v>
      </c>
      <c r="E12" s="74">
        <v>5</v>
      </c>
      <c r="F12" s="74">
        <v>6</v>
      </c>
      <c r="G12" s="70">
        <v>7</v>
      </c>
      <c r="H12" s="87">
        <v>8</v>
      </c>
    </row>
    <row r="13" spans="1:8" x14ac:dyDescent="0.2">
      <c r="A13" s="368"/>
      <c r="B13" s="151"/>
      <c r="C13" s="152" t="s">
        <v>533</v>
      </c>
      <c r="D13" s="151"/>
      <c r="E13" s="151"/>
      <c r="F13" s="153"/>
      <c r="G13" s="153"/>
      <c r="H13" s="154"/>
    </row>
    <row r="14" spans="1:8" ht="12" customHeight="1" x14ac:dyDescent="0.2">
      <c r="A14" s="369"/>
      <c r="B14" s="151"/>
      <c r="C14" s="152" t="s">
        <v>532</v>
      </c>
      <c r="D14" s="151"/>
      <c r="E14" s="151"/>
      <c r="F14" s="153"/>
      <c r="G14" s="153"/>
      <c r="H14" s="154"/>
    </row>
    <row r="15" spans="1:8" ht="24" x14ac:dyDescent="0.2">
      <c r="A15" s="370">
        <v>1</v>
      </c>
      <c r="B15" s="156" t="s">
        <v>77</v>
      </c>
      <c r="C15" s="30" t="s">
        <v>329</v>
      </c>
      <c r="D15" s="74" t="s">
        <v>330</v>
      </c>
      <c r="E15" s="74">
        <v>0.48</v>
      </c>
      <c r="F15" s="70">
        <f>12*4/100</f>
        <v>0.48</v>
      </c>
      <c r="G15" s="70">
        <f>E15-F15</f>
        <v>0</v>
      </c>
      <c r="H15" s="88"/>
    </row>
    <row r="16" spans="1:8" x14ac:dyDescent="0.2">
      <c r="A16" s="370">
        <v>2</v>
      </c>
      <c r="B16" s="29" t="s">
        <v>81</v>
      </c>
      <c r="C16" s="30" t="s">
        <v>290</v>
      </c>
      <c r="D16" s="74" t="s">
        <v>50</v>
      </c>
      <c r="E16" s="27">
        <v>0.54239999999999999</v>
      </c>
      <c r="F16" s="70">
        <f>F15*1.13</f>
        <v>0.54239999999999988</v>
      </c>
      <c r="G16" s="70">
        <f t="shared" ref="G16:G79" si="0">E16-F16</f>
        <v>0</v>
      </c>
      <c r="H16" s="88"/>
    </row>
    <row r="17" spans="1:8" ht="24" x14ac:dyDescent="0.2">
      <c r="A17" s="370">
        <v>3</v>
      </c>
      <c r="B17" s="156" t="s">
        <v>83</v>
      </c>
      <c r="C17" s="30" t="s">
        <v>331</v>
      </c>
      <c r="D17" s="74" t="s">
        <v>332</v>
      </c>
      <c r="E17" s="162">
        <v>3.4</v>
      </c>
      <c r="F17" s="160">
        <f>0.15*0.15*3.1415*F15*100</f>
        <v>3.3928199999999999</v>
      </c>
      <c r="G17" s="160">
        <f t="shared" si="0"/>
        <v>7.1799999999999642E-3</v>
      </c>
      <c r="H17" s="88"/>
    </row>
    <row r="18" spans="1:8" ht="48" x14ac:dyDescent="0.2">
      <c r="A18" s="370">
        <v>4</v>
      </c>
      <c r="B18" s="263" t="s">
        <v>84</v>
      </c>
      <c r="C18" s="30" t="s">
        <v>289</v>
      </c>
      <c r="D18" s="74" t="s">
        <v>259</v>
      </c>
      <c r="E18" s="74">
        <v>50.5</v>
      </c>
      <c r="F18" s="70">
        <f>12.5*4*1.01</f>
        <v>50.5</v>
      </c>
      <c r="G18" s="70">
        <f t="shared" si="0"/>
        <v>0</v>
      </c>
      <c r="H18" s="88"/>
    </row>
    <row r="19" spans="1:8" ht="25.5" x14ac:dyDescent="0.2">
      <c r="A19" s="378"/>
      <c r="B19" s="383" t="s">
        <v>671</v>
      </c>
      <c r="C19" s="377" t="s">
        <v>557</v>
      </c>
      <c r="D19" s="380" t="s">
        <v>223</v>
      </c>
      <c r="E19" s="379"/>
      <c r="F19" s="381">
        <v>1.2946189166178179</v>
      </c>
      <c r="G19" s="382">
        <f t="shared" si="0"/>
        <v>-1.2946189166178179</v>
      </c>
      <c r="H19" s="380"/>
    </row>
    <row r="20" spans="1:8" ht="25.5" x14ac:dyDescent="0.2">
      <c r="A20" s="378"/>
      <c r="B20" s="383" t="s">
        <v>671</v>
      </c>
      <c r="C20" s="377" t="s">
        <v>558</v>
      </c>
      <c r="D20" s="380" t="s">
        <v>364</v>
      </c>
      <c r="E20" s="379"/>
      <c r="F20" s="381">
        <v>2.2689599999999999</v>
      </c>
      <c r="G20" s="382">
        <f t="shared" si="0"/>
        <v>-2.2689599999999999</v>
      </c>
      <c r="H20" s="380"/>
    </row>
    <row r="21" spans="1:8" ht="25.5" x14ac:dyDescent="0.2">
      <c r="A21" s="378"/>
      <c r="B21" s="383" t="s">
        <v>671</v>
      </c>
      <c r="C21" s="377" t="s">
        <v>372</v>
      </c>
      <c r="D21" s="380" t="s">
        <v>223</v>
      </c>
      <c r="E21" s="379"/>
      <c r="F21" s="381">
        <v>1.5072000000000001</v>
      </c>
      <c r="G21" s="382">
        <f t="shared" si="0"/>
        <v>-1.5072000000000001</v>
      </c>
      <c r="H21" s="380"/>
    </row>
    <row r="22" spans="1:8" ht="38.25" x14ac:dyDescent="0.2">
      <c r="A22" s="378"/>
      <c r="B22" s="383" t="s">
        <v>671</v>
      </c>
      <c r="C22" s="377" t="s">
        <v>544</v>
      </c>
      <c r="D22" s="380" t="s">
        <v>223</v>
      </c>
      <c r="E22" s="379"/>
      <c r="F22" s="381">
        <v>0.25892378332356358</v>
      </c>
      <c r="G22" s="382">
        <f t="shared" si="0"/>
        <v>-0.25892378332356358</v>
      </c>
      <c r="H22" s="380"/>
    </row>
    <row r="23" spans="1:8" ht="24" x14ac:dyDescent="0.2">
      <c r="A23" s="370">
        <v>5</v>
      </c>
      <c r="B23" s="156" t="s">
        <v>86</v>
      </c>
      <c r="C23" s="30" t="s">
        <v>333</v>
      </c>
      <c r="D23" s="74" t="s">
        <v>334</v>
      </c>
      <c r="E23" s="74">
        <v>0.34</v>
      </c>
      <c r="F23" s="160">
        <f>(3.393-(0.1095*0.1095*3.1415*8*4))/10</f>
        <v>0.21876441479999995</v>
      </c>
      <c r="G23" s="160">
        <f t="shared" si="0"/>
        <v>0.12123558520000008</v>
      </c>
      <c r="H23" s="88"/>
    </row>
    <row r="24" spans="1:8" x14ac:dyDescent="0.2">
      <c r="A24" s="370">
        <v>6</v>
      </c>
      <c r="B24" s="29" t="s">
        <v>412</v>
      </c>
      <c r="C24" s="30" t="s">
        <v>306</v>
      </c>
      <c r="D24" s="74" t="s">
        <v>223</v>
      </c>
      <c r="E24" s="27">
        <v>3.4340000000000002</v>
      </c>
      <c r="F24" s="160">
        <v>3.4822630646178174</v>
      </c>
      <c r="G24" s="160">
        <f t="shared" si="0"/>
        <v>-4.8263064617817264E-2</v>
      </c>
      <c r="H24" s="88"/>
    </row>
    <row r="25" spans="1:8" ht="36" x14ac:dyDescent="0.2">
      <c r="A25" s="370">
        <v>7</v>
      </c>
      <c r="B25" s="156" t="s">
        <v>89</v>
      </c>
      <c r="C25" s="30" t="s">
        <v>335</v>
      </c>
      <c r="D25" s="74" t="s">
        <v>336</v>
      </c>
      <c r="E25" s="74">
        <v>3.434E-3</v>
      </c>
      <c r="F25" s="157">
        <f>F24/1000</f>
        <v>3.4822630646178174E-3</v>
      </c>
      <c r="G25" s="157">
        <f t="shared" si="0"/>
        <v>-4.8263064617817385E-5</v>
      </c>
      <c r="H25" s="88"/>
    </row>
    <row r="26" spans="1:8" ht="36" x14ac:dyDescent="0.2">
      <c r="A26" s="370">
        <v>8</v>
      </c>
      <c r="B26" s="155" t="s">
        <v>414</v>
      </c>
      <c r="C26" s="30" t="s">
        <v>472</v>
      </c>
      <c r="D26" s="74" t="s">
        <v>214</v>
      </c>
      <c r="E26" s="74">
        <v>5.4943999999999997</v>
      </c>
      <c r="F26" s="159">
        <f>F25*1600</f>
        <v>5.5716209033885082</v>
      </c>
      <c r="G26" s="159">
        <f t="shared" si="0"/>
        <v>-7.7220903388508511E-2</v>
      </c>
      <c r="H26" s="88"/>
    </row>
    <row r="27" spans="1:8" ht="36" x14ac:dyDescent="0.2">
      <c r="A27" s="370">
        <v>9</v>
      </c>
      <c r="B27" s="156" t="s">
        <v>93</v>
      </c>
      <c r="C27" s="30" t="s">
        <v>337</v>
      </c>
      <c r="D27" s="74" t="s">
        <v>338</v>
      </c>
      <c r="E27" s="74">
        <v>1.7999999999999999E-2</v>
      </c>
      <c r="F27" s="159">
        <f>(0.1015*0.1015*3.1415*2*4)/100</f>
        <v>2.5891614700000003E-3</v>
      </c>
      <c r="G27" s="159">
        <f t="shared" si="0"/>
        <v>1.5410838529999998E-2</v>
      </c>
      <c r="H27" s="88"/>
    </row>
    <row r="28" spans="1:8" ht="36" x14ac:dyDescent="0.2">
      <c r="A28" s="370">
        <v>10</v>
      </c>
      <c r="B28" s="156" t="s">
        <v>98</v>
      </c>
      <c r="C28" s="30" t="s">
        <v>339</v>
      </c>
      <c r="D28" s="74" t="s">
        <v>336</v>
      </c>
      <c r="E28" s="74">
        <v>2E-3</v>
      </c>
      <c r="F28" s="158">
        <f>(F27/10)*(5/6)</f>
        <v>2.1576345583333337E-4</v>
      </c>
      <c r="G28" s="158">
        <f t="shared" si="0"/>
        <v>1.7842365441666666E-3</v>
      </c>
      <c r="H28" s="88"/>
    </row>
    <row r="29" spans="1:8" ht="36" x14ac:dyDescent="0.2">
      <c r="A29" s="370">
        <v>11</v>
      </c>
      <c r="B29" s="155" t="s">
        <v>414</v>
      </c>
      <c r="C29" s="30" t="s">
        <v>472</v>
      </c>
      <c r="D29" s="74" t="s">
        <v>214</v>
      </c>
      <c r="E29" s="74">
        <v>3.2</v>
      </c>
      <c r="F29" s="158">
        <f>F28*1000*1.6</f>
        <v>0.34522152933333339</v>
      </c>
      <c r="G29" s="158">
        <f t="shared" si="0"/>
        <v>2.854778470666667</v>
      </c>
      <c r="H29" s="88"/>
    </row>
    <row r="30" spans="1:8" x14ac:dyDescent="0.2">
      <c r="A30" s="370">
        <v>12</v>
      </c>
      <c r="B30" s="29" t="s">
        <v>412</v>
      </c>
      <c r="C30" s="30" t="s">
        <v>306</v>
      </c>
      <c r="D30" s="74" t="s">
        <v>223</v>
      </c>
      <c r="E30" s="27">
        <v>2</v>
      </c>
      <c r="F30" s="159">
        <f>F28*1000</f>
        <v>0.21576345583333337</v>
      </c>
      <c r="G30" s="159">
        <f t="shared" si="0"/>
        <v>1.7842365441666665</v>
      </c>
      <c r="H30" s="88"/>
    </row>
    <row r="31" spans="1:8" ht="24.75" customHeight="1" x14ac:dyDescent="0.2">
      <c r="A31" s="370">
        <v>13</v>
      </c>
      <c r="B31" s="29" t="s">
        <v>102</v>
      </c>
      <c r="C31" s="30" t="s">
        <v>287</v>
      </c>
      <c r="D31" s="74" t="s">
        <v>218</v>
      </c>
      <c r="E31" s="74">
        <v>4</v>
      </c>
      <c r="F31" s="159">
        <f>(F27*100/6)*1.2</f>
        <v>5.1783229400000005E-2</v>
      </c>
      <c r="G31" s="159">
        <f t="shared" si="0"/>
        <v>3.9482167706000002</v>
      </c>
      <c r="H31" s="88"/>
    </row>
    <row r="32" spans="1:8" ht="12" customHeight="1" x14ac:dyDescent="0.2">
      <c r="A32" s="369"/>
      <c r="B32" s="151"/>
      <c r="C32" s="152" t="s">
        <v>531</v>
      </c>
      <c r="D32" s="151"/>
      <c r="E32" s="151"/>
      <c r="F32" s="153"/>
      <c r="G32" s="153"/>
      <c r="H32" s="154"/>
    </row>
    <row r="33" spans="1:8" ht="36" x14ac:dyDescent="0.2">
      <c r="A33" s="370">
        <v>14</v>
      </c>
      <c r="B33" s="156" t="s">
        <v>111</v>
      </c>
      <c r="C33" s="30" t="s">
        <v>344</v>
      </c>
      <c r="D33" s="74" t="s">
        <v>345</v>
      </c>
      <c r="E33" s="74">
        <v>22</v>
      </c>
      <c r="F33" s="160">
        <f>0.219*3.1415*4*4</f>
        <v>11.007816</v>
      </c>
      <c r="G33" s="160">
        <f t="shared" si="0"/>
        <v>10.992184</v>
      </c>
      <c r="H33" s="88"/>
    </row>
    <row r="34" spans="1:8" ht="36" x14ac:dyDescent="0.2">
      <c r="A34" s="370">
        <v>15</v>
      </c>
      <c r="B34" s="156" t="s">
        <v>114</v>
      </c>
      <c r="C34" s="30" t="s">
        <v>351</v>
      </c>
      <c r="D34" s="74" t="s">
        <v>352</v>
      </c>
      <c r="E34" s="74">
        <v>0.22</v>
      </c>
      <c r="F34" s="160">
        <f>F33/100</f>
        <v>0.11007815999999999</v>
      </c>
      <c r="G34" s="160">
        <f t="shared" si="0"/>
        <v>0.10992184000000001</v>
      </c>
      <c r="H34" s="88"/>
    </row>
    <row r="35" spans="1:8" ht="24" x14ac:dyDescent="0.2">
      <c r="A35" s="370">
        <v>16</v>
      </c>
      <c r="B35" s="156" t="s">
        <v>118</v>
      </c>
      <c r="C35" s="30" t="s">
        <v>349</v>
      </c>
      <c r="D35" s="74" t="s">
        <v>350</v>
      </c>
      <c r="E35" s="27">
        <v>22</v>
      </c>
      <c r="F35" s="160">
        <f>F34*100</f>
        <v>11.007816</v>
      </c>
      <c r="G35" s="160">
        <f t="shared" si="0"/>
        <v>10.992184</v>
      </c>
      <c r="H35" s="89"/>
    </row>
    <row r="36" spans="1:8" ht="36" x14ac:dyDescent="0.2">
      <c r="A36" s="370">
        <v>17</v>
      </c>
      <c r="B36" s="156" t="s">
        <v>122</v>
      </c>
      <c r="C36" s="30" t="s">
        <v>347</v>
      </c>
      <c r="D36" s="74" t="s">
        <v>348</v>
      </c>
      <c r="E36" s="74">
        <v>0.22</v>
      </c>
      <c r="F36" s="160">
        <f>0.219*3.1415*4*4/100</f>
        <v>0.11007815999999999</v>
      </c>
      <c r="G36" s="160">
        <f t="shared" si="0"/>
        <v>0.10992184000000001</v>
      </c>
      <c r="H36" s="88" t="s">
        <v>346</v>
      </c>
    </row>
    <row r="37" spans="1:8" ht="24" x14ac:dyDescent="0.2">
      <c r="A37" s="370">
        <v>18</v>
      </c>
      <c r="B37" s="29" t="s">
        <v>125</v>
      </c>
      <c r="C37" s="30" t="s">
        <v>488</v>
      </c>
      <c r="D37" s="74" t="s">
        <v>218</v>
      </c>
      <c r="E37" s="74">
        <v>7.0000000000000001E-3</v>
      </c>
      <c r="F37" s="159">
        <f>0.32*F35/1000</f>
        <v>3.5225011200000003E-3</v>
      </c>
      <c r="G37" s="159">
        <f t="shared" si="0"/>
        <v>3.4774988799999998E-3</v>
      </c>
      <c r="H37" s="88" t="s">
        <v>353</v>
      </c>
    </row>
    <row r="38" spans="1:8" x14ac:dyDescent="0.2">
      <c r="A38" s="370">
        <v>19</v>
      </c>
      <c r="B38" s="29" t="s">
        <v>126</v>
      </c>
      <c r="C38" s="30" t="s">
        <v>489</v>
      </c>
      <c r="D38" s="74" t="s">
        <v>218</v>
      </c>
      <c r="E38" s="74">
        <v>7.0000000000000001E-3</v>
      </c>
      <c r="F38" s="159">
        <f>F37</f>
        <v>3.5225011200000003E-3</v>
      </c>
      <c r="G38" s="70">
        <f t="shared" si="0"/>
        <v>3.4774988799999998E-3</v>
      </c>
      <c r="H38" s="88"/>
    </row>
    <row r="39" spans="1:8" x14ac:dyDescent="0.2">
      <c r="A39" s="370">
        <v>20</v>
      </c>
      <c r="B39" s="29" t="s">
        <v>127</v>
      </c>
      <c r="C39" s="30" t="s">
        <v>354</v>
      </c>
      <c r="D39" s="74" t="s">
        <v>218</v>
      </c>
      <c r="E39" s="74">
        <v>7.0000000000000001E-3</v>
      </c>
      <c r="F39" s="159">
        <f>F38</f>
        <v>3.5225011200000003E-3</v>
      </c>
      <c r="G39" s="70">
        <f t="shared" si="0"/>
        <v>3.4774988799999998E-3</v>
      </c>
      <c r="H39" s="88"/>
    </row>
    <row r="40" spans="1:8" ht="12" customHeight="1" x14ac:dyDescent="0.2">
      <c r="A40" s="369"/>
      <c r="B40" s="151"/>
      <c r="C40" s="152" t="s">
        <v>530</v>
      </c>
      <c r="D40" s="151"/>
      <c r="E40" s="151"/>
      <c r="F40" s="153"/>
      <c r="G40" s="153"/>
      <c r="H40" s="154"/>
    </row>
    <row r="41" spans="1:8" ht="36" x14ac:dyDescent="0.2">
      <c r="A41" s="370">
        <v>21</v>
      </c>
      <c r="B41" s="156" t="s">
        <v>111</v>
      </c>
      <c r="C41" s="30" t="s">
        <v>344</v>
      </c>
      <c r="D41" s="74" t="s">
        <v>345</v>
      </c>
      <c r="E41" s="74">
        <v>3</v>
      </c>
      <c r="F41" s="160">
        <f>(0.219*3.1415*0.5*4)</f>
        <v>1.375977</v>
      </c>
      <c r="G41" s="160">
        <f t="shared" si="0"/>
        <v>1.624023</v>
      </c>
      <c r="H41" s="88"/>
    </row>
    <row r="42" spans="1:8" ht="36" x14ac:dyDescent="0.2">
      <c r="A42" s="370">
        <v>22</v>
      </c>
      <c r="B42" s="156" t="s">
        <v>114</v>
      </c>
      <c r="C42" s="30" t="s">
        <v>351</v>
      </c>
      <c r="D42" s="74" t="s">
        <v>352</v>
      </c>
      <c r="E42" s="74">
        <v>0.03</v>
      </c>
      <c r="F42" s="160">
        <f>F41/100</f>
        <v>1.3759769999999999E-2</v>
      </c>
      <c r="G42" s="160">
        <f t="shared" si="0"/>
        <v>1.6240230000000001E-2</v>
      </c>
      <c r="H42" s="88"/>
    </row>
    <row r="43" spans="1:8" ht="24" x14ac:dyDescent="0.2">
      <c r="A43" s="370">
        <v>23</v>
      </c>
      <c r="B43" s="156" t="s">
        <v>118</v>
      </c>
      <c r="C43" s="30" t="s">
        <v>349</v>
      </c>
      <c r="D43" s="74" t="s">
        <v>350</v>
      </c>
      <c r="E43" s="27">
        <v>3</v>
      </c>
      <c r="F43" s="160">
        <f>F42*100</f>
        <v>1.375977</v>
      </c>
      <c r="G43" s="160">
        <f t="shared" si="0"/>
        <v>1.624023</v>
      </c>
      <c r="H43" s="88"/>
    </row>
    <row r="44" spans="1:8" ht="36" x14ac:dyDescent="0.2">
      <c r="A44" s="370">
        <v>24</v>
      </c>
      <c r="B44" s="156" t="s">
        <v>128</v>
      </c>
      <c r="C44" s="30" t="s">
        <v>355</v>
      </c>
      <c r="D44" s="74" t="s">
        <v>348</v>
      </c>
      <c r="E44" s="74">
        <v>0.01</v>
      </c>
      <c r="F44" s="160">
        <f>F43/100</f>
        <v>1.3759769999999999E-2</v>
      </c>
      <c r="G44" s="160">
        <f t="shared" si="0"/>
        <v>-3.7597699999999991E-3</v>
      </c>
      <c r="H44" s="88"/>
    </row>
    <row r="45" spans="1:8" ht="24" x14ac:dyDescent="0.2">
      <c r="A45" s="370">
        <v>25</v>
      </c>
      <c r="B45" s="29" t="s">
        <v>132</v>
      </c>
      <c r="C45" s="30" t="s">
        <v>291</v>
      </c>
      <c r="D45" s="74" t="s">
        <v>242</v>
      </c>
      <c r="E45" s="74">
        <v>0.49</v>
      </c>
      <c r="F45" s="160">
        <f>0.49*F44*100</f>
        <v>0.67422872999999994</v>
      </c>
      <c r="G45" s="160">
        <f t="shared" si="0"/>
        <v>-0.18422872999999995</v>
      </c>
      <c r="H45" s="88"/>
    </row>
    <row r="46" spans="1:8" ht="36" x14ac:dyDescent="0.2">
      <c r="A46" s="370">
        <v>26</v>
      </c>
      <c r="B46" s="156" t="s">
        <v>134</v>
      </c>
      <c r="C46" s="30" t="s">
        <v>357</v>
      </c>
      <c r="D46" s="74" t="s">
        <v>348</v>
      </c>
      <c r="E46" s="74">
        <v>0.01</v>
      </c>
      <c r="F46" s="160">
        <f>F43/100</f>
        <v>1.3759769999999999E-2</v>
      </c>
      <c r="G46" s="160">
        <f t="shared" si="0"/>
        <v>-3.7597699999999991E-3</v>
      </c>
      <c r="H46" s="88" t="s">
        <v>356</v>
      </c>
    </row>
    <row r="47" spans="1:8" ht="36" x14ac:dyDescent="0.2">
      <c r="A47" s="370">
        <v>27</v>
      </c>
      <c r="B47" s="156" t="s">
        <v>137</v>
      </c>
      <c r="C47" s="30" t="s">
        <v>358</v>
      </c>
      <c r="D47" s="74" t="s">
        <v>348</v>
      </c>
      <c r="E47" s="74">
        <v>0.01</v>
      </c>
      <c r="F47" s="160">
        <f>F46</f>
        <v>1.3759769999999999E-2</v>
      </c>
      <c r="G47" s="160">
        <f t="shared" si="0"/>
        <v>-3.7597699999999991E-3</v>
      </c>
      <c r="H47" s="88"/>
    </row>
    <row r="48" spans="1:8" ht="24" x14ac:dyDescent="0.2">
      <c r="A48" s="370">
        <v>28</v>
      </c>
      <c r="B48" s="29" t="s">
        <v>141</v>
      </c>
      <c r="C48" s="30" t="s">
        <v>292</v>
      </c>
      <c r="D48" s="74" t="s">
        <v>242</v>
      </c>
      <c r="E48" s="74">
        <v>0.25</v>
      </c>
      <c r="F48" s="160">
        <v>0.34399425</v>
      </c>
      <c r="G48" s="160">
        <f t="shared" si="0"/>
        <v>-9.3994250000000001E-2</v>
      </c>
      <c r="H48" s="88"/>
    </row>
    <row r="49" spans="1:8" ht="12" customHeight="1" x14ac:dyDescent="0.2">
      <c r="A49" s="369"/>
      <c r="B49" s="151"/>
      <c r="C49" s="152" t="s">
        <v>529</v>
      </c>
      <c r="D49" s="151"/>
      <c r="E49" s="151"/>
      <c r="F49" s="153"/>
      <c r="G49" s="153"/>
      <c r="H49" s="154"/>
    </row>
    <row r="50" spans="1:8" ht="36" x14ac:dyDescent="0.2">
      <c r="A50" s="370">
        <v>29</v>
      </c>
      <c r="B50" s="156" t="s">
        <v>104</v>
      </c>
      <c r="C50" s="30" t="s">
        <v>341</v>
      </c>
      <c r="D50" s="74" t="s">
        <v>342</v>
      </c>
      <c r="E50" s="74">
        <v>0.19500000000000001</v>
      </c>
      <c r="F50" s="160">
        <f>F51*1.04</f>
        <v>0.1949584</v>
      </c>
      <c r="G50" s="160">
        <f t="shared" si="0"/>
        <v>4.1600000000002746E-5</v>
      </c>
      <c r="H50" s="89" t="s">
        <v>340</v>
      </c>
    </row>
    <row r="51" spans="1:8" ht="36" x14ac:dyDescent="0.2">
      <c r="A51" s="370">
        <v>30</v>
      </c>
      <c r="B51" s="156" t="s">
        <v>107</v>
      </c>
      <c r="C51" s="30" t="s">
        <v>343</v>
      </c>
      <c r="D51" s="74" t="s">
        <v>342</v>
      </c>
      <c r="E51" s="74">
        <v>0.187</v>
      </c>
      <c r="F51" s="160">
        <f>((1*31.793+4*3.768)*4)/1000</f>
        <v>0.18745999999999999</v>
      </c>
      <c r="G51" s="160">
        <f t="shared" si="0"/>
        <v>-4.599999999999882E-4</v>
      </c>
      <c r="H51" s="88"/>
    </row>
    <row r="52" spans="1:8" ht="36" x14ac:dyDescent="0.2">
      <c r="A52" s="370">
        <v>31</v>
      </c>
      <c r="B52" s="156" t="s">
        <v>111</v>
      </c>
      <c r="C52" s="30" t="s">
        <v>344</v>
      </c>
      <c r="D52" s="74" t="s">
        <v>345</v>
      </c>
      <c r="E52" s="74">
        <v>6</v>
      </c>
      <c r="F52" s="160">
        <f>4*(0.45*0.45*2+4*0.3*0.2*2)</f>
        <v>3.54</v>
      </c>
      <c r="G52" s="160">
        <f t="shared" si="0"/>
        <v>2.46</v>
      </c>
      <c r="H52" s="88"/>
    </row>
    <row r="53" spans="1:8" ht="36" x14ac:dyDescent="0.2">
      <c r="A53" s="370">
        <v>32</v>
      </c>
      <c r="B53" s="156" t="s">
        <v>114</v>
      </c>
      <c r="C53" s="30" t="s">
        <v>351</v>
      </c>
      <c r="D53" s="74" t="s">
        <v>352</v>
      </c>
      <c r="E53" s="74">
        <v>0.06</v>
      </c>
      <c r="F53" s="160">
        <f>F52/100</f>
        <v>3.5400000000000001E-2</v>
      </c>
      <c r="G53" s="160">
        <f t="shared" si="0"/>
        <v>2.4599999999999997E-2</v>
      </c>
      <c r="H53" s="88"/>
    </row>
    <row r="54" spans="1:8" ht="24" x14ac:dyDescent="0.2">
      <c r="A54" s="370">
        <v>33</v>
      </c>
      <c r="B54" s="156" t="s">
        <v>118</v>
      </c>
      <c r="C54" s="30" t="s">
        <v>349</v>
      </c>
      <c r="D54" s="74" t="s">
        <v>350</v>
      </c>
      <c r="E54" s="27">
        <v>6</v>
      </c>
      <c r="F54" s="160">
        <f>F53*100</f>
        <v>3.54</v>
      </c>
      <c r="G54" s="160">
        <f t="shared" si="0"/>
        <v>2.46</v>
      </c>
      <c r="H54" s="88"/>
    </row>
    <row r="55" spans="1:8" ht="36" x14ac:dyDescent="0.2">
      <c r="A55" s="370">
        <v>34</v>
      </c>
      <c r="B55" s="156" t="s">
        <v>128</v>
      </c>
      <c r="C55" s="30" t="s">
        <v>355</v>
      </c>
      <c r="D55" s="74" t="s">
        <v>348</v>
      </c>
      <c r="E55" s="27">
        <v>0.06</v>
      </c>
      <c r="F55" s="160">
        <f>F54/100</f>
        <v>3.5400000000000001E-2</v>
      </c>
      <c r="G55" s="160">
        <f t="shared" si="0"/>
        <v>2.4599999999999997E-2</v>
      </c>
      <c r="H55" s="88"/>
    </row>
    <row r="56" spans="1:8" ht="24" x14ac:dyDescent="0.2">
      <c r="A56" s="370">
        <v>35</v>
      </c>
      <c r="B56" s="29" t="s">
        <v>132</v>
      </c>
      <c r="C56" s="30" t="s">
        <v>291</v>
      </c>
      <c r="D56" s="74" t="s">
        <v>242</v>
      </c>
      <c r="E56" s="74">
        <v>2.94</v>
      </c>
      <c r="F56" s="160">
        <f>F54*0.49</f>
        <v>1.7345999999999999</v>
      </c>
      <c r="G56" s="160">
        <f t="shared" si="0"/>
        <v>1.2054</v>
      </c>
      <c r="H56" s="88"/>
    </row>
    <row r="57" spans="1:8" ht="36" x14ac:dyDescent="0.2">
      <c r="A57" s="370">
        <v>36</v>
      </c>
      <c r="B57" s="156" t="s">
        <v>137</v>
      </c>
      <c r="C57" s="30" t="s">
        <v>358</v>
      </c>
      <c r="D57" s="74" t="s">
        <v>348</v>
      </c>
      <c r="E57" s="27">
        <v>0.06</v>
      </c>
      <c r="F57" s="160">
        <f>F54/100</f>
        <v>3.5400000000000001E-2</v>
      </c>
      <c r="G57" s="160">
        <f t="shared" si="0"/>
        <v>2.4599999999999997E-2</v>
      </c>
      <c r="H57" s="88"/>
    </row>
    <row r="58" spans="1:8" ht="24" x14ac:dyDescent="0.2">
      <c r="A58" s="370">
        <v>37</v>
      </c>
      <c r="B58" s="29" t="s">
        <v>141</v>
      </c>
      <c r="C58" s="30" t="s">
        <v>292</v>
      </c>
      <c r="D58" s="74" t="s">
        <v>242</v>
      </c>
      <c r="E58" s="74">
        <v>1.5</v>
      </c>
      <c r="F58" s="161">
        <f>F54*0.25</f>
        <v>0.88500000000000001</v>
      </c>
      <c r="G58" s="161">
        <f t="shared" si="0"/>
        <v>0.61499999999999999</v>
      </c>
      <c r="H58" s="88"/>
    </row>
    <row r="59" spans="1:8" x14ac:dyDescent="0.2">
      <c r="A59" s="369"/>
      <c r="B59" s="151"/>
      <c r="C59" s="152" t="s">
        <v>528</v>
      </c>
      <c r="D59" s="151"/>
      <c r="E59" s="151"/>
      <c r="F59" s="153"/>
      <c r="G59" s="153"/>
      <c r="H59" s="154"/>
    </row>
    <row r="60" spans="1:8" ht="33" x14ac:dyDescent="0.2">
      <c r="A60" s="370">
        <v>38</v>
      </c>
      <c r="B60" s="156" t="s">
        <v>429</v>
      </c>
      <c r="C60" s="30" t="s">
        <v>490</v>
      </c>
      <c r="D60" s="74" t="s">
        <v>342</v>
      </c>
      <c r="E60" s="74">
        <v>0.53400000000000003</v>
      </c>
      <c r="F60" s="160">
        <v>0.66571259456000009</v>
      </c>
      <c r="G60" s="160">
        <f t="shared" si="0"/>
        <v>-0.13171259456000006</v>
      </c>
      <c r="H60" s="89" t="s">
        <v>340</v>
      </c>
    </row>
    <row r="61" spans="1:8" ht="36" x14ac:dyDescent="0.2">
      <c r="A61" s="370">
        <v>39</v>
      </c>
      <c r="B61" s="156" t="s">
        <v>433</v>
      </c>
      <c r="C61" s="30" t="s">
        <v>491</v>
      </c>
      <c r="D61" s="74" t="s">
        <v>342</v>
      </c>
      <c r="E61" s="74">
        <v>0.51300000000000001</v>
      </c>
      <c r="F61" s="160">
        <v>0.64010826400000009</v>
      </c>
      <c r="G61" s="160">
        <f t="shared" si="0"/>
        <v>-0.12710826400000008</v>
      </c>
      <c r="H61" s="88"/>
    </row>
    <row r="62" spans="1:8" ht="24" x14ac:dyDescent="0.2">
      <c r="A62" s="370">
        <v>40</v>
      </c>
      <c r="B62" s="156" t="s">
        <v>143</v>
      </c>
      <c r="C62" s="30" t="s">
        <v>492</v>
      </c>
      <c r="D62" s="74" t="s">
        <v>359</v>
      </c>
      <c r="E62" s="74">
        <v>0.12</v>
      </c>
      <c r="F62" s="70">
        <v>0.04</v>
      </c>
      <c r="G62" s="70">
        <f t="shared" si="0"/>
        <v>7.9999999999999988E-2</v>
      </c>
      <c r="H62" s="88"/>
    </row>
    <row r="63" spans="1:8" x14ac:dyDescent="0.2">
      <c r="A63" s="370">
        <v>41</v>
      </c>
      <c r="B63" s="29" t="s">
        <v>146</v>
      </c>
      <c r="C63" s="30" t="s">
        <v>286</v>
      </c>
      <c r="D63" s="74" t="s">
        <v>218</v>
      </c>
      <c r="E63" s="74">
        <v>1E-3</v>
      </c>
      <c r="F63" s="160">
        <f>8*2*0.123/1000</f>
        <v>1.9680000000000001E-3</v>
      </c>
      <c r="G63" s="160">
        <f t="shared" si="0"/>
        <v>-9.6800000000000011E-4</v>
      </c>
      <c r="H63" s="88"/>
    </row>
    <row r="64" spans="1:8" x14ac:dyDescent="0.2">
      <c r="A64" s="370">
        <v>42</v>
      </c>
      <c r="B64" s="29" t="s">
        <v>148</v>
      </c>
      <c r="C64" s="30" t="s">
        <v>288</v>
      </c>
      <c r="D64" s="74" t="s">
        <v>242</v>
      </c>
      <c r="E64" s="74">
        <v>0.124</v>
      </c>
      <c r="F64" s="70">
        <f>8*0.031</f>
        <v>0.248</v>
      </c>
      <c r="G64" s="70">
        <f t="shared" si="0"/>
        <v>-0.124</v>
      </c>
      <c r="H64" s="88"/>
    </row>
    <row r="65" spans="1:8" ht="36" x14ac:dyDescent="0.2">
      <c r="A65" s="370">
        <v>43</v>
      </c>
      <c r="B65" s="156" t="s">
        <v>111</v>
      </c>
      <c r="C65" s="30" t="s">
        <v>344</v>
      </c>
      <c r="D65" s="74" t="s">
        <v>345</v>
      </c>
      <c r="E65" s="74">
        <v>15</v>
      </c>
      <c r="F65" s="160">
        <f>(13*0.19782+38.3*(2.8*0.0184)+32.1*(0.3*0.628))*2</f>
        <v>21.185032</v>
      </c>
      <c r="G65" s="160">
        <f t="shared" si="0"/>
        <v>-6.1850319999999996</v>
      </c>
      <c r="H65" s="88"/>
    </row>
    <row r="66" spans="1:8" ht="36" x14ac:dyDescent="0.2">
      <c r="A66" s="370">
        <v>44</v>
      </c>
      <c r="B66" s="156" t="s">
        <v>114</v>
      </c>
      <c r="C66" s="30" t="s">
        <v>351</v>
      </c>
      <c r="D66" s="74" t="s">
        <v>352</v>
      </c>
      <c r="E66" s="74">
        <v>0.15</v>
      </c>
      <c r="F66" s="160">
        <f>F65/100</f>
        <v>0.21185032000000001</v>
      </c>
      <c r="G66" s="160">
        <f t="shared" si="0"/>
        <v>-6.1850320000000014E-2</v>
      </c>
      <c r="H66" s="88"/>
    </row>
    <row r="67" spans="1:8" ht="24" x14ac:dyDescent="0.2">
      <c r="A67" s="370">
        <v>45</v>
      </c>
      <c r="B67" s="156" t="s">
        <v>118</v>
      </c>
      <c r="C67" s="30" t="s">
        <v>349</v>
      </c>
      <c r="D67" s="74" t="s">
        <v>350</v>
      </c>
      <c r="E67" s="27">
        <v>15</v>
      </c>
      <c r="F67" s="160">
        <f>F66*100</f>
        <v>21.185032</v>
      </c>
      <c r="G67" s="160">
        <f t="shared" si="0"/>
        <v>-6.1850319999999996</v>
      </c>
      <c r="H67" s="88"/>
    </row>
    <row r="68" spans="1:8" ht="36" x14ac:dyDescent="0.2">
      <c r="A68" s="370">
        <v>46</v>
      </c>
      <c r="B68" s="156" t="s">
        <v>128</v>
      </c>
      <c r="C68" s="30" t="s">
        <v>355</v>
      </c>
      <c r="D68" s="74" t="s">
        <v>348</v>
      </c>
      <c r="E68" s="27">
        <v>0.15</v>
      </c>
      <c r="F68" s="160">
        <f>F67/100</f>
        <v>0.21185032000000001</v>
      </c>
      <c r="G68" s="160">
        <f t="shared" si="0"/>
        <v>-6.1850320000000014E-2</v>
      </c>
      <c r="H68" s="88"/>
    </row>
    <row r="69" spans="1:8" ht="24" x14ac:dyDescent="0.2">
      <c r="A69" s="370">
        <v>47</v>
      </c>
      <c r="B69" s="29" t="s">
        <v>132</v>
      </c>
      <c r="C69" s="30" t="s">
        <v>291</v>
      </c>
      <c r="D69" s="74" t="s">
        <v>242</v>
      </c>
      <c r="E69" s="74">
        <v>7.35</v>
      </c>
      <c r="F69" s="160">
        <f>F67*0.49</f>
        <v>10.38066568</v>
      </c>
      <c r="G69" s="160">
        <f t="shared" si="0"/>
        <v>-3.0306656800000003</v>
      </c>
      <c r="H69" s="88"/>
    </row>
    <row r="70" spans="1:8" ht="36" x14ac:dyDescent="0.2">
      <c r="A70" s="370">
        <v>48</v>
      </c>
      <c r="B70" s="156" t="s">
        <v>137</v>
      </c>
      <c r="C70" s="30" t="s">
        <v>358</v>
      </c>
      <c r="D70" s="74" t="s">
        <v>348</v>
      </c>
      <c r="E70" s="27">
        <v>0.15</v>
      </c>
      <c r="F70" s="160">
        <f>F68</f>
        <v>0.21185032000000001</v>
      </c>
      <c r="G70" s="160">
        <f t="shared" si="0"/>
        <v>-6.1850320000000014E-2</v>
      </c>
      <c r="H70" s="88"/>
    </row>
    <row r="71" spans="1:8" ht="24" x14ac:dyDescent="0.2">
      <c r="A71" s="370">
        <v>49</v>
      </c>
      <c r="B71" s="29" t="s">
        <v>141</v>
      </c>
      <c r="C71" s="30" t="s">
        <v>292</v>
      </c>
      <c r="D71" s="74" t="s">
        <v>242</v>
      </c>
      <c r="E71" s="74">
        <v>3.75</v>
      </c>
      <c r="F71" s="160">
        <f>0.25*F70*100</f>
        <v>5.2962579999999999</v>
      </c>
      <c r="G71" s="160">
        <f t="shared" si="0"/>
        <v>-1.5462579999999999</v>
      </c>
      <c r="H71" s="88"/>
    </row>
    <row r="72" spans="1:8" ht="12" customHeight="1" x14ac:dyDescent="0.2">
      <c r="A72" s="369"/>
      <c r="B72" s="151"/>
      <c r="C72" s="152" t="s">
        <v>670</v>
      </c>
      <c r="D72" s="151"/>
      <c r="E72" s="151"/>
      <c r="F72" s="153"/>
      <c r="G72" s="153"/>
      <c r="H72" s="154"/>
    </row>
    <row r="73" spans="1:8" ht="24" x14ac:dyDescent="0.2">
      <c r="A73" s="370">
        <v>50</v>
      </c>
      <c r="B73" s="29" t="s">
        <v>439</v>
      </c>
      <c r="C73" s="30" t="s">
        <v>470</v>
      </c>
      <c r="D73" s="74" t="s">
        <v>218</v>
      </c>
      <c r="E73" s="74">
        <v>0.54700000000000004</v>
      </c>
      <c r="F73" s="160">
        <f>(4*31.793+197.82*2)/1000</f>
        <v>0.52281200000000005</v>
      </c>
      <c r="G73" s="160">
        <f t="shared" si="0"/>
        <v>2.4187999999999987E-2</v>
      </c>
      <c r="H73" s="88"/>
    </row>
    <row r="74" spans="1:8" ht="24" x14ac:dyDescent="0.2">
      <c r="A74" s="370">
        <v>51</v>
      </c>
      <c r="B74" s="29" t="s">
        <v>151</v>
      </c>
      <c r="C74" s="30" t="s">
        <v>469</v>
      </c>
      <c r="D74" s="74" t="s">
        <v>218</v>
      </c>
      <c r="E74" s="74">
        <v>6.3E-2</v>
      </c>
      <c r="F74" s="160">
        <f>4*3.768*4/1000</f>
        <v>6.0287999999999994E-2</v>
      </c>
      <c r="G74" s="160">
        <f t="shared" si="0"/>
        <v>2.7120000000000061E-3</v>
      </c>
      <c r="H74" s="88"/>
    </row>
    <row r="75" spans="1:8" x14ac:dyDescent="0.2">
      <c r="A75" s="370">
        <v>52</v>
      </c>
      <c r="B75" s="29" t="s">
        <v>442</v>
      </c>
      <c r="C75" s="30" t="s">
        <v>468</v>
      </c>
      <c r="D75" s="74" t="s">
        <v>218</v>
      </c>
      <c r="E75" s="74">
        <v>3.7999999999999999E-2</v>
      </c>
      <c r="F75" s="160">
        <f>2*18.4*2.8*2/1000</f>
        <v>0.20607999999999999</v>
      </c>
      <c r="G75" s="70">
        <f t="shared" si="0"/>
        <v>-0.16807999999999998</v>
      </c>
      <c r="H75" s="88"/>
    </row>
    <row r="76" spans="1:8" ht="24" x14ac:dyDescent="0.2">
      <c r="A76" s="370">
        <v>53</v>
      </c>
      <c r="B76" s="29" t="s">
        <v>444</v>
      </c>
      <c r="C76" s="30" t="s">
        <v>466</v>
      </c>
      <c r="D76" s="74" t="s">
        <v>467</v>
      </c>
      <c r="E76" s="74">
        <v>2.1999999999999999E-2</v>
      </c>
      <c r="F76" s="160">
        <f>(4*0.533*2)/100</f>
        <v>4.2640000000000004E-2</v>
      </c>
      <c r="G76" s="70">
        <f t="shared" si="0"/>
        <v>-2.0640000000000006E-2</v>
      </c>
      <c r="H76" s="88"/>
    </row>
    <row r="77" spans="1:8" ht="24" x14ac:dyDescent="0.2">
      <c r="A77" s="370">
        <v>54</v>
      </c>
      <c r="B77" s="29" t="s">
        <v>446</v>
      </c>
      <c r="C77" s="30" t="s">
        <v>465</v>
      </c>
      <c r="D77" s="74" t="s">
        <v>218</v>
      </c>
      <c r="E77" s="74">
        <v>0.02</v>
      </c>
      <c r="F77" s="160">
        <f>0.3*62.8*2/1000</f>
        <v>3.7679999999999998E-2</v>
      </c>
      <c r="G77" s="160">
        <f t="shared" si="0"/>
        <v>-1.7679999999999998E-2</v>
      </c>
      <c r="H77" s="88"/>
    </row>
    <row r="78" spans="1:8" ht="12" customHeight="1" x14ac:dyDescent="0.2">
      <c r="A78" s="369"/>
      <c r="B78" s="151"/>
      <c r="C78" s="152" t="s">
        <v>527</v>
      </c>
      <c r="D78" s="151"/>
      <c r="E78" s="151"/>
      <c r="F78" s="153"/>
      <c r="G78" s="153"/>
      <c r="H78" s="154"/>
    </row>
    <row r="79" spans="1:8" x14ac:dyDescent="0.2">
      <c r="A79" s="370">
        <v>55</v>
      </c>
      <c r="B79" s="29" t="s">
        <v>127</v>
      </c>
      <c r="C79" s="30" t="s">
        <v>493</v>
      </c>
      <c r="D79" s="74" t="s">
        <v>218</v>
      </c>
      <c r="E79" s="74">
        <v>52.7</v>
      </c>
      <c r="F79" s="70">
        <v>52.7</v>
      </c>
      <c r="G79" s="70">
        <f t="shared" si="0"/>
        <v>0</v>
      </c>
      <c r="H79" s="88"/>
    </row>
  </sheetData>
  <conditionalFormatting sqref="E15:E18 E23:E79">
    <cfRule type="expression" dxfId="6" priority="2">
      <formula>$E15&gt;$F15</formula>
    </cfRule>
  </conditionalFormatting>
  <conditionalFormatting sqref="F15:F18 F23:F79">
    <cfRule type="expression" dxfId="5" priority="1">
      <formula>$E15&lt;$F15</formula>
    </cfRule>
  </conditionalFormatting>
  <conditionalFormatting sqref="F19:F22">
    <cfRule type="expression" dxfId="4" priority="4">
      <formula>$F19&gt;#REF!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8"/>
  <sheetViews>
    <sheetView topLeftCell="A7" workbookViewId="0">
      <selection activeCell="K24" sqref="K24"/>
    </sheetView>
    <sheetView workbookViewId="1"/>
  </sheetViews>
  <sheetFormatPr defaultRowHeight="12.75" x14ac:dyDescent="0.2"/>
  <cols>
    <col min="1" max="1" width="11.42578125" style="132" customWidth="1"/>
    <col min="2" max="2" width="36" style="133" customWidth="1"/>
    <col min="3" max="3" width="18.140625" style="134" customWidth="1"/>
    <col min="4" max="4" width="9.5703125" style="135" customWidth="1"/>
    <col min="5" max="7" width="10.7109375" style="136" customWidth="1"/>
    <col min="8" max="8" width="15.7109375" style="127" customWidth="1"/>
    <col min="9" max="9" width="9.140625" style="110"/>
    <col min="10" max="10" width="10" style="99" bestFit="1" customWidth="1"/>
    <col min="11" max="11" width="12.85546875" style="99" bestFit="1" customWidth="1"/>
    <col min="12" max="12" width="9.85546875" style="99" bestFit="1" customWidth="1"/>
    <col min="13" max="13" width="11.42578125" style="99" customWidth="1"/>
    <col min="14" max="21" width="9.140625" style="99"/>
    <col min="22" max="16384" width="9.140625" style="137"/>
  </cols>
  <sheetData>
    <row r="2" spans="1:12" s="94" customFormat="1" x14ac:dyDescent="0.2">
      <c r="A2" s="90"/>
      <c r="B2" s="90"/>
      <c r="C2" s="91"/>
      <c r="D2" s="92"/>
      <c r="E2" s="349" t="s">
        <v>494</v>
      </c>
      <c r="F2" s="349"/>
      <c r="G2" s="349"/>
      <c r="H2" s="349"/>
      <c r="I2" s="93"/>
      <c r="J2" s="93"/>
      <c r="K2" s="93"/>
      <c r="L2" s="93"/>
    </row>
    <row r="3" spans="1:12" s="94" customFormat="1" x14ac:dyDescent="0.2">
      <c r="A3" s="90"/>
      <c r="B3" s="90"/>
      <c r="C3" s="91"/>
      <c r="D3" s="92"/>
      <c r="E3" s="95"/>
      <c r="F3" s="95"/>
      <c r="G3" s="95"/>
      <c r="H3" s="96"/>
      <c r="I3" s="93"/>
      <c r="J3" s="93"/>
      <c r="K3" s="93"/>
      <c r="L3" s="93"/>
    </row>
    <row r="4" spans="1:12" s="99" customFormat="1" x14ac:dyDescent="0.2">
      <c r="A4" s="97"/>
      <c r="B4" s="97"/>
      <c r="C4" s="97"/>
      <c r="D4" s="97"/>
      <c r="E4" s="97"/>
      <c r="F4" s="97"/>
      <c r="G4" s="97"/>
      <c r="H4" s="98"/>
      <c r="I4" s="97"/>
    </row>
    <row r="5" spans="1:12" s="99" customFormat="1" ht="13.5" x14ac:dyDescent="0.25">
      <c r="A5" s="100" t="s">
        <v>38</v>
      </c>
      <c r="B5" s="101" t="str">
        <f>VLOOKUP(A5,'0. ОД'!$B$2:$C$7,2,FALSE)</f>
        <v>Пождепо.1 этап строительства. Сооружения пожарного депо.</v>
      </c>
      <c r="C5" s="101"/>
      <c r="D5" s="102"/>
      <c r="E5" s="103"/>
      <c r="F5" s="103"/>
      <c r="G5" s="104"/>
      <c r="H5" s="104"/>
      <c r="I5" s="104"/>
    </row>
    <row r="6" spans="1:12" s="99" customFormat="1" ht="13.5" x14ac:dyDescent="0.25">
      <c r="A6" s="100" t="s">
        <v>35</v>
      </c>
      <c r="B6" s="101" t="str">
        <f>VLOOKUP(A6,'0. ОД'!$B$2:$C$7,2,FALSE)</f>
        <v>0349-Р-001.001.144-АС-10</v>
      </c>
      <c r="C6" s="105"/>
      <c r="D6" s="97"/>
      <c r="E6" s="97"/>
      <c r="F6" s="97"/>
      <c r="G6" s="97"/>
      <c r="H6" s="97"/>
      <c r="I6" s="97"/>
    </row>
    <row r="7" spans="1:12" s="99" customFormat="1" x14ac:dyDescent="0.2">
      <c r="A7" s="106"/>
      <c r="B7" s="107"/>
      <c r="C7" s="106"/>
      <c r="D7" s="108"/>
      <c r="E7" s="109"/>
      <c r="F7" s="109"/>
      <c r="G7" s="109"/>
      <c r="H7" s="109"/>
      <c r="I7" s="110"/>
    </row>
    <row r="8" spans="1:12" s="99" customFormat="1" x14ac:dyDescent="0.2">
      <c r="A8" s="350" t="s">
        <v>495</v>
      </c>
      <c r="B8" s="350"/>
      <c r="C8" s="350"/>
      <c r="D8" s="350"/>
      <c r="E8" s="350"/>
      <c r="F8" s="350"/>
      <c r="G8" s="350"/>
      <c r="H8" s="350"/>
      <c r="I8" s="110"/>
    </row>
    <row r="9" spans="1:12" s="99" customFormat="1" x14ac:dyDescent="0.2">
      <c r="A9" s="111"/>
      <c r="B9" s="112"/>
      <c r="C9" s="113"/>
      <c r="D9" s="114"/>
      <c r="E9" s="115"/>
      <c r="F9" s="115"/>
      <c r="G9" s="115"/>
      <c r="H9" s="116"/>
      <c r="I9" s="110"/>
    </row>
    <row r="10" spans="1:12" s="123" customFormat="1" ht="25.5" x14ac:dyDescent="0.2">
      <c r="A10" s="117" t="s">
        <v>496</v>
      </c>
      <c r="B10" s="118" t="s">
        <v>497</v>
      </c>
      <c r="C10" s="118" t="s">
        <v>498</v>
      </c>
      <c r="D10" s="119" t="s">
        <v>499</v>
      </c>
      <c r="E10" s="120" t="s">
        <v>500</v>
      </c>
      <c r="F10" s="120" t="s">
        <v>501</v>
      </c>
      <c r="G10" s="121" t="s">
        <v>393</v>
      </c>
      <c r="H10" s="121" t="s">
        <v>49</v>
      </c>
      <c r="I10" s="122"/>
    </row>
    <row r="11" spans="1:12" s="123" customFormat="1" x14ac:dyDescent="0.2">
      <c r="A11" s="124" t="s">
        <v>502</v>
      </c>
      <c r="B11" s="124">
        <v>2</v>
      </c>
      <c r="C11" s="124">
        <v>3</v>
      </c>
      <c r="D11" s="125">
        <v>4</v>
      </c>
      <c r="E11" s="125">
        <v>5</v>
      </c>
      <c r="F11" s="125">
        <v>6</v>
      </c>
      <c r="G11" s="125">
        <v>7</v>
      </c>
      <c r="H11" s="125">
        <v>8</v>
      </c>
      <c r="I11" s="122"/>
    </row>
    <row r="12" spans="1:12" s="164" customFormat="1" ht="25.5" x14ac:dyDescent="0.2">
      <c r="A12" s="288" t="s">
        <v>259</v>
      </c>
      <c r="B12" s="194" t="s">
        <v>556</v>
      </c>
      <c r="C12" s="289" t="s">
        <v>378</v>
      </c>
      <c r="D12" s="289" t="s">
        <v>366</v>
      </c>
      <c r="E12" s="290">
        <f>12.5*4*1.01</f>
        <v>50.5</v>
      </c>
      <c r="F12" s="291">
        <v>50.5</v>
      </c>
      <c r="G12" s="290">
        <f>E12-F12</f>
        <v>0</v>
      </c>
      <c r="H12" s="289" t="s">
        <v>595</v>
      </c>
      <c r="I12" s="164">
        <f>F12*41.63</f>
        <v>2102.3150000000001</v>
      </c>
    </row>
    <row r="13" spans="1:12" s="164" customFormat="1" x14ac:dyDescent="0.2">
      <c r="A13" s="288" t="s">
        <v>259</v>
      </c>
      <c r="B13" s="194" t="s">
        <v>306</v>
      </c>
      <c r="C13" s="289"/>
      <c r="D13" s="289" t="s">
        <v>223</v>
      </c>
      <c r="E13" s="292">
        <v>3.4820000000000002</v>
      </c>
      <c r="F13" s="293">
        <v>3.4340000000000002</v>
      </c>
      <c r="G13" s="290">
        <f t="shared" ref="G13:G30" si="0">E13-F13</f>
        <v>4.8000000000000043E-2</v>
      </c>
      <c r="H13" s="289" t="s">
        <v>596</v>
      </c>
    </row>
    <row r="14" spans="1:12" s="164" customFormat="1" x14ac:dyDescent="0.2">
      <c r="A14" s="288" t="s">
        <v>259</v>
      </c>
      <c r="B14" s="194" t="s">
        <v>306</v>
      </c>
      <c r="C14" s="289"/>
      <c r="D14" s="289" t="s">
        <v>223</v>
      </c>
      <c r="E14" s="290">
        <v>0.216</v>
      </c>
      <c r="F14" s="294">
        <v>2</v>
      </c>
      <c r="G14" s="290">
        <f t="shared" si="0"/>
        <v>-1.784</v>
      </c>
      <c r="H14" s="289" t="s">
        <v>597</v>
      </c>
    </row>
    <row r="15" spans="1:12" s="164" customFormat="1" ht="25.5" x14ac:dyDescent="0.2">
      <c r="A15" s="288" t="s">
        <v>259</v>
      </c>
      <c r="B15" s="194" t="s">
        <v>287</v>
      </c>
      <c r="C15" s="289"/>
      <c r="D15" s="289" t="s">
        <v>364</v>
      </c>
      <c r="E15" s="290">
        <v>5.1999999999999998E-2</v>
      </c>
      <c r="F15" s="294">
        <v>4</v>
      </c>
      <c r="G15" s="290">
        <f t="shared" si="0"/>
        <v>-3.948</v>
      </c>
      <c r="H15" s="289" t="s">
        <v>598</v>
      </c>
    </row>
    <row r="16" spans="1:12" s="164" customFormat="1" x14ac:dyDescent="0.2">
      <c r="A16" s="288" t="s">
        <v>259</v>
      </c>
      <c r="B16" s="194" t="s">
        <v>488</v>
      </c>
      <c r="C16" s="289"/>
      <c r="D16" s="289" t="s">
        <v>242</v>
      </c>
      <c r="E16" s="241">
        <v>3.52</v>
      </c>
      <c r="F16" s="295">
        <v>7</v>
      </c>
      <c r="G16" s="290">
        <f t="shared" si="0"/>
        <v>-3.48</v>
      </c>
      <c r="H16" s="296" t="s">
        <v>599</v>
      </c>
    </row>
    <row r="17" spans="1:8" s="164" customFormat="1" ht="25.5" x14ac:dyDescent="0.2">
      <c r="A17" s="288" t="s">
        <v>259</v>
      </c>
      <c r="B17" s="194" t="s">
        <v>291</v>
      </c>
      <c r="C17" s="289"/>
      <c r="D17" s="289" t="s">
        <v>242</v>
      </c>
      <c r="E17" s="291">
        <v>0.67422872999999994</v>
      </c>
      <c r="F17" s="295">
        <v>0.49</v>
      </c>
      <c r="G17" s="290">
        <f t="shared" si="0"/>
        <v>0.18422872999999995</v>
      </c>
      <c r="H17" s="289" t="s">
        <v>600</v>
      </c>
    </row>
    <row r="18" spans="1:8" s="164" customFormat="1" ht="25.5" x14ac:dyDescent="0.2">
      <c r="A18" s="288" t="s">
        <v>259</v>
      </c>
      <c r="B18" s="194" t="s">
        <v>292</v>
      </c>
      <c r="C18" s="289"/>
      <c r="D18" s="150" t="s">
        <v>242</v>
      </c>
      <c r="E18" s="291">
        <v>0.34399425</v>
      </c>
      <c r="F18" s="295">
        <v>0.25</v>
      </c>
      <c r="G18" s="290">
        <f t="shared" si="0"/>
        <v>9.3994250000000001E-2</v>
      </c>
      <c r="H18" s="289" t="s">
        <v>601</v>
      </c>
    </row>
    <row r="19" spans="1:8" s="164" customFormat="1" ht="25.5" x14ac:dyDescent="0.2">
      <c r="A19" s="288" t="s">
        <v>259</v>
      </c>
      <c r="B19" s="194" t="s">
        <v>586</v>
      </c>
      <c r="C19" s="289" t="s">
        <v>31</v>
      </c>
      <c r="D19" s="289" t="s">
        <v>364</v>
      </c>
      <c r="E19" s="290">
        <f>4*31.793/1000</f>
        <v>0.12717200000000001</v>
      </c>
      <c r="F19" s="291">
        <v>0.12717200000000001</v>
      </c>
      <c r="G19" s="290">
        <f t="shared" si="0"/>
        <v>0</v>
      </c>
      <c r="H19" s="289" t="s">
        <v>602</v>
      </c>
    </row>
    <row r="20" spans="1:8" s="164" customFormat="1" ht="25.5" x14ac:dyDescent="0.2">
      <c r="A20" s="288" t="s">
        <v>259</v>
      </c>
      <c r="B20" s="194" t="s">
        <v>587</v>
      </c>
      <c r="C20" s="289" t="s">
        <v>31</v>
      </c>
      <c r="D20" s="289" t="s">
        <v>364</v>
      </c>
      <c r="E20" s="300">
        <f>4*4*3.768/1000</f>
        <v>6.0287999999999994E-2</v>
      </c>
      <c r="F20" s="293">
        <v>6.3E-2</v>
      </c>
      <c r="G20" s="300">
        <f t="shared" si="0"/>
        <v>-2.7120000000000061E-3</v>
      </c>
      <c r="H20" s="289" t="s">
        <v>603</v>
      </c>
    </row>
    <row r="21" spans="1:8" s="164" customFormat="1" ht="25.5" x14ac:dyDescent="0.2">
      <c r="A21" s="288" t="s">
        <v>259</v>
      </c>
      <c r="B21" s="194" t="s">
        <v>291</v>
      </c>
      <c r="C21" s="289"/>
      <c r="D21" s="289" t="s">
        <v>242</v>
      </c>
      <c r="E21" s="241">
        <v>1.7345999999999999</v>
      </c>
      <c r="F21" s="297">
        <v>2.94</v>
      </c>
      <c r="G21" s="290">
        <f t="shared" si="0"/>
        <v>-1.2054</v>
      </c>
      <c r="H21" s="298" t="s">
        <v>604</v>
      </c>
    </row>
    <row r="22" spans="1:8" s="164" customFormat="1" ht="25.5" x14ac:dyDescent="0.2">
      <c r="A22" s="288" t="s">
        <v>259</v>
      </c>
      <c r="B22" s="194" t="s">
        <v>292</v>
      </c>
      <c r="C22" s="289"/>
      <c r="D22" s="289" t="s">
        <v>242</v>
      </c>
      <c r="E22" s="241">
        <v>2.6550000000000002</v>
      </c>
      <c r="F22" s="297">
        <v>1.5</v>
      </c>
      <c r="G22" s="290">
        <f t="shared" si="0"/>
        <v>1.1550000000000002</v>
      </c>
      <c r="H22" s="298" t="s">
        <v>605</v>
      </c>
    </row>
    <row r="23" spans="1:8" s="164" customFormat="1" ht="25.5" x14ac:dyDescent="0.2">
      <c r="A23" s="288" t="s">
        <v>259</v>
      </c>
      <c r="B23" s="194" t="s">
        <v>588</v>
      </c>
      <c r="C23" s="289" t="s">
        <v>31</v>
      </c>
      <c r="D23" s="289" t="s">
        <v>364</v>
      </c>
      <c r="E23" s="290">
        <f>2*197.82/1000</f>
        <v>0.39563999999999999</v>
      </c>
      <c r="F23" s="291">
        <v>0.41982800000000003</v>
      </c>
      <c r="G23" s="290">
        <f t="shared" si="0"/>
        <v>-2.4188000000000043E-2</v>
      </c>
      <c r="H23" s="289" t="s">
        <v>602</v>
      </c>
    </row>
    <row r="24" spans="1:8" s="164" customFormat="1" ht="25.5" x14ac:dyDescent="0.2">
      <c r="A24" s="288" t="s">
        <v>259</v>
      </c>
      <c r="B24" s="194" t="s">
        <v>589</v>
      </c>
      <c r="C24" s="289" t="s">
        <v>31</v>
      </c>
      <c r="D24" s="289" t="s">
        <v>364</v>
      </c>
      <c r="E24" s="290">
        <f>(2.8*18.4*4)/1000</f>
        <v>0.20607999999999999</v>
      </c>
      <c r="F24" s="291">
        <v>3.7999999999999999E-2</v>
      </c>
      <c r="G24" s="290">
        <f t="shared" si="0"/>
        <v>0.16807999999999998</v>
      </c>
      <c r="H24" s="289" t="s">
        <v>606</v>
      </c>
    </row>
    <row r="25" spans="1:8" s="164" customFormat="1" ht="25.5" x14ac:dyDescent="0.2">
      <c r="A25" s="288" t="s">
        <v>259</v>
      </c>
      <c r="B25" s="194" t="s">
        <v>590</v>
      </c>
      <c r="C25" s="289" t="s">
        <v>31</v>
      </c>
      <c r="D25" s="289" t="s">
        <v>364</v>
      </c>
      <c r="E25" s="290">
        <f>0.3*62.8*2/1000</f>
        <v>3.7679999999999998E-2</v>
      </c>
      <c r="F25" s="291">
        <v>0.02</v>
      </c>
      <c r="G25" s="290">
        <f t="shared" si="0"/>
        <v>1.7679999999999998E-2</v>
      </c>
      <c r="H25" s="289" t="s">
        <v>607</v>
      </c>
    </row>
    <row r="26" spans="1:8" s="164" customFormat="1" ht="25.5" x14ac:dyDescent="0.2">
      <c r="A26" s="288" t="s">
        <v>259</v>
      </c>
      <c r="B26" s="194" t="s">
        <v>591</v>
      </c>
      <c r="C26" s="289" t="s">
        <v>31</v>
      </c>
      <c r="D26" s="289" t="s">
        <v>364</v>
      </c>
      <c r="E26" s="290">
        <f>4*0.533*2/1000</f>
        <v>4.2640000000000004E-3</v>
      </c>
      <c r="F26" s="289">
        <v>2.1999999999999999E-2</v>
      </c>
      <c r="G26" s="290">
        <f t="shared" si="0"/>
        <v>-1.7735999999999998E-2</v>
      </c>
      <c r="H26" s="289" t="s">
        <v>608</v>
      </c>
    </row>
    <row r="27" spans="1:8" s="164" customFormat="1" x14ac:dyDescent="0.2">
      <c r="A27" s="288" t="s">
        <v>259</v>
      </c>
      <c r="B27" s="194" t="s">
        <v>593</v>
      </c>
      <c r="C27" s="289"/>
      <c r="D27" s="289" t="s">
        <v>364</v>
      </c>
      <c r="E27" s="289">
        <v>1.9680000000000001E-3</v>
      </c>
      <c r="F27" s="289">
        <v>1E-3</v>
      </c>
      <c r="G27" s="290">
        <f t="shared" si="0"/>
        <v>9.6800000000000011E-4</v>
      </c>
      <c r="H27" s="289" t="s">
        <v>609</v>
      </c>
    </row>
    <row r="28" spans="1:8" s="164" customFormat="1" x14ac:dyDescent="0.2">
      <c r="A28" s="288" t="s">
        <v>259</v>
      </c>
      <c r="B28" s="194" t="s">
        <v>594</v>
      </c>
      <c r="C28" s="289"/>
      <c r="D28" s="289" t="s">
        <v>242</v>
      </c>
      <c r="E28" s="289">
        <v>0.248</v>
      </c>
      <c r="F28" s="289">
        <v>0.124</v>
      </c>
      <c r="G28" s="290">
        <f t="shared" si="0"/>
        <v>0.124</v>
      </c>
      <c r="H28" s="289" t="s">
        <v>610</v>
      </c>
    </row>
    <row r="29" spans="1:8" s="164" customFormat="1" ht="25.5" x14ac:dyDescent="0.2">
      <c r="A29" s="288" t="s">
        <v>259</v>
      </c>
      <c r="B29" s="194" t="s">
        <v>291</v>
      </c>
      <c r="C29" s="289"/>
      <c r="D29" s="289" t="s">
        <v>242</v>
      </c>
      <c r="E29" s="291">
        <v>10.38066568</v>
      </c>
      <c r="F29" s="289">
        <v>7.35</v>
      </c>
      <c r="G29" s="290">
        <f t="shared" si="0"/>
        <v>3.0306656800000003</v>
      </c>
      <c r="H29" s="289" t="s">
        <v>611</v>
      </c>
    </row>
    <row r="30" spans="1:8" s="164" customFormat="1" ht="25.5" x14ac:dyDescent="0.2">
      <c r="A30" s="288" t="s">
        <v>259</v>
      </c>
      <c r="B30" s="194" t="s">
        <v>292</v>
      </c>
      <c r="C30" s="289"/>
      <c r="D30" s="150" t="s">
        <v>242</v>
      </c>
      <c r="E30" s="291">
        <v>5.2962579999999999</v>
      </c>
      <c r="F30" s="289">
        <v>3.75</v>
      </c>
      <c r="G30" s="290">
        <f t="shared" si="0"/>
        <v>1.5462579999999999</v>
      </c>
      <c r="H30" s="289" t="s">
        <v>612</v>
      </c>
    </row>
    <row r="32" spans="1:8" s="99" customFormat="1" ht="13.5" x14ac:dyDescent="0.2">
      <c r="A32" s="284" t="s">
        <v>503</v>
      </c>
      <c r="B32" s="283"/>
      <c r="C32" s="283"/>
      <c r="D32" s="129"/>
      <c r="E32" s="129"/>
      <c r="F32" s="129"/>
      <c r="G32" s="92"/>
      <c r="H32" s="130"/>
    </row>
    <row r="33" spans="1:8" s="99" customFormat="1" ht="13.5" x14ac:dyDescent="0.2">
      <c r="A33" s="284" t="s">
        <v>551</v>
      </c>
      <c r="B33" s="299"/>
      <c r="C33" s="299"/>
      <c r="D33" s="129"/>
      <c r="E33" s="129"/>
      <c r="F33" s="129"/>
      <c r="G33" s="92"/>
      <c r="H33" s="130"/>
    </row>
    <row r="34" spans="1:8" s="99" customFormat="1" ht="13.5" x14ac:dyDescent="0.2">
      <c r="A34" s="285"/>
      <c r="B34" s="131"/>
      <c r="C34" s="131"/>
      <c r="D34" s="129"/>
      <c r="E34" s="129"/>
      <c r="F34" s="129"/>
      <c r="G34" s="92"/>
      <c r="H34" s="130"/>
    </row>
    <row r="35" spans="1:8" s="99" customFormat="1" ht="13.5" x14ac:dyDescent="0.2">
      <c r="A35" s="284" t="s">
        <v>503</v>
      </c>
      <c r="B35" s="283"/>
      <c r="C35" s="283"/>
      <c r="D35" s="129"/>
      <c r="E35" s="129"/>
      <c r="F35" s="129"/>
      <c r="G35" s="92"/>
      <c r="H35" s="130"/>
    </row>
    <row r="36" spans="1:8" s="99" customFormat="1" ht="13.5" x14ac:dyDescent="0.2">
      <c r="A36" s="284" t="s">
        <v>553</v>
      </c>
      <c r="B36" s="299"/>
      <c r="C36" s="299"/>
      <c r="D36" s="129"/>
      <c r="E36" s="129"/>
      <c r="F36" s="129"/>
      <c r="G36" s="92"/>
      <c r="H36" s="130"/>
    </row>
    <row r="37" spans="1:8" x14ac:dyDescent="0.2">
      <c r="A37" s="286"/>
    </row>
    <row r="38" spans="1:8" x14ac:dyDescent="0.2">
      <c r="A38" s="286"/>
    </row>
  </sheetData>
  <mergeCells count="2">
    <mergeCell ref="E2:H2"/>
    <mergeCell ref="A8:H8"/>
  </mergeCells>
  <conditionalFormatting sqref="E12:E30">
    <cfRule type="expression" dxfId="3" priority="2">
      <formula>$E12&gt;$F12</formula>
    </cfRule>
  </conditionalFormatting>
  <conditionalFormatting sqref="F12:F30">
    <cfRule type="expression" dxfId="2" priority="1">
      <formula>$E12&lt;$F12</formula>
    </cfRule>
  </conditionalFormatting>
  <pageMargins left="0.35433070866141736" right="0.23622047244094491" top="0.43307086614173229" bottom="0.39370078740157483" header="0.31496062992125984" footer="0.31496062992125984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6"/>
  <sheetViews>
    <sheetView workbookViewId="0">
      <selection activeCell="A61" sqref="A61"/>
    </sheetView>
    <sheetView workbookViewId="1"/>
  </sheetViews>
  <sheetFormatPr defaultRowHeight="15" customHeight="1" x14ac:dyDescent="0.2"/>
  <cols>
    <col min="1" max="1" width="11.42578125" style="132" customWidth="1"/>
    <col min="2" max="2" width="54.5703125" style="133" customWidth="1"/>
    <col min="3" max="3" width="6.42578125" style="134" customWidth="1"/>
    <col min="4" max="4" width="7.85546875" style="135" customWidth="1"/>
    <col min="5" max="6" width="10.7109375" style="136" customWidth="1"/>
    <col min="7" max="7" width="7.7109375" style="136" customWidth="1"/>
    <col min="8" max="8" width="19" style="127" customWidth="1"/>
    <col min="9" max="9" width="9.140625" style="110"/>
    <col min="10" max="10" width="10" style="99" bestFit="1" customWidth="1"/>
    <col min="11" max="11" width="12.85546875" style="99" bestFit="1" customWidth="1"/>
    <col min="12" max="12" width="9.85546875" style="99" bestFit="1" customWidth="1"/>
    <col min="13" max="13" width="11.42578125" style="99" customWidth="1"/>
    <col min="14" max="20" width="9.140625" style="99"/>
    <col min="21" max="16384" width="9.140625" style="137"/>
  </cols>
  <sheetData>
    <row r="2" spans="1:16" s="94" customFormat="1" ht="15" customHeight="1" x14ac:dyDescent="0.2">
      <c r="A2" s="90"/>
      <c r="B2" s="90"/>
      <c r="C2" s="91"/>
      <c r="D2" s="92"/>
      <c r="E2" s="349" t="s">
        <v>505</v>
      </c>
      <c r="F2" s="349"/>
      <c r="G2" s="349"/>
      <c r="H2" s="349"/>
      <c r="I2" s="93"/>
      <c r="J2" s="93"/>
      <c r="K2" s="93"/>
      <c r="L2" s="93"/>
      <c r="P2" s="99"/>
    </row>
    <row r="3" spans="1:16" s="94" customFormat="1" ht="15" customHeight="1" x14ac:dyDescent="0.2">
      <c r="A3" s="90"/>
      <c r="B3" s="90"/>
      <c r="C3" s="91"/>
      <c r="D3" s="92"/>
      <c r="E3" s="95"/>
      <c r="F3" s="95"/>
      <c r="G3" s="95"/>
      <c r="H3" s="96"/>
      <c r="I3" s="93"/>
      <c r="J3" s="93"/>
      <c r="K3" s="93"/>
      <c r="L3" s="93"/>
    </row>
    <row r="4" spans="1:16" s="99" customFormat="1" ht="15" customHeight="1" x14ac:dyDescent="0.2">
      <c r="A4" s="97"/>
      <c r="B4" s="97"/>
      <c r="C4" s="351" t="s">
        <v>506</v>
      </c>
      <c r="D4" s="351"/>
      <c r="E4" s="351"/>
      <c r="F4" s="351"/>
      <c r="G4" s="351"/>
      <c r="H4" s="351"/>
      <c r="I4" s="138"/>
      <c r="J4" s="138"/>
      <c r="K4" s="138"/>
      <c r="P4" s="94"/>
    </row>
    <row r="5" spans="1:16" s="99" customFormat="1" ht="15" customHeight="1" x14ac:dyDescent="0.2">
      <c r="A5" s="97"/>
      <c r="B5" s="97"/>
      <c r="C5" s="351" t="s">
        <v>507</v>
      </c>
      <c r="D5" s="351"/>
      <c r="E5" s="351"/>
      <c r="F5" s="351"/>
      <c r="G5" s="351"/>
      <c r="H5" s="351"/>
      <c r="I5" s="138"/>
      <c r="J5" s="138"/>
      <c r="K5" s="138"/>
    </row>
    <row r="6" spans="1:16" s="99" customFormat="1" ht="15" customHeight="1" x14ac:dyDescent="0.2">
      <c r="A6" s="97"/>
      <c r="B6" s="97"/>
      <c r="C6" s="351" t="s">
        <v>508</v>
      </c>
      <c r="D6" s="351"/>
      <c r="E6" s="351"/>
      <c r="F6" s="351"/>
      <c r="G6" s="351"/>
      <c r="H6" s="351"/>
      <c r="I6" s="138"/>
      <c r="J6" s="138"/>
      <c r="K6" s="138"/>
    </row>
    <row r="7" spans="1:16" s="99" customFormat="1" ht="15" customHeight="1" x14ac:dyDescent="0.2">
      <c r="A7" s="97"/>
      <c r="B7" s="97"/>
      <c r="C7" s="351" t="s">
        <v>509</v>
      </c>
      <c r="D7" s="351"/>
      <c r="E7" s="351"/>
      <c r="F7" s="351"/>
      <c r="G7" s="351"/>
      <c r="H7" s="351"/>
      <c r="I7" s="138"/>
      <c r="J7" s="138"/>
      <c r="K7" s="138"/>
    </row>
    <row r="8" spans="1:16" s="99" customFormat="1" ht="15" customHeight="1" x14ac:dyDescent="0.2">
      <c r="A8" s="97"/>
      <c r="B8" s="97"/>
      <c r="C8" s="351" t="s">
        <v>510</v>
      </c>
      <c r="D8" s="351"/>
      <c r="E8" s="351"/>
      <c r="F8" s="351"/>
      <c r="G8" s="351"/>
      <c r="H8" s="351"/>
      <c r="I8" s="138"/>
      <c r="J8" s="138"/>
      <c r="K8" s="138"/>
    </row>
    <row r="9" spans="1:16" s="99" customFormat="1" ht="15" customHeight="1" x14ac:dyDescent="0.2">
      <c r="A9" s="97"/>
      <c r="B9" s="97"/>
      <c r="C9" s="97"/>
      <c r="D9" s="97"/>
      <c r="E9" s="97"/>
      <c r="F9" s="97"/>
      <c r="G9" s="97"/>
      <c r="H9" s="98"/>
      <c r="I9" s="97"/>
    </row>
    <row r="10" spans="1:16" s="99" customFormat="1" ht="15" customHeight="1" x14ac:dyDescent="0.25">
      <c r="A10" s="100" t="s">
        <v>38</v>
      </c>
      <c r="B10" s="101" t="str">
        <f>VLOOKUP(A10,'0. ОД'!$B$2:$C$7,2,FALSE)</f>
        <v>Пождепо.1 этап строительства. Сооружения пожарного депо.</v>
      </c>
      <c r="C10" s="102"/>
      <c r="D10" s="102"/>
      <c r="E10" s="104"/>
      <c r="F10" s="104"/>
      <c r="G10" s="104"/>
      <c r="H10" s="104"/>
      <c r="I10" s="104"/>
    </row>
    <row r="11" spans="1:16" s="99" customFormat="1" ht="15" customHeight="1" x14ac:dyDescent="0.25">
      <c r="A11" s="100" t="s">
        <v>35</v>
      </c>
      <c r="B11" s="101" t="str">
        <f>VLOOKUP(A11,'0. ОД'!$B$2:$C$7,2,FALSE)</f>
        <v>0349-Р-001.001.144-АС-10</v>
      </c>
      <c r="C11" s="97"/>
      <c r="D11" s="97"/>
      <c r="E11" s="97"/>
      <c r="F11" s="97"/>
      <c r="G11" s="97"/>
      <c r="H11" s="97"/>
      <c r="I11" s="97"/>
    </row>
    <row r="12" spans="1:16" s="99" customFormat="1" ht="15" customHeight="1" x14ac:dyDescent="0.2">
      <c r="A12" s="106"/>
      <c r="B12" s="107"/>
      <c r="C12" s="106"/>
      <c r="D12" s="108"/>
      <c r="E12" s="109"/>
      <c r="F12" s="109"/>
      <c r="G12" s="109"/>
      <c r="H12" s="109"/>
      <c r="I12" s="110"/>
    </row>
    <row r="13" spans="1:16" s="99" customFormat="1" ht="15" customHeight="1" x14ac:dyDescent="0.2">
      <c r="A13" s="350" t="s">
        <v>511</v>
      </c>
      <c r="B13" s="350"/>
      <c r="C13" s="350"/>
      <c r="D13" s="350"/>
      <c r="E13" s="350"/>
      <c r="F13" s="350"/>
      <c r="G13" s="350"/>
      <c r="H13" s="350"/>
      <c r="I13" s="110"/>
    </row>
    <row r="14" spans="1:16" s="99" customFormat="1" ht="15" customHeight="1" x14ac:dyDescent="0.2">
      <c r="A14" s="111"/>
      <c r="B14" s="112"/>
      <c r="C14" s="113"/>
      <c r="D14" s="114"/>
      <c r="E14" s="115"/>
      <c r="F14" s="115"/>
      <c r="G14" s="115"/>
      <c r="H14" s="116"/>
      <c r="I14" s="110"/>
    </row>
    <row r="15" spans="1:16" s="123" customFormat="1" ht="25.5" x14ac:dyDescent="0.2">
      <c r="A15" s="117" t="s">
        <v>496</v>
      </c>
      <c r="B15" s="118" t="s">
        <v>512</v>
      </c>
      <c r="C15" s="118" t="s">
        <v>41</v>
      </c>
      <c r="D15" s="119" t="s">
        <v>513</v>
      </c>
      <c r="E15" s="120" t="s">
        <v>514</v>
      </c>
      <c r="F15" s="120" t="s">
        <v>515</v>
      </c>
      <c r="G15" s="121" t="s">
        <v>393</v>
      </c>
      <c r="H15" s="121" t="s">
        <v>49</v>
      </c>
      <c r="I15" s="122"/>
      <c r="P15" s="99"/>
    </row>
    <row r="16" spans="1:16" s="123" customFormat="1" ht="12.75" x14ac:dyDescent="0.2">
      <c r="A16" s="318" t="s">
        <v>502</v>
      </c>
      <c r="B16" s="318">
        <v>2</v>
      </c>
      <c r="C16" s="318">
        <v>3</v>
      </c>
      <c r="D16" s="128">
        <v>4</v>
      </c>
      <c r="E16" s="128">
        <v>5</v>
      </c>
      <c r="F16" s="128">
        <v>6</v>
      </c>
      <c r="G16" s="128">
        <v>7</v>
      </c>
      <c r="H16" s="128">
        <v>8</v>
      </c>
      <c r="I16" s="122"/>
    </row>
    <row r="17" spans="1:16" s="164" customFormat="1" ht="12.75" x14ac:dyDescent="0.2">
      <c r="A17" s="325">
        <v>1</v>
      </c>
      <c r="B17" s="324" t="s">
        <v>554</v>
      </c>
      <c r="C17" s="325"/>
      <c r="D17" s="325"/>
      <c r="E17" s="330"/>
      <c r="F17" s="325"/>
      <c r="G17" s="325"/>
      <c r="H17" s="325"/>
      <c r="P17" s="123"/>
    </row>
    <row r="18" spans="1:16" s="164" customFormat="1" ht="12.75" x14ac:dyDescent="0.2">
      <c r="A18" s="224" t="s">
        <v>365</v>
      </c>
      <c r="B18" s="225" t="s">
        <v>555</v>
      </c>
      <c r="C18" s="195" t="s">
        <v>366</v>
      </c>
      <c r="D18" s="195"/>
      <c r="E18" s="198">
        <f>IFERROR(VLOOKUP(A18,'3.ВО'!$A$14:$E$73,5,FALSE),"")</f>
        <v>48</v>
      </c>
      <c r="F18" s="198">
        <v>48</v>
      </c>
      <c r="G18" s="244">
        <f>IFERROR(E18-F18,E18)</f>
        <v>0</v>
      </c>
      <c r="H18" s="195" t="s">
        <v>613</v>
      </c>
    </row>
    <row r="19" spans="1:16" s="164" customFormat="1" ht="25.5" x14ac:dyDescent="0.2">
      <c r="A19" s="224" t="s">
        <v>368</v>
      </c>
      <c r="B19" s="194" t="s">
        <v>536</v>
      </c>
      <c r="C19" s="195" t="s">
        <v>223</v>
      </c>
      <c r="D19" s="195"/>
      <c r="E19" s="342">
        <f>IFERROR(VLOOKUP(A19,'3.ВО'!$A$14:$E$73,5,FALSE),"")</f>
        <v>3.3928200000000004</v>
      </c>
      <c r="F19" s="198">
        <v>3.4</v>
      </c>
      <c r="G19" s="244">
        <f t="shared" ref="G19:G58" si="0">IFERROR(E19-F19,E19)</f>
        <v>-7.1799999999995201E-3</v>
      </c>
      <c r="H19" s="195" t="s">
        <v>614</v>
      </c>
    </row>
    <row r="20" spans="1:16" s="164" customFormat="1" ht="25.5" x14ac:dyDescent="0.2">
      <c r="A20" s="224" t="s">
        <v>369</v>
      </c>
      <c r="B20" s="194" t="s">
        <v>333</v>
      </c>
      <c r="C20" s="195" t="s">
        <v>223</v>
      </c>
      <c r="D20" s="195"/>
      <c r="E20" s="198">
        <f>IFERROR(VLOOKUP(A20,'3.ВО'!$A$14:$E$73,5,FALSE),"")</f>
        <v>2.1876441479999995</v>
      </c>
      <c r="F20" s="198">
        <v>3.4</v>
      </c>
      <c r="G20" s="244">
        <f t="shared" si="0"/>
        <v>-1.2123558520000004</v>
      </c>
      <c r="H20" s="195" t="s">
        <v>615</v>
      </c>
    </row>
    <row r="21" spans="1:16" s="164" customFormat="1" ht="25.5" x14ac:dyDescent="0.2">
      <c r="A21" s="224" t="s">
        <v>370</v>
      </c>
      <c r="B21" s="194" t="s">
        <v>557</v>
      </c>
      <c r="C21" s="195" t="s">
        <v>223</v>
      </c>
      <c r="D21" s="195"/>
      <c r="E21" s="198">
        <f>IFERROR(VLOOKUP(A21,'3.ВО'!$A$14:$E$73,5,FALSE),"")</f>
        <v>1.2946189166178179</v>
      </c>
      <c r="F21" s="238"/>
      <c r="G21" s="244">
        <f t="shared" si="0"/>
        <v>1.2946189166178179</v>
      </c>
      <c r="H21" s="317" t="s">
        <v>616</v>
      </c>
    </row>
    <row r="22" spans="1:16" s="164" customFormat="1" ht="38.25" x14ac:dyDescent="0.2">
      <c r="A22" s="224" t="s">
        <v>371</v>
      </c>
      <c r="B22" s="194" t="s">
        <v>537</v>
      </c>
      <c r="C22" s="195" t="s">
        <v>223</v>
      </c>
      <c r="D22" s="195"/>
      <c r="E22" s="198">
        <f>IFERROR(VLOOKUP(A22,'3.ВО'!$A$14:$E$73,5,FALSE),"")</f>
        <v>3.4822630646178174</v>
      </c>
      <c r="F22" s="238">
        <v>3.4340000000000002</v>
      </c>
      <c r="G22" s="244">
        <f t="shared" si="0"/>
        <v>4.8263064617817264E-2</v>
      </c>
      <c r="H22" s="317" t="s">
        <v>617</v>
      </c>
    </row>
    <row r="23" spans="1:16" s="164" customFormat="1" ht="12.75" x14ac:dyDescent="0.2">
      <c r="A23" s="224" t="s">
        <v>374</v>
      </c>
      <c r="B23" s="225" t="s">
        <v>558</v>
      </c>
      <c r="C23" s="195" t="s">
        <v>364</v>
      </c>
      <c r="D23" s="195"/>
      <c r="E23" s="198">
        <f>IFERROR(VLOOKUP(A23,'3.ВО'!$A$14:$E$73,5,FALSE),"")</f>
        <v>2.2689599999999999</v>
      </c>
      <c r="F23" s="238"/>
      <c r="G23" s="244">
        <f t="shared" si="0"/>
        <v>2.2689599999999999</v>
      </c>
      <c r="H23" s="317" t="s">
        <v>616</v>
      </c>
    </row>
    <row r="24" spans="1:16" s="164" customFormat="1" ht="12.75" x14ac:dyDescent="0.2">
      <c r="A24" s="224" t="s">
        <v>559</v>
      </c>
      <c r="B24" s="225" t="s">
        <v>372</v>
      </c>
      <c r="C24" s="195" t="s">
        <v>223</v>
      </c>
      <c r="D24" s="195"/>
      <c r="E24" s="198">
        <f>IFERROR(VLOOKUP(A24,'3.ВО'!$A$14:$E$73,5,FALSE),"")</f>
        <v>1.5072000000000001</v>
      </c>
      <c r="F24" s="238"/>
      <c r="G24" s="244">
        <f t="shared" si="0"/>
        <v>1.5072000000000001</v>
      </c>
      <c r="H24" s="317" t="s">
        <v>616</v>
      </c>
    </row>
    <row r="25" spans="1:16" s="164" customFormat="1" ht="38.25" x14ac:dyDescent="0.2">
      <c r="A25" s="224" t="s">
        <v>560</v>
      </c>
      <c r="B25" s="194" t="s">
        <v>542</v>
      </c>
      <c r="C25" s="195" t="s">
        <v>223</v>
      </c>
      <c r="D25" s="195"/>
      <c r="E25" s="198">
        <f>IFERROR(VLOOKUP(A25,'3.ВО'!$A$14:$E$73,5,FALSE),"")</f>
        <v>0.215769819436303</v>
      </c>
      <c r="F25" s="198" t="s">
        <v>563</v>
      </c>
      <c r="G25" s="244">
        <f t="shared" si="0"/>
        <v>0.215769819436303</v>
      </c>
      <c r="H25" s="224" t="s">
        <v>618</v>
      </c>
    </row>
    <row r="26" spans="1:16" s="164" customFormat="1" ht="12.75" x14ac:dyDescent="0.2">
      <c r="A26" s="224" t="s">
        <v>561</v>
      </c>
      <c r="B26" s="194" t="s">
        <v>543</v>
      </c>
      <c r="C26" s="195" t="s">
        <v>223</v>
      </c>
      <c r="D26" s="195"/>
      <c r="E26" s="198">
        <f>IFERROR(VLOOKUP(A26,'3.ВО'!$A$14:$E$73,5,FALSE),"")</f>
        <v>0.25892378332356358</v>
      </c>
      <c r="F26" s="198">
        <v>1.7999999999999998</v>
      </c>
      <c r="G26" s="244">
        <f t="shared" si="0"/>
        <v>-1.5410762166764362</v>
      </c>
      <c r="H26" s="195" t="s">
        <v>619</v>
      </c>
    </row>
    <row r="27" spans="1:16" s="164" customFormat="1" ht="25.5" x14ac:dyDescent="0.2">
      <c r="A27" s="224" t="s">
        <v>562</v>
      </c>
      <c r="B27" s="194" t="s">
        <v>544</v>
      </c>
      <c r="C27" s="195" t="s">
        <v>223</v>
      </c>
      <c r="D27" s="195"/>
      <c r="E27" s="198">
        <f>IFERROR(VLOOKUP(A27,'3.ВО'!$A$14:$E$73,5,FALSE),"")</f>
        <v>0.25892378332356358</v>
      </c>
      <c r="F27" s="238"/>
      <c r="G27" s="244">
        <f t="shared" si="0"/>
        <v>0.25892378332356358</v>
      </c>
      <c r="H27" s="317" t="s">
        <v>616</v>
      </c>
    </row>
    <row r="28" spans="1:16" s="19" customFormat="1" ht="12.75" x14ac:dyDescent="0.2">
      <c r="A28" s="326"/>
      <c r="B28" s="327" t="s">
        <v>531</v>
      </c>
      <c r="C28" s="328"/>
      <c r="D28" s="328"/>
      <c r="E28" s="373" t="str">
        <f>IFERROR(VLOOKUP(A28,'3.ВО'!$A$14:$E$73,5,FALSE),"")</f>
        <v/>
      </c>
      <c r="F28" s="374"/>
      <c r="G28" s="331"/>
      <c r="H28" s="326" t="s">
        <v>616</v>
      </c>
      <c r="P28" s="164"/>
    </row>
    <row r="29" spans="1:16" s="164" customFormat="1" ht="25.5" x14ac:dyDescent="0.2">
      <c r="A29" s="224" t="s">
        <v>565</v>
      </c>
      <c r="B29" s="194" t="s">
        <v>538</v>
      </c>
      <c r="C29" s="195" t="s">
        <v>293</v>
      </c>
      <c r="D29" s="195"/>
      <c r="E29" s="375">
        <f>IFERROR(VLOOKUP(A29,'3.ВО'!$A$14:$E$73,5,FALSE),"")</f>
        <v>11.007816</v>
      </c>
      <c r="F29" s="198">
        <v>22</v>
      </c>
      <c r="G29" s="244">
        <f t="shared" si="0"/>
        <v>-10.992184</v>
      </c>
      <c r="H29" s="287" t="s">
        <v>620</v>
      </c>
      <c r="P29" s="19"/>
    </row>
    <row r="30" spans="1:16" s="164" customFormat="1" ht="25.5" x14ac:dyDescent="0.2">
      <c r="A30" s="224" t="s">
        <v>566</v>
      </c>
      <c r="B30" s="194" t="s">
        <v>539</v>
      </c>
      <c r="C30" s="195" t="s">
        <v>293</v>
      </c>
      <c r="D30" s="195"/>
      <c r="E30" s="342">
        <f>IFERROR(VLOOKUP(A30,'3.ВО'!$A$14:$E$73,5,FALSE),"")</f>
        <v>11.007816</v>
      </c>
      <c r="F30" s="198">
        <v>22</v>
      </c>
      <c r="G30" s="244">
        <f t="shared" si="0"/>
        <v>-10.992184</v>
      </c>
      <c r="H30" s="287" t="s">
        <v>621</v>
      </c>
    </row>
    <row r="31" spans="1:16" s="164" customFormat="1" ht="25.5" x14ac:dyDescent="0.2">
      <c r="A31" s="224" t="s">
        <v>567</v>
      </c>
      <c r="B31" s="194" t="s">
        <v>540</v>
      </c>
      <c r="C31" s="195" t="s">
        <v>293</v>
      </c>
      <c r="D31" s="195"/>
      <c r="E31" s="342">
        <f>IFERROR(VLOOKUP(A31,'3.ВО'!$A$14:$E$73,5,FALSE),"")</f>
        <v>11.007816</v>
      </c>
      <c r="F31" s="198">
        <v>22</v>
      </c>
      <c r="G31" s="244">
        <f t="shared" si="0"/>
        <v>-10.992184</v>
      </c>
      <c r="H31" s="287" t="s">
        <v>622</v>
      </c>
    </row>
    <row r="32" spans="1:16" s="164" customFormat="1" ht="25.5" x14ac:dyDescent="0.2">
      <c r="A32" s="224" t="s">
        <v>568</v>
      </c>
      <c r="B32" s="194" t="s">
        <v>541</v>
      </c>
      <c r="C32" s="195" t="s">
        <v>293</v>
      </c>
      <c r="D32" s="195"/>
      <c r="E32" s="342">
        <f>IFERROR(VLOOKUP(A32,'3.ВО'!$A$14:$E$73,5,FALSE),"")</f>
        <v>11.007816</v>
      </c>
      <c r="F32" s="198">
        <v>22</v>
      </c>
      <c r="G32" s="244">
        <f t="shared" si="0"/>
        <v>-10.992184</v>
      </c>
      <c r="H32" s="287" t="s">
        <v>623</v>
      </c>
    </row>
    <row r="33" spans="1:16" s="164" customFormat="1" ht="12.75" x14ac:dyDescent="0.2">
      <c r="A33" s="323" t="s">
        <v>569</v>
      </c>
      <c r="B33" s="324" t="s">
        <v>530</v>
      </c>
      <c r="C33" s="325"/>
      <c r="D33" s="325"/>
      <c r="E33" s="376"/>
      <c r="F33" s="376"/>
      <c r="G33" s="329"/>
      <c r="H33" s="325" t="s">
        <v>616</v>
      </c>
    </row>
    <row r="34" spans="1:16" s="164" customFormat="1" ht="12.75" x14ac:dyDescent="0.2">
      <c r="A34" s="224" t="s">
        <v>375</v>
      </c>
      <c r="B34" s="194" t="s">
        <v>570</v>
      </c>
      <c r="C34" s="195" t="s">
        <v>293</v>
      </c>
      <c r="D34" s="195"/>
      <c r="E34" s="342">
        <f>IFERROR(VLOOKUP(A34,'3.ВО'!$A$14:$E$73,5,FALSE),"")</f>
        <v>1.375977</v>
      </c>
      <c r="F34" s="198">
        <v>3</v>
      </c>
      <c r="G34" s="244">
        <f t="shared" si="0"/>
        <v>-1.624023</v>
      </c>
      <c r="H34" s="287" t="s">
        <v>624</v>
      </c>
    </row>
    <row r="35" spans="1:16" s="164" customFormat="1" ht="25.5" x14ac:dyDescent="0.2">
      <c r="A35" s="224" t="s">
        <v>376</v>
      </c>
      <c r="B35" s="194" t="s">
        <v>539</v>
      </c>
      <c r="C35" s="195" t="s">
        <v>293</v>
      </c>
      <c r="D35" s="195"/>
      <c r="E35" s="342">
        <f>IFERROR(VLOOKUP(A35,'3.ВО'!$A$14:$E$73,5,FALSE),"")</f>
        <v>1.375977</v>
      </c>
      <c r="F35" s="198">
        <v>3</v>
      </c>
      <c r="G35" s="244">
        <f t="shared" si="0"/>
        <v>-1.624023</v>
      </c>
      <c r="H35" s="287" t="s">
        <v>625</v>
      </c>
    </row>
    <row r="36" spans="1:16" s="164" customFormat="1" ht="25.5" x14ac:dyDescent="0.2">
      <c r="A36" s="224" t="s">
        <v>377</v>
      </c>
      <c r="B36" s="194" t="s">
        <v>540</v>
      </c>
      <c r="C36" s="195" t="s">
        <v>293</v>
      </c>
      <c r="D36" s="195"/>
      <c r="E36" s="342">
        <f>IFERROR(VLOOKUP(A36,'3.ВО'!$A$14:$E$73,5,FALSE),"")</f>
        <v>1.375977</v>
      </c>
      <c r="F36" s="198">
        <v>3</v>
      </c>
      <c r="G36" s="244">
        <f t="shared" si="0"/>
        <v>-1.624023</v>
      </c>
      <c r="H36" s="287" t="s">
        <v>626</v>
      </c>
    </row>
    <row r="37" spans="1:16" s="164" customFormat="1" ht="25.5" x14ac:dyDescent="0.2">
      <c r="A37" s="224" t="s">
        <v>379</v>
      </c>
      <c r="B37" s="194" t="s">
        <v>355</v>
      </c>
      <c r="C37" s="195" t="s">
        <v>293</v>
      </c>
      <c r="D37" s="195"/>
      <c r="E37" s="198">
        <f>IFERROR(VLOOKUP(A37,'3.ВО'!$A$14:$E$73,5,FALSE),"")</f>
        <v>1.375977</v>
      </c>
      <c r="F37" s="198">
        <v>1</v>
      </c>
      <c r="G37" s="244">
        <f t="shared" si="0"/>
        <v>0.37597700000000001</v>
      </c>
      <c r="H37" s="195" t="s">
        <v>627</v>
      </c>
    </row>
    <row r="38" spans="1:16" s="164" customFormat="1" ht="25.5" x14ac:dyDescent="0.2">
      <c r="A38" s="224" t="s">
        <v>380</v>
      </c>
      <c r="B38" s="194" t="s">
        <v>571</v>
      </c>
      <c r="C38" s="195" t="s">
        <v>293</v>
      </c>
      <c r="D38" s="195"/>
      <c r="E38" s="198">
        <f>IFERROR(VLOOKUP(A38,'3.ВО'!$A$14:$E$73,5,FALSE),"")</f>
        <v>1.375977</v>
      </c>
      <c r="F38" s="198">
        <v>1</v>
      </c>
      <c r="G38" s="244">
        <f t="shared" si="0"/>
        <v>0.37597700000000001</v>
      </c>
      <c r="H38" s="195" t="s">
        <v>628</v>
      </c>
    </row>
    <row r="39" spans="1:16" s="164" customFormat="1" ht="25.5" x14ac:dyDescent="0.2">
      <c r="A39" s="224" t="s">
        <v>381</v>
      </c>
      <c r="B39" s="194" t="s">
        <v>358</v>
      </c>
      <c r="C39" s="195" t="s">
        <v>293</v>
      </c>
      <c r="D39" s="195"/>
      <c r="E39" s="198">
        <f>IFERROR(VLOOKUP(A39,'3.ВО'!$A$14:$E$73,5,FALSE),"")</f>
        <v>1.375977</v>
      </c>
      <c r="F39" s="198">
        <v>1</v>
      </c>
      <c r="G39" s="244">
        <f t="shared" si="0"/>
        <v>0.37597700000000001</v>
      </c>
      <c r="H39" s="195" t="s">
        <v>629</v>
      </c>
    </row>
    <row r="40" spans="1:16" s="164" customFormat="1" ht="12.75" x14ac:dyDescent="0.2">
      <c r="A40" s="323" t="s">
        <v>572</v>
      </c>
      <c r="B40" s="324" t="s">
        <v>529</v>
      </c>
      <c r="C40" s="325"/>
      <c r="D40" s="325"/>
      <c r="E40" s="376"/>
      <c r="F40" s="376"/>
      <c r="G40" s="329"/>
      <c r="H40" s="325" t="s">
        <v>616</v>
      </c>
    </row>
    <row r="41" spans="1:16" s="17" customFormat="1" ht="12.75" x14ac:dyDescent="0.2">
      <c r="A41" s="319" t="s">
        <v>573</v>
      </c>
      <c r="B41" s="221" t="s">
        <v>578</v>
      </c>
      <c r="C41" s="222" t="s">
        <v>364</v>
      </c>
      <c r="D41" s="222"/>
      <c r="E41" s="342">
        <f>IFERROR(VLOOKUP(A41,'3.ВО'!$A$14:$E$73,5,FALSE),"")</f>
        <v>0.18745999999999999</v>
      </c>
      <c r="F41" s="341">
        <v>0.187</v>
      </c>
      <c r="G41" s="332">
        <f t="shared" si="0"/>
        <v>4.599999999999882E-4</v>
      </c>
      <c r="H41" s="223" t="s">
        <v>630</v>
      </c>
      <c r="P41" s="164"/>
    </row>
    <row r="42" spans="1:16" s="17" customFormat="1" ht="12.75" x14ac:dyDescent="0.2">
      <c r="A42" s="319" t="s">
        <v>574</v>
      </c>
      <c r="B42" s="221" t="s">
        <v>576</v>
      </c>
      <c r="C42" s="222" t="s">
        <v>364</v>
      </c>
      <c r="D42" s="222"/>
      <c r="E42" s="342">
        <f>IFERROR(VLOOKUP(A42,'3.ВО'!$A$14:$E$73,5,FALSE),"")</f>
        <v>0.19495839999999998</v>
      </c>
      <c r="F42" s="341">
        <v>0.19500000000000001</v>
      </c>
      <c r="G42" s="332">
        <f t="shared" si="0"/>
        <v>-4.1600000000030501E-5</v>
      </c>
      <c r="H42" s="223" t="s">
        <v>631</v>
      </c>
    </row>
    <row r="43" spans="1:16" s="19" customFormat="1" ht="12.75" x14ac:dyDescent="0.2">
      <c r="A43" s="326"/>
      <c r="B43" s="327" t="s">
        <v>583</v>
      </c>
      <c r="C43" s="328"/>
      <c r="D43" s="328"/>
      <c r="E43" s="373" t="str">
        <f>IFERROR(VLOOKUP(A43,'3.ВО'!$A$14:$E$73,5,FALSE),"")</f>
        <v/>
      </c>
      <c r="F43" s="374"/>
      <c r="G43" s="331"/>
      <c r="H43" s="326" t="s">
        <v>616</v>
      </c>
      <c r="P43" s="17"/>
    </row>
    <row r="44" spans="1:16" s="164" customFormat="1" ht="12.75" x14ac:dyDescent="0.2">
      <c r="A44" s="319" t="s">
        <v>575</v>
      </c>
      <c r="B44" s="194" t="s">
        <v>545</v>
      </c>
      <c r="C44" s="195" t="s">
        <v>293</v>
      </c>
      <c r="D44" s="195"/>
      <c r="E44" s="198">
        <f>IFERROR(VLOOKUP(A44,'3.ВО'!$A$14:$E$73,5,FALSE),"")</f>
        <v>3.54</v>
      </c>
      <c r="F44" s="238">
        <v>6</v>
      </c>
      <c r="G44" s="242">
        <f t="shared" si="0"/>
        <v>-2.46</v>
      </c>
      <c r="H44" s="278" t="s">
        <v>632</v>
      </c>
      <c r="P44" s="19"/>
    </row>
    <row r="45" spans="1:16" s="164" customFormat="1" ht="25.5" x14ac:dyDescent="0.2">
      <c r="A45" s="319" t="s">
        <v>579</v>
      </c>
      <c r="B45" s="194" t="s">
        <v>547</v>
      </c>
      <c r="C45" s="195" t="s">
        <v>293</v>
      </c>
      <c r="D45" s="195"/>
      <c r="E45" s="198">
        <f>IFERROR(VLOOKUP(A45,'3.ВО'!$A$14:$E$73,5,FALSE),"")</f>
        <v>3.54</v>
      </c>
      <c r="F45" s="238">
        <v>6</v>
      </c>
      <c r="G45" s="242">
        <f t="shared" si="0"/>
        <v>-2.46</v>
      </c>
      <c r="H45" s="278" t="s">
        <v>633</v>
      </c>
    </row>
    <row r="46" spans="1:16" s="164" customFormat="1" ht="12.75" x14ac:dyDescent="0.2">
      <c r="A46" s="319" t="s">
        <v>580</v>
      </c>
      <c r="B46" s="194" t="s">
        <v>548</v>
      </c>
      <c r="C46" s="195" t="s">
        <v>293</v>
      </c>
      <c r="D46" s="195"/>
      <c r="E46" s="198">
        <f>IFERROR(VLOOKUP(A46,'3.ВО'!$A$14:$E$73,5,FALSE),"")</f>
        <v>3.54</v>
      </c>
      <c r="F46" s="238">
        <v>6</v>
      </c>
      <c r="G46" s="242">
        <f t="shared" si="0"/>
        <v>-2.46</v>
      </c>
      <c r="H46" s="278" t="s">
        <v>634</v>
      </c>
    </row>
    <row r="47" spans="1:16" s="164" customFormat="1" ht="25.5" x14ac:dyDescent="0.2">
      <c r="A47" s="319" t="s">
        <v>581</v>
      </c>
      <c r="B47" s="194" t="s">
        <v>549</v>
      </c>
      <c r="C47" s="195" t="s">
        <v>293</v>
      </c>
      <c r="D47" s="195"/>
      <c r="E47" s="198">
        <f>IFERROR(VLOOKUP(A47,'3.ВО'!$A$14:$E$73,5,FALSE),"")</f>
        <v>3.54</v>
      </c>
      <c r="F47" s="238">
        <v>6</v>
      </c>
      <c r="G47" s="242">
        <f t="shared" si="0"/>
        <v>-2.46</v>
      </c>
      <c r="H47" s="278" t="s">
        <v>635</v>
      </c>
    </row>
    <row r="48" spans="1:16" s="164" customFormat="1" ht="38.25" x14ac:dyDescent="0.2">
      <c r="A48" s="224" t="s">
        <v>582</v>
      </c>
      <c r="B48" s="194" t="s">
        <v>550</v>
      </c>
      <c r="C48" s="195" t="s">
        <v>293</v>
      </c>
      <c r="D48" s="195"/>
      <c r="E48" s="198">
        <f>IFERROR(VLOOKUP(A48,'3.ВО'!$A$14:$E$73,5,FALSE),"")</f>
        <v>3.54</v>
      </c>
      <c r="F48" s="238">
        <v>6</v>
      </c>
      <c r="G48" s="242">
        <f t="shared" si="0"/>
        <v>-2.46</v>
      </c>
      <c r="H48" s="278" t="s">
        <v>636</v>
      </c>
    </row>
    <row r="49" spans="1:16" s="164" customFormat="1" ht="12.75" x14ac:dyDescent="0.2">
      <c r="A49" s="323" t="s">
        <v>19</v>
      </c>
      <c r="B49" s="324" t="s">
        <v>584</v>
      </c>
      <c r="C49" s="325"/>
      <c r="D49" s="325"/>
      <c r="E49" s="376"/>
      <c r="F49" s="376"/>
      <c r="G49" s="329"/>
      <c r="H49" s="325" t="s">
        <v>616</v>
      </c>
    </row>
    <row r="50" spans="1:16" s="17" customFormat="1" ht="12.75" x14ac:dyDescent="0.2">
      <c r="A50" s="319" t="s">
        <v>382</v>
      </c>
      <c r="B50" s="221" t="s">
        <v>585</v>
      </c>
      <c r="C50" s="222" t="s">
        <v>364</v>
      </c>
      <c r="D50" s="222"/>
      <c r="E50" s="342">
        <f>IFERROR(VLOOKUP(A50,'3.ВО'!$A$14:$E$73,5,FALSE),"")</f>
        <v>0.64010826400000009</v>
      </c>
      <c r="F50" s="341">
        <v>0.51300000000000001</v>
      </c>
      <c r="G50" s="332">
        <f t="shared" si="0"/>
        <v>0.12710826400000008</v>
      </c>
      <c r="H50" s="223" t="s">
        <v>637</v>
      </c>
      <c r="P50" s="164"/>
    </row>
    <row r="51" spans="1:16" s="17" customFormat="1" ht="12.75" x14ac:dyDescent="0.2">
      <c r="A51" s="319" t="s">
        <v>383</v>
      </c>
      <c r="B51" s="221" t="s">
        <v>584</v>
      </c>
      <c r="C51" s="222" t="s">
        <v>364</v>
      </c>
      <c r="D51" s="222"/>
      <c r="E51" s="342">
        <f>IFERROR(VLOOKUP(A51,'3.ВО'!$A$14:$E$73,5,FALSE),"")</f>
        <v>0.66571259456000009</v>
      </c>
      <c r="F51" s="341">
        <v>0.53400000000000003</v>
      </c>
      <c r="G51" s="332">
        <f t="shared" si="0"/>
        <v>0.13171259456000006</v>
      </c>
      <c r="H51" s="223" t="s">
        <v>638</v>
      </c>
    </row>
    <row r="52" spans="1:16" s="164" customFormat="1" ht="12.75" x14ac:dyDescent="0.2">
      <c r="A52" s="224" t="s">
        <v>384</v>
      </c>
      <c r="B52" s="194" t="s">
        <v>592</v>
      </c>
      <c r="C52" s="195" t="s">
        <v>535</v>
      </c>
      <c r="D52" s="195"/>
      <c r="E52" s="198">
        <f>IFERROR(VLOOKUP(A52,'3.ВО'!$A$14:$E$73,5,FALSE),"")</f>
        <v>4</v>
      </c>
      <c r="F52" s="198">
        <v>12</v>
      </c>
      <c r="G52" s="244">
        <f t="shared" si="0"/>
        <v>-8</v>
      </c>
      <c r="H52" s="195" t="s">
        <v>639</v>
      </c>
      <c r="P52" s="17"/>
    </row>
    <row r="53" spans="1:16" s="19" customFormat="1" ht="12.75" x14ac:dyDescent="0.2">
      <c r="A53" s="326"/>
      <c r="B53" s="327" t="s">
        <v>583</v>
      </c>
      <c r="C53" s="328"/>
      <c r="D53" s="328"/>
      <c r="E53" s="373" t="str">
        <f>IFERROR(VLOOKUP(A53,'3.ВО'!$A$14:$E$73,5,FALSE),"")</f>
        <v/>
      </c>
      <c r="F53" s="374"/>
      <c r="G53" s="331"/>
      <c r="H53" s="326" t="s">
        <v>616</v>
      </c>
      <c r="P53" s="164"/>
    </row>
    <row r="54" spans="1:16" s="164" customFormat="1" ht="12.75" x14ac:dyDescent="0.2">
      <c r="A54" s="319" t="s">
        <v>385</v>
      </c>
      <c r="B54" s="194" t="s">
        <v>545</v>
      </c>
      <c r="C54" s="195" t="s">
        <v>293</v>
      </c>
      <c r="D54" s="195"/>
      <c r="E54" s="198">
        <f>IFERROR(VLOOKUP(A54,'3.ВО'!$A$14:$E$73,5,FALSE),"")</f>
        <v>21.185032</v>
      </c>
      <c r="F54" s="238">
        <v>15</v>
      </c>
      <c r="G54" s="242">
        <f t="shared" si="0"/>
        <v>6.1850319999999996</v>
      </c>
      <c r="H54" s="278" t="s">
        <v>640</v>
      </c>
      <c r="P54" s="19"/>
    </row>
    <row r="55" spans="1:16" s="164" customFormat="1" ht="25.5" x14ac:dyDescent="0.2">
      <c r="A55" s="319" t="s">
        <v>386</v>
      </c>
      <c r="B55" s="194" t="s">
        <v>547</v>
      </c>
      <c r="C55" s="195" t="s">
        <v>293</v>
      </c>
      <c r="D55" s="195"/>
      <c r="E55" s="198">
        <f>IFERROR(VLOOKUP(A55,'3.ВО'!$A$14:$E$73,5,FALSE),"")</f>
        <v>21.185032</v>
      </c>
      <c r="F55" s="238">
        <v>15</v>
      </c>
      <c r="G55" s="242">
        <f t="shared" si="0"/>
        <v>6.1850319999999996</v>
      </c>
      <c r="H55" s="278" t="s">
        <v>641</v>
      </c>
    </row>
    <row r="56" spans="1:16" s="164" customFormat="1" ht="12.75" x14ac:dyDescent="0.2">
      <c r="A56" s="319" t="s">
        <v>387</v>
      </c>
      <c r="B56" s="194" t="s">
        <v>548</v>
      </c>
      <c r="C56" s="195" t="s">
        <v>293</v>
      </c>
      <c r="D56" s="195"/>
      <c r="E56" s="198">
        <f>IFERROR(VLOOKUP(A56,'3.ВО'!$A$14:$E$73,5,FALSE),"")</f>
        <v>21.185032</v>
      </c>
      <c r="F56" s="238">
        <v>15</v>
      </c>
      <c r="G56" s="242">
        <f t="shared" si="0"/>
        <v>6.1850319999999996</v>
      </c>
      <c r="H56" s="278" t="s">
        <v>642</v>
      </c>
    </row>
    <row r="57" spans="1:16" s="164" customFormat="1" ht="25.5" x14ac:dyDescent="0.2">
      <c r="A57" s="319" t="s">
        <v>388</v>
      </c>
      <c r="B57" s="194" t="s">
        <v>355</v>
      </c>
      <c r="C57" s="195" t="s">
        <v>293</v>
      </c>
      <c r="D57" s="195"/>
      <c r="E57" s="198">
        <f>IFERROR(VLOOKUP(A57,'3.ВО'!$A$14:$E$73,5,FALSE),"")</f>
        <v>21.185032</v>
      </c>
      <c r="F57" s="198">
        <v>15</v>
      </c>
      <c r="G57" s="244">
        <f t="shared" si="0"/>
        <v>6.1850319999999996</v>
      </c>
      <c r="H57" s="195" t="s">
        <v>643</v>
      </c>
    </row>
    <row r="58" spans="1:16" s="164" customFormat="1" ht="25.5" x14ac:dyDescent="0.2">
      <c r="A58" s="224" t="s">
        <v>389</v>
      </c>
      <c r="B58" s="194" t="s">
        <v>358</v>
      </c>
      <c r="C58" s="195" t="s">
        <v>293</v>
      </c>
      <c r="D58" s="195"/>
      <c r="E58" s="198">
        <f>IFERROR(VLOOKUP(A58,'3.ВО'!$A$14:$E$73,5,FALSE),"")</f>
        <v>21.185032</v>
      </c>
      <c r="F58" s="198">
        <v>15</v>
      </c>
      <c r="G58" s="244">
        <f t="shared" si="0"/>
        <v>6.1850319999999996</v>
      </c>
      <c r="H58" s="195" t="s">
        <v>644</v>
      </c>
    </row>
    <row r="59" spans="1:16" ht="15" customHeight="1" x14ac:dyDescent="0.2">
      <c r="P59" s="164"/>
    </row>
    <row r="60" spans="1:16" s="99" customFormat="1" ht="15" customHeight="1" x14ac:dyDescent="0.2">
      <c r="A60" s="284" t="s">
        <v>503</v>
      </c>
      <c r="B60" s="284"/>
      <c r="C60" s="284"/>
      <c r="D60" s="129"/>
      <c r="E60" s="129"/>
      <c r="F60" s="129"/>
      <c r="G60" s="92"/>
      <c r="H60" s="130"/>
    </row>
    <row r="61" spans="1:16" s="99" customFormat="1" ht="15" customHeight="1" x14ac:dyDescent="0.2">
      <c r="A61" s="284" t="s">
        <v>551</v>
      </c>
      <c r="B61" s="322"/>
      <c r="C61" s="284"/>
      <c r="D61" s="129"/>
      <c r="E61" s="129"/>
      <c r="F61" s="129"/>
      <c r="G61" s="92"/>
      <c r="H61" s="130"/>
    </row>
    <row r="62" spans="1:16" s="99" customFormat="1" ht="15" customHeight="1" x14ac:dyDescent="0.2">
      <c r="A62" s="285"/>
      <c r="B62" s="285"/>
      <c r="C62" s="285"/>
      <c r="D62" s="129"/>
      <c r="E62" s="129"/>
      <c r="F62" s="129"/>
      <c r="G62" s="92"/>
      <c r="H62" s="130"/>
    </row>
    <row r="63" spans="1:16" s="99" customFormat="1" ht="15" customHeight="1" x14ac:dyDescent="0.2">
      <c r="A63" s="284" t="s">
        <v>516</v>
      </c>
      <c r="B63" s="284"/>
      <c r="C63" s="284"/>
      <c r="D63" s="129"/>
      <c r="E63" s="129"/>
      <c r="F63" s="129"/>
      <c r="G63" s="92"/>
      <c r="H63" s="130"/>
    </row>
    <row r="64" spans="1:16" s="99" customFormat="1" ht="15" customHeight="1" x14ac:dyDescent="0.2">
      <c r="A64" s="284" t="s">
        <v>552</v>
      </c>
      <c r="B64" s="322"/>
      <c r="C64" s="284"/>
      <c r="D64" s="129"/>
      <c r="E64" s="129"/>
      <c r="F64" s="129"/>
      <c r="G64" s="92"/>
      <c r="H64" s="130"/>
    </row>
    <row r="65" spans="1:8" ht="15" customHeight="1" x14ac:dyDescent="0.2">
      <c r="A65" s="286"/>
      <c r="B65" s="320"/>
      <c r="C65" s="321"/>
    </row>
    <row r="66" spans="1:8" s="99" customFormat="1" ht="15" customHeight="1" x14ac:dyDescent="0.2">
      <c r="A66" s="284" t="s">
        <v>503</v>
      </c>
      <c r="B66" s="284"/>
      <c r="C66" s="284"/>
      <c r="D66" s="129"/>
      <c r="E66" s="129"/>
      <c r="F66" s="129"/>
      <c r="G66" s="92"/>
      <c r="H66" s="130"/>
    </row>
    <row r="67" spans="1:8" s="99" customFormat="1" ht="15" customHeight="1" x14ac:dyDescent="0.2">
      <c r="A67" s="284" t="s">
        <v>553</v>
      </c>
      <c r="B67" s="322"/>
      <c r="C67" s="284"/>
      <c r="D67" s="129"/>
      <c r="E67" s="129"/>
      <c r="F67" s="129"/>
      <c r="G67" s="92"/>
      <c r="H67" s="130"/>
    </row>
    <row r="256" spans="16:16" ht="15" customHeight="1" x14ac:dyDescent="0.2">
      <c r="P256" s="372"/>
    </row>
  </sheetData>
  <mergeCells count="7">
    <mergeCell ref="A13:H13"/>
    <mergeCell ref="C8:H8"/>
    <mergeCell ref="E2:H2"/>
    <mergeCell ref="C4:H4"/>
    <mergeCell ref="C5:H5"/>
    <mergeCell ref="C6:H6"/>
    <mergeCell ref="C7:H7"/>
  </mergeCells>
  <conditionalFormatting sqref="E18:E58">
    <cfRule type="expression" dxfId="1" priority="2">
      <formula>$E18&gt;$F18</formula>
    </cfRule>
  </conditionalFormatting>
  <conditionalFormatting sqref="F18:F58">
    <cfRule type="expression" dxfId="0" priority="1">
      <formula>$E18&lt;$F18</formula>
    </cfRule>
  </conditionalFormatting>
  <pageMargins left="0.35433070866141736" right="0.23622047244094491" top="0.43307086614173229" bottom="0.39370078740157483" header="0.31496062992125984" footer="0.31496062992125984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8"/>
  <sheetViews>
    <sheetView workbookViewId="0">
      <selection activeCell="E4" sqref="E4:H4"/>
    </sheetView>
    <sheetView workbookViewId="1"/>
  </sheetViews>
  <sheetFormatPr defaultRowHeight="12.75" x14ac:dyDescent="0.2"/>
  <cols>
    <col min="1" max="1" width="19" style="90" customWidth="1"/>
    <col min="2" max="2" width="6.7109375" style="90" customWidth="1"/>
    <col min="3" max="3" width="52.28515625" style="139" customWidth="1"/>
    <col min="4" max="4" width="26.140625" style="139" customWidth="1"/>
    <col min="5" max="5" width="9.5703125" style="91" customWidth="1"/>
    <col min="6" max="6" width="10.7109375" style="92" customWidth="1"/>
    <col min="7" max="7" width="8.5703125" style="95" customWidth="1"/>
    <col min="8" max="8" width="12.28515625" style="96" customWidth="1"/>
    <col min="9" max="9" width="9.140625" style="93"/>
    <col min="10" max="14" width="9.140625" style="94"/>
    <col min="15" max="17" width="10" style="94" bestFit="1" customWidth="1"/>
    <col min="18" max="16384" width="9.140625" style="94"/>
  </cols>
  <sheetData>
    <row r="2" spans="1:14" s="93" customFormat="1" x14ac:dyDescent="0.2">
      <c r="A2" s="90"/>
      <c r="B2" s="90"/>
      <c r="C2" s="139"/>
      <c r="D2" s="139"/>
      <c r="E2" s="91"/>
      <c r="F2" s="92"/>
      <c r="G2" s="353" t="s">
        <v>517</v>
      </c>
      <c r="H2" s="353"/>
    </row>
    <row r="4" spans="1:14" s="99" customFormat="1" x14ac:dyDescent="0.2">
      <c r="A4" s="97"/>
      <c r="B4" s="97"/>
      <c r="C4" s="334"/>
      <c r="D4" s="97"/>
      <c r="E4" s="351" t="s">
        <v>506</v>
      </c>
      <c r="F4" s="351"/>
      <c r="G4" s="351"/>
      <c r="H4" s="351"/>
    </row>
    <row r="5" spans="1:14" s="99" customFormat="1" x14ac:dyDescent="0.2">
      <c r="A5" s="97"/>
      <c r="B5" s="97"/>
      <c r="C5" s="334"/>
      <c r="D5" s="97"/>
      <c r="E5" s="351" t="s">
        <v>507</v>
      </c>
      <c r="F5" s="351"/>
      <c r="G5" s="351"/>
      <c r="H5" s="351"/>
    </row>
    <row r="6" spans="1:14" s="99" customFormat="1" x14ac:dyDescent="0.2">
      <c r="A6" s="97"/>
      <c r="B6" s="97"/>
      <c r="C6" s="334"/>
      <c r="D6" s="97"/>
      <c r="E6" s="351" t="s">
        <v>508</v>
      </c>
      <c r="F6" s="351"/>
      <c r="G6" s="351"/>
      <c r="H6" s="351"/>
    </row>
    <row r="7" spans="1:14" s="99" customFormat="1" x14ac:dyDescent="0.2">
      <c r="A7" s="97"/>
      <c r="B7" s="97"/>
      <c r="C7" s="334"/>
      <c r="D7" s="97"/>
      <c r="E7" s="351" t="s">
        <v>509</v>
      </c>
      <c r="F7" s="351"/>
      <c r="G7" s="351"/>
      <c r="H7" s="351"/>
    </row>
    <row r="8" spans="1:14" s="99" customFormat="1" x14ac:dyDescent="0.2">
      <c r="A8" s="97"/>
      <c r="B8" s="97"/>
      <c r="C8" s="334"/>
      <c r="D8" s="97"/>
      <c r="E8" s="351" t="s">
        <v>510</v>
      </c>
      <c r="F8" s="351"/>
      <c r="G8" s="351"/>
      <c r="H8" s="351"/>
    </row>
    <row r="9" spans="1:14" s="99" customFormat="1" x14ac:dyDescent="0.2">
      <c r="A9" s="97"/>
      <c r="B9" s="97"/>
      <c r="C9" s="334"/>
      <c r="D9" s="97"/>
      <c r="E9" s="351" t="s">
        <v>518</v>
      </c>
      <c r="F9" s="351"/>
      <c r="G9" s="351"/>
      <c r="H9" s="351"/>
    </row>
    <row r="10" spans="1:14" s="99" customFormat="1" x14ac:dyDescent="0.2">
      <c r="A10" s="97"/>
      <c r="B10" s="97"/>
      <c r="C10" s="334"/>
      <c r="D10" s="97"/>
      <c r="E10" s="97"/>
      <c r="F10" s="98"/>
      <c r="G10" s="97"/>
      <c r="H10" s="97"/>
      <c r="N10" s="344"/>
    </row>
    <row r="11" spans="1:14" s="99" customFormat="1" ht="13.5" x14ac:dyDescent="0.25">
      <c r="A11" s="100" t="s">
        <v>38</v>
      </c>
      <c r="B11" s="101" t="str">
        <f>VLOOKUP(A11,'0. ОД'!$B$2:$C$7,2,FALSE)</f>
        <v>Пождепо.1 этап строительства. Сооружения пожарного депо.</v>
      </c>
      <c r="C11" s="335"/>
      <c r="D11" s="102"/>
      <c r="E11" s="104"/>
      <c r="F11" s="104"/>
      <c r="G11" s="104"/>
      <c r="H11" s="104"/>
      <c r="N11" s="344"/>
    </row>
    <row r="12" spans="1:14" s="99" customFormat="1" ht="13.5" x14ac:dyDescent="0.25">
      <c r="A12" s="100" t="s">
        <v>35</v>
      </c>
      <c r="B12" s="101" t="str">
        <f>VLOOKUP(A12,'0. ОД'!$B$2:$C$7,2,FALSE)</f>
        <v>0349-Р-001.001.144-АС-10</v>
      </c>
      <c r="C12" s="336"/>
      <c r="D12" s="97"/>
      <c r="E12" s="97"/>
      <c r="F12" s="97"/>
      <c r="G12" s="97"/>
      <c r="H12" s="97"/>
      <c r="N12" s="344"/>
    </row>
    <row r="13" spans="1:14" s="99" customFormat="1" x14ac:dyDescent="0.2">
      <c r="A13" s="140"/>
      <c r="B13" s="140"/>
      <c r="C13" s="334"/>
      <c r="D13" s="97"/>
      <c r="E13" s="97"/>
      <c r="F13" s="97"/>
      <c r="G13" s="97"/>
      <c r="H13" s="97"/>
    </row>
    <row r="14" spans="1:14" s="99" customFormat="1" x14ac:dyDescent="0.2">
      <c r="A14" s="352" t="s">
        <v>519</v>
      </c>
      <c r="B14" s="352"/>
      <c r="C14" s="352"/>
      <c r="D14" s="352"/>
      <c r="E14" s="352"/>
      <c r="F14" s="352"/>
      <c r="G14" s="352"/>
      <c r="H14" s="352"/>
    </row>
    <row r="15" spans="1:14" s="99" customFormat="1" x14ac:dyDescent="0.2">
      <c r="A15" s="141"/>
      <c r="B15" s="141"/>
      <c r="C15" s="141"/>
      <c r="D15" s="141"/>
      <c r="E15" s="141"/>
      <c r="F15" s="141"/>
      <c r="G15" s="141"/>
      <c r="H15" s="141"/>
    </row>
    <row r="16" spans="1:14" s="145" customFormat="1" x14ac:dyDescent="0.2">
      <c r="A16" s="142" t="s">
        <v>520</v>
      </c>
      <c r="B16" s="142" t="s">
        <v>521</v>
      </c>
      <c r="C16" s="143" t="s">
        <v>522</v>
      </c>
      <c r="D16" s="143" t="s">
        <v>523</v>
      </c>
      <c r="E16" s="144" t="s">
        <v>41</v>
      </c>
      <c r="F16" s="126" t="s">
        <v>524</v>
      </c>
      <c r="G16" s="144" t="s">
        <v>525</v>
      </c>
      <c r="H16" s="144" t="s">
        <v>22</v>
      </c>
      <c r="N16" s="99"/>
    </row>
    <row r="17" spans="1:14" s="145" customFormat="1" x14ac:dyDescent="0.2">
      <c r="A17" s="146" t="s">
        <v>502</v>
      </c>
      <c r="B17" s="146">
        <v>2</v>
      </c>
      <c r="C17" s="143">
        <v>3</v>
      </c>
      <c r="D17" s="143">
        <v>4</v>
      </c>
      <c r="E17" s="146">
        <v>5</v>
      </c>
      <c r="F17" s="146">
        <v>6</v>
      </c>
      <c r="G17" s="146">
        <v>7</v>
      </c>
      <c r="H17" s="146">
        <v>8</v>
      </c>
      <c r="N17" s="99"/>
    </row>
    <row r="18" spans="1:14" s="164" customFormat="1" x14ac:dyDescent="0.2">
      <c r="A18" s="333"/>
      <c r="B18" s="224" t="s">
        <v>259</v>
      </c>
      <c r="C18" s="194" t="s">
        <v>652</v>
      </c>
      <c r="D18" s="195" t="s">
        <v>660</v>
      </c>
      <c r="E18" s="195" t="s">
        <v>366</v>
      </c>
      <c r="F18" s="196">
        <v>50</v>
      </c>
      <c r="G18" s="198">
        <v>1.01</v>
      </c>
      <c r="H18" s="198">
        <f t="shared" ref="H18:H31" si="0">F18*G18</f>
        <v>50.5</v>
      </c>
      <c r="J18" s="145"/>
    </row>
    <row r="19" spans="1:14" s="164" customFormat="1" x14ac:dyDescent="0.2">
      <c r="A19" s="333"/>
      <c r="B19" s="224" t="s">
        <v>259</v>
      </c>
      <c r="C19" s="343" t="s">
        <v>653</v>
      </c>
      <c r="D19" s="195" t="s">
        <v>661</v>
      </c>
      <c r="E19" s="195" t="s">
        <v>364</v>
      </c>
      <c r="F19" s="280">
        <v>0.12717200000000001</v>
      </c>
      <c r="G19" s="198">
        <v>1.0369999999999999</v>
      </c>
      <c r="H19" s="198">
        <f t="shared" si="0"/>
        <v>0.131877364</v>
      </c>
    </row>
    <row r="20" spans="1:14" s="164" customFormat="1" x14ac:dyDescent="0.2">
      <c r="A20" s="333"/>
      <c r="B20" s="224" t="s">
        <v>259</v>
      </c>
      <c r="C20" s="343" t="s">
        <v>654</v>
      </c>
      <c r="D20" s="195" t="s">
        <v>661</v>
      </c>
      <c r="E20" s="195" t="s">
        <v>364</v>
      </c>
      <c r="F20" s="280">
        <v>6.0287999999999994E-2</v>
      </c>
      <c r="G20" s="198">
        <v>1.0369999999999999</v>
      </c>
      <c r="H20" s="198">
        <f t="shared" si="0"/>
        <v>6.2518655999999992E-2</v>
      </c>
    </row>
    <row r="21" spans="1:14" s="164" customFormat="1" x14ac:dyDescent="0.2">
      <c r="A21" s="333"/>
      <c r="B21" s="224" t="s">
        <v>259</v>
      </c>
      <c r="C21" s="343" t="s">
        <v>655</v>
      </c>
      <c r="D21" s="195" t="s">
        <v>661</v>
      </c>
      <c r="E21" s="195" t="s">
        <v>364</v>
      </c>
      <c r="F21" s="280">
        <v>0.39563999999999999</v>
      </c>
      <c r="G21" s="198">
        <v>1.0369999999999999</v>
      </c>
      <c r="H21" s="198">
        <f t="shared" si="0"/>
        <v>0.41027867999999995</v>
      </c>
    </row>
    <row r="22" spans="1:14" s="164" customFormat="1" x14ac:dyDescent="0.2">
      <c r="A22" s="333"/>
      <c r="B22" s="224" t="s">
        <v>259</v>
      </c>
      <c r="C22" s="343" t="s">
        <v>656</v>
      </c>
      <c r="D22" s="195" t="s">
        <v>666</v>
      </c>
      <c r="E22" s="195" t="s">
        <v>364</v>
      </c>
      <c r="F22" s="280">
        <v>0.20607999999999999</v>
      </c>
      <c r="G22" s="198">
        <v>1.0369999999999999</v>
      </c>
      <c r="H22" s="198">
        <f t="shared" si="0"/>
        <v>0.21370495999999997</v>
      </c>
    </row>
    <row r="23" spans="1:14" s="164" customFormat="1" x14ac:dyDescent="0.2">
      <c r="A23" s="333"/>
      <c r="B23" s="224" t="s">
        <v>259</v>
      </c>
      <c r="C23" s="343" t="s">
        <v>657</v>
      </c>
      <c r="D23" s="195" t="s">
        <v>662</v>
      </c>
      <c r="E23" s="195" t="s">
        <v>364</v>
      </c>
      <c r="F23" s="281">
        <v>3.4124263999999994E-2</v>
      </c>
      <c r="G23" s="198">
        <v>1.0369999999999999</v>
      </c>
      <c r="H23" s="198">
        <f t="shared" si="0"/>
        <v>3.5386861767999989E-2</v>
      </c>
    </row>
    <row r="24" spans="1:14" s="164" customFormat="1" x14ac:dyDescent="0.2">
      <c r="A24" s="333"/>
      <c r="B24" s="224" t="s">
        <v>259</v>
      </c>
      <c r="C24" s="343" t="s">
        <v>658</v>
      </c>
      <c r="D24" s="195" t="s">
        <v>659</v>
      </c>
      <c r="E24" s="195" t="s">
        <v>364</v>
      </c>
      <c r="F24" s="198">
        <v>4.2640000000000004E-3</v>
      </c>
      <c r="G24" s="198">
        <v>1.0369999999999999</v>
      </c>
      <c r="H24" s="198">
        <f t="shared" si="0"/>
        <v>4.4217680000000004E-3</v>
      </c>
    </row>
    <row r="25" spans="1:14" s="164" customFormat="1" x14ac:dyDescent="0.2">
      <c r="A25" s="333"/>
      <c r="B25" s="224" t="s">
        <v>259</v>
      </c>
      <c r="C25" s="194" t="s">
        <v>665</v>
      </c>
      <c r="D25" s="149" t="s">
        <v>645</v>
      </c>
      <c r="E25" s="195" t="s">
        <v>223</v>
      </c>
      <c r="F25" s="11">
        <v>3.7929624410178202</v>
      </c>
      <c r="G25" s="198">
        <v>1.2</v>
      </c>
      <c r="H25" s="198">
        <f t="shared" si="0"/>
        <v>4.5515549292213837</v>
      </c>
    </row>
    <row r="26" spans="1:14" s="164" customFormat="1" ht="25.5" x14ac:dyDescent="0.2">
      <c r="A26" s="333"/>
      <c r="B26" s="224" t="s">
        <v>259</v>
      </c>
      <c r="C26" s="194" t="s">
        <v>287</v>
      </c>
      <c r="D26" s="338" t="s">
        <v>646</v>
      </c>
      <c r="E26" s="195" t="s">
        <v>364</v>
      </c>
      <c r="F26" s="196">
        <v>5.1783229400000005E-2</v>
      </c>
      <c r="G26" s="198">
        <v>1.1499999999999999</v>
      </c>
      <c r="H26" s="198">
        <f t="shared" si="0"/>
        <v>5.9550713810000003E-2</v>
      </c>
    </row>
    <row r="27" spans="1:14" s="164" customFormat="1" x14ac:dyDescent="0.2">
      <c r="A27" s="333"/>
      <c r="B27" s="224" t="s">
        <v>259</v>
      </c>
      <c r="C27" s="343" t="s">
        <v>650</v>
      </c>
      <c r="D27" s="195" t="s">
        <v>663</v>
      </c>
      <c r="E27" s="195" t="s">
        <v>535</v>
      </c>
      <c r="F27" s="195">
        <v>16</v>
      </c>
      <c r="G27" s="198">
        <v>1</v>
      </c>
      <c r="H27" s="198">
        <f t="shared" si="0"/>
        <v>16</v>
      </c>
    </row>
    <row r="28" spans="1:14" s="164" customFormat="1" x14ac:dyDescent="0.2">
      <c r="A28" s="333"/>
      <c r="B28" s="224" t="s">
        <v>259</v>
      </c>
      <c r="C28" s="343" t="s">
        <v>651</v>
      </c>
      <c r="D28" s="195" t="s">
        <v>664</v>
      </c>
      <c r="E28" s="195" t="s">
        <v>535</v>
      </c>
      <c r="F28" s="195">
        <v>8</v>
      </c>
      <c r="G28" s="198">
        <v>1</v>
      </c>
      <c r="H28" s="198">
        <f t="shared" si="0"/>
        <v>8</v>
      </c>
    </row>
    <row r="29" spans="1:14" s="164" customFormat="1" x14ac:dyDescent="0.2">
      <c r="A29" s="333"/>
      <c r="B29" s="224" t="s">
        <v>259</v>
      </c>
      <c r="C29" s="194" t="s">
        <v>291</v>
      </c>
      <c r="D29" s="195" t="s">
        <v>648</v>
      </c>
      <c r="E29" s="195" t="s">
        <v>242</v>
      </c>
      <c r="F29" s="198">
        <v>12.78949441</v>
      </c>
      <c r="G29" s="198">
        <v>1</v>
      </c>
      <c r="H29" s="198">
        <f t="shared" si="0"/>
        <v>12.78949441</v>
      </c>
    </row>
    <row r="30" spans="1:14" s="164" customFormat="1" x14ac:dyDescent="0.2">
      <c r="A30" s="333"/>
      <c r="B30" s="224" t="s">
        <v>259</v>
      </c>
      <c r="C30" s="194" t="s">
        <v>292</v>
      </c>
      <c r="D30" s="195" t="s">
        <v>649</v>
      </c>
      <c r="E30" s="337" t="s">
        <v>242</v>
      </c>
      <c r="F30" s="198">
        <v>8.2949999999999999</v>
      </c>
      <c r="G30" s="198">
        <v>1</v>
      </c>
      <c r="H30" s="198">
        <f t="shared" si="0"/>
        <v>8.2949999999999999</v>
      </c>
    </row>
    <row r="31" spans="1:14" s="164" customFormat="1" x14ac:dyDescent="0.2">
      <c r="A31" s="333"/>
      <c r="B31" s="224" t="s">
        <v>259</v>
      </c>
      <c r="C31" s="194" t="s">
        <v>488</v>
      </c>
      <c r="D31" s="338" t="s">
        <v>647</v>
      </c>
      <c r="E31" s="195" t="s">
        <v>242</v>
      </c>
      <c r="F31" s="240">
        <v>3.5</v>
      </c>
      <c r="G31" s="198">
        <v>1</v>
      </c>
      <c r="H31" s="198">
        <f t="shared" si="0"/>
        <v>3.5</v>
      </c>
    </row>
    <row r="32" spans="1:14" x14ac:dyDescent="0.2">
      <c r="A32" s="147"/>
      <c r="B32" s="147"/>
      <c r="G32" s="130"/>
      <c r="H32" s="148"/>
    </row>
    <row r="33" spans="1:8" s="99" customFormat="1" ht="13.5" x14ac:dyDescent="0.2">
      <c r="A33" s="284" t="s">
        <v>503</v>
      </c>
      <c r="B33" s="284"/>
      <c r="C33" s="284"/>
      <c r="D33" s="129"/>
      <c r="E33" s="129"/>
      <c r="F33" s="92"/>
      <c r="G33" s="130"/>
      <c r="H33" s="97"/>
    </row>
    <row r="34" spans="1:8" s="99" customFormat="1" ht="13.5" customHeight="1" x14ac:dyDescent="0.2">
      <c r="A34" s="284" t="s">
        <v>551</v>
      </c>
      <c r="B34" s="284"/>
      <c r="C34" s="322"/>
      <c r="D34" s="129"/>
      <c r="E34" s="129"/>
      <c r="F34" s="92"/>
      <c r="G34" s="130"/>
      <c r="H34" s="97"/>
    </row>
    <row r="35" spans="1:8" s="99" customFormat="1" ht="13.5" x14ac:dyDescent="0.2">
      <c r="A35" s="285"/>
      <c r="B35" s="285"/>
      <c r="C35" s="285"/>
      <c r="D35" s="129"/>
      <c r="E35" s="129"/>
      <c r="F35" s="92"/>
      <c r="G35" s="130"/>
      <c r="H35" s="97"/>
    </row>
    <row r="36" spans="1:8" s="99" customFormat="1" ht="13.5" x14ac:dyDescent="0.2">
      <c r="A36" s="284" t="s">
        <v>516</v>
      </c>
      <c r="B36" s="284"/>
      <c r="C36" s="284"/>
      <c r="D36" s="129"/>
      <c r="E36" s="129"/>
      <c r="F36" s="92"/>
      <c r="G36" s="130"/>
      <c r="H36" s="97"/>
    </row>
    <row r="37" spans="1:8" s="99" customFormat="1" ht="13.5" customHeight="1" x14ac:dyDescent="0.2">
      <c r="A37" s="284" t="s">
        <v>552</v>
      </c>
      <c r="B37" s="284"/>
      <c r="C37" s="322"/>
      <c r="D37" s="129"/>
      <c r="E37" s="129"/>
      <c r="F37" s="92"/>
      <c r="G37" s="130"/>
      <c r="H37" s="97"/>
    </row>
    <row r="38" spans="1:8" s="93" customFormat="1" x14ac:dyDescent="0.2">
      <c r="A38" s="339"/>
      <c r="B38" s="339"/>
      <c r="C38" s="340"/>
      <c r="D38" s="139"/>
      <c r="E38" s="91"/>
      <c r="F38" s="92"/>
      <c r="G38" s="130"/>
      <c r="H38" s="148"/>
    </row>
  </sheetData>
  <mergeCells count="8">
    <mergeCell ref="E8:H8"/>
    <mergeCell ref="E9:H9"/>
    <mergeCell ref="A14:H14"/>
    <mergeCell ref="G2:H2"/>
    <mergeCell ref="E4:H4"/>
    <mergeCell ref="E5:H5"/>
    <mergeCell ref="E6:H6"/>
    <mergeCell ref="E7:H7"/>
  </mergeCells>
  <pageMargins left="0.43307086614173229" right="0.27559055118110237" top="0.43307086614173229" bottom="0.35433070866141736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5"/>
  <sheetViews>
    <sheetView workbookViewId="0"/>
    <sheetView workbookViewId="1"/>
  </sheetViews>
  <sheetFormatPr defaultRowHeight="12" x14ac:dyDescent="0.2"/>
  <cols>
    <col min="1" max="1" width="9.140625" style="19"/>
    <col min="2" max="2" width="17" style="19" customWidth="1"/>
    <col min="3" max="3" width="41.42578125" style="19" customWidth="1"/>
    <col min="4" max="16384" width="9.140625" style="19"/>
  </cols>
  <sheetData>
    <row r="2" spans="1:11" x14ac:dyDescent="0.2">
      <c r="A2" s="72"/>
      <c r="B2" s="21"/>
      <c r="C2" s="43"/>
      <c r="D2" s="73" t="s">
        <v>51</v>
      </c>
      <c r="E2" s="43"/>
      <c r="F2" s="44"/>
      <c r="G2" s="44"/>
      <c r="H2" s="44"/>
      <c r="I2" s="83"/>
      <c r="J2" s="83"/>
      <c r="K2" s="83"/>
    </row>
    <row r="3" spans="1:11" x14ac:dyDescent="0.2">
      <c r="A3" s="72"/>
      <c r="B3" s="45"/>
      <c r="C3" s="46"/>
      <c r="D3" s="47" t="s">
        <v>52</v>
      </c>
      <c r="E3" s="48"/>
      <c r="F3" s="49"/>
      <c r="G3" s="50"/>
      <c r="H3" s="83"/>
      <c r="I3" s="83"/>
      <c r="J3" s="83"/>
      <c r="K3" s="83"/>
    </row>
    <row r="4" spans="1:11" x14ac:dyDescent="0.2">
      <c r="A4" s="72"/>
      <c r="B4" s="51"/>
      <c r="C4" s="43"/>
      <c r="D4" s="43"/>
      <c r="E4" s="43"/>
      <c r="F4" s="83"/>
      <c r="G4" s="83"/>
      <c r="H4" s="83"/>
      <c r="I4" s="83"/>
      <c r="J4" s="83"/>
      <c r="K4" s="83"/>
    </row>
    <row r="5" spans="1:11" x14ac:dyDescent="0.2">
      <c r="A5" s="72"/>
      <c r="B5" s="51"/>
      <c r="C5" s="43"/>
      <c r="D5" s="52" t="s">
        <v>397</v>
      </c>
      <c r="E5" s="83"/>
      <c r="F5" s="52"/>
      <c r="G5" s="52"/>
      <c r="H5" s="83"/>
      <c r="I5" s="83"/>
      <c r="J5" s="83"/>
      <c r="K5" s="83"/>
    </row>
    <row r="6" spans="1:11" x14ac:dyDescent="0.2">
      <c r="A6" s="72"/>
      <c r="B6" s="51"/>
      <c r="C6" s="43"/>
      <c r="D6" s="73"/>
      <c r="E6" s="42"/>
      <c r="F6" s="73"/>
      <c r="G6" s="73"/>
      <c r="H6" s="43"/>
      <c r="I6" s="43"/>
      <c r="J6" s="43"/>
      <c r="K6" s="43"/>
    </row>
    <row r="7" spans="1:11" x14ac:dyDescent="0.2">
      <c r="A7" s="72"/>
      <c r="B7" s="51"/>
      <c r="C7" s="43"/>
      <c r="D7" s="43"/>
      <c r="E7" s="43"/>
      <c r="F7" s="43"/>
      <c r="G7" s="43"/>
      <c r="H7" s="43"/>
      <c r="I7" s="43"/>
      <c r="J7" s="43"/>
      <c r="K7" s="43"/>
    </row>
    <row r="8" spans="1:11" x14ac:dyDescent="0.2">
      <c r="A8" s="53" t="s">
        <v>53</v>
      </c>
      <c r="B8" s="55" t="s">
        <v>398</v>
      </c>
      <c r="C8" s="43"/>
      <c r="D8" s="73"/>
      <c r="E8" s="44"/>
      <c r="F8" s="43"/>
      <c r="G8" s="43"/>
      <c r="H8" s="43"/>
      <c r="I8" s="43"/>
      <c r="J8" s="43"/>
      <c r="K8" s="43"/>
    </row>
    <row r="9" spans="1:11" x14ac:dyDescent="0.2">
      <c r="A9" s="72"/>
      <c r="B9" s="84"/>
      <c r="C9" s="46"/>
      <c r="D9" s="47" t="s">
        <v>399</v>
      </c>
      <c r="E9" s="42"/>
      <c r="F9" s="47"/>
      <c r="G9" s="47"/>
      <c r="H9" s="46"/>
      <c r="I9" s="50"/>
      <c r="J9" s="43"/>
      <c r="K9" s="43"/>
    </row>
    <row r="10" spans="1:11" x14ac:dyDescent="0.2">
      <c r="A10" s="51"/>
      <c r="B10" s="54"/>
      <c r="C10" s="43"/>
      <c r="D10" s="43"/>
      <c r="E10" s="43"/>
      <c r="F10" s="43"/>
      <c r="G10" s="43"/>
      <c r="H10" s="43"/>
      <c r="I10" s="43"/>
      <c r="J10" s="43"/>
      <c r="K10" s="43"/>
    </row>
    <row r="11" spans="1:11" x14ac:dyDescent="0.2">
      <c r="A11" s="24"/>
      <c r="B11" s="55" t="s">
        <v>400</v>
      </c>
      <c r="C11" s="56"/>
      <c r="D11" s="50"/>
      <c r="E11" s="50"/>
      <c r="F11" s="57"/>
      <c r="G11" s="57"/>
      <c r="H11" s="58"/>
      <c r="I11" s="43"/>
      <c r="J11" s="43"/>
      <c r="K11" s="43"/>
    </row>
    <row r="12" spans="1:11" x14ac:dyDescent="0.2">
      <c r="A12" s="24"/>
      <c r="B12" s="55" t="s">
        <v>54</v>
      </c>
      <c r="C12" s="59"/>
      <c r="D12" s="364" t="s">
        <v>401</v>
      </c>
      <c r="E12" s="365"/>
      <c r="F12" s="57" t="s">
        <v>55</v>
      </c>
      <c r="G12" s="57"/>
      <c r="H12" s="58"/>
      <c r="I12" s="43"/>
      <c r="J12" s="43"/>
      <c r="K12" s="43"/>
    </row>
    <row r="13" spans="1:11" x14ac:dyDescent="0.2">
      <c r="A13" s="24"/>
      <c r="B13" s="55" t="s">
        <v>56</v>
      </c>
      <c r="C13" s="59"/>
      <c r="D13" s="364" t="s">
        <v>402</v>
      </c>
      <c r="E13" s="365"/>
      <c r="F13" s="57" t="s">
        <v>55</v>
      </c>
      <c r="G13" s="57"/>
      <c r="H13" s="58"/>
      <c r="I13" s="43"/>
      <c r="J13" s="43"/>
      <c r="K13" s="43"/>
    </row>
    <row r="14" spans="1:11" x14ac:dyDescent="0.2">
      <c r="A14" s="24"/>
      <c r="B14" s="55" t="s">
        <v>57</v>
      </c>
      <c r="C14" s="59"/>
      <c r="D14" s="364" t="s">
        <v>403</v>
      </c>
      <c r="E14" s="365"/>
      <c r="F14" s="57" t="s">
        <v>55</v>
      </c>
      <c r="G14" s="57"/>
      <c r="H14" s="58"/>
      <c r="I14" s="43"/>
      <c r="J14" s="43"/>
      <c r="K14" s="43"/>
    </row>
    <row r="15" spans="1:11" x14ac:dyDescent="0.2">
      <c r="A15" s="24"/>
      <c r="B15" s="55" t="s">
        <v>58</v>
      </c>
      <c r="C15" s="59"/>
      <c r="D15" s="364" t="s">
        <v>404</v>
      </c>
      <c r="E15" s="365"/>
      <c r="F15" s="57" t="s">
        <v>55</v>
      </c>
      <c r="G15" s="57"/>
      <c r="H15" s="58"/>
      <c r="I15" s="43"/>
      <c r="J15" s="43"/>
      <c r="K15" s="43"/>
    </row>
    <row r="16" spans="1:11" x14ac:dyDescent="0.2">
      <c r="A16" s="24"/>
      <c r="B16" s="55" t="s">
        <v>59</v>
      </c>
      <c r="C16" s="59"/>
      <c r="D16" s="364" t="s">
        <v>405</v>
      </c>
      <c r="E16" s="365"/>
      <c r="F16" s="57" t="s">
        <v>60</v>
      </c>
      <c r="G16" s="57"/>
      <c r="H16" s="58"/>
      <c r="I16" s="43"/>
      <c r="J16" s="43"/>
      <c r="K16" s="43"/>
    </row>
    <row r="17" spans="1:13" x14ac:dyDescent="0.2">
      <c r="A17" s="24"/>
      <c r="B17" s="60" t="s">
        <v>406</v>
      </c>
      <c r="C17" s="22"/>
      <c r="D17" s="43"/>
      <c r="E17" s="43"/>
      <c r="F17" s="43"/>
      <c r="G17" s="43"/>
      <c r="H17" s="43"/>
      <c r="I17" s="43"/>
      <c r="J17" s="43"/>
      <c r="K17" s="43"/>
    </row>
    <row r="18" spans="1:13" x14ac:dyDescent="0.2">
      <c r="A18" s="24"/>
      <c r="B18" s="25"/>
      <c r="C18" s="23"/>
      <c r="D18" s="73"/>
      <c r="E18" s="43"/>
      <c r="F18" s="43"/>
      <c r="G18" s="43"/>
      <c r="H18" s="43"/>
      <c r="I18" s="43"/>
      <c r="J18" s="43"/>
      <c r="K18" s="43"/>
    </row>
    <row r="19" spans="1:13" x14ac:dyDescent="0.2">
      <c r="A19" s="24"/>
      <c r="B19" s="21"/>
      <c r="C19" s="22"/>
      <c r="D19" s="23"/>
      <c r="E19" s="43"/>
      <c r="F19" s="43"/>
      <c r="G19" s="43"/>
      <c r="H19" s="43"/>
      <c r="I19" s="43"/>
      <c r="J19" s="43"/>
      <c r="K19" s="43"/>
    </row>
    <row r="20" spans="1:13" x14ac:dyDescent="0.2">
      <c r="A20" s="363" t="s">
        <v>61</v>
      </c>
      <c r="B20" s="363" t="s">
        <v>62</v>
      </c>
      <c r="C20" s="362" t="s">
        <v>63</v>
      </c>
      <c r="D20" s="362" t="s">
        <v>64</v>
      </c>
      <c r="E20" s="362" t="s">
        <v>65</v>
      </c>
      <c r="F20" s="362"/>
      <c r="G20" s="362" t="s">
        <v>66</v>
      </c>
      <c r="H20" s="362"/>
      <c r="I20" s="362"/>
      <c r="J20" s="362" t="s">
        <v>67</v>
      </c>
      <c r="K20" s="362"/>
    </row>
    <row r="21" spans="1:13" ht="24" x14ac:dyDescent="0.2">
      <c r="A21" s="363"/>
      <c r="B21" s="363"/>
      <c r="C21" s="362"/>
      <c r="D21" s="362"/>
      <c r="E21" s="74" t="s">
        <v>68</v>
      </c>
      <c r="F21" s="74" t="s">
        <v>69</v>
      </c>
      <c r="G21" s="362" t="s">
        <v>70</v>
      </c>
      <c r="H21" s="362" t="s">
        <v>71</v>
      </c>
      <c r="I21" s="74" t="s">
        <v>72</v>
      </c>
      <c r="J21" s="362"/>
      <c r="K21" s="362"/>
    </row>
    <row r="22" spans="1:13" ht="36" x14ac:dyDescent="0.2">
      <c r="A22" s="363"/>
      <c r="B22" s="363"/>
      <c r="C22" s="362"/>
      <c r="D22" s="362"/>
      <c r="E22" s="74" t="s">
        <v>71</v>
      </c>
      <c r="F22" s="74" t="s">
        <v>73</v>
      </c>
      <c r="G22" s="362"/>
      <c r="H22" s="362"/>
      <c r="I22" s="74" t="s">
        <v>73</v>
      </c>
      <c r="J22" s="74" t="s">
        <v>74</v>
      </c>
      <c r="K22" s="74" t="s">
        <v>68</v>
      </c>
    </row>
    <row r="23" spans="1:13" x14ac:dyDescent="0.2">
      <c r="A23" s="26">
        <v>1</v>
      </c>
      <c r="B23" s="26">
        <v>2</v>
      </c>
      <c r="C23" s="74">
        <v>3</v>
      </c>
      <c r="D23" s="74">
        <v>4</v>
      </c>
      <c r="E23" s="74">
        <v>5</v>
      </c>
      <c r="F23" s="27">
        <v>6</v>
      </c>
      <c r="G23" s="27">
        <v>7</v>
      </c>
      <c r="H23" s="27">
        <v>8</v>
      </c>
      <c r="I23" s="27">
        <v>9</v>
      </c>
      <c r="J23" s="27">
        <v>10</v>
      </c>
      <c r="K23" s="27">
        <v>11</v>
      </c>
    </row>
    <row r="24" spans="1:13" x14ac:dyDescent="0.2">
      <c r="A24" s="354" t="s">
        <v>75</v>
      </c>
      <c r="B24" s="355"/>
      <c r="C24" s="355"/>
      <c r="D24" s="355"/>
      <c r="E24" s="355"/>
      <c r="F24" s="355"/>
      <c r="G24" s="355"/>
      <c r="H24" s="355"/>
      <c r="I24" s="355"/>
      <c r="J24" s="355"/>
      <c r="K24" s="355"/>
    </row>
    <row r="25" spans="1:13" x14ac:dyDescent="0.2">
      <c r="A25" s="359" t="s">
        <v>76</v>
      </c>
      <c r="B25" s="355"/>
      <c r="C25" s="355"/>
      <c r="D25" s="355"/>
      <c r="E25" s="355"/>
      <c r="F25" s="355"/>
      <c r="G25" s="355"/>
      <c r="H25" s="355"/>
      <c r="I25" s="355"/>
      <c r="J25" s="355"/>
      <c r="K25" s="355"/>
    </row>
    <row r="26" spans="1:13" ht="36" x14ac:dyDescent="0.2">
      <c r="A26" s="28">
        <v>1</v>
      </c>
      <c r="B26" s="29" t="s">
        <v>77</v>
      </c>
      <c r="C26" s="30" t="s">
        <v>78</v>
      </c>
      <c r="D26" s="31">
        <v>0.48</v>
      </c>
      <c r="E26" s="61" t="s">
        <v>79</v>
      </c>
      <c r="F26" s="61" t="s">
        <v>80</v>
      </c>
      <c r="G26" s="62">
        <v>3142</v>
      </c>
      <c r="H26" s="62">
        <v>395</v>
      </c>
      <c r="I26" s="61" t="s">
        <v>407</v>
      </c>
      <c r="J26" s="62">
        <v>85.6</v>
      </c>
      <c r="K26" s="62">
        <v>41.09</v>
      </c>
      <c r="M26" s="19">
        <f>INDEX(D26:D86,MATCH(A26,A26:A86,0))</f>
        <v>0.48</v>
      </c>
    </row>
    <row r="27" spans="1:13" ht="24" x14ac:dyDescent="0.2">
      <c r="A27" s="28">
        <v>2</v>
      </c>
      <c r="B27" s="29" t="s">
        <v>81</v>
      </c>
      <c r="C27" s="30" t="s">
        <v>82</v>
      </c>
      <c r="D27" s="32">
        <v>0.54239999999999999</v>
      </c>
      <c r="E27" s="61">
        <v>666.84</v>
      </c>
      <c r="F27" s="61"/>
      <c r="G27" s="62">
        <v>362</v>
      </c>
      <c r="H27" s="61"/>
      <c r="I27" s="61"/>
      <c r="J27" s="61"/>
      <c r="K27" s="61"/>
      <c r="M27" s="19">
        <f t="shared" ref="M27:M33" si="0">INDEX(D27:D87,MATCH(A27,A27:A87,0))</f>
        <v>0.54239999999999999</v>
      </c>
    </row>
    <row r="28" spans="1:13" ht="36" x14ac:dyDescent="0.2">
      <c r="A28" s="28">
        <v>3</v>
      </c>
      <c r="B28" s="29" t="s">
        <v>83</v>
      </c>
      <c r="C28" s="30" t="s">
        <v>408</v>
      </c>
      <c r="D28" s="31">
        <v>3.4</v>
      </c>
      <c r="E28" s="61" t="s">
        <v>409</v>
      </c>
      <c r="F28" s="61" t="s">
        <v>410</v>
      </c>
      <c r="G28" s="62">
        <v>2616</v>
      </c>
      <c r="H28" s="62">
        <v>438</v>
      </c>
      <c r="I28" s="61" t="s">
        <v>411</v>
      </c>
      <c r="J28" s="62">
        <v>13.86</v>
      </c>
      <c r="K28" s="62">
        <v>47.12</v>
      </c>
      <c r="M28" s="19">
        <f t="shared" si="0"/>
        <v>3.4</v>
      </c>
    </row>
    <row r="29" spans="1:13" ht="60" x14ac:dyDescent="0.2">
      <c r="A29" s="28">
        <v>4</v>
      </c>
      <c r="B29" s="29" t="s">
        <v>84</v>
      </c>
      <c r="C29" s="30" t="s">
        <v>85</v>
      </c>
      <c r="D29" s="31">
        <v>50.5</v>
      </c>
      <c r="E29" s="61">
        <v>355.02</v>
      </c>
      <c r="F29" s="61"/>
      <c r="G29" s="62">
        <v>17929</v>
      </c>
      <c r="H29" s="61"/>
      <c r="I29" s="61"/>
      <c r="J29" s="61"/>
      <c r="K29" s="61"/>
      <c r="M29" s="19">
        <f t="shared" si="0"/>
        <v>50.5</v>
      </c>
    </row>
    <row r="30" spans="1:13" ht="36" x14ac:dyDescent="0.2">
      <c r="A30" s="28">
        <v>5</v>
      </c>
      <c r="B30" s="29" t="s">
        <v>86</v>
      </c>
      <c r="C30" s="30" t="s">
        <v>87</v>
      </c>
      <c r="D30" s="31">
        <v>0.34</v>
      </c>
      <c r="E30" s="61" t="s">
        <v>88</v>
      </c>
      <c r="F30" s="61"/>
      <c r="G30" s="62">
        <v>331</v>
      </c>
      <c r="H30" s="62">
        <v>331</v>
      </c>
      <c r="I30" s="61"/>
      <c r="J30" s="62">
        <v>114</v>
      </c>
      <c r="K30" s="62">
        <v>38.76</v>
      </c>
      <c r="M30" s="19">
        <f t="shared" si="0"/>
        <v>0.34</v>
      </c>
    </row>
    <row r="31" spans="1:13" ht="24" x14ac:dyDescent="0.2">
      <c r="A31" s="28">
        <v>6</v>
      </c>
      <c r="B31" s="29" t="s">
        <v>412</v>
      </c>
      <c r="C31" s="30" t="s">
        <v>413</v>
      </c>
      <c r="D31" s="32">
        <v>3.4340000000000002</v>
      </c>
      <c r="E31" s="61"/>
      <c r="F31" s="61"/>
      <c r="G31" s="61"/>
      <c r="H31" s="61"/>
      <c r="I31" s="61"/>
      <c r="J31" s="61"/>
      <c r="K31" s="61"/>
      <c r="M31" s="19">
        <f t="shared" si="0"/>
        <v>3.4340000000000002</v>
      </c>
    </row>
    <row r="32" spans="1:13" ht="48" x14ac:dyDescent="0.2">
      <c r="A32" s="28">
        <v>7</v>
      </c>
      <c r="B32" s="29" t="s">
        <v>89</v>
      </c>
      <c r="C32" s="30" t="s">
        <v>90</v>
      </c>
      <c r="D32" s="31">
        <v>3.434E-3</v>
      </c>
      <c r="E32" s="61" t="s">
        <v>91</v>
      </c>
      <c r="F32" s="61" t="s">
        <v>92</v>
      </c>
      <c r="G32" s="62">
        <v>7</v>
      </c>
      <c r="H32" s="61"/>
      <c r="I32" s="61" t="s">
        <v>97</v>
      </c>
      <c r="J32" s="62">
        <v>6.4</v>
      </c>
      <c r="K32" s="62">
        <v>0.02</v>
      </c>
      <c r="M32" s="19">
        <f t="shared" si="0"/>
        <v>3.434E-3</v>
      </c>
    </row>
    <row r="33" spans="1:13" ht="48" x14ac:dyDescent="0.2">
      <c r="A33" s="28">
        <v>8</v>
      </c>
      <c r="B33" s="29" t="s">
        <v>414</v>
      </c>
      <c r="C33" s="30" t="s">
        <v>415</v>
      </c>
      <c r="D33" s="31">
        <v>5.4943999999999997</v>
      </c>
      <c r="E33" s="61">
        <v>8.58</v>
      </c>
      <c r="F33" s="61">
        <v>8.58</v>
      </c>
      <c r="G33" s="62">
        <v>47</v>
      </c>
      <c r="H33" s="61"/>
      <c r="I33" s="62">
        <v>47</v>
      </c>
      <c r="J33" s="61"/>
      <c r="K33" s="61"/>
      <c r="M33" s="19">
        <f t="shared" si="0"/>
        <v>5.4943999999999997</v>
      </c>
    </row>
    <row r="34" spans="1:13" ht="48" x14ac:dyDescent="0.2">
      <c r="A34" s="28">
        <v>9</v>
      </c>
      <c r="B34" s="29" t="s">
        <v>93</v>
      </c>
      <c r="C34" s="30" t="s">
        <v>94</v>
      </c>
      <c r="D34" s="31">
        <v>1.7999999999999999E-2</v>
      </c>
      <c r="E34" s="61" t="s">
        <v>95</v>
      </c>
      <c r="F34" s="61" t="s">
        <v>96</v>
      </c>
      <c r="G34" s="62">
        <v>33</v>
      </c>
      <c r="H34" s="62">
        <v>1</v>
      </c>
      <c r="I34" s="61" t="s">
        <v>416</v>
      </c>
      <c r="J34" s="62">
        <v>5.46</v>
      </c>
      <c r="K34" s="62">
        <v>0.1</v>
      </c>
    </row>
    <row r="35" spans="1:13" ht="48" x14ac:dyDescent="0.2">
      <c r="A35" s="28">
        <v>10</v>
      </c>
      <c r="B35" s="29" t="s">
        <v>98</v>
      </c>
      <c r="C35" s="30" t="s">
        <v>99</v>
      </c>
      <c r="D35" s="31">
        <v>2E-3</v>
      </c>
      <c r="E35" s="61" t="s">
        <v>100</v>
      </c>
      <c r="F35" s="61" t="s">
        <v>101</v>
      </c>
      <c r="G35" s="62">
        <v>5</v>
      </c>
      <c r="H35" s="61"/>
      <c r="I35" s="61" t="s">
        <v>417</v>
      </c>
      <c r="J35" s="62">
        <v>4.8600000000000003</v>
      </c>
      <c r="K35" s="62">
        <v>0.01</v>
      </c>
    </row>
    <row r="36" spans="1:13" ht="48" x14ac:dyDescent="0.2">
      <c r="A36" s="28">
        <v>11</v>
      </c>
      <c r="B36" s="29" t="s">
        <v>414</v>
      </c>
      <c r="C36" s="30" t="s">
        <v>415</v>
      </c>
      <c r="D36" s="31">
        <v>3.2</v>
      </c>
      <c r="E36" s="61">
        <v>8.58</v>
      </c>
      <c r="F36" s="61">
        <v>8.58</v>
      </c>
      <c r="G36" s="62">
        <v>27</v>
      </c>
      <c r="H36" s="61"/>
      <c r="I36" s="62">
        <v>27</v>
      </c>
      <c r="J36" s="61"/>
      <c r="K36" s="61"/>
    </row>
    <row r="37" spans="1:13" ht="24" x14ac:dyDescent="0.2">
      <c r="A37" s="28">
        <v>12</v>
      </c>
      <c r="B37" s="29" t="s">
        <v>412</v>
      </c>
      <c r="C37" s="30" t="s">
        <v>413</v>
      </c>
      <c r="D37" s="32">
        <v>2</v>
      </c>
      <c r="E37" s="61"/>
      <c r="F37" s="61"/>
      <c r="G37" s="61"/>
      <c r="H37" s="61"/>
      <c r="I37" s="61"/>
      <c r="J37" s="61"/>
      <c r="K37" s="61"/>
    </row>
    <row r="38" spans="1:13" ht="36" x14ac:dyDescent="0.2">
      <c r="A38" s="28">
        <v>13</v>
      </c>
      <c r="B38" s="29" t="s">
        <v>102</v>
      </c>
      <c r="C38" s="30" t="s">
        <v>103</v>
      </c>
      <c r="D38" s="31">
        <v>4</v>
      </c>
      <c r="E38" s="61">
        <v>412</v>
      </c>
      <c r="F38" s="61"/>
      <c r="G38" s="62">
        <v>1648</v>
      </c>
      <c r="H38" s="61"/>
      <c r="I38" s="61"/>
      <c r="J38" s="61"/>
      <c r="K38" s="61"/>
    </row>
    <row r="39" spans="1:13" x14ac:dyDescent="0.2">
      <c r="A39" s="359" t="s">
        <v>418</v>
      </c>
      <c r="B39" s="355"/>
      <c r="C39" s="355"/>
      <c r="D39" s="355"/>
      <c r="E39" s="355"/>
      <c r="F39" s="355"/>
      <c r="G39" s="355"/>
      <c r="H39" s="355"/>
      <c r="I39" s="355"/>
      <c r="J39" s="355"/>
      <c r="K39" s="355"/>
    </row>
    <row r="40" spans="1:13" ht="24" x14ac:dyDescent="0.2">
      <c r="A40" s="28">
        <v>14</v>
      </c>
      <c r="B40" s="29" t="s">
        <v>111</v>
      </c>
      <c r="C40" s="30" t="s">
        <v>112</v>
      </c>
      <c r="D40" s="31">
        <v>22</v>
      </c>
      <c r="E40" s="61" t="s">
        <v>113</v>
      </c>
      <c r="F40" s="61">
        <v>0.27</v>
      </c>
      <c r="G40" s="62">
        <v>25</v>
      </c>
      <c r="H40" s="62">
        <v>19</v>
      </c>
      <c r="I40" s="62">
        <v>6</v>
      </c>
      <c r="J40" s="62">
        <v>0.1</v>
      </c>
      <c r="K40" s="62">
        <v>2.2000000000000002</v>
      </c>
    </row>
    <row r="41" spans="1:13" ht="36" x14ac:dyDescent="0.2">
      <c r="A41" s="28">
        <v>15</v>
      </c>
      <c r="B41" s="29" t="s">
        <v>114</v>
      </c>
      <c r="C41" s="30" t="s">
        <v>115</v>
      </c>
      <c r="D41" s="31">
        <v>0.22</v>
      </c>
      <c r="E41" s="61" t="s">
        <v>116</v>
      </c>
      <c r="F41" s="61" t="s">
        <v>117</v>
      </c>
      <c r="G41" s="62">
        <v>52</v>
      </c>
      <c r="H41" s="62">
        <v>17</v>
      </c>
      <c r="I41" s="62">
        <v>1</v>
      </c>
      <c r="J41" s="62">
        <v>9.08</v>
      </c>
      <c r="K41" s="62">
        <v>2</v>
      </c>
    </row>
    <row r="42" spans="1:13" ht="36" x14ac:dyDescent="0.2">
      <c r="A42" s="28">
        <v>16</v>
      </c>
      <c r="B42" s="29" t="s">
        <v>118</v>
      </c>
      <c r="C42" s="30" t="s">
        <v>119</v>
      </c>
      <c r="D42" s="32">
        <v>22</v>
      </c>
      <c r="E42" s="61" t="s">
        <v>120</v>
      </c>
      <c r="F42" s="61" t="s">
        <v>121</v>
      </c>
      <c r="G42" s="62">
        <v>1078</v>
      </c>
      <c r="H42" s="62">
        <v>73</v>
      </c>
      <c r="I42" s="61" t="s">
        <v>419</v>
      </c>
      <c r="J42" s="62">
        <v>0.39</v>
      </c>
      <c r="K42" s="62">
        <v>8.58</v>
      </c>
    </row>
    <row r="43" spans="1:13" ht="72" x14ac:dyDescent="0.2">
      <c r="A43" s="28">
        <v>17</v>
      </c>
      <c r="B43" s="29" t="s">
        <v>122</v>
      </c>
      <c r="C43" s="30" t="s">
        <v>326</v>
      </c>
      <c r="D43" s="31">
        <v>0.22</v>
      </c>
      <c r="E43" s="61" t="s">
        <v>123</v>
      </c>
      <c r="F43" s="61" t="s">
        <v>124</v>
      </c>
      <c r="G43" s="62">
        <v>25</v>
      </c>
      <c r="H43" s="62">
        <v>10</v>
      </c>
      <c r="I43" s="62">
        <v>3</v>
      </c>
      <c r="J43" s="62">
        <v>4.9000000000000004</v>
      </c>
      <c r="K43" s="62">
        <v>1.08</v>
      </c>
    </row>
    <row r="44" spans="1:13" ht="72" x14ac:dyDescent="0.2">
      <c r="A44" s="28">
        <v>18</v>
      </c>
      <c r="B44" s="29" t="s">
        <v>125</v>
      </c>
      <c r="C44" s="30" t="s">
        <v>327</v>
      </c>
      <c r="D44" s="31">
        <v>7.0000000000000001E-3</v>
      </c>
      <c r="E44" s="61">
        <v>33878.699999999997</v>
      </c>
      <c r="F44" s="61"/>
      <c r="G44" s="62">
        <v>237</v>
      </c>
      <c r="H44" s="61"/>
      <c r="I44" s="61"/>
      <c r="J44" s="61"/>
      <c r="K44" s="61"/>
    </row>
    <row r="45" spans="1:13" ht="36" x14ac:dyDescent="0.2">
      <c r="A45" s="28">
        <v>19</v>
      </c>
      <c r="B45" s="29" t="s">
        <v>126</v>
      </c>
      <c r="C45" s="30" t="s">
        <v>420</v>
      </c>
      <c r="D45" s="31">
        <v>7.0000000000000001E-3</v>
      </c>
      <c r="E45" s="61">
        <v>1493.08</v>
      </c>
      <c r="F45" s="61"/>
      <c r="G45" s="62">
        <v>10</v>
      </c>
      <c r="H45" s="61"/>
      <c r="I45" s="61"/>
      <c r="J45" s="61"/>
      <c r="K45" s="61"/>
    </row>
    <row r="46" spans="1:13" ht="36" x14ac:dyDescent="0.2">
      <c r="A46" s="28">
        <v>20</v>
      </c>
      <c r="B46" s="29" t="s">
        <v>127</v>
      </c>
      <c r="C46" s="30" t="s">
        <v>421</v>
      </c>
      <c r="D46" s="31">
        <v>7.0000000000000001E-3</v>
      </c>
      <c r="E46" s="61">
        <v>676.05</v>
      </c>
      <c r="F46" s="61"/>
      <c r="G46" s="62">
        <v>5</v>
      </c>
      <c r="H46" s="61"/>
      <c r="I46" s="61"/>
      <c r="J46" s="61"/>
      <c r="K46" s="61"/>
    </row>
    <row r="47" spans="1:13" x14ac:dyDescent="0.2">
      <c r="A47" s="359" t="s">
        <v>422</v>
      </c>
      <c r="B47" s="355"/>
      <c r="C47" s="355"/>
      <c r="D47" s="355"/>
      <c r="E47" s="355"/>
      <c r="F47" s="355"/>
      <c r="G47" s="355"/>
      <c r="H47" s="355"/>
      <c r="I47" s="355"/>
      <c r="J47" s="355"/>
      <c r="K47" s="355"/>
    </row>
    <row r="48" spans="1:13" ht="24" x14ac:dyDescent="0.2">
      <c r="A48" s="28">
        <v>21</v>
      </c>
      <c r="B48" s="29" t="s">
        <v>111</v>
      </c>
      <c r="C48" s="30" t="s">
        <v>112</v>
      </c>
      <c r="D48" s="31">
        <v>3</v>
      </c>
      <c r="E48" s="61" t="s">
        <v>113</v>
      </c>
      <c r="F48" s="61">
        <v>0.27</v>
      </c>
      <c r="G48" s="62">
        <v>4</v>
      </c>
      <c r="H48" s="62">
        <v>3</v>
      </c>
      <c r="I48" s="62">
        <v>1</v>
      </c>
      <c r="J48" s="62">
        <v>0.1</v>
      </c>
      <c r="K48" s="62">
        <v>0.3</v>
      </c>
    </row>
    <row r="49" spans="1:11" ht="36" x14ac:dyDescent="0.2">
      <c r="A49" s="28">
        <v>22</v>
      </c>
      <c r="B49" s="29" t="s">
        <v>114</v>
      </c>
      <c r="C49" s="30" t="s">
        <v>115</v>
      </c>
      <c r="D49" s="31">
        <v>0.03</v>
      </c>
      <c r="E49" s="61" t="s">
        <v>116</v>
      </c>
      <c r="F49" s="61" t="s">
        <v>117</v>
      </c>
      <c r="G49" s="62">
        <v>7</v>
      </c>
      <c r="H49" s="62">
        <v>2</v>
      </c>
      <c r="I49" s="61"/>
      <c r="J49" s="62">
        <v>9.08</v>
      </c>
      <c r="K49" s="62">
        <v>0.27</v>
      </c>
    </row>
    <row r="50" spans="1:11" ht="36" x14ac:dyDescent="0.2">
      <c r="A50" s="28">
        <v>23</v>
      </c>
      <c r="B50" s="29" t="s">
        <v>118</v>
      </c>
      <c r="C50" s="30" t="s">
        <v>119</v>
      </c>
      <c r="D50" s="32">
        <v>3</v>
      </c>
      <c r="E50" s="61" t="s">
        <v>120</v>
      </c>
      <c r="F50" s="61" t="s">
        <v>121</v>
      </c>
      <c r="G50" s="62">
        <v>147</v>
      </c>
      <c r="H50" s="62">
        <v>10</v>
      </c>
      <c r="I50" s="61" t="s">
        <v>423</v>
      </c>
      <c r="J50" s="62">
        <v>0.39</v>
      </c>
      <c r="K50" s="62">
        <v>1.17</v>
      </c>
    </row>
    <row r="51" spans="1:11" ht="36" x14ac:dyDescent="0.2">
      <c r="A51" s="28">
        <v>24</v>
      </c>
      <c r="B51" s="29" t="s">
        <v>128</v>
      </c>
      <c r="C51" s="30" t="s">
        <v>129</v>
      </c>
      <c r="D51" s="31">
        <v>0.01</v>
      </c>
      <c r="E51" s="61" t="s">
        <v>130</v>
      </c>
      <c r="F51" s="61" t="s">
        <v>131</v>
      </c>
      <c r="G51" s="62">
        <v>1</v>
      </c>
      <c r="H51" s="61"/>
      <c r="I51" s="61"/>
      <c r="J51" s="62">
        <v>3.92</v>
      </c>
      <c r="K51" s="62">
        <v>0.04</v>
      </c>
    </row>
    <row r="52" spans="1:11" ht="36" x14ac:dyDescent="0.2">
      <c r="A52" s="28">
        <v>25</v>
      </c>
      <c r="B52" s="29" t="s">
        <v>132</v>
      </c>
      <c r="C52" s="30" t="s">
        <v>133</v>
      </c>
      <c r="D52" s="31">
        <v>0.49</v>
      </c>
      <c r="E52" s="61">
        <v>139.51</v>
      </c>
      <c r="F52" s="61"/>
      <c r="G52" s="62">
        <v>68</v>
      </c>
      <c r="H52" s="61"/>
      <c r="I52" s="61"/>
      <c r="J52" s="61"/>
      <c r="K52" s="61"/>
    </row>
    <row r="53" spans="1:11" ht="72" x14ac:dyDescent="0.2">
      <c r="A53" s="28">
        <v>26</v>
      </c>
      <c r="B53" s="29" t="s">
        <v>134</v>
      </c>
      <c r="C53" s="30" t="s">
        <v>328</v>
      </c>
      <c r="D53" s="31">
        <v>0.01</v>
      </c>
      <c r="E53" s="61" t="s">
        <v>135</v>
      </c>
      <c r="F53" s="61" t="s">
        <v>136</v>
      </c>
      <c r="G53" s="62">
        <v>47</v>
      </c>
      <c r="H53" s="62">
        <v>1</v>
      </c>
      <c r="I53" s="61"/>
      <c r="J53" s="62">
        <v>11.82</v>
      </c>
      <c r="K53" s="62">
        <v>0.12</v>
      </c>
    </row>
    <row r="54" spans="1:11" ht="36" x14ac:dyDescent="0.2">
      <c r="A54" s="28">
        <v>27</v>
      </c>
      <c r="B54" s="29" t="s">
        <v>137</v>
      </c>
      <c r="C54" s="30" t="s">
        <v>138</v>
      </c>
      <c r="D54" s="31">
        <v>0.01</v>
      </c>
      <c r="E54" s="61" t="s">
        <v>139</v>
      </c>
      <c r="F54" s="61" t="s">
        <v>140</v>
      </c>
      <c r="G54" s="61"/>
      <c r="H54" s="61"/>
      <c r="I54" s="61"/>
      <c r="J54" s="62">
        <v>2.52</v>
      </c>
      <c r="K54" s="62">
        <v>0.03</v>
      </c>
    </row>
    <row r="55" spans="1:11" ht="36" x14ac:dyDescent="0.2">
      <c r="A55" s="28">
        <v>28</v>
      </c>
      <c r="B55" s="29" t="s">
        <v>141</v>
      </c>
      <c r="C55" s="30" t="s">
        <v>142</v>
      </c>
      <c r="D55" s="31">
        <v>0.25</v>
      </c>
      <c r="E55" s="61">
        <v>83.45</v>
      </c>
      <c r="F55" s="61"/>
      <c r="G55" s="62">
        <v>21</v>
      </c>
      <c r="H55" s="61"/>
      <c r="I55" s="61"/>
      <c r="J55" s="61"/>
      <c r="K55" s="61"/>
    </row>
    <row r="56" spans="1:11" x14ac:dyDescent="0.2">
      <c r="A56" s="359" t="s">
        <v>424</v>
      </c>
      <c r="B56" s="355"/>
      <c r="C56" s="355"/>
      <c r="D56" s="355"/>
      <c r="E56" s="355"/>
      <c r="F56" s="355"/>
      <c r="G56" s="355"/>
      <c r="H56" s="355"/>
      <c r="I56" s="355"/>
      <c r="J56" s="355"/>
      <c r="K56" s="355"/>
    </row>
    <row r="57" spans="1:11" ht="156" x14ac:dyDescent="0.2">
      <c r="A57" s="28">
        <v>29</v>
      </c>
      <c r="B57" s="29" t="s">
        <v>104</v>
      </c>
      <c r="C57" s="30" t="s">
        <v>325</v>
      </c>
      <c r="D57" s="31">
        <v>0.19500000000000001</v>
      </c>
      <c r="E57" s="61" t="s">
        <v>105</v>
      </c>
      <c r="F57" s="61" t="s">
        <v>106</v>
      </c>
      <c r="G57" s="62">
        <v>324</v>
      </c>
      <c r="H57" s="62">
        <v>112</v>
      </c>
      <c r="I57" s="61" t="s">
        <v>425</v>
      </c>
      <c r="J57" s="62">
        <v>59.83</v>
      </c>
      <c r="K57" s="62">
        <v>11.67</v>
      </c>
    </row>
    <row r="58" spans="1:11" ht="48" x14ac:dyDescent="0.2">
      <c r="A58" s="28">
        <v>30</v>
      </c>
      <c r="B58" s="29" t="s">
        <v>107</v>
      </c>
      <c r="C58" s="30" t="s">
        <v>108</v>
      </c>
      <c r="D58" s="31">
        <v>0.187</v>
      </c>
      <c r="E58" s="61" t="s">
        <v>109</v>
      </c>
      <c r="F58" s="61" t="s">
        <v>110</v>
      </c>
      <c r="G58" s="62">
        <v>1106</v>
      </c>
      <c r="H58" s="62">
        <v>283</v>
      </c>
      <c r="I58" s="61" t="s">
        <v>426</v>
      </c>
      <c r="J58" s="62">
        <v>161</v>
      </c>
      <c r="K58" s="62">
        <v>30.11</v>
      </c>
    </row>
    <row r="59" spans="1:11" ht="24" x14ac:dyDescent="0.2">
      <c r="A59" s="28">
        <v>31</v>
      </c>
      <c r="B59" s="29" t="s">
        <v>111</v>
      </c>
      <c r="C59" s="30" t="s">
        <v>112</v>
      </c>
      <c r="D59" s="31">
        <v>6</v>
      </c>
      <c r="E59" s="61" t="s">
        <v>113</v>
      </c>
      <c r="F59" s="61">
        <v>0.27</v>
      </c>
      <c r="G59" s="62">
        <v>7</v>
      </c>
      <c r="H59" s="62">
        <v>5</v>
      </c>
      <c r="I59" s="62">
        <v>2</v>
      </c>
      <c r="J59" s="62">
        <v>0.1</v>
      </c>
      <c r="K59" s="62">
        <v>0.6</v>
      </c>
    </row>
    <row r="60" spans="1:11" ht="36" x14ac:dyDescent="0.2">
      <c r="A60" s="28">
        <v>32</v>
      </c>
      <c r="B60" s="29" t="s">
        <v>114</v>
      </c>
      <c r="C60" s="30" t="s">
        <v>115</v>
      </c>
      <c r="D60" s="31">
        <v>0.06</v>
      </c>
      <c r="E60" s="61" t="s">
        <v>116</v>
      </c>
      <c r="F60" s="61" t="s">
        <v>117</v>
      </c>
      <c r="G60" s="62">
        <v>14</v>
      </c>
      <c r="H60" s="62">
        <v>5</v>
      </c>
      <c r="I60" s="61"/>
      <c r="J60" s="62">
        <v>9.08</v>
      </c>
      <c r="K60" s="62">
        <v>0.54</v>
      </c>
    </row>
    <row r="61" spans="1:11" ht="36" x14ac:dyDescent="0.2">
      <c r="A61" s="28">
        <v>33</v>
      </c>
      <c r="B61" s="29" t="s">
        <v>118</v>
      </c>
      <c r="C61" s="30" t="s">
        <v>119</v>
      </c>
      <c r="D61" s="32">
        <v>6</v>
      </c>
      <c r="E61" s="61" t="s">
        <v>120</v>
      </c>
      <c r="F61" s="61" t="s">
        <v>121</v>
      </c>
      <c r="G61" s="62">
        <v>294</v>
      </c>
      <c r="H61" s="62">
        <v>20</v>
      </c>
      <c r="I61" s="61" t="s">
        <v>427</v>
      </c>
      <c r="J61" s="62">
        <v>0.39</v>
      </c>
      <c r="K61" s="62">
        <v>2.34</v>
      </c>
    </row>
    <row r="62" spans="1:11" ht="36" x14ac:dyDescent="0.2">
      <c r="A62" s="28">
        <v>34</v>
      </c>
      <c r="B62" s="29" t="s">
        <v>128</v>
      </c>
      <c r="C62" s="30" t="s">
        <v>129</v>
      </c>
      <c r="D62" s="32">
        <v>0.06</v>
      </c>
      <c r="E62" s="61" t="s">
        <v>130</v>
      </c>
      <c r="F62" s="61" t="s">
        <v>131</v>
      </c>
      <c r="G62" s="62">
        <v>9</v>
      </c>
      <c r="H62" s="62">
        <v>3</v>
      </c>
      <c r="I62" s="62">
        <v>1</v>
      </c>
      <c r="J62" s="62">
        <v>3.92</v>
      </c>
      <c r="K62" s="62">
        <v>0.24</v>
      </c>
    </row>
    <row r="63" spans="1:11" ht="36" x14ac:dyDescent="0.2">
      <c r="A63" s="28">
        <v>35</v>
      </c>
      <c r="B63" s="29" t="s">
        <v>132</v>
      </c>
      <c r="C63" s="30" t="s">
        <v>133</v>
      </c>
      <c r="D63" s="31">
        <v>2.94</v>
      </c>
      <c r="E63" s="61">
        <v>139.51</v>
      </c>
      <c r="F63" s="61"/>
      <c r="G63" s="62">
        <v>410</v>
      </c>
      <c r="H63" s="61"/>
      <c r="I63" s="61"/>
      <c r="J63" s="61"/>
      <c r="K63" s="61"/>
    </row>
    <row r="64" spans="1:11" ht="36" x14ac:dyDescent="0.2">
      <c r="A64" s="28">
        <v>36</v>
      </c>
      <c r="B64" s="29" t="s">
        <v>137</v>
      </c>
      <c r="C64" s="30" t="s">
        <v>138</v>
      </c>
      <c r="D64" s="32">
        <v>0.06</v>
      </c>
      <c r="E64" s="61" t="s">
        <v>139</v>
      </c>
      <c r="F64" s="61" t="s">
        <v>140</v>
      </c>
      <c r="G64" s="62">
        <v>3</v>
      </c>
      <c r="H64" s="62">
        <v>1</v>
      </c>
      <c r="I64" s="61"/>
      <c r="J64" s="62">
        <v>2.52</v>
      </c>
      <c r="K64" s="62">
        <v>0.15</v>
      </c>
    </row>
    <row r="65" spans="1:11" ht="36" x14ac:dyDescent="0.2">
      <c r="A65" s="28">
        <v>37</v>
      </c>
      <c r="B65" s="29" t="s">
        <v>141</v>
      </c>
      <c r="C65" s="30" t="s">
        <v>142</v>
      </c>
      <c r="D65" s="31">
        <v>1.5</v>
      </c>
      <c r="E65" s="61">
        <v>83.45</v>
      </c>
      <c r="F65" s="61"/>
      <c r="G65" s="62">
        <v>125</v>
      </c>
      <c r="H65" s="61"/>
      <c r="I65" s="61"/>
      <c r="J65" s="61"/>
      <c r="K65" s="61"/>
    </row>
    <row r="66" spans="1:11" x14ac:dyDescent="0.2">
      <c r="A66" s="359" t="s">
        <v>428</v>
      </c>
      <c r="B66" s="355"/>
      <c r="C66" s="355"/>
      <c r="D66" s="355"/>
      <c r="E66" s="355"/>
      <c r="F66" s="355"/>
      <c r="G66" s="355"/>
      <c r="H66" s="355"/>
      <c r="I66" s="355"/>
      <c r="J66" s="355"/>
      <c r="K66" s="355"/>
    </row>
    <row r="67" spans="1:11" ht="144" x14ac:dyDescent="0.2">
      <c r="A67" s="28">
        <v>38</v>
      </c>
      <c r="B67" s="29" t="s">
        <v>429</v>
      </c>
      <c r="C67" s="30" t="s">
        <v>487</v>
      </c>
      <c r="D67" s="31">
        <v>0.53400000000000003</v>
      </c>
      <c r="E67" s="61" t="s">
        <v>430</v>
      </c>
      <c r="F67" s="61" t="s">
        <v>431</v>
      </c>
      <c r="G67" s="62">
        <v>425</v>
      </c>
      <c r="H67" s="62">
        <v>86</v>
      </c>
      <c r="I67" s="61" t="s">
        <v>432</v>
      </c>
      <c r="J67" s="62">
        <v>17.62</v>
      </c>
      <c r="K67" s="62">
        <v>9.41</v>
      </c>
    </row>
    <row r="68" spans="1:11" ht="48" x14ac:dyDescent="0.2">
      <c r="A68" s="28">
        <v>39</v>
      </c>
      <c r="B68" s="29" t="s">
        <v>433</v>
      </c>
      <c r="C68" s="30" t="s">
        <v>434</v>
      </c>
      <c r="D68" s="31">
        <v>0.51300000000000001</v>
      </c>
      <c r="E68" s="61" t="s">
        <v>435</v>
      </c>
      <c r="F68" s="61" t="s">
        <v>436</v>
      </c>
      <c r="G68" s="62">
        <v>269</v>
      </c>
      <c r="H68" s="62">
        <v>115</v>
      </c>
      <c r="I68" s="61" t="s">
        <v>437</v>
      </c>
      <c r="J68" s="62">
        <v>23.3</v>
      </c>
      <c r="K68" s="62">
        <v>11.95</v>
      </c>
    </row>
    <row r="69" spans="1:11" ht="36" x14ac:dyDescent="0.2">
      <c r="A69" s="28">
        <v>40</v>
      </c>
      <c r="B69" s="29" t="s">
        <v>143</v>
      </c>
      <c r="C69" s="30" t="s">
        <v>144</v>
      </c>
      <c r="D69" s="31">
        <v>0.12</v>
      </c>
      <c r="E69" s="61" t="s">
        <v>145</v>
      </c>
      <c r="F69" s="61">
        <v>2.62</v>
      </c>
      <c r="G69" s="62">
        <v>13</v>
      </c>
      <c r="H69" s="62">
        <v>13</v>
      </c>
      <c r="I69" s="61"/>
      <c r="J69" s="62">
        <v>11.9</v>
      </c>
      <c r="K69" s="62">
        <v>1.43</v>
      </c>
    </row>
    <row r="70" spans="1:11" ht="24" x14ac:dyDescent="0.2">
      <c r="A70" s="28">
        <v>41</v>
      </c>
      <c r="B70" s="29" t="s">
        <v>146</v>
      </c>
      <c r="C70" s="30" t="s">
        <v>147</v>
      </c>
      <c r="D70" s="31">
        <v>1E-3</v>
      </c>
      <c r="E70" s="61">
        <v>10080.84</v>
      </c>
      <c r="F70" s="61"/>
      <c r="G70" s="62">
        <v>10</v>
      </c>
      <c r="H70" s="61"/>
      <c r="I70" s="61"/>
      <c r="J70" s="61"/>
      <c r="K70" s="61"/>
    </row>
    <row r="71" spans="1:11" ht="24" x14ac:dyDescent="0.2">
      <c r="A71" s="28">
        <v>42</v>
      </c>
      <c r="B71" s="29" t="s">
        <v>148</v>
      </c>
      <c r="C71" s="30" t="s">
        <v>149</v>
      </c>
      <c r="D71" s="31">
        <v>0.124</v>
      </c>
      <c r="E71" s="61">
        <v>32.29</v>
      </c>
      <c r="F71" s="61"/>
      <c r="G71" s="62">
        <v>4</v>
      </c>
      <c r="H71" s="61"/>
      <c r="I71" s="61"/>
      <c r="J71" s="61"/>
      <c r="K71" s="61"/>
    </row>
    <row r="72" spans="1:11" ht="24" x14ac:dyDescent="0.2">
      <c r="A72" s="28">
        <v>43</v>
      </c>
      <c r="B72" s="29" t="s">
        <v>111</v>
      </c>
      <c r="C72" s="30" t="s">
        <v>112</v>
      </c>
      <c r="D72" s="31">
        <v>15</v>
      </c>
      <c r="E72" s="61" t="s">
        <v>113</v>
      </c>
      <c r="F72" s="61">
        <v>0.27</v>
      </c>
      <c r="G72" s="62">
        <v>17</v>
      </c>
      <c r="H72" s="62">
        <v>13</v>
      </c>
      <c r="I72" s="62">
        <v>4</v>
      </c>
      <c r="J72" s="62">
        <v>0.1</v>
      </c>
      <c r="K72" s="62">
        <v>1.5</v>
      </c>
    </row>
    <row r="73" spans="1:11" ht="36" x14ac:dyDescent="0.2">
      <c r="A73" s="28">
        <v>44</v>
      </c>
      <c r="B73" s="29" t="s">
        <v>114</v>
      </c>
      <c r="C73" s="30" t="s">
        <v>115</v>
      </c>
      <c r="D73" s="31">
        <v>0.15</v>
      </c>
      <c r="E73" s="61" t="s">
        <v>116</v>
      </c>
      <c r="F73" s="61" t="s">
        <v>117</v>
      </c>
      <c r="G73" s="62">
        <v>35</v>
      </c>
      <c r="H73" s="62">
        <v>12</v>
      </c>
      <c r="I73" s="61"/>
      <c r="J73" s="62">
        <v>9.08</v>
      </c>
      <c r="K73" s="62">
        <v>1.36</v>
      </c>
    </row>
    <row r="74" spans="1:11" ht="36" x14ac:dyDescent="0.2">
      <c r="A74" s="28">
        <v>45</v>
      </c>
      <c r="B74" s="29" t="s">
        <v>118</v>
      </c>
      <c r="C74" s="30" t="s">
        <v>119</v>
      </c>
      <c r="D74" s="32">
        <v>15</v>
      </c>
      <c r="E74" s="61" t="s">
        <v>120</v>
      </c>
      <c r="F74" s="61" t="s">
        <v>121</v>
      </c>
      <c r="G74" s="62">
        <v>735</v>
      </c>
      <c r="H74" s="62">
        <v>50</v>
      </c>
      <c r="I74" s="61" t="s">
        <v>438</v>
      </c>
      <c r="J74" s="62">
        <v>0.39</v>
      </c>
      <c r="K74" s="62">
        <v>5.85</v>
      </c>
    </row>
    <row r="75" spans="1:11" ht="36" x14ac:dyDescent="0.2">
      <c r="A75" s="28">
        <v>46</v>
      </c>
      <c r="B75" s="29" t="s">
        <v>128</v>
      </c>
      <c r="C75" s="30" t="s">
        <v>129</v>
      </c>
      <c r="D75" s="32">
        <v>0.15</v>
      </c>
      <c r="E75" s="61" t="s">
        <v>130</v>
      </c>
      <c r="F75" s="61" t="s">
        <v>131</v>
      </c>
      <c r="G75" s="62">
        <v>20</v>
      </c>
      <c r="H75" s="62">
        <v>6</v>
      </c>
      <c r="I75" s="62">
        <v>2</v>
      </c>
      <c r="J75" s="62">
        <v>3.92</v>
      </c>
      <c r="K75" s="62">
        <v>0.59</v>
      </c>
    </row>
    <row r="76" spans="1:11" ht="36" x14ac:dyDescent="0.2">
      <c r="A76" s="28">
        <v>47</v>
      </c>
      <c r="B76" s="29" t="s">
        <v>132</v>
      </c>
      <c r="C76" s="30" t="s">
        <v>133</v>
      </c>
      <c r="D76" s="31">
        <v>7.35</v>
      </c>
      <c r="E76" s="61">
        <v>139.51</v>
      </c>
      <c r="F76" s="61"/>
      <c r="G76" s="62">
        <v>1025</v>
      </c>
      <c r="H76" s="61"/>
      <c r="I76" s="61"/>
      <c r="J76" s="61"/>
      <c r="K76" s="61"/>
    </row>
    <row r="77" spans="1:11" ht="36" x14ac:dyDescent="0.2">
      <c r="A77" s="28">
        <v>48</v>
      </c>
      <c r="B77" s="29" t="s">
        <v>137</v>
      </c>
      <c r="C77" s="30" t="s">
        <v>138</v>
      </c>
      <c r="D77" s="32">
        <v>0.15</v>
      </c>
      <c r="E77" s="61" t="s">
        <v>139</v>
      </c>
      <c r="F77" s="61" t="s">
        <v>140</v>
      </c>
      <c r="G77" s="62">
        <v>10</v>
      </c>
      <c r="H77" s="62">
        <v>3</v>
      </c>
      <c r="I77" s="62">
        <v>1</v>
      </c>
      <c r="J77" s="62">
        <v>2.52</v>
      </c>
      <c r="K77" s="62">
        <v>0.38</v>
      </c>
    </row>
    <row r="78" spans="1:11" ht="36" x14ac:dyDescent="0.2">
      <c r="A78" s="28">
        <v>49</v>
      </c>
      <c r="B78" s="29" t="s">
        <v>141</v>
      </c>
      <c r="C78" s="30" t="s">
        <v>142</v>
      </c>
      <c r="D78" s="31">
        <v>3.75</v>
      </c>
      <c r="E78" s="61">
        <v>83.45</v>
      </c>
      <c r="F78" s="61"/>
      <c r="G78" s="62">
        <v>313</v>
      </c>
      <c r="H78" s="61"/>
      <c r="I78" s="61"/>
      <c r="J78" s="61"/>
      <c r="K78" s="61"/>
    </row>
    <row r="79" spans="1:11" x14ac:dyDescent="0.2">
      <c r="A79" s="354" t="s">
        <v>150</v>
      </c>
      <c r="B79" s="355"/>
      <c r="C79" s="355"/>
      <c r="D79" s="355"/>
      <c r="E79" s="355"/>
      <c r="F79" s="355"/>
      <c r="G79" s="355"/>
      <c r="H79" s="355"/>
      <c r="I79" s="355"/>
      <c r="J79" s="355"/>
      <c r="K79" s="355"/>
    </row>
    <row r="80" spans="1:11" ht="36" x14ac:dyDescent="0.2">
      <c r="A80" s="28">
        <v>50</v>
      </c>
      <c r="B80" s="29" t="s">
        <v>439</v>
      </c>
      <c r="C80" s="30" t="s">
        <v>440</v>
      </c>
      <c r="D80" s="31">
        <v>0.54700000000000004</v>
      </c>
      <c r="E80" s="61">
        <v>6642.26</v>
      </c>
      <c r="F80" s="61"/>
      <c r="G80" s="62">
        <v>3633</v>
      </c>
      <c r="H80" s="61"/>
      <c r="I80" s="61"/>
      <c r="J80" s="61"/>
      <c r="K80" s="61"/>
    </row>
    <row r="81" spans="1:11" ht="36" x14ac:dyDescent="0.2">
      <c r="A81" s="28">
        <v>51</v>
      </c>
      <c r="B81" s="29" t="s">
        <v>151</v>
      </c>
      <c r="C81" s="30" t="s">
        <v>441</v>
      </c>
      <c r="D81" s="31">
        <v>6.3E-2</v>
      </c>
      <c r="E81" s="61">
        <v>6690.38</v>
      </c>
      <c r="F81" s="61"/>
      <c r="G81" s="62">
        <v>421</v>
      </c>
      <c r="H81" s="61"/>
      <c r="I81" s="61"/>
      <c r="J81" s="61"/>
      <c r="K81" s="61"/>
    </row>
    <row r="82" spans="1:11" ht="24" x14ac:dyDescent="0.2">
      <c r="A82" s="28">
        <v>52</v>
      </c>
      <c r="B82" s="29" t="s">
        <v>442</v>
      </c>
      <c r="C82" s="30" t="s">
        <v>443</v>
      </c>
      <c r="D82" s="31">
        <v>3.7999999999999999E-2</v>
      </c>
      <c r="E82" s="61">
        <v>4700</v>
      </c>
      <c r="F82" s="61"/>
      <c r="G82" s="62">
        <v>179</v>
      </c>
      <c r="H82" s="61"/>
      <c r="I82" s="61"/>
      <c r="J82" s="61"/>
      <c r="K82" s="61"/>
    </row>
    <row r="83" spans="1:11" ht="36" x14ac:dyDescent="0.2">
      <c r="A83" s="28">
        <v>53</v>
      </c>
      <c r="B83" s="29" t="s">
        <v>444</v>
      </c>
      <c r="C83" s="30" t="s">
        <v>445</v>
      </c>
      <c r="D83" s="31">
        <v>2.1999999999999999E-2</v>
      </c>
      <c r="E83" s="61">
        <v>504.3</v>
      </c>
      <c r="F83" s="61"/>
      <c r="G83" s="62">
        <v>11</v>
      </c>
      <c r="H83" s="61"/>
      <c r="I83" s="61"/>
      <c r="J83" s="61"/>
      <c r="K83" s="61"/>
    </row>
    <row r="84" spans="1:11" ht="36" x14ac:dyDescent="0.2">
      <c r="A84" s="28">
        <v>54</v>
      </c>
      <c r="B84" s="29" t="s">
        <v>446</v>
      </c>
      <c r="C84" s="30" t="s">
        <v>447</v>
      </c>
      <c r="D84" s="31">
        <v>0.02</v>
      </c>
      <c r="E84" s="61">
        <v>5891.61</v>
      </c>
      <c r="F84" s="61"/>
      <c r="G84" s="62">
        <v>118</v>
      </c>
      <c r="H84" s="61"/>
      <c r="I84" s="61"/>
      <c r="J84" s="61"/>
      <c r="K84" s="61"/>
    </row>
    <row r="85" spans="1:11" x14ac:dyDescent="0.2">
      <c r="A85" s="359" t="s">
        <v>152</v>
      </c>
      <c r="B85" s="355"/>
      <c r="C85" s="355"/>
      <c r="D85" s="355"/>
      <c r="E85" s="355"/>
      <c r="F85" s="355"/>
      <c r="G85" s="355"/>
      <c r="H85" s="355"/>
      <c r="I85" s="355"/>
      <c r="J85" s="355"/>
      <c r="K85" s="355"/>
    </row>
    <row r="86" spans="1:11" ht="36" x14ac:dyDescent="0.2">
      <c r="A86" s="28">
        <v>55</v>
      </c>
      <c r="B86" s="29" t="s">
        <v>127</v>
      </c>
      <c r="C86" s="30" t="s">
        <v>448</v>
      </c>
      <c r="D86" s="31">
        <v>52.7</v>
      </c>
      <c r="E86" s="61">
        <v>676.05</v>
      </c>
      <c r="F86" s="61"/>
      <c r="G86" s="62">
        <v>35628</v>
      </c>
      <c r="H86" s="61"/>
      <c r="I86" s="61"/>
      <c r="J86" s="61"/>
      <c r="K86" s="61"/>
    </row>
    <row r="87" spans="1:11" ht="24" x14ac:dyDescent="0.2">
      <c r="A87" s="359" t="s">
        <v>153</v>
      </c>
      <c r="B87" s="355"/>
      <c r="C87" s="355"/>
      <c r="D87" s="355"/>
      <c r="E87" s="355"/>
      <c r="F87" s="355"/>
      <c r="G87" s="61">
        <v>73032</v>
      </c>
      <c r="H87" s="61">
        <v>2027</v>
      </c>
      <c r="I87" s="61" t="s">
        <v>449</v>
      </c>
      <c r="J87" s="61"/>
      <c r="K87" s="61">
        <v>221.01</v>
      </c>
    </row>
    <row r="88" spans="1:11" ht="24" x14ac:dyDescent="0.2">
      <c r="A88" s="359" t="s">
        <v>450</v>
      </c>
      <c r="B88" s="355"/>
      <c r="C88" s="355"/>
      <c r="D88" s="355"/>
      <c r="E88" s="355"/>
      <c r="F88" s="355"/>
      <c r="G88" s="61">
        <v>731543</v>
      </c>
      <c r="H88" s="61">
        <v>49417</v>
      </c>
      <c r="I88" s="61" t="s">
        <v>451</v>
      </c>
      <c r="J88" s="61"/>
      <c r="K88" s="61">
        <v>221.01</v>
      </c>
    </row>
    <row r="89" spans="1:11" x14ac:dyDescent="0.2">
      <c r="A89" s="359" t="s">
        <v>154</v>
      </c>
      <c r="B89" s="355"/>
      <c r="C89" s="355"/>
      <c r="D89" s="355"/>
      <c r="E89" s="355"/>
      <c r="F89" s="355"/>
      <c r="G89" s="61">
        <v>63244</v>
      </c>
      <c r="H89" s="61"/>
      <c r="I89" s="61"/>
      <c r="J89" s="61"/>
      <c r="K89" s="61"/>
    </row>
    <row r="90" spans="1:11" x14ac:dyDescent="0.2">
      <c r="A90" s="359" t="s">
        <v>155</v>
      </c>
      <c r="B90" s="355"/>
      <c r="C90" s="355"/>
      <c r="D90" s="355"/>
      <c r="E90" s="355"/>
      <c r="F90" s="355"/>
      <c r="G90" s="61">
        <v>28665</v>
      </c>
      <c r="H90" s="61"/>
      <c r="I90" s="61"/>
      <c r="J90" s="61"/>
      <c r="K90" s="61"/>
    </row>
    <row r="91" spans="1:11" x14ac:dyDescent="0.2">
      <c r="A91" s="354" t="s">
        <v>156</v>
      </c>
      <c r="B91" s="355"/>
      <c r="C91" s="355"/>
      <c r="D91" s="355"/>
      <c r="E91" s="355"/>
      <c r="F91" s="355"/>
      <c r="G91" s="61"/>
      <c r="H91" s="61"/>
      <c r="I91" s="61"/>
      <c r="J91" s="61"/>
      <c r="K91" s="61"/>
    </row>
    <row r="92" spans="1:11" x14ac:dyDescent="0.2">
      <c r="A92" s="359" t="s">
        <v>157</v>
      </c>
      <c r="B92" s="355"/>
      <c r="C92" s="355"/>
      <c r="D92" s="355"/>
      <c r="E92" s="355"/>
      <c r="F92" s="355"/>
      <c r="G92" s="61">
        <v>798341</v>
      </c>
      <c r="H92" s="61"/>
      <c r="I92" s="61"/>
      <c r="J92" s="61"/>
      <c r="K92" s="61">
        <v>178.95</v>
      </c>
    </row>
    <row r="93" spans="1:11" x14ac:dyDescent="0.2">
      <c r="A93" s="359" t="s">
        <v>158</v>
      </c>
      <c r="B93" s="355"/>
      <c r="C93" s="355"/>
      <c r="D93" s="355"/>
      <c r="E93" s="355"/>
      <c r="F93" s="355"/>
      <c r="G93" s="61">
        <v>25111</v>
      </c>
      <c r="H93" s="61"/>
      <c r="I93" s="61"/>
      <c r="J93" s="61"/>
      <c r="K93" s="61">
        <v>42.06</v>
      </c>
    </row>
    <row r="94" spans="1:11" x14ac:dyDescent="0.2">
      <c r="A94" s="359" t="s">
        <v>159</v>
      </c>
      <c r="B94" s="355"/>
      <c r="C94" s="355"/>
      <c r="D94" s="355"/>
      <c r="E94" s="355"/>
      <c r="F94" s="355"/>
      <c r="G94" s="61">
        <v>823452</v>
      </c>
      <c r="H94" s="61"/>
      <c r="I94" s="61"/>
      <c r="J94" s="61"/>
      <c r="K94" s="61">
        <v>221.01</v>
      </c>
    </row>
    <row r="95" spans="1:11" x14ac:dyDescent="0.2">
      <c r="A95" s="359" t="s">
        <v>160</v>
      </c>
      <c r="B95" s="355"/>
      <c r="C95" s="355"/>
      <c r="D95" s="355"/>
      <c r="E95" s="355"/>
      <c r="F95" s="355"/>
      <c r="G95" s="61"/>
      <c r="H95" s="61"/>
      <c r="I95" s="61"/>
      <c r="J95" s="61"/>
      <c r="K95" s="61"/>
    </row>
    <row r="96" spans="1:11" x14ac:dyDescent="0.2">
      <c r="A96" s="359" t="s">
        <v>161</v>
      </c>
      <c r="B96" s="355"/>
      <c r="C96" s="355"/>
      <c r="D96" s="355"/>
      <c r="E96" s="355"/>
      <c r="F96" s="355"/>
      <c r="G96" s="61">
        <v>617702</v>
      </c>
      <c r="H96" s="61"/>
      <c r="I96" s="61"/>
      <c r="J96" s="61"/>
      <c r="K96" s="61"/>
    </row>
    <row r="97" spans="1:11" x14ac:dyDescent="0.2">
      <c r="A97" s="359" t="s">
        <v>162</v>
      </c>
      <c r="B97" s="355"/>
      <c r="C97" s="355"/>
      <c r="D97" s="355"/>
      <c r="E97" s="355"/>
      <c r="F97" s="355"/>
      <c r="G97" s="61">
        <v>64424</v>
      </c>
      <c r="H97" s="61"/>
      <c r="I97" s="61"/>
      <c r="J97" s="61"/>
      <c r="K97" s="61"/>
    </row>
    <row r="98" spans="1:11" x14ac:dyDescent="0.2">
      <c r="A98" s="359" t="s">
        <v>163</v>
      </c>
      <c r="B98" s="355"/>
      <c r="C98" s="355"/>
      <c r="D98" s="355"/>
      <c r="E98" s="355"/>
      <c r="F98" s="355"/>
      <c r="G98" s="61">
        <v>65094</v>
      </c>
      <c r="H98" s="61"/>
      <c r="I98" s="61"/>
      <c r="J98" s="61"/>
      <c r="K98" s="61"/>
    </row>
    <row r="99" spans="1:11" x14ac:dyDescent="0.2">
      <c r="A99" s="359" t="s">
        <v>164</v>
      </c>
      <c r="B99" s="355"/>
      <c r="C99" s="355"/>
      <c r="D99" s="355"/>
      <c r="E99" s="355"/>
      <c r="F99" s="355"/>
      <c r="G99" s="61">
        <v>63244</v>
      </c>
      <c r="H99" s="61"/>
      <c r="I99" s="61"/>
      <c r="J99" s="61"/>
      <c r="K99" s="61"/>
    </row>
    <row r="100" spans="1:11" x14ac:dyDescent="0.2">
      <c r="A100" s="359" t="s">
        <v>165</v>
      </c>
      <c r="B100" s="355"/>
      <c r="C100" s="355"/>
      <c r="D100" s="355"/>
      <c r="E100" s="355"/>
      <c r="F100" s="355"/>
      <c r="G100" s="61">
        <v>28665</v>
      </c>
      <c r="H100" s="61"/>
      <c r="I100" s="61"/>
      <c r="J100" s="61"/>
      <c r="K100" s="61"/>
    </row>
    <row r="101" spans="1:11" x14ac:dyDescent="0.2">
      <c r="A101" s="354" t="s">
        <v>166</v>
      </c>
      <c r="B101" s="355"/>
      <c r="C101" s="355"/>
      <c r="D101" s="355"/>
      <c r="E101" s="355"/>
      <c r="F101" s="355"/>
      <c r="G101" s="63">
        <v>823452</v>
      </c>
      <c r="H101" s="61"/>
      <c r="I101" s="61"/>
      <c r="J101" s="61"/>
      <c r="K101" s="63">
        <v>221.01</v>
      </c>
    </row>
    <row r="102" spans="1:11" x14ac:dyDescent="0.2">
      <c r="A102" s="72"/>
      <c r="B102" s="33"/>
      <c r="C102" s="22"/>
      <c r="D102" s="23"/>
      <c r="E102" s="42"/>
      <c r="F102" s="42"/>
      <c r="G102" s="42"/>
      <c r="H102" s="42"/>
      <c r="I102" s="42"/>
      <c r="J102" s="42"/>
      <c r="K102" s="42"/>
    </row>
    <row r="103" spans="1:11" x14ac:dyDescent="0.2">
      <c r="A103" s="72"/>
      <c r="B103" s="33"/>
      <c r="C103" s="22"/>
      <c r="D103" s="23"/>
      <c r="E103" s="42"/>
      <c r="F103" s="42"/>
      <c r="G103" s="42"/>
      <c r="H103" s="42"/>
      <c r="I103" s="42"/>
      <c r="J103" s="42"/>
      <c r="K103" s="42"/>
    </row>
    <row r="104" spans="1:11" x14ac:dyDescent="0.2">
      <c r="A104" s="360" t="s">
        <v>167</v>
      </c>
      <c r="B104" s="361"/>
      <c r="C104" s="361"/>
      <c r="D104" s="361"/>
      <c r="E104" s="361"/>
      <c r="F104" s="42"/>
      <c r="G104" s="42"/>
      <c r="H104" s="42"/>
      <c r="I104" s="42"/>
      <c r="J104" s="42"/>
      <c r="K104" s="42"/>
    </row>
    <row r="105" spans="1:11" x14ac:dyDescent="0.2">
      <c r="A105" s="72"/>
      <c r="B105" s="33"/>
      <c r="C105" s="22"/>
      <c r="D105" s="23"/>
      <c r="E105" s="42"/>
      <c r="F105" s="42"/>
      <c r="G105" s="42"/>
      <c r="H105" s="42"/>
      <c r="I105" s="42"/>
      <c r="J105" s="42"/>
      <c r="K105" s="42"/>
    </row>
    <row r="106" spans="1:11" x14ac:dyDescent="0.2">
      <c r="A106" s="34" t="s">
        <v>168</v>
      </c>
      <c r="B106" s="35" t="s">
        <v>169</v>
      </c>
      <c r="C106" s="36" t="s">
        <v>170</v>
      </c>
      <c r="D106" s="36" t="s">
        <v>41</v>
      </c>
      <c r="E106" s="36" t="s">
        <v>42</v>
      </c>
      <c r="F106" s="42"/>
      <c r="G106" s="42"/>
      <c r="H106" s="42"/>
      <c r="I106" s="42"/>
      <c r="J106" s="42"/>
      <c r="K106" s="42"/>
    </row>
    <row r="107" spans="1:11" x14ac:dyDescent="0.2">
      <c r="A107" s="354" t="s">
        <v>171</v>
      </c>
      <c r="B107" s="355"/>
      <c r="C107" s="355"/>
      <c r="D107" s="355"/>
      <c r="E107" s="355"/>
      <c r="F107" s="42"/>
      <c r="G107" s="42"/>
      <c r="H107" s="42"/>
      <c r="I107" s="42"/>
      <c r="J107" s="42"/>
      <c r="K107" s="42"/>
    </row>
    <row r="108" spans="1:11" x14ac:dyDescent="0.2">
      <c r="A108" s="354" t="s">
        <v>172</v>
      </c>
      <c r="B108" s="355"/>
      <c r="C108" s="355"/>
      <c r="D108" s="355"/>
      <c r="E108" s="355"/>
      <c r="F108" s="42"/>
      <c r="G108" s="42"/>
      <c r="H108" s="42"/>
      <c r="I108" s="42"/>
      <c r="J108" s="42"/>
      <c r="K108" s="42"/>
    </row>
    <row r="109" spans="1:11" x14ac:dyDescent="0.2">
      <c r="A109" s="28">
        <v>1</v>
      </c>
      <c r="B109" s="37">
        <v>36527</v>
      </c>
      <c r="C109" s="30" t="s">
        <v>173</v>
      </c>
      <c r="D109" s="32" t="s">
        <v>60</v>
      </c>
      <c r="E109" s="62">
        <v>0.03</v>
      </c>
      <c r="F109" s="42"/>
      <c r="G109" s="42"/>
      <c r="H109" s="42"/>
      <c r="I109" s="42"/>
      <c r="J109" s="42"/>
      <c r="K109" s="42"/>
    </row>
    <row r="110" spans="1:11" x14ac:dyDescent="0.2">
      <c r="A110" s="28">
        <v>2</v>
      </c>
      <c r="B110" s="37">
        <v>36528</v>
      </c>
      <c r="C110" s="30" t="s">
        <v>174</v>
      </c>
      <c r="D110" s="32" t="s">
        <v>60</v>
      </c>
      <c r="E110" s="62">
        <v>61.3</v>
      </c>
      <c r="F110" s="42"/>
      <c r="G110" s="42"/>
      <c r="H110" s="42"/>
      <c r="I110" s="42"/>
      <c r="J110" s="42"/>
      <c r="K110" s="42"/>
    </row>
    <row r="111" spans="1:11" x14ac:dyDescent="0.2">
      <c r="A111" s="28">
        <v>3</v>
      </c>
      <c r="B111" s="37">
        <v>37259</v>
      </c>
      <c r="C111" s="30" t="s">
        <v>175</v>
      </c>
      <c r="D111" s="32" t="s">
        <v>60</v>
      </c>
      <c r="E111" s="62">
        <v>4.2699999999999996</v>
      </c>
      <c r="F111" s="42"/>
      <c r="G111" s="42"/>
      <c r="H111" s="42"/>
      <c r="I111" s="42"/>
      <c r="J111" s="42"/>
      <c r="K111" s="42"/>
    </row>
    <row r="112" spans="1:11" x14ac:dyDescent="0.2">
      <c r="A112" s="28">
        <v>4</v>
      </c>
      <c r="B112" s="37">
        <v>38355</v>
      </c>
      <c r="C112" s="30" t="s">
        <v>176</v>
      </c>
      <c r="D112" s="32" t="s">
        <v>60</v>
      </c>
      <c r="E112" s="62">
        <v>3.07</v>
      </c>
      <c r="F112" s="42"/>
      <c r="G112" s="42"/>
      <c r="H112" s="42"/>
      <c r="I112" s="42"/>
      <c r="J112" s="42"/>
      <c r="K112" s="42"/>
    </row>
    <row r="113" spans="1:11" x14ac:dyDescent="0.2">
      <c r="A113" s="28">
        <v>5</v>
      </c>
      <c r="B113" s="37">
        <v>38720</v>
      </c>
      <c r="C113" s="30" t="s">
        <v>452</v>
      </c>
      <c r="D113" s="32" t="s">
        <v>60</v>
      </c>
      <c r="E113" s="62">
        <v>9.41</v>
      </c>
      <c r="F113" s="42"/>
      <c r="G113" s="42"/>
      <c r="H113" s="42"/>
      <c r="I113" s="42"/>
      <c r="J113" s="42"/>
      <c r="K113" s="42"/>
    </row>
    <row r="114" spans="1:11" x14ac:dyDescent="0.2">
      <c r="A114" s="28">
        <v>6</v>
      </c>
      <c r="B114" s="37">
        <v>39085</v>
      </c>
      <c r="C114" s="30" t="s">
        <v>177</v>
      </c>
      <c r="D114" s="32" t="s">
        <v>60</v>
      </c>
      <c r="E114" s="62">
        <v>47.12</v>
      </c>
      <c r="F114" s="42"/>
      <c r="G114" s="42"/>
      <c r="H114" s="42"/>
      <c r="I114" s="42"/>
      <c r="J114" s="42"/>
      <c r="K114" s="42"/>
    </row>
    <row r="115" spans="1:11" x14ac:dyDescent="0.2">
      <c r="A115" s="28">
        <v>7</v>
      </c>
      <c r="B115" s="37">
        <v>39450</v>
      </c>
      <c r="C115" s="30" t="s">
        <v>178</v>
      </c>
      <c r="D115" s="32" t="s">
        <v>60</v>
      </c>
      <c r="E115" s="62">
        <v>30.11</v>
      </c>
      <c r="F115" s="42"/>
      <c r="G115" s="42"/>
      <c r="H115" s="42"/>
      <c r="I115" s="42"/>
      <c r="J115" s="42"/>
      <c r="K115" s="42"/>
    </row>
    <row r="116" spans="1:11" x14ac:dyDescent="0.2">
      <c r="A116" s="28">
        <v>8</v>
      </c>
      <c r="B116" s="37">
        <v>36529</v>
      </c>
      <c r="C116" s="30" t="s">
        <v>179</v>
      </c>
      <c r="D116" s="32" t="s">
        <v>60</v>
      </c>
      <c r="E116" s="62">
        <v>64.709999999999994</v>
      </c>
      <c r="F116" s="42"/>
      <c r="G116" s="42"/>
      <c r="H116" s="42"/>
      <c r="I116" s="42"/>
      <c r="J116" s="42"/>
      <c r="K116" s="42"/>
    </row>
    <row r="117" spans="1:11" x14ac:dyDescent="0.2">
      <c r="A117" s="28">
        <v>9</v>
      </c>
      <c r="B117" s="37">
        <v>39817</v>
      </c>
      <c r="C117" s="30" t="s">
        <v>180</v>
      </c>
      <c r="D117" s="32" t="s">
        <v>60</v>
      </c>
      <c r="E117" s="62">
        <v>0.99</v>
      </c>
      <c r="F117" s="42"/>
      <c r="G117" s="42"/>
      <c r="H117" s="42"/>
      <c r="I117" s="42"/>
      <c r="J117" s="42"/>
      <c r="K117" s="42"/>
    </row>
    <row r="118" spans="1:11" x14ac:dyDescent="0.2">
      <c r="A118" s="28">
        <v>10</v>
      </c>
      <c r="B118" s="37">
        <v>2</v>
      </c>
      <c r="C118" s="30" t="s">
        <v>181</v>
      </c>
      <c r="D118" s="32" t="s">
        <v>60</v>
      </c>
      <c r="E118" s="62">
        <v>50.79</v>
      </c>
      <c r="F118" s="42"/>
      <c r="G118" s="42"/>
      <c r="H118" s="42"/>
      <c r="I118" s="42"/>
      <c r="J118" s="42"/>
      <c r="K118" s="42"/>
    </row>
    <row r="119" spans="1:11" x14ac:dyDescent="0.2">
      <c r="A119" s="354" t="s">
        <v>182</v>
      </c>
      <c r="B119" s="355"/>
      <c r="C119" s="355"/>
      <c r="D119" s="355"/>
      <c r="E119" s="355"/>
      <c r="F119" s="42"/>
      <c r="G119" s="42"/>
      <c r="H119" s="42"/>
      <c r="I119" s="42"/>
      <c r="J119" s="42"/>
      <c r="K119" s="42"/>
    </row>
    <row r="120" spans="1:11" ht="24" x14ac:dyDescent="0.2">
      <c r="A120" s="28">
        <v>11</v>
      </c>
      <c r="B120" s="37">
        <v>20403</v>
      </c>
      <c r="C120" s="30" t="s">
        <v>453</v>
      </c>
      <c r="D120" s="32" t="s">
        <v>184</v>
      </c>
      <c r="E120" s="62">
        <v>0.06</v>
      </c>
      <c r="F120" s="42"/>
      <c r="G120" s="42"/>
      <c r="H120" s="42"/>
      <c r="I120" s="42"/>
      <c r="J120" s="42"/>
      <c r="K120" s="42"/>
    </row>
    <row r="121" spans="1:11" ht="24" x14ac:dyDescent="0.2">
      <c r="A121" s="28">
        <v>12</v>
      </c>
      <c r="B121" s="37">
        <v>21102</v>
      </c>
      <c r="C121" s="30" t="s">
        <v>183</v>
      </c>
      <c r="D121" s="32" t="s">
        <v>184</v>
      </c>
      <c r="E121" s="62">
        <v>2.02</v>
      </c>
      <c r="F121" s="42"/>
      <c r="G121" s="42"/>
      <c r="H121" s="42"/>
      <c r="I121" s="42"/>
      <c r="J121" s="42"/>
      <c r="K121" s="42"/>
    </row>
    <row r="122" spans="1:11" ht="24" x14ac:dyDescent="0.2">
      <c r="A122" s="28">
        <v>13</v>
      </c>
      <c r="B122" s="37">
        <v>21104</v>
      </c>
      <c r="C122" s="30" t="s">
        <v>185</v>
      </c>
      <c r="D122" s="32" t="s">
        <v>184</v>
      </c>
      <c r="E122" s="62">
        <v>0.03</v>
      </c>
      <c r="F122" s="42"/>
      <c r="G122" s="42"/>
      <c r="H122" s="42"/>
      <c r="I122" s="42"/>
      <c r="J122" s="42"/>
      <c r="K122" s="42"/>
    </row>
    <row r="123" spans="1:11" ht="24" x14ac:dyDescent="0.2">
      <c r="A123" s="28">
        <v>14</v>
      </c>
      <c r="B123" s="37">
        <v>21141</v>
      </c>
      <c r="C123" s="30" t="s">
        <v>186</v>
      </c>
      <c r="D123" s="32" t="s">
        <v>184</v>
      </c>
      <c r="E123" s="62">
        <v>7.18</v>
      </c>
      <c r="F123" s="42"/>
      <c r="G123" s="42"/>
      <c r="H123" s="42"/>
      <c r="I123" s="42"/>
      <c r="J123" s="42"/>
      <c r="K123" s="42"/>
    </row>
    <row r="124" spans="1:11" ht="24" x14ac:dyDescent="0.2">
      <c r="A124" s="28">
        <v>15</v>
      </c>
      <c r="B124" s="37">
        <v>21244</v>
      </c>
      <c r="C124" s="30" t="s">
        <v>454</v>
      </c>
      <c r="D124" s="32" t="s">
        <v>184</v>
      </c>
      <c r="E124" s="62">
        <v>1.81</v>
      </c>
      <c r="F124" s="42"/>
      <c r="G124" s="42"/>
      <c r="H124" s="42"/>
      <c r="I124" s="42"/>
      <c r="J124" s="42"/>
      <c r="K124" s="42"/>
    </row>
    <row r="125" spans="1:11" x14ac:dyDescent="0.2">
      <c r="A125" s="28">
        <v>16</v>
      </c>
      <c r="B125" s="37">
        <v>30101</v>
      </c>
      <c r="C125" s="30" t="s">
        <v>187</v>
      </c>
      <c r="D125" s="32" t="s">
        <v>184</v>
      </c>
      <c r="E125" s="62">
        <v>0.92</v>
      </c>
      <c r="F125" s="42"/>
      <c r="G125" s="42"/>
      <c r="H125" s="42"/>
      <c r="I125" s="42"/>
      <c r="J125" s="42"/>
      <c r="K125" s="42"/>
    </row>
    <row r="126" spans="1:11" ht="24" x14ac:dyDescent="0.2">
      <c r="A126" s="28">
        <v>17</v>
      </c>
      <c r="B126" s="37">
        <v>30401</v>
      </c>
      <c r="C126" s="30" t="s">
        <v>188</v>
      </c>
      <c r="D126" s="32" t="s">
        <v>184</v>
      </c>
      <c r="E126" s="62">
        <v>0.46</v>
      </c>
      <c r="F126" s="42"/>
      <c r="G126" s="42"/>
      <c r="H126" s="42"/>
      <c r="I126" s="42"/>
      <c r="J126" s="42"/>
      <c r="K126" s="42"/>
    </row>
    <row r="127" spans="1:11" ht="24" x14ac:dyDescent="0.2">
      <c r="A127" s="28">
        <v>18</v>
      </c>
      <c r="B127" s="37">
        <v>30403</v>
      </c>
      <c r="C127" s="30" t="s">
        <v>189</v>
      </c>
      <c r="D127" s="32" t="s">
        <v>184</v>
      </c>
      <c r="E127" s="62">
        <v>2.16</v>
      </c>
      <c r="F127" s="42"/>
      <c r="G127" s="42"/>
      <c r="H127" s="42"/>
      <c r="I127" s="42"/>
      <c r="J127" s="42"/>
      <c r="K127" s="42"/>
    </row>
    <row r="128" spans="1:11" ht="24" x14ac:dyDescent="0.2">
      <c r="A128" s="28">
        <v>19</v>
      </c>
      <c r="B128" s="37">
        <v>40202</v>
      </c>
      <c r="C128" s="30" t="s">
        <v>190</v>
      </c>
      <c r="D128" s="32" t="s">
        <v>184</v>
      </c>
      <c r="E128" s="62">
        <v>7.41</v>
      </c>
      <c r="F128" s="42"/>
      <c r="G128" s="42"/>
      <c r="H128" s="42"/>
      <c r="I128" s="42"/>
      <c r="J128" s="42"/>
      <c r="K128" s="42"/>
    </row>
    <row r="129" spans="1:11" ht="24" x14ac:dyDescent="0.2">
      <c r="A129" s="28">
        <v>20</v>
      </c>
      <c r="B129" s="37">
        <v>40300</v>
      </c>
      <c r="C129" s="30" t="s">
        <v>191</v>
      </c>
      <c r="D129" s="32" t="s">
        <v>184</v>
      </c>
      <c r="E129" s="62">
        <v>11.41</v>
      </c>
      <c r="F129" s="42"/>
      <c r="G129" s="42"/>
      <c r="H129" s="42"/>
      <c r="I129" s="42"/>
      <c r="J129" s="42"/>
      <c r="K129" s="42"/>
    </row>
    <row r="130" spans="1:11" ht="24" x14ac:dyDescent="0.2">
      <c r="A130" s="28">
        <v>21</v>
      </c>
      <c r="B130" s="37">
        <v>40502</v>
      </c>
      <c r="C130" s="30" t="s">
        <v>455</v>
      </c>
      <c r="D130" s="32" t="s">
        <v>184</v>
      </c>
      <c r="E130" s="62">
        <v>3.59</v>
      </c>
      <c r="F130" s="42"/>
      <c r="G130" s="42"/>
      <c r="H130" s="42"/>
      <c r="I130" s="42"/>
      <c r="J130" s="42"/>
      <c r="K130" s="42"/>
    </row>
    <row r="131" spans="1:11" x14ac:dyDescent="0.2">
      <c r="A131" s="28">
        <v>22</v>
      </c>
      <c r="B131" s="37">
        <v>40504</v>
      </c>
      <c r="C131" s="30" t="s">
        <v>192</v>
      </c>
      <c r="D131" s="32" t="s">
        <v>184</v>
      </c>
      <c r="E131" s="62">
        <v>3.55</v>
      </c>
      <c r="F131" s="42"/>
      <c r="G131" s="42"/>
      <c r="H131" s="42"/>
      <c r="I131" s="42"/>
      <c r="J131" s="42"/>
      <c r="K131" s="42"/>
    </row>
    <row r="132" spans="1:11" ht="24" x14ac:dyDescent="0.2">
      <c r="A132" s="28">
        <v>23</v>
      </c>
      <c r="B132" s="37">
        <v>40801</v>
      </c>
      <c r="C132" s="30" t="s">
        <v>456</v>
      </c>
      <c r="D132" s="32" t="s">
        <v>184</v>
      </c>
      <c r="E132" s="62">
        <v>0.45</v>
      </c>
      <c r="F132" s="42"/>
      <c r="G132" s="42"/>
      <c r="H132" s="42"/>
      <c r="I132" s="42"/>
      <c r="J132" s="42"/>
      <c r="K132" s="42"/>
    </row>
    <row r="133" spans="1:11" ht="24" x14ac:dyDescent="0.2">
      <c r="A133" s="28">
        <v>24</v>
      </c>
      <c r="B133" s="37">
        <v>41000</v>
      </c>
      <c r="C133" s="30" t="s">
        <v>193</v>
      </c>
      <c r="D133" s="32" t="s">
        <v>184</v>
      </c>
      <c r="E133" s="62">
        <v>7.49</v>
      </c>
      <c r="F133" s="42"/>
      <c r="G133" s="42"/>
      <c r="H133" s="42"/>
      <c r="I133" s="42"/>
      <c r="J133" s="42"/>
      <c r="K133" s="42"/>
    </row>
    <row r="134" spans="1:11" ht="36" x14ac:dyDescent="0.2">
      <c r="A134" s="28">
        <v>25</v>
      </c>
      <c r="B134" s="37">
        <v>50101</v>
      </c>
      <c r="C134" s="30" t="s">
        <v>194</v>
      </c>
      <c r="D134" s="32" t="s">
        <v>184</v>
      </c>
      <c r="E134" s="62">
        <v>12.42</v>
      </c>
      <c r="F134" s="42"/>
      <c r="G134" s="42"/>
      <c r="H134" s="42"/>
      <c r="I134" s="42"/>
      <c r="J134" s="42"/>
      <c r="K134" s="42"/>
    </row>
    <row r="135" spans="1:11" ht="36" x14ac:dyDescent="0.2">
      <c r="A135" s="28">
        <v>26</v>
      </c>
      <c r="B135" s="37">
        <v>60249</v>
      </c>
      <c r="C135" s="30" t="s">
        <v>195</v>
      </c>
      <c r="D135" s="32" t="s">
        <v>184</v>
      </c>
      <c r="E135" s="62">
        <v>0.05</v>
      </c>
      <c r="F135" s="42"/>
      <c r="G135" s="42"/>
      <c r="H135" s="42"/>
      <c r="I135" s="42"/>
      <c r="J135" s="42"/>
      <c r="K135" s="42"/>
    </row>
    <row r="136" spans="1:11" ht="36" x14ac:dyDescent="0.2">
      <c r="A136" s="28">
        <v>27</v>
      </c>
      <c r="B136" s="37">
        <v>60251</v>
      </c>
      <c r="C136" s="30" t="s">
        <v>196</v>
      </c>
      <c r="D136" s="32" t="s">
        <v>184</v>
      </c>
      <c r="E136" s="62">
        <v>0.02</v>
      </c>
      <c r="F136" s="42"/>
      <c r="G136" s="42"/>
      <c r="H136" s="42"/>
      <c r="I136" s="42"/>
      <c r="J136" s="42"/>
      <c r="K136" s="42"/>
    </row>
    <row r="137" spans="1:11" ht="24" x14ac:dyDescent="0.2">
      <c r="A137" s="28">
        <v>28</v>
      </c>
      <c r="B137" s="37">
        <v>70149</v>
      </c>
      <c r="C137" s="30" t="s">
        <v>197</v>
      </c>
      <c r="D137" s="32" t="s">
        <v>184</v>
      </c>
      <c r="E137" s="62">
        <v>0.09</v>
      </c>
      <c r="F137" s="42"/>
      <c r="G137" s="42"/>
      <c r="H137" s="42"/>
      <c r="I137" s="42"/>
      <c r="J137" s="42"/>
      <c r="K137" s="42"/>
    </row>
    <row r="138" spans="1:11" ht="36" x14ac:dyDescent="0.2">
      <c r="A138" s="28">
        <v>29</v>
      </c>
      <c r="B138" s="37">
        <v>100401</v>
      </c>
      <c r="C138" s="30" t="s">
        <v>198</v>
      </c>
      <c r="D138" s="32" t="s">
        <v>184</v>
      </c>
      <c r="E138" s="62">
        <v>21.16</v>
      </c>
      <c r="F138" s="42"/>
      <c r="G138" s="42"/>
      <c r="H138" s="42"/>
      <c r="I138" s="42"/>
      <c r="J138" s="42"/>
      <c r="K138" s="42"/>
    </row>
    <row r="139" spans="1:11" ht="24" x14ac:dyDescent="0.2">
      <c r="A139" s="28">
        <v>30</v>
      </c>
      <c r="B139" s="37">
        <v>101002</v>
      </c>
      <c r="C139" s="30" t="s">
        <v>199</v>
      </c>
      <c r="D139" s="32" t="s">
        <v>184</v>
      </c>
      <c r="E139" s="62">
        <v>0.06</v>
      </c>
      <c r="F139" s="42"/>
      <c r="G139" s="42"/>
      <c r="H139" s="42"/>
      <c r="I139" s="42"/>
      <c r="J139" s="42"/>
      <c r="K139" s="42"/>
    </row>
    <row r="140" spans="1:11" x14ac:dyDescent="0.2">
      <c r="A140" s="28">
        <v>31</v>
      </c>
      <c r="B140" s="37">
        <v>111100</v>
      </c>
      <c r="C140" s="30" t="s">
        <v>200</v>
      </c>
      <c r="D140" s="32" t="s">
        <v>184</v>
      </c>
      <c r="E140" s="62">
        <v>1.77</v>
      </c>
      <c r="F140" s="42"/>
      <c r="G140" s="42"/>
      <c r="H140" s="42"/>
      <c r="I140" s="42"/>
      <c r="J140" s="42"/>
      <c r="K140" s="42"/>
    </row>
    <row r="141" spans="1:11" x14ac:dyDescent="0.2">
      <c r="A141" s="28">
        <v>32</v>
      </c>
      <c r="B141" s="37">
        <v>121601</v>
      </c>
      <c r="C141" s="30" t="s">
        <v>201</v>
      </c>
      <c r="D141" s="32" t="s">
        <v>184</v>
      </c>
      <c r="E141" s="62">
        <v>0.03</v>
      </c>
      <c r="F141" s="42"/>
      <c r="G141" s="42"/>
      <c r="H141" s="42"/>
      <c r="I141" s="42"/>
      <c r="J141" s="42"/>
      <c r="K141" s="42"/>
    </row>
    <row r="142" spans="1:11" ht="24" x14ac:dyDescent="0.2">
      <c r="A142" s="28">
        <v>33</v>
      </c>
      <c r="B142" s="37">
        <v>122100</v>
      </c>
      <c r="C142" s="30" t="s">
        <v>202</v>
      </c>
      <c r="D142" s="32" t="s">
        <v>184</v>
      </c>
      <c r="E142" s="62">
        <v>0.06</v>
      </c>
      <c r="F142" s="42"/>
      <c r="G142" s="42"/>
      <c r="H142" s="42"/>
      <c r="I142" s="42"/>
      <c r="J142" s="42"/>
      <c r="K142" s="42"/>
    </row>
    <row r="143" spans="1:11" ht="24" x14ac:dyDescent="0.2">
      <c r="A143" s="28">
        <v>34</v>
      </c>
      <c r="B143" s="37">
        <v>150702</v>
      </c>
      <c r="C143" s="30" t="s">
        <v>203</v>
      </c>
      <c r="D143" s="32" t="s">
        <v>184</v>
      </c>
      <c r="E143" s="62">
        <v>4.25</v>
      </c>
      <c r="F143" s="42"/>
      <c r="G143" s="42"/>
      <c r="H143" s="42"/>
      <c r="I143" s="42"/>
      <c r="J143" s="42"/>
      <c r="K143" s="42"/>
    </row>
    <row r="144" spans="1:11" x14ac:dyDescent="0.2">
      <c r="A144" s="28">
        <v>35</v>
      </c>
      <c r="B144" s="37">
        <v>330206</v>
      </c>
      <c r="C144" s="30" t="s">
        <v>204</v>
      </c>
      <c r="D144" s="32" t="s">
        <v>184</v>
      </c>
      <c r="E144" s="62">
        <v>0.14000000000000001</v>
      </c>
      <c r="F144" s="42"/>
      <c r="G144" s="42"/>
      <c r="H144" s="42"/>
      <c r="I144" s="42"/>
      <c r="J144" s="42"/>
      <c r="K144" s="42"/>
    </row>
    <row r="145" spans="1:11" x14ac:dyDescent="0.2">
      <c r="A145" s="28">
        <v>36</v>
      </c>
      <c r="B145" s="37">
        <v>330301</v>
      </c>
      <c r="C145" s="30" t="s">
        <v>205</v>
      </c>
      <c r="D145" s="32" t="s">
        <v>184</v>
      </c>
      <c r="E145" s="62">
        <v>0.28999999999999998</v>
      </c>
      <c r="F145" s="42"/>
      <c r="G145" s="42"/>
      <c r="H145" s="42"/>
      <c r="I145" s="42"/>
      <c r="J145" s="42"/>
      <c r="K145" s="42"/>
    </row>
    <row r="146" spans="1:11" x14ac:dyDescent="0.2">
      <c r="A146" s="28">
        <v>37</v>
      </c>
      <c r="B146" s="37">
        <v>330500</v>
      </c>
      <c r="C146" s="30" t="s">
        <v>206</v>
      </c>
      <c r="D146" s="32" t="s">
        <v>184</v>
      </c>
      <c r="E146" s="62">
        <v>0.26</v>
      </c>
      <c r="F146" s="42"/>
      <c r="G146" s="42"/>
      <c r="H146" s="42"/>
      <c r="I146" s="42"/>
      <c r="J146" s="42"/>
      <c r="K146" s="42"/>
    </row>
    <row r="147" spans="1:11" x14ac:dyDescent="0.2">
      <c r="A147" s="28">
        <v>38</v>
      </c>
      <c r="B147" s="37">
        <v>330900</v>
      </c>
      <c r="C147" s="30" t="s">
        <v>207</v>
      </c>
      <c r="D147" s="32" t="s">
        <v>184</v>
      </c>
      <c r="E147" s="62">
        <v>0.39</v>
      </c>
      <c r="F147" s="42"/>
      <c r="G147" s="42"/>
      <c r="H147" s="42"/>
      <c r="I147" s="42"/>
      <c r="J147" s="42"/>
      <c r="K147" s="42"/>
    </row>
    <row r="148" spans="1:11" x14ac:dyDescent="0.2">
      <c r="A148" s="28">
        <v>39</v>
      </c>
      <c r="B148" s="37">
        <v>331002</v>
      </c>
      <c r="C148" s="30" t="s">
        <v>457</v>
      </c>
      <c r="D148" s="32" t="s">
        <v>184</v>
      </c>
      <c r="E148" s="62">
        <v>2.41</v>
      </c>
      <c r="F148" s="42"/>
      <c r="G148" s="42"/>
      <c r="H148" s="42"/>
      <c r="I148" s="42"/>
      <c r="J148" s="42"/>
      <c r="K148" s="42"/>
    </row>
    <row r="149" spans="1:11" x14ac:dyDescent="0.2">
      <c r="A149" s="28">
        <v>40</v>
      </c>
      <c r="B149" s="37">
        <v>331305</v>
      </c>
      <c r="C149" s="30" t="s">
        <v>208</v>
      </c>
      <c r="D149" s="32" t="s">
        <v>184</v>
      </c>
      <c r="E149" s="62">
        <v>4.5999999999999996</v>
      </c>
      <c r="F149" s="42"/>
      <c r="G149" s="42"/>
      <c r="H149" s="42"/>
      <c r="I149" s="42"/>
      <c r="J149" s="42"/>
      <c r="K149" s="42"/>
    </row>
    <row r="150" spans="1:11" ht="24" x14ac:dyDescent="0.2">
      <c r="A150" s="28">
        <v>41</v>
      </c>
      <c r="B150" s="37">
        <v>331410</v>
      </c>
      <c r="C150" s="30" t="s">
        <v>209</v>
      </c>
      <c r="D150" s="32" t="s">
        <v>184</v>
      </c>
      <c r="E150" s="62">
        <v>10.119999999999999</v>
      </c>
      <c r="F150" s="42"/>
      <c r="G150" s="42"/>
      <c r="H150" s="42"/>
      <c r="I150" s="42"/>
      <c r="J150" s="42"/>
      <c r="K150" s="42"/>
    </row>
    <row r="151" spans="1:11" ht="36" x14ac:dyDescent="0.2">
      <c r="A151" s="28">
        <v>42</v>
      </c>
      <c r="B151" s="37">
        <v>340101</v>
      </c>
      <c r="C151" s="30" t="s">
        <v>210</v>
      </c>
      <c r="D151" s="32" t="s">
        <v>184</v>
      </c>
      <c r="E151" s="62">
        <v>0.72</v>
      </c>
      <c r="F151" s="42"/>
      <c r="G151" s="42"/>
      <c r="H151" s="42"/>
      <c r="I151" s="42"/>
      <c r="J151" s="42"/>
      <c r="K151" s="42"/>
    </row>
    <row r="152" spans="1:11" x14ac:dyDescent="0.2">
      <c r="A152" s="28">
        <v>43</v>
      </c>
      <c r="B152" s="37">
        <v>350471</v>
      </c>
      <c r="C152" s="30" t="s">
        <v>211</v>
      </c>
      <c r="D152" s="32" t="s">
        <v>184</v>
      </c>
      <c r="E152" s="62">
        <v>0.56000000000000005</v>
      </c>
      <c r="F152" s="42"/>
      <c r="G152" s="42"/>
      <c r="H152" s="42"/>
      <c r="I152" s="42"/>
      <c r="J152" s="42"/>
      <c r="K152" s="42"/>
    </row>
    <row r="153" spans="1:11" x14ac:dyDescent="0.2">
      <c r="A153" s="28">
        <v>44</v>
      </c>
      <c r="B153" s="37">
        <v>400001</v>
      </c>
      <c r="C153" s="30" t="s">
        <v>212</v>
      </c>
      <c r="D153" s="32" t="s">
        <v>184</v>
      </c>
      <c r="E153" s="62">
        <v>6.76</v>
      </c>
      <c r="F153" s="42"/>
      <c r="G153" s="42"/>
      <c r="H153" s="42"/>
      <c r="I153" s="42"/>
      <c r="J153" s="42"/>
      <c r="K153" s="42"/>
    </row>
    <row r="154" spans="1:11" x14ac:dyDescent="0.2">
      <c r="A154" s="28">
        <v>45</v>
      </c>
      <c r="B154" s="37">
        <v>400002</v>
      </c>
      <c r="C154" s="30" t="s">
        <v>213</v>
      </c>
      <c r="D154" s="32" t="s">
        <v>184</v>
      </c>
      <c r="E154" s="62">
        <v>0.35</v>
      </c>
      <c r="F154" s="42"/>
      <c r="G154" s="42"/>
      <c r="H154" s="42"/>
      <c r="I154" s="42"/>
      <c r="J154" s="42"/>
      <c r="K154" s="42"/>
    </row>
    <row r="155" spans="1:11" x14ac:dyDescent="0.2">
      <c r="A155" s="354" t="s">
        <v>215</v>
      </c>
      <c r="B155" s="355"/>
      <c r="C155" s="355"/>
      <c r="D155" s="355"/>
      <c r="E155" s="355"/>
      <c r="F155" s="42"/>
      <c r="G155" s="42"/>
      <c r="H155" s="42"/>
      <c r="I155" s="42"/>
      <c r="J155" s="42"/>
      <c r="K155" s="42"/>
    </row>
    <row r="156" spans="1:11" x14ac:dyDescent="0.2">
      <c r="A156" s="28">
        <v>46</v>
      </c>
      <c r="B156" s="37" t="s">
        <v>216</v>
      </c>
      <c r="C156" s="30" t="s">
        <v>217</v>
      </c>
      <c r="D156" s="32" t="s">
        <v>218</v>
      </c>
      <c r="E156" s="62">
        <v>1.47E-2</v>
      </c>
      <c r="F156" s="42"/>
      <c r="G156" s="42"/>
      <c r="H156" s="42"/>
      <c r="I156" s="42"/>
      <c r="J156" s="42"/>
      <c r="K156" s="42"/>
    </row>
    <row r="157" spans="1:11" x14ac:dyDescent="0.2">
      <c r="A157" s="28">
        <v>47</v>
      </c>
      <c r="B157" s="37" t="s">
        <v>219</v>
      </c>
      <c r="C157" s="30" t="s">
        <v>220</v>
      </c>
      <c r="D157" s="32" t="s">
        <v>218</v>
      </c>
      <c r="E157" s="62">
        <v>1E-4</v>
      </c>
      <c r="F157" s="42"/>
      <c r="G157" s="42"/>
      <c r="H157" s="42"/>
      <c r="I157" s="42"/>
      <c r="J157" s="42"/>
      <c r="K157" s="42"/>
    </row>
    <row r="158" spans="1:11" x14ac:dyDescent="0.2">
      <c r="A158" s="28">
        <v>48</v>
      </c>
      <c r="B158" s="37" t="s">
        <v>221</v>
      </c>
      <c r="C158" s="30" t="s">
        <v>222</v>
      </c>
      <c r="D158" s="32" t="s">
        <v>223</v>
      </c>
      <c r="E158" s="62">
        <v>2.6515</v>
      </c>
      <c r="F158" s="42"/>
      <c r="G158" s="42"/>
      <c r="H158" s="42"/>
      <c r="I158" s="42"/>
      <c r="J158" s="42"/>
      <c r="K158" s="42"/>
    </row>
    <row r="159" spans="1:11" ht="24" x14ac:dyDescent="0.2">
      <c r="A159" s="28">
        <v>49</v>
      </c>
      <c r="B159" s="37" t="s">
        <v>224</v>
      </c>
      <c r="C159" s="30" t="s">
        <v>225</v>
      </c>
      <c r="D159" s="32" t="s">
        <v>218</v>
      </c>
      <c r="E159" s="61"/>
      <c r="F159" s="42"/>
      <c r="G159" s="42"/>
      <c r="H159" s="42"/>
      <c r="I159" s="42"/>
      <c r="J159" s="42"/>
      <c r="K159" s="42"/>
    </row>
    <row r="160" spans="1:11" x14ac:dyDescent="0.2">
      <c r="A160" s="28">
        <v>50</v>
      </c>
      <c r="B160" s="37" t="s">
        <v>226</v>
      </c>
      <c r="C160" s="30" t="s">
        <v>227</v>
      </c>
      <c r="D160" s="32" t="s">
        <v>218</v>
      </c>
      <c r="E160" s="62">
        <v>1.5E-3</v>
      </c>
      <c r="F160" s="42"/>
      <c r="G160" s="42"/>
      <c r="H160" s="42"/>
      <c r="I160" s="42"/>
      <c r="J160" s="42"/>
      <c r="K160" s="42"/>
    </row>
    <row r="161" spans="1:11" x14ac:dyDescent="0.2">
      <c r="A161" s="28">
        <v>51</v>
      </c>
      <c r="B161" s="37" t="s">
        <v>228</v>
      </c>
      <c r="C161" s="30" t="s">
        <v>229</v>
      </c>
      <c r="D161" s="32" t="s">
        <v>218</v>
      </c>
      <c r="E161" s="62">
        <v>5.5999999999999999E-3</v>
      </c>
      <c r="F161" s="42"/>
      <c r="G161" s="42"/>
      <c r="H161" s="42"/>
      <c r="I161" s="42"/>
      <c r="J161" s="42"/>
      <c r="K161" s="42"/>
    </row>
    <row r="162" spans="1:11" x14ac:dyDescent="0.2">
      <c r="A162" s="28">
        <v>52</v>
      </c>
      <c r="B162" s="37" t="s">
        <v>230</v>
      </c>
      <c r="C162" s="30" t="s">
        <v>231</v>
      </c>
      <c r="D162" s="32" t="s">
        <v>218</v>
      </c>
      <c r="E162" s="62">
        <v>8.2000000000000007E-3</v>
      </c>
      <c r="F162" s="42"/>
      <c r="G162" s="42"/>
      <c r="H162" s="42"/>
      <c r="I162" s="42"/>
      <c r="J162" s="42"/>
      <c r="K162" s="42"/>
    </row>
    <row r="163" spans="1:11" x14ac:dyDescent="0.2">
      <c r="A163" s="28">
        <v>53</v>
      </c>
      <c r="B163" s="37" t="s">
        <v>458</v>
      </c>
      <c r="C163" s="30" t="s">
        <v>459</v>
      </c>
      <c r="D163" s="32" t="s">
        <v>218</v>
      </c>
      <c r="E163" s="62">
        <v>1.6000000000000001E-3</v>
      </c>
      <c r="F163" s="42"/>
      <c r="G163" s="42"/>
      <c r="H163" s="42"/>
      <c r="I163" s="42"/>
      <c r="J163" s="42"/>
      <c r="K163" s="42"/>
    </row>
    <row r="164" spans="1:11" x14ac:dyDescent="0.2">
      <c r="A164" s="28">
        <v>54</v>
      </c>
      <c r="B164" s="37" t="s">
        <v>232</v>
      </c>
      <c r="C164" s="30" t="s">
        <v>233</v>
      </c>
      <c r="D164" s="32" t="s">
        <v>218</v>
      </c>
      <c r="E164" s="62">
        <v>3.3999999999999998E-3</v>
      </c>
      <c r="F164" s="42"/>
      <c r="G164" s="42"/>
      <c r="H164" s="42"/>
      <c r="I164" s="42"/>
      <c r="J164" s="42"/>
      <c r="K164" s="42"/>
    </row>
    <row r="165" spans="1:11" x14ac:dyDescent="0.2">
      <c r="A165" s="28">
        <v>55</v>
      </c>
      <c r="B165" s="37" t="s">
        <v>234</v>
      </c>
      <c r="C165" s="30" t="s">
        <v>235</v>
      </c>
      <c r="D165" s="32" t="s">
        <v>223</v>
      </c>
      <c r="E165" s="62">
        <v>0.23799999999999999</v>
      </c>
      <c r="F165" s="42"/>
      <c r="G165" s="42"/>
      <c r="H165" s="42"/>
      <c r="I165" s="42"/>
      <c r="J165" s="42"/>
      <c r="K165" s="42"/>
    </row>
    <row r="166" spans="1:11" x14ac:dyDescent="0.2">
      <c r="A166" s="28">
        <v>56</v>
      </c>
      <c r="B166" s="37" t="s">
        <v>236</v>
      </c>
      <c r="C166" s="30" t="s">
        <v>237</v>
      </c>
      <c r="D166" s="32" t="s">
        <v>218</v>
      </c>
      <c r="E166" s="62">
        <v>1.6000000000000001E-3</v>
      </c>
      <c r="F166" s="42"/>
      <c r="G166" s="42"/>
      <c r="H166" s="42"/>
      <c r="I166" s="42"/>
      <c r="J166" s="42"/>
      <c r="K166" s="42"/>
    </row>
    <row r="167" spans="1:11" ht="24" x14ac:dyDescent="0.2">
      <c r="A167" s="28">
        <v>57</v>
      </c>
      <c r="B167" s="37" t="s">
        <v>238</v>
      </c>
      <c r="C167" s="30" t="s">
        <v>239</v>
      </c>
      <c r="D167" s="32" t="s">
        <v>218</v>
      </c>
      <c r="E167" s="62">
        <v>0.10199999999999999</v>
      </c>
      <c r="F167" s="42"/>
      <c r="G167" s="42"/>
      <c r="H167" s="42"/>
      <c r="I167" s="42"/>
      <c r="J167" s="42"/>
      <c r="K167" s="42"/>
    </row>
    <row r="168" spans="1:11" x14ac:dyDescent="0.2">
      <c r="A168" s="28">
        <v>58</v>
      </c>
      <c r="B168" s="37" t="s">
        <v>240</v>
      </c>
      <c r="C168" s="30" t="s">
        <v>241</v>
      </c>
      <c r="D168" s="32" t="s">
        <v>242</v>
      </c>
      <c r="E168" s="62">
        <v>2.2999999999999998</v>
      </c>
      <c r="F168" s="42"/>
      <c r="G168" s="42"/>
      <c r="H168" s="42"/>
      <c r="I168" s="42"/>
      <c r="J168" s="42"/>
      <c r="K168" s="42"/>
    </row>
    <row r="169" spans="1:11" x14ac:dyDescent="0.2">
      <c r="A169" s="28">
        <v>59</v>
      </c>
      <c r="B169" s="37" t="s">
        <v>243</v>
      </c>
      <c r="C169" s="30" t="s">
        <v>244</v>
      </c>
      <c r="D169" s="32" t="s">
        <v>218</v>
      </c>
      <c r="E169" s="61"/>
      <c r="F169" s="42"/>
      <c r="G169" s="42"/>
      <c r="H169" s="42"/>
      <c r="I169" s="42"/>
      <c r="J169" s="42"/>
      <c r="K169" s="42"/>
    </row>
    <row r="170" spans="1:11" x14ac:dyDescent="0.2">
      <c r="A170" s="28">
        <v>60</v>
      </c>
      <c r="B170" s="37" t="s">
        <v>247</v>
      </c>
      <c r="C170" s="30" t="s">
        <v>248</v>
      </c>
      <c r="D170" s="32" t="s">
        <v>242</v>
      </c>
      <c r="E170" s="62">
        <v>0.49409999999999998</v>
      </c>
      <c r="F170" s="42"/>
      <c r="G170" s="42"/>
      <c r="H170" s="42"/>
      <c r="I170" s="42"/>
      <c r="J170" s="42"/>
      <c r="K170" s="42"/>
    </row>
    <row r="171" spans="1:11" x14ac:dyDescent="0.2">
      <c r="A171" s="28">
        <v>61</v>
      </c>
      <c r="B171" s="37" t="s">
        <v>249</v>
      </c>
      <c r="C171" s="30" t="s">
        <v>250</v>
      </c>
      <c r="D171" s="32" t="s">
        <v>218</v>
      </c>
      <c r="E171" s="62">
        <v>1.2999999999999999E-3</v>
      </c>
      <c r="F171" s="42"/>
      <c r="G171" s="42"/>
      <c r="H171" s="42"/>
      <c r="I171" s="42"/>
      <c r="J171" s="42"/>
      <c r="K171" s="42"/>
    </row>
    <row r="172" spans="1:11" x14ac:dyDescent="0.2">
      <c r="A172" s="28">
        <v>62</v>
      </c>
      <c r="B172" s="37" t="s">
        <v>251</v>
      </c>
      <c r="C172" s="30" t="s">
        <v>252</v>
      </c>
      <c r="D172" s="32" t="s">
        <v>218</v>
      </c>
      <c r="E172" s="62">
        <v>1.2999999999999999E-3</v>
      </c>
      <c r="F172" s="42"/>
      <c r="G172" s="42"/>
      <c r="H172" s="42"/>
      <c r="I172" s="42"/>
      <c r="J172" s="42"/>
      <c r="K172" s="42"/>
    </row>
    <row r="173" spans="1:11" x14ac:dyDescent="0.2">
      <c r="A173" s="28">
        <v>63</v>
      </c>
      <c r="B173" s="37" t="s">
        <v>253</v>
      </c>
      <c r="C173" s="30" t="s">
        <v>254</v>
      </c>
      <c r="D173" s="32" t="s">
        <v>218</v>
      </c>
      <c r="E173" s="62">
        <v>8.0000000000000004E-4</v>
      </c>
      <c r="F173" s="42"/>
      <c r="G173" s="42"/>
      <c r="H173" s="42"/>
      <c r="I173" s="42"/>
      <c r="J173" s="42"/>
      <c r="K173" s="42"/>
    </row>
    <row r="174" spans="1:11" ht="24" x14ac:dyDescent="0.2">
      <c r="A174" s="28">
        <v>64</v>
      </c>
      <c r="B174" s="37" t="s">
        <v>255</v>
      </c>
      <c r="C174" s="30" t="s">
        <v>256</v>
      </c>
      <c r="D174" s="32" t="s">
        <v>223</v>
      </c>
      <c r="E174" s="62">
        <v>1E-3</v>
      </c>
      <c r="F174" s="42"/>
      <c r="G174" s="42"/>
      <c r="H174" s="42"/>
      <c r="I174" s="42"/>
      <c r="J174" s="42"/>
      <c r="K174" s="42"/>
    </row>
    <row r="175" spans="1:11" ht="48" x14ac:dyDescent="0.2">
      <c r="A175" s="28">
        <v>65</v>
      </c>
      <c r="B175" s="37" t="s">
        <v>257</v>
      </c>
      <c r="C175" s="30" t="s">
        <v>258</v>
      </c>
      <c r="D175" s="32" t="s">
        <v>259</v>
      </c>
      <c r="E175" s="62">
        <v>1.224</v>
      </c>
      <c r="F175" s="42"/>
      <c r="G175" s="42"/>
      <c r="H175" s="42"/>
      <c r="I175" s="42"/>
      <c r="J175" s="42"/>
      <c r="K175" s="42"/>
    </row>
    <row r="176" spans="1:11" x14ac:dyDescent="0.2">
      <c r="A176" s="28">
        <v>66</v>
      </c>
      <c r="B176" s="37" t="s">
        <v>260</v>
      </c>
      <c r="C176" s="30" t="s">
        <v>261</v>
      </c>
      <c r="D176" s="32" t="s">
        <v>50</v>
      </c>
      <c r="E176" s="62">
        <v>1.4450000000000001</v>
      </c>
      <c r="F176" s="42"/>
      <c r="G176" s="42"/>
      <c r="H176" s="42"/>
      <c r="I176" s="42"/>
      <c r="J176" s="42"/>
      <c r="K176" s="42"/>
    </row>
    <row r="177" spans="1:11" x14ac:dyDescent="0.2">
      <c r="A177" s="28">
        <v>67</v>
      </c>
      <c r="B177" s="37" t="s">
        <v>262</v>
      </c>
      <c r="C177" s="30" t="s">
        <v>263</v>
      </c>
      <c r="D177" s="32" t="s">
        <v>218</v>
      </c>
      <c r="E177" s="61"/>
      <c r="F177" s="42"/>
      <c r="G177" s="42"/>
      <c r="H177" s="42"/>
      <c r="I177" s="42"/>
      <c r="J177" s="42"/>
      <c r="K177" s="42"/>
    </row>
    <row r="178" spans="1:11" x14ac:dyDescent="0.2">
      <c r="A178" s="28">
        <v>68</v>
      </c>
      <c r="B178" s="37" t="s">
        <v>264</v>
      </c>
      <c r="C178" s="30" t="s">
        <v>265</v>
      </c>
      <c r="D178" s="32" t="s">
        <v>218</v>
      </c>
      <c r="E178" s="62">
        <v>2.9999999999999997E-4</v>
      </c>
      <c r="F178" s="42"/>
      <c r="G178" s="42"/>
      <c r="H178" s="42"/>
      <c r="I178" s="42"/>
      <c r="J178" s="42"/>
      <c r="K178" s="42"/>
    </row>
    <row r="179" spans="1:11" x14ac:dyDescent="0.2">
      <c r="A179" s="28">
        <v>69</v>
      </c>
      <c r="B179" s="37" t="s">
        <v>266</v>
      </c>
      <c r="C179" s="30" t="s">
        <v>267</v>
      </c>
      <c r="D179" s="32" t="s">
        <v>218</v>
      </c>
      <c r="E179" s="61"/>
      <c r="F179" s="42"/>
      <c r="G179" s="42"/>
      <c r="H179" s="42"/>
      <c r="I179" s="42"/>
      <c r="J179" s="42"/>
      <c r="K179" s="42"/>
    </row>
    <row r="180" spans="1:11" x14ac:dyDescent="0.2">
      <c r="A180" s="28">
        <v>70</v>
      </c>
      <c r="B180" s="37" t="s">
        <v>268</v>
      </c>
      <c r="C180" s="30" t="s">
        <v>269</v>
      </c>
      <c r="D180" s="32" t="s">
        <v>218</v>
      </c>
      <c r="E180" s="62">
        <v>5.9999999999999995E-4</v>
      </c>
      <c r="F180" s="42"/>
      <c r="G180" s="42"/>
      <c r="H180" s="42"/>
      <c r="I180" s="42"/>
      <c r="J180" s="42"/>
      <c r="K180" s="42"/>
    </row>
    <row r="181" spans="1:11" x14ac:dyDescent="0.2">
      <c r="A181" s="28">
        <v>71</v>
      </c>
      <c r="B181" s="37" t="s">
        <v>270</v>
      </c>
      <c r="C181" s="30" t="s">
        <v>271</v>
      </c>
      <c r="D181" s="32" t="s">
        <v>218</v>
      </c>
      <c r="E181" s="61"/>
      <c r="F181" s="42"/>
      <c r="G181" s="42"/>
      <c r="H181" s="42"/>
      <c r="I181" s="42"/>
      <c r="J181" s="42"/>
      <c r="K181" s="42"/>
    </row>
    <row r="182" spans="1:11" ht="48" x14ac:dyDescent="0.2">
      <c r="A182" s="28">
        <v>72</v>
      </c>
      <c r="B182" s="37" t="s">
        <v>460</v>
      </c>
      <c r="C182" s="30" t="s">
        <v>461</v>
      </c>
      <c r="D182" s="32" t="s">
        <v>218</v>
      </c>
      <c r="E182" s="62">
        <v>2.3E-3</v>
      </c>
      <c r="F182" s="42"/>
      <c r="G182" s="42"/>
      <c r="H182" s="42"/>
      <c r="I182" s="42"/>
      <c r="J182" s="42"/>
      <c r="K182" s="42"/>
    </row>
    <row r="183" spans="1:11" ht="24" x14ac:dyDescent="0.2">
      <c r="A183" s="28">
        <v>73</v>
      </c>
      <c r="B183" s="37" t="s">
        <v>272</v>
      </c>
      <c r="C183" s="30" t="s">
        <v>273</v>
      </c>
      <c r="D183" s="32" t="s">
        <v>223</v>
      </c>
      <c r="E183" s="62">
        <v>1E-4</v>
      </c>
      <c r="F183" s="42"/>
      <c r="G183" s="42"/>
      <c r="H183" s="42"/>
      <c r="I183" s="42"/>
      <c r="J183" s="42"/>
      <c r="K183" s="42"/>
    </row>
    <row r="184" spans="1:11" x14ac:dyDescent="0.2">
      <c r="A184" s="28">
        <v>74</v>
      </c>
      <c r="B184" s="37" t="s">
        <v>274</v>
      </c>
      <c r="C184" s="30" t="s">
        <v>275</v>
      </c>
      <c r="D184" s="32" t="s">
        <v>242</v>
      </c>
      <c r="E184" s="62">
        <v>1472</v>
      </c>
      <c r="F184" s="42"/>
      <c r="G184" s="42"/>
      <c r="H184" s="42"/>
      <c r="I184" s="42"/>
      <c r="J184" s="42"/>
      <c r="K184" s="42"/>
    </row>
    <row r="185" spans="1:11" x14ac:dyDescent="0.2">
      <c r="A185" s="28">
        <v>75</v>
      </c>
      <c r="B185" s="37" t="s">
        <v>276</v>
      </c>
      <c r="C185" s="30" t="s">
        <v>277</v>
      </c>
      <c r="D185" s="32" t="s">
        <v>223</v>
      </c>
      <c r="E185" s="62">
        <v>0.19620000000000001</v>
      </c>
      <c r="F185" s="42"/>
      <c r="G185" s="42"/>
      <c r="H185" s="42"/>
      <c r="I185" s="42"/>
      <c r="J185" s="42"/>
      <c r="K185" s="42"/>
    </row>
    <row r="186" spans="1:11" ht="48" x14ac:dyDescent="0.2">
      <c r="A186" s="28">
        <v>76</v>
      </c>
      <c r="B186" s="37" t="s">
        <v>278</v>
      </c>
      <c r="C186" s="30" t="s">
        <v>279</v>
      </c>
      <c r="D186" s="32" t="s">
        <v>280</v>
      </c>
      <c r="E186" s="62">
        <v>1.4999999999999999E-2</v>
      </c>
      <c r="F186" s="42"/>
      <c r="G186" s="42"/>
      <c r="H186" s="42"/>
      <c r="I186" s="42"/>
      <c r="J186" s="42"/>
      <c r="K186" s="42"/>
    </row>
    <row r="187" spans="1:11" ht="24" x14ac:dyDescent="0.2">
      <c r="A187" s="28">
        <v>77</v>
      </c>
      <c r="B187" s="37" t="s">
        <v>281</v>
      </c>
      <c r="C187" s="30" t="s">
        <v>282</v>
      </c>
      <c r="D187" s="32" t="s">
        <v>283</v>
      </c>
      <c r="E187" s="62">
        <v>7.9580000000000002</v>
      </c>
      <c r="F187" s="42"/>
      <c r="G187" s="42"/>
      <c r="H187" s="42"/>
      <c r="I187" s="42"/>
      <c r="J187" s="42"/>
      <c r="K187" s="42"/>
    </row>
    <row r="188" spans="1:11" ht="24" x14ac:dyDescent="0.2">
      <c r="A188" s="28">
        <v>78</v>
      </c>
      <c r="B188" s="37" t="s">
        <v>126</v>
      </c>
      <c r="C188" s="30" t="s">
        <v>462</v>
      </c>
      <c r="D188" s="32" t="s">
        <v>218</v>
      </c>
      <c r="E188" s="62">
        <v>7.0000000000000001E-3</v>
      </c>
      <c r="F188" s="42"/>
      <c r="G188" s="42"/>
      <c r="H188" s="42"/>
      <c r="I188" s="42"/>
      <c r="J188" s="42"/>
      <c r="K188" s="42"/>
    </row>
    <row r="189" spans="1:11" x14ac:dyDescent="0.2">
      <c r="A189" s="28">
        <v>79</v>
      </c>
      <c r="B189" s="37" t="s">
        <v>127</v>
      </c>
      <c r="C189" s="30" t="s">
        <v>284</v>
      </c>
      <c r="D189" s="32" t="s">
        <v>218</v>
      </c>
      <c r="E189" s="62">
        <v>52.707000000000001</v>
      </c>
      <c r="F189" s="42"/>
      <c r="G189" s="42"/>
      <c r="H189" s="42"/>
      <c r="I189" s="42"/>
      <c r="J189" s="42"/>
      <c r="K189" s="42"/>
    </row>
    <row r="190" spans="1:11" ht="24" x14ac:dyDescent="0.2">
      <c r="A190" s="38">
        <v>80</v>
      </c>
      <c r="B190" s="39" t="s">
        <v>127</v>
      </c>
      <c r="C190" s="40" t="s">
        <v>463</v>
      </c>
      <c r="D190" s="41" t="s">
        <v>218</v>
      </c>
      <c r="E190" s="64">
        <v>7.0000000000000001E-3</v>
      </c>
      <c r="F190" s="42"/>
      <c r="G190" s="42"/>
      <c r="H190" s="42"/>
      <c r="I190" s="42"/>
      <c r="J190" s="42"/>
      <c r="K190" s="42"/>
    </row>
    <row r="191" spans="1:11" ht="24" x14ac:dyDescent="0.2">
      <c r="A191" s="38">
        <v>81</v>
      </c>
      <c r="B191" s="39" t="s">
        <v>127</v>
      </c>
      <c r="C191" s="40" t="s">
        <v>464</v>
      </c>
      <c r="D191" s="41" t="s">
        <v>218</v>
      </c>
      <c r="E191" s="64">
        <v>52.7</v>
      </c>
      <c r="F191" s="42"/>
      <c r="G191" s="42"/>
      <c r="H191" s="42"/>
      <c r="I191" s="42"/>
      <c r="J191" s="42"/>
      <c r="K191" s="42"/>
    </row>
    <row r="192" spans="1:11" ht="24" x14ac:dyDescent="0.2">
      <c r="A192" s="28">
        <v>82</v>
      </c>
      <c r="B192" s="37" t="s">
        <v>125</v>
      </c>
      <c r="C192" s="30" t="s">
        <v>285</v>
      </c>
      <c r="D192" s="32" t="s">
        <v>218</v>
      </c>
      <c r="E192" s="62">
        <v>7.0000000000000001E-3</v>
      </c>
      <c r="F192" s="42"/>
      <c r="G192" s="42"/>
      <c r="H192" s="42"/>
      <c r="I192" s="42"/>
      <c r="J192" s="42"/>
      <c r="K192" s="42"/>
    </row>
    <row r="193" spans="1:11" x14ac:dyDescent="0.2">
      <c r="A193" s="28">
        <v>83</v>
      </c>
      <c r="B193" s="37" t="s">
        <v>146</v>
      </c>
      <c r="C193" s="30" t="s">
        <v>286</v>
      </c>
      <c r="D193" s="32" t="s">
        <v>218</v>
      </c>
      <c r="E193" s="62">
        <v>1E-3</v>
      </c>
      <c r="F193" s="42"/>
      <c r="G193" s="42"/>
      <c r="H193" s="42"/>
      <c r="I193" s="42"/>
      <c r="J193" s="42"/>
      <c r="K193" s="42"/>
    </row>
    <row r="194" spans="1:11" ht="24" x14ac:dyDescent="0.2">
      <c r="A194" s="28">
        <v>84</v>
      </c>
      <c r="B194" s="37" t="s">
        <v>102</v>
      </c>
      <c r="C194" s="30" t="s">
        <v>287</v>
      </c>
      <c r="D194" s="32" t="s">
        <v>218</v>
      </c>
      <c r="E194" s="62">
        <v>4</v>
      </c>
      <c r="F194" s="42"/>
      <c r="G194" s="42"/>
      <c r="H194" s="42"/>
      <c r="I194" s="42"/>
      <c r="J194" s="42"/>
      <c r="K194" s="42"/>
    </row>
    <row r="195" spans="1:11" ht="24" x14ac:dyDescent="0.2">
      <c r="A195" s="28">
        <v>85</v>
      </c>
      <c r="B195" s="37" t="s">
        <v>446</v>
      </c>
      <c r="C195" s="30" t="s">
        <v>465</v>
      </c>
      <c r="D195" s="32" t="s">
        <v>218</v>
      </c>
      <c r="E195" s="62">
        <v>0.02</v>
      </c>
      <c r="F195" s="42"/>
      <c r="G195" s="42"/>
      <c r="H195" s="42"/>
      <c r="I195" s="42"/>
      <c r="J195" s="42"/>
      <c r="K195" s="42"/>
    </row>
    <row r="196" spans="1:11" ht="24" x14ac:dyDescent="0.2">
      <c r="A196" s="28">
        <v>86</v>
      </c>
      <c r="B196" s="37" t="s">
        <v>444</v>
      </c>
      <c r="C196" s="30" t="s">
        <v>466</v>
      </c>
      <c r="D196" s="32" t="s">
        <v>467</v>
      </c>
      <c r="E196" s="62">
        <v>2.1999999999999999E-2</v>
      </c>
      <c r="F196" s="42"/>
      <c r="G196" s="42"/>
      <c r="H196" s="42"/>
      <c r="I196" s="42"/>
      <c r="J196" s="42"/>
      <c r="K196" s="42"/>
    </row>
    <row r="197" spans="1:11" x14ac:dyDescent="0.2">
      <c r="A197" s="28">
        <v>87</v>
      </c>
      <c r="B197" s="37" t="s">
        <v>148</v>
      </c>
      <c r="C197" s="30" t="s">
        <v>288</v>
      </c>
      <c r="D197" s="32" t="s">
        <v>242</v>
      </c>
      <c r="E197" s="62">
        <v>0.124</v>
      </c>
      <c r="F197" s="42"/>
      <c r="G197" s="42"/>
      <c r="H197" s="42"/>
      <c r="I197" s="42"/>
      <c r="J197" s="42"/>
      <c r="K197" s="42"/>
    </row>
    <row r="198" spans="1:11" x14ac:dyDescent="0.2">
      <c r="A198" s="28">
        <v>88</v>
      </c>
      <c r="B198" s="37" t="s">
        <v>442</v>
      </c>
      <c r="C198" s="30" t="s">
        <v>468</v>
      </c>
      <c r="D198" s="32" t="s">
        <v>218</v>
      </c>
      <c r="E198" s="62">
        <v>3.7999999999999999E-2</v>
      </c>
      <c r="F198" s="42"/>
      <c r="G198" s="42"/>
      <c r="H198" s="42"/>
      <c r="I198" s="42"/>
      <c r="J198" s="42"/>
      <c r="K198" s="42"/>
    </row>
    <row r="199" spans="1:11" ht="24" x14ac:dyDescent="0.2">
      <c r="A199" s="28">
        <v>89</v>
      </c>
      <c r="B199" s="37" t="s">
        <v>151</v>
      </c>
      <c r="C199" s="30" t="s">
        <v>469</v>
      </c>
      <c r="D199" s="32" t="s">
        <v>218</v>
      </c>
      <c r="E199" s="62">
        <v>6.3E-2</v>
      </c>
      <c r="F199" s="42"/>
      <c r="G199" s="42"/>
      <c r="H199" s="42"/>
      <c r="I199" s="42"/>
      <c r="J199" s="42"/>
      <c r="K199" s="42"/>
    </row>
    <row r="200" spans="1:11" ht="24" x14ac:dyDescent="0.2">
      <c r="A200" s="28">
        <v>90</v>
      </c>
      <c r="B200" s="37" t="s">
        <v>439</v>
      </c>
      <c r="C200" s="30" t="s">
        <v>470</v>
      </c>
      <c r="D200" s="32" t="s">
        <v>218</v>
      </c>
      <c r="E200" s="62">
        <v>0.54700000000000004</v>
      </c>
      <c r="F200" s="42"/>
      <c r="G200" s="42"/>
      <c r="H200" s="42"/>
      <c r="I200" s="42"/>
      <c r="J200" s="42"/>
      <c r="K200" s="42"/>
    </row>
    <row r="201" spans="1:11" x14ac:dyDescent="0.2">
      <c r="A201" s="28">
        <v>91</v>
      </c>
      <c r="B201" s="37" t="s">
        <v>81</v>
      </c>
      <c r="C201" s="30" t="s">
        <v>290</v>
      </c>
      <c r="D201" s="32" t="s">
        <v>50</v>
      </c>
      <c r="E201" s="62">
        <v>0.54239999999999999</v>
      </c>
      <c r="F201" s="42"/>
      <c r="G201" s="42"/>
      <c r="H201" s="42"/>
      <c r="I201" s="42"/>
      <c r="J201" s="42"/>
      <c r="K201" s="42"/>
    </row>
    <row r="202" spans="1:11" ht="24" x14ac:dyDescent="0.2">
      <c r="A202" s="28">
        <v>92</v>
      </c>
      <c r="B202" s="37" t="s">
        <v>132</v>
      </c>
      <c r="C202" s="30" t="s">
        <v>291</v>
      </c>
      <c r="D202" s="32" t="s">
        <v>242</v>
      </c>
      <c r="E202" s="62">
        <v>10.78</v>
      </c>
      <c r="F202" s="42"/>
      <c r="G202" s="42"/>
      <c r="H202" s="42"/>
      <c r="I202" s="42"/>
      <c r="J202" s="42"/>
      <c r="K202" s="42"/>
    </row>
    <row r="203" spans="1:11" ht="24" x14ac:dyDescent="0.2">
      <c r="A203" s="28">
        <v>93</v>
      </c>
      <c r="B203" s="37" t="s">
        <v>141</v>
      </c>
      <c r="C203" s="30" t="s">
        <v>292</v>
      </c>
      <c r="D203" s="32" t="s">
        <v>242</v>
      </c>
      <c r="E203" s="62">
        <v>5.5</v>
      </c>
      <c r="F203" s="42"/>
      <c r="G203" s="42"/>
      <c r="H203" s="42"/>
      <c r="I203" s="42"/>
      <c r="J203" s="42"/>
      <c r="K203" s="42"/>
    </row>
    <row r="204" spans="1:11" x14ac:dyDescent="0.2">
      <c r="A204" s="28">
        <v>94</v>
      </c>
      <c r="B204" s="37" t="s">
        <v>412</v>
      </c>
      <c r="C204" s="30" t="s">
        <v>306</v>
      </c>
      <c r="D204" s="32" t="s">
        <v>223</v>
      </c>
      <c r="E204" s="62">
        <v>5.4340000000000002</v>
      </c>
      <c r="F204" s="42"/>
      <c r="G204" s="42"/>
      <c r="H204" s="42"/>
      <c r="I204" s="42"/>
      <c r="J204" s="42"/>
      <c r="K204" s="42"/>
    </row>
    <row r="205" spans="1:11" x14ac:dyDescent="0.2">
      <c r="A205" s="354" t="s">
        <v>471</v>
      </c>
      <c r="B205" s="355"/>
      <c r="C205" s="355"/>
      <c r="D205" s="355"/>
      <c r="E205" s="355"/>
      <c r="F205" s="42"/>
      <c r="G205" s="42"/>
      <c r="H205" s="42"/>
      <c r="I205" s="42"/>
      <c r="J205" s="42"/>
      <c r="K205" s="42"/>
    </row>
    <row r="206" spans="1:11" ht="48" x14ac:dyDescent="0.2">
      <c r="A206" s="28">
        <v>95</v>
      </c>
      <c r="B206" s="37" t="s">
        <v>84</v>
      </c>
      <c r="C206" s="30" t="s">
        <v>289</v>
      </c>
      <c r="D206" s="32" t="s">
        <v>259</v>
      </c>
      <c r="E206" s="62">
        <v>50.5</v>
      </c>
      <c r="F206" s="42"/>
      <c r="G206" s="42"/>
      <c r="H206" s="42"/>
      <c r="I206" s="42"/>
      <c r="J206" s="42"/>
      <c r="K206" s="42"/>
    </row>
    <row r="207" spans="1:11" ht="36" x14ac:dyDescent="0.2">
      <c r="A207" s="28">
        <v>96</v>
      </c>
      <c r="B207" s="37" t="s">
        <v>414</v>
      </c>
      <c r="C207" s="30" t="s">
        <v>472</v>
      </c>
      <c r="D207" s="32" t="s">
        <v>214</v>
      </c>
      <c r="E207" s="62">
        <v>8.6943999999999999</v>
      </c>
      <c r="F207" s="42"/>
      <c r="G207" s="42"/>
      <c r="H207" s="42"/>
      <c r="I207" s="42"/>
      <c r="J207" s="42"/>
      <c r="K207" s="42"/>
    </row>
    <row r="208" spans="1:11" x14ac:dyDescent="0.2">
      <c r="A208" s="354" t="s">
        <v>294</v>
      </c>
      <c r="B208" s="355"/>
      <c r="C208" s="355"/>
      <c r="D208" s="355"/>
      <c r="E208" s="355"/>
      <c r="F208" s="42"/>
      <c r="G208" s="42"/>
      <c r="H208" s="42"/>
      <c r="I208" s="42"/>
      <c r="J208" s="42"/>
      <c r="K208" s="42"/>
    </row>
    <row r="209" spans="1:11" x14ac:dyDescent="0.2">
      <c r="A209" s="354" t="s">
        <v>215</v>
      </c>
      <c r="B209" s="355"/>
      <c r="C209" s="355"/>
      <c r="D209" s="355"/>
      <c r="E209" s="355"/>
      <c r="F209" s="42"/>
      <c r="G209" s="42"/>
      <c r="H209" s="42"/>
      <c r="I209" s="42"/>
      <c r="J209" s="42"/>
      <c r="K209" s="42"/>
    </row>
    <row r="210" spans="1:11" x14ac:dyDescent="0.2">
      <c r="A210" s="28">
        <v>97</v>
      </c>
      <c r="B210" s="37" t="s">
        <v>473</v>
      </c>
      <c r="C210" s="30" t="s">
        <v>474</v>
      </c>
      <c r="D210" s="32" t="s">
        <v>218</v>
      </c>
      <c r="E210" s="62">
        <v>0.52329999999999999</v>
      </c>
      <c r="F210" s="42"/>
      <c r="G210" s="42"/>
      <c r="H210" s="42"/>
      <c r="I210" s="42"/>
      <c r="J210" s="42"/>
      <c r="K210" s="42"/>
    </row>
    <row r="211" spans="1:11" ht="24" x14ac:dyDescent="0.2">
      <c r="A211" s="28">
        <v>98</v>
      </c>
      <c r="B211" s="37" t="s">
        <v>245</v>
      </c>
      <c r="C211" s="30" t="s">
        <v>246</v>
      </c>
      <c r="D211" s="32" t="s">
        <v>218</v>
      </c>
      <c r="E211" s="62">
        <v>0.19900000000000001</v>
      </c>
      <c r="F211" s="42"/>
      <c r="G211" s="42"/>
      <c r="H211" s="42"/>
      <c r="I211" s="42"/>
      <c r="J211" s="42"/>
      <c r="K211" s="42"/>
    </row>
    <row r="212" spans="1:11" ht="24" x14ac:dyDescent="0.2">
      <c r="A212" s="28">
        <v>99</v>
      </c>
      <c r="B212" s="37" t="s">
        <v>295</v>
      </c>
      <c r="C212" s="30" t="s">
        <v>296</v>
      </c>
      <c r="D212" s="32" t="s">
        <v>218</v>
      </c>
      <c r="E212" s="62">
        <v>4.4000000000000003E-3</v>
      </c>
      <c r="F212" s="42"/>
      <c r="G212" s="42"/>
      <c r="H212" s="42"/>
      <c r="I212" s="42"/>
      <c r="J212" s="42"/>
      <c r="K212" s="42"/>
    </row>
    <row r="213" spans="1:11" x14ac:dyDescent="0.2">
      <c r="A213" s="28">
        <v>100</v>
      </c>
      <c r="B213" s="37" t="s">
        <v>297</v>
      </c>
      <c r="C213" s="30" t="s">
        <v>298</v>
      </c>
      <c r="D213" s="32" t="s">
        <v>218</v>
      </c>
      <c r="E213" s="62">
        <v>4.1999999999999997E-3</v>
      </c>
      <c r="F213" s="42"/>
      <c r="G213" s="42"/>
      <c r="H213" s="42"/>
      <c r="I213" s="42"/>
      <c r="J213" s="42"/>
      <c r="K213" s="42"/>
    </row>
    <row r="214" spans="1:11" ht="24" x14ac:dyDescent="0.2">
      <c r="A214" s="28">
        <v>101</v>
      </c>
      <c r="B214" s="37" t="s">
        <v>299</v>
      </c>
      <c r="C214" s="30" t="s">
        <v>300</v>
      </c>
      <c r="D214" s="32" t="s">
        <v>218</v>
      </c>
      <c r="E214" s="62">
        <v>6.6E-3</v>
      </c>
      <c r="F214" s="42"/>
      <c r="G214" s="42"/>
      <c r="H214" s="42"/>
      <c r="I214" s="42"/>
      <c r="J214" s="42"/>
      <c r="K214" s="42"/>
    </row>
    <row r="215" spans="1:11" x14ac:dyDescent="0.2">
      <c r="A215" s="28">
        <v>102</v>
      </c>
      <c r="B215" s="37" t="s">
        <v>301</v>
      </c>
      <c r="C215" s="30" t="s">
        <v>302</v>
      </c>
      <c r="D215" s="32" t="s">
        <v>223</v>
      </c>
      <c r="E215" s="62">
        <v>2.72</v>
      </c>
      <c r="F215" s="42"/>
      <c r="G215" s="42"/>
      <c r="H215" s="42"/>
      <c r="I215" s="42"/>
      <c r="J215" s="42"/>
      <c r="K215" s="42"/>
    </row>
    <row r="216" spans="1:11" x14ac:dyDescent="0.2">
      <c r="A216" s="28">
        <v>103</v>
      </c>
      <c r="B216" s="37" t="s">
        <v>303</v>
      </c>
      <c r="C216" s="30" t="s">
        <v>304</v>
      </c>
      <c r="D216" s="32" t="s">
        <v>223</v>
      </c>
      <c r="E216" s="62">
        <v>1.972</v>
      </c>
      <c r="F216" s="42"/>
      <c r="G216" s="42"/>
      <c r="H216" s="42"/>
      <c r="I216" s="42"/>
      <c r="J216" s="42"/>
      <c r="K216" s="42"/>
    </row>
    <row r="217" spans="1:11" x14ac:dyDescent="0.2">
      <c r="A217" s="28">
        <v>104</v>
      </c>
      <c r="B217" s="37" t="s">
        <v>305</v>
      </c>
      <c r="C217" s="30" t="s">
        <v>306</v>
      </c>
      <c r="D217" s="32" t="s">
        <v>223</v>
      </c>
      <c r="E217" s="62">
        <v>1.8</v>
      </c>
      <c r="F217" s="42"/>
      <c r="G217" s="42"/>
      <c r="H217" s="42"/>
      <c r="I217" s="42"/>
      <c r="J217" s="42"/>
      <c r="K217" s="42"/>
    </row>
    <row r="218" spans="1:11" ht="24" x14ac:dyDescent="0.2">
      <c r="A218" s="28">
        <v>105</v>
      </c>
      <c r="B218" s="37" t="s">
        <v>307</v>
      </c>
      <c r="C218" s="30" t="s">
        <v>308</v>
      </c>
      <c r="D218" s="32" t="s">
        <v>223</v>
      </c>
      <c r="E218" s="62">
        <v>3.4340000000000002</v>
      </c>
      <c r="F218" s="42"/>
      <c r="G218" s="42"/>
      <c r="H218" s="42"/>
      <c r="I218" s="42"/>
      <c r="J218" s="42"/>
      <c r="K218" s="42"/>
    </row>
    <row r="219" spans="1:11" x14ac:dyDescent="0.2">
      <c r="A219" s="354" t="s">
        <v>309</v>
      </c>
      <c r="B219" s="355"/>
      <c r="C219" s="355"/>
      <c r="D219" s="355"/>
      <c r="E219" s="355"/>
      <c r="F219" s="42"/>
      <c r="G219" s="42"/>
      <c r="H219" s="42"/>
      <c r="I219" s="42"/>
      <c r="J219" s="42"/>
      <c r="K219" s="42"/>
    </row>
    <row r="220" spans="1:11" x14ac:dyDescent="0.2">
      <c r="A220" s="354" t="s">
        <v>215</v>
      </c>
      <c r="B220" s="355"/>
      <c r="C220" s="355"/>
      <c r="D220" s="355"/>
      <c r="E220" s="355"/>
      <c r="F220" s="42"/>
      <c r="G220" s="42"/>
      <c r="H220" s="42"/>
      <c r="I220" s="42"/>
      <c r="J220" s="42"/>
      <c r="K220" s="42"/>
    </row>
    <row r="221" spans="1:11" x14ac:dyDescent="0.2">
      <c r="A221" s="28">
        <v>106</v>
      </c>
      <c r="B221" s="37" t="s">
        <v>236</v>
      </c>
      <c r="C221" s="30" t="s">
        <v>237</v>
      </c>
      <c r="D221" s="32" t="s">
        <v>218</v>
      </c>
      <c r="E221" s="61"/>
      <c r="F221" s="42"/>
      <c r="G221" s="42"/>
      <c r="H221" s="42"/>
      <c r="I221" s="42"/>
      <c r="J221" s="42"/>
      <c r="K221" s="42"/>
    </row>
    <row r="222" spans="1:11" x14ac:dyDescent="0.2">
      <c r="A222" s="28">
        <v>107</v>
      </c>
      <c r="B222" s="37" t="s">
        <v>310</v>
      </c>
      <c r="C222" s="30" t="s">
        <v>311</v>
      </c>
      <c r="D222" s="32" t="s">
        <v>218</v>
      </c>
      <c r="E222" s="61"/>
      <c r="F222" s="42"/>
      <c r="G222" s="42"/>
      <c r="H222" s="42"/>
      <c r="I222" s="42"/>
      <c r="J222" s="42"/>
      <c r="K222" s="42"/>
    </row>
    <row r="223" spans="1:11" ht="24" x14ac:dyDescent="0.2">
      <c r="A223" s="28">
        <v>108</v>
      </c>
      <c r="B223" s="37" t="s">
        <v>312</v>
      </c>
      <c r="C223" s="30" t="s">
        <v>313</v>
      </c>
      <c r="D223" s="32" t="s">
        <v>218</v>
      </c>
      <c r="E223" s="61"/>
      <c r="F223" s="42"/>
      <c r="G223" s="42"/>
      <c r="H223" s="42"/>
      <c r="I223" s="42"/>
      <c r="J223" s="42"/>
      <c r="K223" s="42"/>
    </row>
    <row r="224" spans="1:11" x14ac:dyDescent="0.2">
      <c r="A224" s="28">
        <v>109</v>
      </c>
      <c r="B224" s="37" t="s">
        <v>314</v>
      </c>
      <c r="C224" s="30" t="s">
        <v>315</v>
      </c>
      <c r="D224" s="32" t="s">
        <v>259</v>
      </c>
      <c r="E224" s="61"/>
      <c r="F224" s="42"/>
      <c r="G224" s="42"/>
      <c r="H224" s="42"/>
      <c r="I224" s="42"/>
      <c r="J224" s="42"/>
      <c r="K224" s="42"/>
    </row>
    <row r="225" spans="1:11" x14ac:dyDescent="0.2">
      <c r="A225" s="28">
        <v>110</v>
      </c>
      <c r="B225" s="37" t="s">
        <v>316</v>
      </c>
      <c r="C225" s="30" t="s">
        <v>317</v>
      </c>
      <c r="D225" s="32" t="s">
        <v>50</v>
      </c>
      <c r="E225" s="62">
        <v>0.54239999999999999</v>
      </c>
      <c r="F225" s="42"/>
      <c r="G225" s="42"/>
      <c r="H225" s="42"/>
      <c r="I225" s="42"/>
      <c r="J225" s="42"/>
      <c r="K225" s="42"/>
    </row>
    <row r="226" spans="1:11" x14ac:dyDescent="0.2">
      <c r="A226" s="28">
        <v>111</v>
      </c>
      <c r="B226" s="37" t="s">
        <v>318</v>
      </c>
      <c r="C226" s="30" t="s">
        <v>319</v>
      </c>
      <c r="D226" s="32" t="s">
        <v>218</v>
      </c>
      <c r="E226" s="62">
        <v>0.80189999999999995</v>
      </c>
      <c r="F226" s="42"/>
      <c r="G226" s="42"/>
      <c r="H226" s="42"/>
      <c r="I226" s="42"/>
      <c r="J226" s="42"/>
      <c r="K226" s="42"/>
    </row>
    <row r="227" spans="1:11" x14ac:dyDescent="0.2">
      <c r="A227" s="28">
        <v>112</v>
      </c>
      <c r="B227" s="37" t="s">
        <v>320</v>
      </c>
      <c r="C227" s="30" t="s">
        <v>321</v>
      </c>
      <c r="D227" s="32" t="s">
        <v>218</v>
      </c>
      <c r="E227" s="61"/>
      <c r="F227" s="42"/>
      <c r="G227" s="42"/>
      <c r="H227" s="42"/>
      <c r="I227" s="42"/>
      <c r="J227" s="42"/>
      <c r="K227" s="42"/>
    </row>
    <row r="228" spans="1:11" x14ac:dyDescent="0.2">
      <c r="A228" s="72"/>
      <c r="B228" s="33"/>
      <c r="C228" s="22"/>
      <c r="D228" s="23"/>
      <c r="E228" s="42"/>
      <c r="F228" s="42"/>
      <c r="G228" s="42"/>
      <c r="H228" s="42"/>
      <c r="I228" s="42"/>
      <c r="J228" s="42"/>
      <c r="K228" s="42"/>
    </row>
    <row r="229" spans="1:11" x14ac:dyDescent="0.2">
      <c r="A229" s="72"/>
      <c r="B229" s="33"/>
      <c r="C229" s="22"/>
      <c r="D229" s="23"/>
      <c r="E229" s="42"/>
      <c r="F229" s="42"/>
      <c r="G229" s="42"/>
      <c r="H229" s="42"/>
      <c r="I229" s="42"/>
      <c r="J229" s="42"/>
      <c r="K229" s="42"/>
    </row>
    <row r="230" spans="1:11" x14ac:dyDescent="0.2">
      <c r="A230" s="72"/>
      <c r="B230" s="33"/>
      <c r="C230" s="22"/>
      <c r="D230" s="23"/>
      <c r="E230" s="42"/>
      <c r="F230" s="42"/>
      <c r="G230" s="42"/>
      <c r="H230" s="42"/>
      <c r="I230" s="42"/>
      <c r="J230" s="42"/>
      <c r="K230" s="42"/>
    </row>
    <row r="231" spans="1:11" x14ac:dyDescent="0.2">
      <c r="A231" s="356" t="s">
        <v>322</v>
      </c>
      <c r="B231" s="357"/>
      <c r="C231" s="357"/>
      <c r="D231" s="357"/>
      <c r="E231" s="357"/>
      <c r="F231" s="357"/>
      <c r="G231" s="357"/>
      <c r="H231" s="357"/>
      <c r="I231" s="357"/>
      <c r="J231" s="357"/>
      <c r="K231" s="357"/>
    </row>
    <row r="232" spans="1:11" x14ac:dyDescent="0.2">
      <c r="A232" s="358" t="s">
        <v>323</v>
      </c>
      <c r="B232" s="357"/>
      <c r="C232" s="357"/>
      <c r="D232" s="357"/>
      <c r="E232" s="357"/>
      <c r="F232" s="357"/>
      <c r="G232" s="357"/>
      <c r="H232" s="357"/>
      <c r="I232" s="357"/>
      <c r="J232" s="357"/>
      <c r="K232" s="357"/>
    </row>
    <row r="233" spans="1:11" x14ac:dyDescent="0.2">
      <c r="A233" s="72"/>
      <c r="B233" s="33"/>
      <c r="C233" s="22"/>
      <c r="D233" s="23"/>
      <c r="E233" s="42"/>
      <c r="F233" s="42"/>
      <c r="G233" s="42"/>
      <c r="H233" s="42"/>
      <c r="I233" s="42"/>
      <c r="J233" s="42"/>
      <c r="K233" s="42"/>
    </row>
    <row r="234" spans="1:11" x14ac:dyDescent="0.2">
      <c r="A234" s="356" t="s">
        <v>324</v>
      </c>
      <c r="B234" s="357"/>
      <c r="C234" s="357"/>
      <c r="D234" s="357"/>
      <c r="E234" s="357"/>
      <c r="F234" s="357"/>
      <c r="G234" s="357"/>
      <c r="H234" s="357"/>
      <c r="I234" s="357"/>
      <c r="J234" s="357"/>
      <c r="K234" s="357"/>
    </row>
    <row r="235" spans="1:11" x14ac:dyDescent="0.2">
      <c r="A235" s="358" t="s">
        <v>323</v>
      </c>
      <c r="B235" s="357"/>
      <c r="C235" s="357"/>
      <c r="D235" s="357"/>
      <c r="E235" s="357"/>
      <c r="F235" s="357"/>
      <c r="G235" s="357"/>
      <c r="H235" s="357"/>
      <c r="I235" s="357"/>
      <c r="J235" s="357"/>
      <c r="K235" s="357"/>
    </row>
  </sheetData>
  <mergeCells count="51">
    <mergeCell ref="C20:C22"/>
    <mergeCell ref="D20:D22"/>
    <mergeCell ref="E20:F20"/>
    <mergeCell ref="G20:I20"/>
    <mergeCell ref="D12:E12"/>
    <mergeCell ref="D13:E13"/>
    <mergeCell ref="D14:E14"/>
    <mergeCell ref="D15:E15"/>
    <mergeCell ref="D16:E16"/>
    <mergeCell ref="A94:F94"/>
    <mergeCell ref="A95:F95"/>
    <mergeCell ref="A96:F96"/>
    <mergeCell ref="A97:F97"/>
    <mergeCell ref="J20:K21"/>
    <mergeCell ref="G21:G22"/>
    <mergeCell ref="H21:H22"/>
    <mergeCell ref="A24:K24"/>
    <mergeCell ref="A79:K79"/>
    <mergeCell ref="A39:K39"/>
    <mergeCell ref="A47:K47"/>
    <mergeCell ref="A56:K56"/>
    <mergeCell ref="A66:K66"/>
    <mergeCell ref="A25:K25"/>
    <mergeCell ref="A20:A22"/>
    <mergeCell ref="B20:B22"/>
    <mergeCell ref="A89:F89"/>
    <mergeCell ref="A90:F90"/>
    <mergeCell ref="A91:F91"/>
    <mergeCell ref="A92:F92"/>
    <mergeCell ref="A93:F93"/>
    <mergeCell ref="A85:K85"/>
    <mergeCell ref="A219:E219"/>
    <mergeCell ref="A99:F99"/>
    <mergeCell ref="A100:F100"/>
    <mergeCell ref="A101:F101"/>
    <mergeCell ref="A104:E104"/>
    <mergeCell ref="A107:E107"/>
    <mergeCell ref="A108:E108"/>
    <mergeCell ref="A119:E119"/>
    <mergeCell ref="A155:E155"/>
    <mergeCell ref="A205:E205"/>
    <mergeCell ref="A208:E208"/>
    <mergeCell ref="A209:E209"/>
    <mergeCell ref="A98:F98"/>
    <mergeCell ref="A87:F87"/>
    <mergeCell ref="A88:F88"/>
    <mergeCell ref="A220:E220"/>
    <mergeCell ref="A231:K231"/>
    <mergeCell ref="A232:K232"/>
    <mergeCell ref="A234:K234"/>
    <mergeCell ref="A235:K2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0. ОД</vt:lpstr>
      <vt:lpstr>1. СМС</vt:lpstr>
      <vt:lpstr>2.СМ</vt:lpstr>
      <vt:lpstr>3.ВО</vt:lpstr>
      <vt:lpstr>4.Анализ_сметы</vt:lpstr>
      <vt:lpstr>5.Анализ_осн.материалов</vt:lpstr>
      <vt:lpstr>6.Анализ_объемов</vt:lpstr>
      <vt:lpstr>7.Заявка_на_материалы</vt:lpstr>
      <vt:lpstr>99. Смета 03-01-01</vt:lpstr>
      <vt:lpstr>'3.ВО'!Область_печати</vt:lpstr>
      <vt:lpstr>'5.Анализ_осн.материалов'!Область_печати</vt:lpstr>
      <vt:lpstr>'6.Анализ_объемов'!Область_печати</vt:lpstr>
      <vt:lpstr>'7.Заявка_на_материалы'!Область_печати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0349-R-001_001_120-AS-10-S-001-rC01.xlsx</dc:title>
  <dc:subject/>
  <dc:creator>Артур Х. Кантюков</dc:creator>
  <cp:keywords/>
  <cp:lastModifiedBy>Артур Х. Кантюков</cp:lastModifiedBy>
  <cp:lastPrinted>2015-12-10T13:14:07Z</cp:lastPrinted>
  <dcterms:created xsi:type="dcterms:W3CDTF">2015-11-30T09:35:02Z</dcterms:created>
  <dcterms:modified xsi:type="dcterms:W3CDTF">2016-01-11T14:33:33Z</dcterms:modified>
</cp:coreProperties>
</file>