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240" yWindow="45" windowWidth="19440" windowHeight="7995" tabRatio="923"/>
  </bookViews>
  <sheets>
    <sheet name="Спецификация" sheetId="242" r:id="rId1"/>
    <sheet name="Профиль" sheetId="132" r:id="rId2"/>
  </sheets>
  <definedNames>
    <definedName name="_xlnm._FilterDatabase" localSheetId="1" hidden="1">Профиль!#REF!</definedName>
    <definedName name="_xlnm._FilterDatabase" localSheetId="0" hidden="1">Спецификация!$A$1:$H$26</definedName>
    <definedName name="anscount" hidden="1">2</definedName>
    <definedName name="limcount" hidden="1">2</definedName>
    <definedName name="sencount" hidden="1">4</definedName>
    <definedName name="Безскидок">Профиль!$A$30:$A$52</definedName>
    <definedName name="Материалы">Профиль!$A$9:$A$23</definedName>
    <definedName name="_xlnm.Print_Area" localSheetId="0">Спецификация!$A$1:$V$68</definedName>
    <definedName name="Полка_над_в_0">Профиль!$A$25:$A$26</definedName>
    <definedName name="Полки">ПОЛКА[НАИМЕНОВАНИЕ]</definedName>
    <definedName name="ФАСАД">Профиль!$A$55:$A$58</definedName>
    <definedName name="Ящик">Профиль!$A$2:$A$7</definedName>
  </definedNames>
  <calcPr calcId="125725"/>
</workbook>
</file>

<file path=xl/calcChain.xml><?xml version="1.0" encoding="utf-8"?>
<calcChain xmlns="http://schemas.openxmlformats.org/spreadsheetml/2006/main">
  <c r="F5" i="242"/>
  <c r="F6"/>
  <c r="F7"/>
  <c r="F8"/>
  <c r="F4"/>
  <c r="G4" l="1"/>
  <c r="E4"/>
  <c r="D28"/>
  <c r="J9"/>
  <c r="J10"/>
  <c r="K9"/>
  <c r="K10"/>
  <c r="K16"/>
  <c r="K24"/>
  <c r="J20"/>
  <c r="J21"/>
  <c r="J22"/>
  <c r="J24"/>
  <c r="J19"/>
  <c r="J18"/>
  <c r="J16"/>
  <c r="J15"/>
  <c r="K15" s="1"/>
  <c r="J13"/>
  <c r="K13" s="1"/>
  <c r="J12"/>
  <c r="K12" s="1"/>
  <c r="J8"/>
  <c r="J5"/>
  <c r="J6"/>
  <c r="J7"/>
  <c r="J4"/>
  <c r="K4" s="1"/>
  <c r="H4" l="1"/>
  <c r="H9"/>
  <c r="H10"/>
  <c r="G23"/>
  <c r="G24"/>
  <c r="F16"/>
  <c r="E16"/>
  <c r="G16"/>
  <c r="H16"/>
  <c r="C7" i="132"/>
  <c r="C6"/>
  <c r="C5"/>
  <c r="C4"/>
  <c r="C2"/>
  <c r="C3"/>
  <c r="E15" i="242" s="1"/>
  <c r="F15" s="1"/>
  <c r="D18" i="132"/>
  <c r="E18"/>
  <c r="F23" i="242"/>
  <c r="F24"/>
  <c r="H19"/>
  <c r="G19" s="1"/>
  <c r="H20"/>
  <c r="G20" s="1"/>
  <c r="H21"/>
  <c r="G21" s="1"/>
  <c r="H22"/>
  <c r="G22" s="1"/>
  <c r="H24"/>
  <c r="E22"/>
  <c r="F22" s="1"/>
  <c r="K22" s="1"/>
  <c r="E23"/>
  <c r="E24"/>
  <c r="E19"/>
  <c r="F19" s="1"/>
  <c r="K19" s="1"/>
  <c r="E20"/>
  <c r="F20" s="1"/>
  <c r="K20" s="1"/>
  <c r="E21"/>
  <c r="F21" s="1"/>
  <c r="K21" s="1"/>
  <c r="E18"/>
  <c r="F18" s="1"/>
  <c r="K18" s="1"/>
  <c r="G13"/>
  <c r="H13" s="1"/>
  <c r="G12"/>
  <c r="H12" s="1"/>
  <c r="F9"/>
  <c r="F10"/>
  <c r="G15"/>
  <c r="H15" s="1"/>
  <c r="C28" i="132"/>
  <c r="E13" i="242" s="1"/>
  <c r="F13" s="1"/>
  <c r="C27" i="132"/>
  <c r="C25"/>
  <c r="E12" i="242" s="1"/>
  <c r="F12" s="1"/>
  <c r="C26" i="132"/>
  <c r="E9" i="242"/>
  <c r="E10"/>
  <c r="G8"/>
  <c r="H8" s="1"/>
  <c r="G9"/>
  <c r="G10"/>
  <c r="H18"/>
  <c r="G18" s="1"/>
  <c r="D30" i="132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G5" i="242"/>
  <c r="H5" s="1"/>
  <c r="G6"/>
  <c r="H6" s="1"/>
  <c r="G7"/>
  <c r="H7" s="1"/>
  <c r="E9" i="132"/>
  <c r="E10"/>
  <c r="E11"/>
  <c r="E12"/>
  <c r="E13"/>
  <c r="E14"/>
  <c r="E15"/>
  <c r="E16"/>
  <c r="E17"/>
  <c r="E20"/>
  <c r="E21"/>
  <c r="D9"/>
  <c r="D10"/>
  <c r="D11"/>
  <c r="E8" i="242" s="1"/>
  <c r="K8" s="1"/>
  <c r="D12" i="132"/>
  <c r="D13"/>
  <c r="D14"/>
  <c r="D15"/>
  <c r="E5" i="242" s="1"/>
  <c r="K5" s="1"/>
  <c r="D16" i="132"/>
  <c r="D17"/>
  <c r="D20"/>
  <c r="E6" i="242" s="1"/>
  <c r="K6" s="1"/>
  <c r="D21" i="132"/>
  <c r="H23" i="242" l="1"/>
  <c r="E7"/>
  <c r="K7" s="1"/>
  <c r="F25" l="1"/>
  <c r="F26" l="1"/>
</calcChain>
</file>

<file path=xl/sharedStrings.xml><?xml version="1.0" encoding="utf-8"?>
<sst xmlns="http://schemas.openxmlformats.org/spreadsheetml/2006/main" count="139" uniqueCount="85">
  <si>
    <t>кол-во</t>
  </si>
  <si>
    <t>ЦЕНА</t>
  </si>
  <si>
    <t>ШИРИНА</t>
  </si>
  <si>
    <t>ГЛУБИНА</t>
  </si>
  <si>
    <t>Цена</t>
  </si>
  <si>
    <t>ЯЩИК</t>
  </si>
  <si>
    <t>НАИМЕНОВАНИ</t>
  </si>
  <si>
    <t>Ящики</t>
  </si>
  <si>
    <t>Доставка/замер</t>
  </si>
  <si>
    <t>ВЫСОТА ПОЛОК</t>
  </si>
  <si>
    <t>720</t>
  </si>
  <si>
    <t>920</t>
  </si>
  <si>
    <t>РАЗМЕР</t>
  </si>
  <si>
    <r>
      <t>м</t>
    </r>
    <r>
      <rPr>
        <sz val="10"/>
        <color theme="1"/>
        <rFont val="Century Schoolbook"/>
        <family val="1"/>
        <charset val="204"/>
      </rPr>
      <t>²</t>
    </r>
  </si>
  <si>
    <t>0.72</t>
  </si>
  <si>
    <t>низкий 300</t>
  </si>
  <si>
    <t>низкий 310-600</t>
  </si>
  <si>
    <t>высокий 150-300</t>
  </si>
  <si>
    <t>высокий 310-600</t>
  </si>
  <si>
    <t>ПОЛКИ</t>
  </si>
  <si>
    <t>Полка 150</t>
  </si>
  <si>
    <t>Полка 300</t>
  </si>
  <si>
    <t>Полка 400</t>
  </si>
  <si>
    <t>Полка 450</t>
  </si>
  <si>
    <t>Полка 500</t>
  </si>
  <si>
    <t>Полка 600</t>
  </si>
  <si>
    <t>Полка 800 2/дв</t>
  </si>
  <si>
    <t>Полка 900 2/дв</t>
  </si>
  <si>
    <t>Полка угловая 600х600</t>
  </si>
  <si>
    <r>
      <t>Полка угловая 90</t>
    </r>
    <r>
      <rPr>
        <b/>
        <sz val="11"/>
        <rFont val="Century Schoolbook"/>
        <family val="1"/>
        <charset val="204"/>
      </rPr>
      <t>˚</t>
    </r>
  </si>
  <si>
    <t>0.92</t>
  </si>
  <si>
    <t>Полка 600 2/дв</t>
  </si>
  <si>
    <t>Полка радиусная закрытая</t>
  </si>
  <si>
    <t>Полка радиусная открытая</t>
  </si>
  <si>
    <t>Стол 150</t>
  </si>
  <si>
    <t>Стол 300</t>
  </si>
  <si>
    <t>Стол 400</t>
  </si>
  <si>
    <t>Стол 450</t>
  </si>
  <si>
    <t>Стол 500</t>
  </si>
  <si>
    <t>Стол 600</t>
  </si>
  <si>
    <t>Стол 600 2/дв</t>
  </si>
  <si>
    <t>Стол800 2/дв</t>
  </si>
  <si>
    <t>Стол 900 2/дв</t>
  </si>
  <si>
    <t>Стол 1000 2/дв</t>
  </si>
  <si>
    <t>Стол угловой 900х900</t>
  </si>
  <si>
    <t>Стол под мойку 800</t>
  </si>
  <si>
    <t>Стол под мойку 850</t>
  </si>
  <si>
    <t>Стол под мойку 900</t>
  </si>
  <si>
    <t>Стол под мойку 950</t>
  </si>
  <si>
    <t>Стол под мойку 1000</t>
  </si>
  <si>
    <t>Стол под мойку 1050</t>
  </si>
  <si>
    <t>Стол под мойку 1100</t>
  </si>
  <si>
    <t>Стол под мойку 1150</t>
  </si>
  <si>
    <t>Стол под мойку 1200</t>
  </si>
  <si>
    <t>Стол скошенный закрытый</t>
  </si>
  <si>
    <t>Стол скошенный открытый</t>
  </si>
  <si>
    <t>Стол под вар.плиту</t>
  </si>
  <si>
    <t>КВ.М</t>
  </si>
  <si>
    <t>СТОЛЫ</t>
  </si>
  <si>
    <t>цена</t>
  </si>
  <si>
    <t>сумма</t>
  </si>
  <si>
    <t>Тип фасада</t>
  </si>
  <si>
    <t>ФПГ</t>
  </si>
  <si>
    <t>ФРС</t>
  </si>
  <si>
    <t>ФПС</t>
  </si>
  <si>
    <t>Столбец1</t>
  </si>
  <si>
    <t>НАИМЕНОВАНИЕ</t>
  </si>
  <si>
    <t>Полка над в/о 500х360</t>
  </si>
  <si>
    <t>Полка над в/о 600х500</t>
  </si>
  <si>
    <t>Полка над в/о 500х500</t>
  </si>
  <si>
    <t>Полка над в/о 600х360</t>
  </si>
  <si>
    <t>кв.м.</t>
  </si>
  <si>
    <t>ЯЩИКИ</t>
  </si>
  <si>
    <t>ПОЛКА над в/о</t>
  </si>
  <si>
    <t>КВ.М.</t>
  </si>
  <si>
    <t>низкий 610-1000</t>
  </si>
  <si>
    <t>высокий 610-1000</t>
  </si>
  <si>
    <t>МОДЕЛЬ фасадов</t>
  </si>
  <si>
    <t>ФРГ</t>
  </si>
  <si>
    <t>ЗАРКАНА</t>
  </si>
  <si>
    <t>ДОПОЛНЕНИЯ</t>
  </si>
  <si>
    <t>ЦОКОЛЬ</t>
  </si>
  <si>
    <t>СТЕКЛО</t>
  </si>
  <si>
    <r>
      <t>М</t>
    </r>
    <r>
      <rPr>
        <sz val="10"/>
        <color theme="1"/>
        <rFont val="Century Schoolbook"/>
        <family val="1"/>
        <charset val="204"/>
      </rPr>
      <t>²</t>
    </r>
  </si>
  <si>
    <r>
      <t>Фасады м</t>
    </r>
    <r>
      <rPr>
        <sz val="11"/>
        <color theme="1"/>
        <rFont val="Century Schoolbook"/>
        <family val="1"/>
        <charset val="204"/>
      </rPr>
      <t>²</t>
    </r>
  </si>
</sst>
</file>

<file path=xl/styles.xml><?xml version="1.0" encoding="utf-8"?>
<styleSheet xmlns="http://schemas.openxmlformats.org/spreadsheetml/2006/main">
  <numFmts count="3">
    <numFmt numFmtId="164" formatCode="#,##0&quot;р.&quot;"/>
    <numFmt numFmtId="165" formatCode="0.000"/>
    <numFmt numFmtId="166" formatCode="_(&quot;$&quot;* #,##0.00_);_(&quot;$&quot;* \(#,##0.00\);_(&quot;$&quot;* &quot;-&quot;??_);_(@_)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0"/>
      <color theme="1"/>
      <name val="Century Schoolbook"/>
      <family val="1"/>
      <charset val="204"/>
    </font>
    <font>
      <sz val="10"/>
      <color rgb="FFFF0000"/>
      <name val="Cambria"/>
      <family val="1"/>
      <charset val="204"/>
      <scheme val="major"/>
    </font>
    <font>
      <b/>
      <sz val="11"/>
      <name val="Century Schoolbook"/>
      <family val="1"/>
      <charset val="204"/>
    </font>
    <font>
      <sz val="11"/>
      <color theme="1"/>
      <name val="Cambria"/>
      <family val="1"/>
      <charset val="204"/>
      <scheme val="major"/>
    </font>
    <font>
      <b/>
      <u/>
      <sz val="15"/>
      <color theme="1"/>
      <name val="Cambria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23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0" fontId="8" fillId="0" borderId="0"/>
    <xf numFmtId="0" fontId="9" fillId="0" borderId="0">
      <alignment horizontal="left"/>
    </xf>
    <xf numFmtId="0" fontId="1" fillId="0" borderId="0" applyNumberFormat="0" applyFont="0" applyBorder="0" applyAlignment="0" applyProtection="0"/>
    <xf numFmtId="0" fontId="15" fillId="4" borderId="0">
      <alignment horizontal="right" vertical="top"/>
    </xf>
    <xf numFmtId="0" fontId="16" fillId="4" borderId="0">
      <alignment horizontal="left" vertical="top"/>
    </xf>
    <xf numFmtId="0" fontId="17" fillId="4" borderId="0">
      <alignment horizontal="left"/>
    </xf>
    <xf numFmtId="0" fontId="18" fillId="4" borderId="0">
      <alignment horizontal="center" vertical="center"/>
    </xf>
    <xf numFmtId="0" fontId="15" fillId="4" borderId="0">
      <alignment horizontal="center" vertical="top"/>
    </xf>
    <xf numFmtId="0" fontId="17" fillId="4" borderId="0">
      <alignment horizontal="left"/>
    </xf>
    <xf numFmtId="0" fontId="19" fillId="4" borderId="0">
      <alignment horizontal="right" vertical="center"/>
    </xf>
    <xf numFmtId="0" fontId="17" fillId="4" borderId="0">
      <alignment horizontal="center" vertical="center"/>
    </xf>
    <xf numFmtId="0" fontId="20" fillId="4" borderId="0">
      <alignment horizontal="center" vertical="center"/>
    </xf>
    <xf numFmtId="0" fontId="19" fillId="4" borderId="0">
      <alignment horizontal="right" vertical="center"/>
    </xf>
    <xf numFmtId="0" fontId="17" fillId="4" borderId="0">
      <alignment horizontal="center" vertical="center"/>
    </xf>
    <xf numFmtId="0" fontId="19" fillId="4" borderId="0">
      <alignment horizontal="left" vertical="top"/>
    </xf>
    <xf numFmtId="0" fontId="15" fillId="4" borderId="0">
      <alignment horizontal="center" vertical="top"/>
    </xf>
    <xf numFmtId="0" fontId="17" fillId="4" borderId="0">
      <alignment horizontal="left" vertical="top"/>
    </xf>
    <xf numFmtId="0" fontId="17" fillId="4" borderId="0">
      <alignment horizontal="left" vertical="center"/>
    </xf>
    <xf numFmtId="0" fontId="19" fillId="4" borderId="0">
      <alignment horizontal="left" vertical="top"/>
    </xf>
    <xf numFmtId="0" fontId="17" fillId="4" borderId="0">
      <alignment horizontal="left" vertical="top"/>
    </xf>
    <xf numFmtId="0" fontId="17" fillId="4" borderId="0">
      <alignment horizontal="left" vertical="top"/>
    </xf>
    <xf numFmtId="0" fontId="19" fillId="4" borderId="0">
      <alignment horizontal="center" vertical="center"/>
    </xf>
    <xf numFmtId="0" fontId="17" fillId="4" borderId="0">
      <alignment horizontal="left" vertical="top"/>
    </xf>
    <xf numFmtId="0" fontId="20" fillId="4" borderId="0">
      <alignment horizontal="right" vertical="center"/>
    </xf>
    <xf numFmtId="0" fontId="17" fillId="4" borderId="0">
      <alignment horizontal="center" vertical="center"/>
    </xf>
    <xf numFmtId="0" fontId="17" fillId="4" borderId="0">
      <alignment horizontal="center" vertical="center"/>
    </xf>
    <xf numFmtId="0" fontId="19" fillId="4" borderId="0">
      <alignment horizontal="center" vertical="top"/>
    </xf>
    <xf numFmtId="0" fontId="19" fillId="4" borderId="0">
      <alignment horizontal="center" vertical="top"/>
    </xf>
    <xf numFmtId="0" fontId="21" fillId="4" borderId="0">
      <alignment horizontal="center" vertical="top"/>
    </xf>
    <xf numFmtId="0" fontId="22" fillId="4" borderId="0">
      <alignment horizontal="center" vertical="top"/>
    </xf>
    <xf numFmtId="0" fontId="21" fillId="4" borderId="0">
      <alignment horizontal="center" vertical="top"/>
    </xf>
    <xf numFmtId="0" fontId="23" fillId="4" borderId="0">
      <alignment horizontal="center" vertical="center"/>
    </xf>
    <xf numFmtId="0" fontId="19" fillId="4" borderId="0">
      <alignment horizontal="left" vertical="top"/>
    </xf>
    <xf numFmtId="0" fontId="17" fillId="4" borderId="0">
      <alignment horizontal="left" vertical="top"/>
    </xf>
    <xf numFmtId="0" fontId="17" fillId="4" borderId="0">
      <alignment horizontal="left" vertical="top"/>
    </xf>
    <xf numFmtId="0" fontId="19" fillId="4" borderId="0">
      <alignment horizontal="right" vertical="top"/>
    </xf>
    <xf numFmtId="0" fontId="17" fillId="4" borderId="0">
      <alignment horizontal="center" vertical="center"/>
    </xf>
    <xf numFmtId="0" fontId="19" fillId="4" borderId="0">
      <alignment horizontal="center" vertical="center"/>
    </xf>
    <xf numFmtId="0" fontId="22" fillId="4" borderId="0">
      <alignment horizontal="center" vertical="center"/>
    </xf>
    <xf numFmtId="0" fontId="17" fillId="4" borderId="0">
      <alignment horizontal="left" vertical="center"/>
    </xf>
    <xf numFmtId="0" fontId="17" fillId="4" borderId="0">
      <alignment horizontal="left" vertical="center"/>
    </xf>
    <xf numFmtId="0" fontId="17" fillId="4" borderId="0">
      <alignment horizontal="left" vertical="top"/>
    </xf>
    <xf numFmtId="0" fontId="17" fillId="4" borderId="0">
      <alignment horizontal="left" vertical="center"/>
    </xf>
    <xf numFmtId="0" fontId="15" fillId="4" borderId="0">
      <alignment horizontal="left" vertical="center"/>
    </xf>
    <xf numFmtId="0" fontId="17" fillId="4" borderId="0">
      <alignment horizontal="left" vertical="center"/>
    </xf>
    <xf numFmtId="0" fontId="15" fillId="4" borderId="0">
      <alignment horizontal="center" vertical="top"/>
    </xf>
    <xf numFmtId="0" fontId="17" fillId="4" borderId="0">
      <alignment horizontal="center" vertical="top"/>
    </xf>
    <xf numFmtId="0" fontId="17" fillId="4" borderId="0">
      <alignment horizontal="center" vertical="top"/>
    </xf>
    <xf numFmtId="0" fontId="19" fillId="4" borderId="0">
      <alignment horizontal="left" vertical="top"/>
    </xf>
  </cellStyleXfs>
  <cellXfs count="97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2" fillId="0" borderId="0" xfId="0" applyFont="1" applyFill="1" applyBorder="1"/>
    <xf numFmtId="0" fontId="10" fillId="0" borderId="6" xfId="0" applyFont="1" applyFill="1" applyBorder="1"/>
    <xf numFmtId="0" fontId="10" fillId="0" borderId="6" xfId="0" applyNumberFormat="1" applyFont="1" applyFill="1" applyBorder="1"/>
    <xf numFmtId="0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/>
    </xf>
    <xf numFmtId="165" fontId="3" fillId="0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/>
    <xf numFmtId="164" fontId="13" fillId="3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>
      <alignment horizontal="right"/>
    </xf>
    <xf numFmtId="0" fontId="10" fillId="0" borderId="8" xfId="0" applyNumberFormat="1" applyFont="1" applyFill="1" applyBorder="1" applyAlignment="1" applyProtection="1">
      <alignment horizontal="center" vertical="center"/>
    </xf>
    <xf numFmtId="164" fontId="13" fillId="0" borderId="9" xfId="0" applyNumberFormat="1" applyFont="1" applyFill="1" applyBorder="1" applyAlignment="1" applyProtection="1">
      <alignment vertical="center"/>
    </xf>
    <xf numFmtId="164" fontId="13" fillId="0" borderId="8" xfId="0" applyNumberFormat="1" applyFont="1" applyFill="1" applyBorder="1" applyAlignment="1" applyProtection="1">
      <alignment horizontal="center" vertical="center"/>
    </xf>
    <xf numFmtId="164" fontId="13" fillId="0" borderId="8" xfId="0" applyNumberFormat="1" applyFont="1" applyFill="1" applyBorder="1" applyAlignment="1" applyProtection="1">
      <alignment horizontal="right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2" fontId="10" fillId="0" borderId="11" xfId="0" applyNumberFormat="1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 applyProtection="1">
      <alignment horizontal="right" vertical="center"/>
    </xf>
    <xf numFmtId="0" fontId="10" fillId="0" borderId="11" xfId="0" applyFont="1" applyFill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/>
    <xf numFmtId="164" fontId="13" fillId="0" borderId="11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164" fontId="14" fillId="0" borderId="11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>
      <alignment horizontal="right" vertical="center"/>
    </xf>
    <xf numFmtId="0" fontId="13" fillId="0" borderId="11" xfId="0" applyNumberFormat="1" applyFont="1" applyFill="1" applyBorder="1" applyAlignment="1" applyProtection="1">
      <alignment horizontal="center" vertical="center"/>
    </xf>
    <xf numFmtId="164" fontId="13" fillId="0" borderId="11" xfId="0" applyNumberFormat="1" applyFont="1" applyFill="1" applyBorder="1" applyAlignment="1" applyProtection="1">
      <alignment horizontal="center" vertical="center"/>
    </xf>
    <xf numFmtId="165" fontId="10" fillId="0" borderId="11" xfId="0" applyNumberFormat="1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>
      <alignment horizontal="center"/>
    </xf>
    <xf numFmtId="164" fontId="27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/>
    <xf numFmtId="0" fontId="4" fillId="7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3" fillId="8" borderId="17" xfId="0" applyFont="1" applyFill="1" applyBorder="1"/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12" xfId="0" applyFont="1" applyFill="1" applyBorder="1" applyAlignment="1">
      <alignment horizontal="left" indent="1"/>
    </xf>
    <xf numFmtId="0" fontId="10" fillId="5" borderId="11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center" vertical="center"/>
    </xf>
    <xf numFmtId="164" fontId="13" fillId="5" borderId="11" xfId="0" applyNumberFormat="1" applyFont="1" applyFill="1" applyBorder="1" applyAlignment="1">
      <alignment horizontal="right" vertical="center"/>
    </xf>
    <xf numFmtId="0" fontId="27" fillId="5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/>
    <xf numFmtId="0" fontId="10" fillId="0" borderId="11" xfId="0" applyFont="1" applyFill="1" applyBorder="1" applyAlignment="1" applyProtection="1">
      <alignment horizontal="left" inden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165" fontId="11" fillId="6" borderId="11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indent="1" shrinkToFit="1"/>
    </xf>
    <xf numFmtId="0" fontId="10" fillId="0" borderId="11" xfId="0" applyFont="1" applyFill="1" applyBorder="1" applyAlignment="1">
      <alignment horizontal="left" indent="1" shrinkToFit="1"/>
    </xf>
    <xf numFmtId="0" fontId="10" fillId="5" borderId="12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indent="1"/>
    </xf>
    <xf numFmtId="0" fontId="10" fillId="5" borderId="11" xfId="0" applyFont="1" applyFill="1" applyBorder="1" applyAlignment="1" applyProtection="1">
      <alignment horizontal="left" inden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indent="1"/>
    </xf>
  </cellXfs>
  <cellStyles count="54">
    <cellStyle name="Currency_TapePivot" xfId="4"/>
    <cellStyle name="Normal_ALLOC1" xfId="5"/>
    <cellStyle name="S0" xfId="49"/>
    <cellStyle name="S1" xfId="18"/>
    <cellStyle name="S10" xfId="15"/>
    <cellStyle name="S11" xfId="8"/>
    <cellStyle name="S12" xfId="9"/>
    <cellStyle name="S13" xfId="28"/>
    <cellStyle name="S14" xfId="14"/>
    <cellStyle name="S15" xfId="17"/>
    <cellStyle name="S16" xfId="26"/>
    <cellStyle name="S17" xfId="16"/>
    <cellStyle name="S18" xfId="19"/>
    <cellStyle name="S19" xfId="30"/>
    <cellStyle name="S2" xfId="50"/>
    <cellStyle name="S20" xfId="39"/>
    <cellStyle name="S21" xfId="37"/>
    <cellStyle name="S22" xfId="47"/>
    <cellStyle name="S23" xfId="48"/>
    <cellStyle name="S24" xfId="36"/>
    <cellStyle name="S25" xfId="29"/>
    <cellStyle name="S26" xfId="52"/>
    <cellStyle name="S27" xfId="41"/>
    <cellStyle name="S28" xfId="22"/>
    <cellStyle name="S29" xfId="34"/>
    <cellStyle name="S3" xfId="10"/>
    <cellStyle name="S30" xfId="53"/>
    <cellStyle name="S31" xfId="51"/>
    <cellStyle name="S32" xfId="21"/>
    <cellStyle name="S33" xfId="23"/>
    <cellStyle name="S34" xfId="12"/>
    <cellStyle name="S35" xfId="20"/>
    <cellStyle name="S36" xfId="43"/>
    <cellStyle name="S37" xfId="42"/>
    <cellStyle name="S38" xfId="44"/>
    <cellStyle name="S39" xfId="45"/>
    <cellStyle name="S4" xfId="31"/>
    <cellStyle name="S40" xfId="24"/>
    <cellStyle name="S41" xfId="27"/>
    <cellStyle name="S42" xfId="40"/>
    <cellStyle name="S43" xfId="25"/>
    <cellStyle name="S44" xfId="38"/>
    <cellStyle name="S45" xfId="46"/>
    <cellStyle name="S5" xfId="33"/>
    <cellStyle name="S6" xfId="32"/>
    <cellStyle name="S7" xfId="35"/>
    <cellStyle name="S8" xfId="13"/>
    <cellStyle name="S9" xfId="11"/>
    <cellStyle name="Гиперссылка 2" xfId="3"/>
    <cellStyle name="Гиперссылка 3" xfId="2"/>
    <cellStyle name="Обычный" xfId="0" builtinId="0"/>
    <cellStyle name="Обычный 2" xfId="1"/>
    <cellStyle name="Обычный 3" xfId="6"/>
    <cellStyle name="Стиль 1" xfId="7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00"/>
      <alignment horizont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/>
        <right style="thin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relativeIndent="255" justifyLastLine="0" shrinkToFit="0" mergeCell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39"/>
      <tableStyleElement type="headerRow" dxfId="38"/>
      <tableStyleElement type="totalRow" dxfId="37"/>
      <tableStyleElement type="firstRowStripe" dxfId="36"/>
      <tableStyleElement type="secondRowStripe" dxfId="35"/>
      <tableStyleElement type="firstColumnStripe" size="2"/>
    </tableStyle>
    <tableStyle name="Стиль таблицы 1" pivot="0" count="1">
      <tableStyleElement type="headerRow" dxfId="34"/>
    </tableStyle>
    <tableStyle name="Стиль таблицы 2" pivot="0" count="7">
      <tableStyleElement type="wholeTable" dxfId="33"/>
      <tableStyleElement type="headerRow" dxfId="32"/>
      <tableStyleElement type="totalRow" dxfId="31"/>
      <tableStyleElement type="firstColumn" dxfId="30"/>
      <tableStyleElement type="firstRowStripe" dxfId="29"/>
      <tableStyleElement type="secondRowStripe" dxfId="28"/>
      <tableStyleElement type="firstColumnStripe" dxfId="27"/>
    </tableStyle>
    <tableStyle name="Стиль таблицы 3" pivot="0" count="2">
      <tableStyleElement type="wholeTable" dxfId="26"/>
      <tableStyleElement type="headerRow" dxfId="25"/>
    </tableStyle>
  </tableStyles>
  <colors>
    <mruColors>
      <color rgb="FFCCECFF"/>
      <color rgb="FFFF4343"/>
      <color rgb="FFE7FFFF"/>
      <color rgb="FF9CBC5C"/>
      <color rgb="FFFFFFAB"/>
      <color rgb="FFFFFF75"/>
      <color rgb="FFFFFF66"/>
      <color rgb="FFFFFFE7"/>
      <color rgb="FFFFFFCC"/>
      <color rgb="FFFFFF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Ящики" displayName="Ящики" ref="A1:C7" totalsRowShown="0" tableBorderDxfId="24">
  <tableColumns count="3">
    <tableColumn id="1" name="Ящики" dataDxfId="23"/>
    <tableColumn id="2" name="Цена" dataDxfId="22"/>
    <tableColumn id="4" name="КВ.М." dataDxfId="21">
      <calculatedColumnFormula>0.3*0.1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F23" dataDxfId="19" headerRowBorderDxfId="20">
  <tableColumns count="6">
    <tableColumn id="1" name="НАИМЕНОВАНИЕ" totalsRowLabel="Итог" dataDxfId="18"/>
    <tableColumn id="3" name="720" dataDxfId="17"/>
    <tableColumn id="2" name="920" dataDxfId="16"/>
    <tableColumn id="4" name="0.92" dataDxfId="15">
      <calculatedColumnFormula>Материал[[#This Row],[РАЗМЕР]]*Материал[[#Headers],[0.92]]</calculatedColumnFormula>
    </tableColumn>
    <tableColumn id="5" name="0.72" dataDxfId="14">
      <calculatedColumnFormula>Материал[[#This Row],[РАЗМЕР]]*Материал[[#Headers],[0.72]]</calculatedColumnFormula>
    </tableColumn>
    <tableColumn id="8" name="РАЗМЕР" dataDxfId="13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9:D52" totalsRowShown="0">
  <tableColumns count="4">
    <tableColumn id="1" name="НАИМЕНОВАНИ" dataDxfId="12"/>
    <tableColumn id="2" name="ЦЕНА" dataDxfId="11"/>
    <tableColumn id="3" name="РАЗМЕР" dataDxfId="10"/>
    <tableColumn id="4" name="КВ.М" dataDxfId="9">
      <calculatedColumnFormula>безскидки[[#This Row],[РАЗМЕР]]*0.75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1" name="ПОЛКА" displayName="ПОЛКА" ref="A24:C28" totalsRowShown="0" dataDxfId="8">
  <tableColumns count="3">
    <tableColumn id="1" name="НАИМЕНОВАНИЕ" dataDxfId="7"/>
    <tableColumn id="2" name="цена" dataDxfId="6"/>
    <tableColumn id="5" name="кв.м." dataDxfId="5">
      <calculatedColumnFormula>0.5*0.36</calculatedColumnFormula>
    </tableColumn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3" name="ФАСАДЫ" displayName="ФАСАДЫ" ref="A54:C60" totalsRowShown="0" headerRowDxfId="4" dataDxfId="3">
  <tableColumns count="3">
    <tableColumn id="1" name="Столбец1" dataDxfId="2"/>
    <tableColumn id="2" name="720" dataDxfId="1"/>
    <tableColumn id="3" name="92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1:M34"/>
  <sheetViews>
    <sheetView tabSelected="1" defaultGridColor="0" colorId="23" zoomScaleNormal="100" workbookViewId="0">
      <selection activeCell="I4" sqref="I4"/>
    </sheetView>
  </sheetViews>
  <sheetFormatPr defaultRowHeight="12.75"/>
  <cols>
    <col min="1" max="1" width="7.42578125" style="11" customWidth="1"/>
    <col min="2" max="2" width="8" style="11" customWidth="1"/>
    <col min="3" max="3" width="10.42578125" style="11" customWidth="1"/>
    <col min="4" max="4" width="6.85546875" style="15" bestFit="1" customWidth="1"/>
    <col min="5" max="5" width="5" style="15" bestFit="1" customWidth="1"/>
    <col min="6" max="6" width="7.5703125" style="16" customWidth="1"/>
    <col min="7" max="7" width="8.7109375" style="19" customWidth="1"/>
    <col min="8" max="8" width="10.140625" style="36" customWidth="1"/>
    <col min="9" max="9" width="8" style="16" customWidth="1"/>
    <col min="10" max="11" width="12.140625" style="28" customWidth="1"/>
    <col min="12" max="16384" width="9.140625" style="11"/>
  </cols>
  <sheetData>
    <row r="1" spans="1:13" ht="17.25" customHeight="1">
      <c r="A1" s="80" t="s">
        <v>2</v>
      </c>
      <c r="B1" s="80"/>
      <c r="C1" s="80" t="s">
        <v>3</v>
      </c>
      <c r="D1" s="80"/>
      <c r="E1" s="57"/>
      <c r="F1" s="80" t="s">
        <v>9</v>
      </c>
      <c r="G1" s="80"/>
      <c r="H1" s="80"/>
      <c r="I1" s="81" t="s">
        <v>77</v>
      </c>
      <c r="J1" s="81"/>
      <c r="K1" s="81"/>
      <c r="L1" s="49"/>
      <c r="M1" s="49"/>
    </row>
    <row r="2" spans="1:13" s="12" customFormat="1" ht="21" customHeight="1">
      <c r="A2" s="90">
        <v>1.6</v>
      </c>
      <c r="B2" s="90"/>
      <c r="C2" s="90">
        <v>2.35</v>
      </c>
      <c r="D2" s="90"/>
      <c r="E2" s="41"/>
      <c r="F2" s="79">
        <v>0.72</v>
      </c>
      <c r="G2" s="79"/>
      <c r="H2" s="79"/>
      <c r="I2" s="82" t="s">
        <v>79</v>
      </c>
      <c r="J2" s="83"/>
      <c r="K2" s="84"/>
      <c r="L2" s="59"/>
      <c r="M2" s="59"/>
    </row>
    <row r="3" spans="1:13" ht="17.25" customHeight="1">
      <c r="A3" s="87" t="s">
        <v>19</v>
      </c>
      <c r="B3" s="88"/>
      <c r="C3" s="89"/>
      <c r="D3" s="69" t="s">
        <v>0</v>
      </c>
      <c r="E3" s="70" t="s">
        <v>13</v>
      </c>
      <c r="F3" s="70" t="s">
        <v>13</v>
      </c>
      <c r="G3" s="71" t="s">
        <v>59</v>
      </c>
      <c r="H3" s="72" t="s">
        <v>60</v>
      </c>
      <c r="I3" s="73" t="s">
        <v>61</v>
      </c>
      <c r="J3" s="58" t="s">
        <v>59</v>
      </c>
      <c r="K3" s="58" t="s">
        <v>84</v>
      </c>
      <c r="L3" s="49"/>
      <c r="M3" s="49"/>
    </row>
    <row r="4" spans="1:13" ht="17.25" customHeight="1">
      <c r="A4" s="91" t="s">
        <v>32</v>
      </c>
      <c r="B4" s="91"/>
      <c r="C4" s="91"/>
      <c r="D4" s="42">
        <v>2</v>
      </c>
      <c r="E4" s="43">
        <f>IFERROR(VLOOKUP(Спецификация!A4,Материал[],4+(F$2=0.72),FALSE),"")</f>
        <v>0.28799999999999998</v>
      </c>
      <c r="F4" s="44">
        <f t="shared" ref="F4:F13" si="0">IF(A4&lt;&gt;"",(E4*D4),"")</f>
        <v>0.57599999999999996</v>
      </c>
      <c r="G4" s="45">
        <f>IFERROR(VLOOKUP(Спецификация!A4,Материал[],MATCH(TEXT($F$2*1000,"@"),Материал[#Headers],),),"")</f>
        <v>1590</v>
      </c>
      <c r="H4" s="46">
        <f>IF(A4&lt;&gt;"",(G4*D4),"")</f>
        <v>3180</v>
      </c>
      <c r="I4" s="47" t="s">
        <v>63</v>
      </c>
      <c r="J4" s="45">
        <f>IFERROR(VLOOKUP(Спецификация!I4,ФАСАДЫ[],MATCH(TEXT($F$2*1000,"@"),ФАСАДЫ[#Headers],),),"")</f>
        <v>7350</v>
      </c>
      <c r="K4" s="48">
        <f>IF(A4&lt;&gt;"",(J4*F4),"")</f>
        <v>4233.5999999999995</v>
      </c>
      <c r="L4" s="49"/>
      <c r="M4" s="49"/>
    </row>
    <row r="5" spans="1:13" ht="17.25" customHeight="1">
      <c r="A5" s="91" t="s">
        <v>31</v>
      </c>
      <c r="B5" s="91"/>
      <c r="C5" s="91"/>
      <c r="D5" s="42">
        <v>1</v>
      </c>
      <c r="E5" s="43">
        <f>IFERROR(VLOOKUP(Спецификация!A5,Материал[],4+(F$2=0.72),FALSE),"")</f>
        <v>0.432</v>
      </c>
      <c r="F5" s="44">
        <f t="shared" si="0"/>
        <v>0.432</v>
      </c>
      <c r="G5" s="45">
        <f>IFERROR(VLOOKUP(Спецификация!A5,Материал[],MATCH(TEXT($F$2*1000,"@"),Материал[#Headers],),),"")</f>
        <v>2270</v>
      </c>
      <c r="H5" s="46">
        <f t="shared" ref="H5:H10" si="1">IF(A5&lt;&gt;"",(G5*D5),"")</f>
        <v>2270</v>
      </c>
      <c r="I5" s="47" t="s">
        <v>62</v>
      </c>
      <c r="J5" s="45">
        <f>IFERROR(VLOOKUP(Спецификация!I5,ФАСАДЫ[],MATCH(TEXT($F$2*1000,"@"),ФАСАДЫ[#Headers],),),"")</f>
        <v>5660</v>
      </c>
      <c r="K5" s="48">
        <f t="shared" ref="K4:K10" si="2">IF(A5&lt;&gt;"",(J5*F5),"")</f>
        <v>2445.12</v>
      </c>
      <c r="L5" s="74"/>
      <c r="M5" s="49"/>
    </row>
    <row r="6" spans="1:13" ht="17.25" customHeight="1">
      <c r="A6" s="91" t="s">
        <v>28</v>
      </c>
      <c r="B6" s="91"/>
      <c r="C6" s="91"/>
      <c r="D6" s="42">
        <v>1</v>
      </c>
      <c r="E6" s="43">
        <f>IFERROR(VLOOKUP(Спецификация!A6,Материал[],4+(F$2=0.72),FALSE),"")</f>
        <v>0.28799999999999998</v>
      </c>
      <c r="F6" s="44">
        <f t="shared" si="0"/>
        <v>0.28799999999999998</v>
      </c>
      <c r="G6" s="45">
        <f>IFERROR(VLOOKUP(Спецификация!A6,Материал[],MATCH(TEXT($F$2*1000,"@"),Материал[#Headers],),),"")</f>
        <v>3720</v>
      </c>
      <c r="H6" s="46">
        <f t="shared" si="1"/>
        <v>3720</v>
      </c>
      <c r="I6" s="47" t="s">
        <v>64</v>
      </c>
      <c r="J6" s="45">
        <f>IFERROR(VLOOKUP(Спецификация!I6,ФАСАДЫ[],MATCH(TEXT($F$2*1000,"@"),ФАСАДЫ[#Headers],),),"")</f>
        <v>5660</v>
      </c>
      <c r="K6" s="48">
        <f t="shared" si="2"/>
        <v>1630.08</v>
      </c>
      <c r="L6" s="49"/>
      <c r="M6" s="49"/>
    </row>
    <row r="7" spans="1:13" ht="17.25" customHeight="1">
      <c r="A7" s="91" t="s">
        <v>20</v>
      </c>
      <c r="B7" s="91"/>
      <c r="C7" s="91"/>
      <c r="D7" s="42">
        <v>1</v>
      </c>
      <c r="E7" s="43">
        <f>IFERROR(VLOOKUP(Спецификация!A7,Материал[],4+(F$2=0.72),FALSE),"")</f>
        <v>0.108</v>
      </c>
      <c r="F7" s="44">
        <f t="shared" si="0"/>
        <v>0.108</v>
      </c>
      <c r="G7" s="45">
        <f>IFERROR(VLOOKUP(Спецификация!A7,Материал[],MATCH(TEXT($F$2*1000,"@"),Материал[#Headers],),),"")</f>
        <v>900</v>
      </c>
      <c r="H7" s="46">
        <f t="shared" si="1"/>
        <v>900</v>
      </c>
      <c r="I7" s="47" t="s">
        <v>63</v>
      </c>
      <c r="J7" s="45">
        <f>IFERROR(VLOOKUP(Спецификация!I7,ФАСАДЫ[],MATCH(TEXT($F$2*1000,"@"),ФАСАДЫ[#Headers],),),"")</f>
        <v>7350</v>
      </c>
      <c r="K7" s="48">
        <f t="shared" si="2"/>
        <v>793.8</v>
      </c>
      <c r="L7" s="49"/>
      <c r="M7" s="49"/>
    </row>
    <row r="8" spans="1:13" ht="17.25" customHeight="1">
      <c r="A8" s="91" t="s">
        <v>22</v>
      </c>
      <c r="B8" s="91"/>
      <c r="C8" s="91"/>
      <c r="D8" s="42">
        <v>1</v>
      </c>
      <c r="E8" s="43">
        <f>IFERROR(VLOOKUP(Спецификация!A8,Материал[],4+(F$2=0.72),FALSE),"")</f>
        <v>0.28799999999999998</v>
      </c>
      <c r="F8" s="44">
        <f t="shared" si="0"/>
        <v>0.28799999999999998</v>
      </c>
      <c r="G8" s="45">
        <f>IFERROR(VLOOKUP(Спецификация!A8,Материал[],MATCH(TEXT($F$2*1000,"@"),Материал[#Headers],),),"")</f>
        <v>1340</v>
      </c>
      <c r="H8" s="46">
        <f t="shared" si="1"/>
        <v>1340</v>
      </c>
      <c r="I8" s="47" t="s">
        <v>64</v>
      </c>
      <c r="J8" s="45">
        <f>IFERROR(VLOOKUP(Спецификация!I8,ФАСАДЫ[],MATCH(TEXT($F$2*1000,"@"),ФАСАДЫ[#Headers],),),"")</f>
        <v>5660</v>
      </c>
      <c r="K8" s="48">
        <f t="shared" si="2"/>
        <v>1630.08</v>
      </c>
      <c r="L8" s="49"/>
      <c r="M8" s="49"/>
    </row>
    <row r="9" spans="1:13" ht="17.25" customHeight="1">
      <c r="A9" s="91"/>
      <c r="B9" s="91"/>
      <c r="C9" s="91"/>
      <c r="D9" s="42"/>
      <c r="E9" s="43" t="str">
        <f>IFERROR(VLOOKUP(Спецификация!A9,Материал[],4+(F$2=0.72),FALSE),"")</f>
        <v/>
      </c>
      <c r="F9" s="44" t="str">
        <f t="shared" si="0"/>
        <v/>
      </c>
      <c r="G9" s="45" t="str">
        <f>IFERROR(VLOOKUP(Спецификация!A9,Материал[],MATCH(TEXT($F$2*1000,"@"),Материал[#Headers],),),"")</f>
        <v/>
      </c>
      <c r="H9" s="46" t="str">
        <f t="shared" si="1"/>
        <v/>
      </c>
      <c r="I9" s="47"/>
      <c r="J9" s="45" t="str">
        <f>IFERROR(VLOOKUP(Спецификация!I9,ФАСАДЫ[],MATCH(TEXT($F$2*1000,"@"),ФАСАДЫ[#Headers],),),"")</f>
        <v/>
      </c>
      <c r="K9" s="48" t="str">
        <f>IF(A9&lt;&gt;"",(J9*F9),"")</f>
        <v/>
      </c>
      <c r="L9" s="49"/>
      <c r="M9" s="49"/>
    </row>
    <row r="10" spans="1:13" ht="17.25" customHeight="1">
      <c r="A10" s="91"/>
      <c r="B10" s="91"/>
      <c r="C10" s="91"/>
      <c r="D10" s="42"/>
      <c r="E10" s="49" t="str">
        <f>IFERROR(VLOOKUP(Спецификация!A10,Материал[],4+(F$2=0.72),FALSE),"")</f>
        <v/>
      </c>
      <c r="F10" s="44" t="str">
        <f t="shared" si="0"/>
        <v/>
      </c>
      <c r="G10" s="45" t="str">
        <f>IFERROR(VLOOKUP(Спецификация!A10,Материал[],MATCH(TEXT($F$2*1000,"@"),Материал[#Headers],),),"")</f>
        <v/>
      </c>
      <c r="H10" s="46" t="str">
        <f t="shared" si="1"/>
        <v/>
      </c>
      <c r="I10" s="47"/>
      <c r="J10" s="45" t="str">
        <f>IFERROR(VLOOKUP(Спецификация!I10,ФАСАДЫ[],MATCH(TEXT($F$2*1000,"@"),ФАСАДЫ[#Headers],),),"")</f>
        <v/>
      </c>
      <c r="K10" s="48" t="str">
        <f t="shared" si="2"/>
        <v/>
      </c>
      <c r="L10" s="49"/>
      <c r="M10" s="49"/>
    </row>
    <row r="11" spans="1:13" ht="17.25" customHeight="1">
      <c r="A11" s="87" t="s">
        <v>73</v>
      </c>
      <c r="B11" s="88"/>
      <c r="C11" s="89"/>
      <c r="D11" s="69" t="s">
        <v>0</v>
      </c>
      <c r="E11" s="70" t="s">
        <v>13</v>
      </c>
      <c r="F11" s="70" t="s">
        <v>13</v>
      </c>
      <c r="G11" s="71" t="s">
        <v>59</v>
      </c>
      <c r="H11" s="53"/>
      <c r="I11" s="73" t="s">
        <v>61</v>
      </c>
      <c r="J11" s="58" t="s">
        <v>59</v>
      </c>
      <c r="K11" s="58"/>
      <c r="L11" s="49"/>
      <c r="M11" s="49"/>
    </row>
    <row r="12" spans="1:13" ht="17.25" customHeight="1">
      <c r="A12" s="91" t="s">
        <v>70</v>
      </c>
      <c r="B12" s="91"/>
      <c r="C12" s="91"/>
      <c r="D12" s="42">
        <v>1</v>
      </c>
      <c r="E12" s="44">
        <f>IFERROR(VLOOKUP(Спецификация!A12,ПОЛКА[],3,FALSE),"")</f>
        <v>0.216</v>
      </c>
      <c r="F12" s="44">
        <f t="shared" si="0"/>
        <v>0.216</v>
      </c>
      <c r="G12" s="50">
        <f>IFERROR(VLOOKUP(Спецификация!A12,ПОЛКА[],2,FALSE),"")</f>
        <v>1230</v>
      </c>
      <c r="H12" s="46">
        <f>IF(A12&lt;&gt;"",(G12*D12),"")</f>
        <v>1230</v>
      </c>
      <c r="I12" s="47" t="s">
        <v>62</v>
      </c>
      <c r="J12" s="45">
        <f>IFERROR(VLOOKUP(Спецификация!I12,ФАСАДЫ[],MATCH(TEXT($F$2*1000,"@"),ФАСАДЫ[#Headers],),),"")</f>
        <v>5660</v>
      </c>
      <c r="K12" s="48">
        <f>IF(A12&lt;&gt;"",(J12*F12),"")</f>
        <v>1222.56</v>
      </c>
      <c r="L12" s="49"/>
      <c r="M12" s="49"/>
    </row>
    <row r="13" spans="1:13" ht="17.25" customHeight="1">
      <c r="A13" s="91" t="s">
        <v>68</v>
      </c>
      <c r="B13" s="91"/>
      <c r="C13" s="91"/>
      <c r="D13" s="42">
        <v>1</v>
      </c>
      <c r="E13" s="44">
        <f>IFERROR(VLOOKUP(Спецификация!A13,ПОЛКА[],3,FALSE),"")</f>
        <v>0.3</v>
      </c>
      <c r="F13" s="44">
        <f t="shared" si="0"/>
        <v>0.3</v>
      </c>
      <c r="G13" s="50">
        <f>IFERROR(VLOOKUP(Спецификация!A13,ПОЛКА[],2,FALSE),"")</f>
        <v>1490</v>
      </c>
      <c r="H13" s="46">
        <f>IF(A13&lt;&gt;"",(G13*D13),"")</f>
        <v>1490</v>
      </c>
      <c r="I13" s="47" t="s">
        <v>62</v>
      </c>
      <c r="J13" s="45">
        <f>IFERROR(VLOOKUP(Спецификация!I13,ФАСАДЫ[],MATCH(TEXT($F$2*1000,"@"),ФАСАДЫ[#Headers],),),"")</f>
        <v>5660</v>
      </c>
      <c r="K13" s="48">
        <f>IF(A13&lt;&gt;"",(J13*F13),"")</f>
        <v>1698</v>
      </c>
      <c r="L13" s="49"/>
      <c r="M13" s="49"/>
    </row>
    <row r="14" spans="1:13" ht="17.25" customHeight="1">
      <c r="A14" s="87" t="s">
        <v>72</v>
      </c>
      <c r="B14" s="88"/>
      <c r="C14" s="89"/>
      <c r="D14" s="69" t="s">
        <v>0</v>
      </c>
      <c r="E14" s="70" t="s">
        <v>13</v>
      </c>
      <c r="F14" s="70" t="s">
        <v>13</v>
      </c>
      <c r="G14" s="71" t="s">
        <v>59</v>
      </c>
      <c r="H14" s="53" t="s">
        <v>60</v>
      </c>
      <c r="I14" s="73" t="s">
        <v>61</v>
      </c>
      <c r="J14" s="58" t="s">
        <v>59</v>
      </c>
      <c r="K14" s="58" t="s">
        <v>60</v>
      </c>
      <c r="L14" s="49"/>
      <c r="M14" s="49"/>
    </row>
    <row r="15" spans="1:13" ht="17.25" customHeight="1">
      <c r="A15" s="68" t="s">
        <v>5</v>
      </c>
      <c r="B15" s="85" t="s">
        <v>16</v>
      </c>
      <c r="C15" s="86"/>
      <c r="D15" s="42">
        <v>1</v>
      </c>
      <c r="E15" s="51">
        <f>IFERROR(VLOOKUP(Спецификация!B15,Ящики[],3,FALSE),"")</f>
        <v>0.06</v>
      </c>
      <c r="F15" s="51">
        <f>IF(B15&lt;&gt;"",(E15*D15),"")</f>
        <v>0.06</v>
      </c>
      <c r="G15" s="45">
        <f>IFERROR(VLOOKUP(Спецификация!B15,Ящики[],2,FALSE),"")</f>
        <v>1250</v>
      </c>
      <c r="H15" s="46">
        <f>IF(B15&lt;&gt;"",(G15*D15),"")</f>
        <v>1250</v>
      </c>
      <c r="I15" s="47" t="s">
        <v>62</v>
      </c>
      <c r="J15" s="45">
        <f>IFERROR(VLOOKUP(Спецификация!I15,ФАСАДЫ[],MATCH(TEXT($F$2*1000,"@"),ФАСАДЫ[#Headers],),),"")</f>
        <v>5660</v>
      </c>
      <c r="K15" s="48">
        <f>IF(B15&lt;&gt;"",(J15*F15),"")</f>
        <v>339.59999999999997</v>
      </c>
      <c r="L15" s="49"/>
      <c r="M15" s="49"/>
    </row>
    <row r="16" spans="1:13" ht="17.25" customHeight="1">
      <c r="A16" s="68" t="s">
        <v>5</v>
      </c>
      <c r="B16" s="85"/>
      <c r="C16" s="86"/>
      <c r="D16" s="42"/>
      <c r="E16" s="51" t="str">
        <f>IFERROR(VLOOKUP(Спецификация!B16,Ящики[],3,FALSE),"")</f>
        <v/>
      </c>
      <c r="F16" s="51" t="str">
        <f>IF(B16&lt;&gt;"",(E16*D16),"")</f>
        <v/>
      </c>
      <c r="G16" s="52" t="str">
        <f>IF(D16&lt;&gt;"",(H16*D16),"")</f>
        <v/>
      </c>
      <c r="H16" s="53" t="str">
        <f>IFERROR(VLOOKUP(Спецификация!B16,Ящики[],2,FALSE),"")</f>
        <v/>
      </c>
      <c r="I16" s="47"/>
      <c r="J16" s="45" t="str">
        <f>IFERROR(VLOOKUP(Спецификация!I16,ФАСАДЫ[],MATCH(TEXT($F$2*1000,"@"),ФАСАДЫ[#Headers],),),"")</f>
        <v/>
      </c>
      <c r="K16" s="48" t="str">
        <f>IF(B16&lt;&gt;"",(J16*F16),"")</f>
        <v/>
      </c>
      <c r="L16" s="49"/>
      <c r="M16" s="49"/>
    </row>
    <row r="17" spans="1:13" ht="17.25" customHeight="1">
      <c r="A17" s="87" t="s">
        <v>58</v>
      </c>
      <c r="B17" s="88"/>
      <c r="C17" s="89"/>
      <c r="D17" s="69" t="s">
        <v>0</v>
      </c>
      <c r="E17" s="70" t="s">
        <v>13</v>
      </c>
      <c r="F17" s="70" t="s">
        <v>13</v>
      </c>
      <c r="G17" s="71" t="s">
        <v>59</v>
      </c>
      <c r="H17" s="53"/>
      <c r="I17" s="73" t="s">
        <v>61</v>
      </c>
      <c r="J17" s="58" t="s">
        <v>59</v>
      </c>
      <c r="K17" s="58"/>
      <c r="L17" s="49"/>
      <c r="M17" s="49"/>
    </row>
    <row r="18" spans="1:13" ht="17.25" customHeight="1">
      <c r="A18" s="75" t="s">
        <v>54</v>
      </c>
      <c r="B18" s="75"/>
      <c r="C18" s="75"/>
      <c r="D18" s="42">
        <v>1</v>
      </c>
      <c r="E18" s="54">
        <f>IFERROR(VLOOKUP(Спецификация!A18,безскидки[],3,FALSE),"")</f>
        <v>0.4</v>
      </c>
      <c r="F18" s="44">
        <f t="shared" ref="F18:F24" si="3">IF(A18&lt;&gt;"",(E18*D18),"")</f>
        <v>0.4</v>
      </c>
      <c r="G18" s="55">
        <f>IF(A18&lt;&gt;"",(H18*D18),"")</f>
        <v>2270</v>
      </c>
      <c r="H18" s="46">
        <f>IFERROR(VLOOKUP(Спецификация!A18,безскидки[],2,FALSE),"")</f>
        <v>2270</v>
      </c>
      <c r="I18" s="47" t="s">
        <v>62</v>
      </c>
      <c r="J18" s="45">
        <f>IFERROR(VLOOKUP(Спецификация!I18,ФАСАДЫ[],MATCH(TEXT($F$2*1000,"@"),ФАСАДЫ[#Headers],),),"")</f>
        <v>5660</v>
      </c>
      <c r="K18" s="48">
        <f>IF(A18&lt;&gt;"",(J18*F18),"")</f>
        <v>2264</v>
      </c>
      <c r="L18" s="49"/>
      <c r="M18" s="49"/>
    </row>
    <row r="19" spans="1:13" ht="17.25" customHeight="1">
      <c r="A19" s="75" t="s">
        <v>36</v>
      </c>
      <c r="B19" s="75"/>
      <c r="C19" s="75"/>
      <c r="D19" s="42">
        <v>1</v>
      </c>
      <c r="E19" s="54">
        <f>IFERROR(VLOOKUP(Спецификация!A19,безскидки[],3,FALSE),"")</f>
        <v>0.4</v>
      </c>
      <c r="F19" s="44">
        <f t="shared" si="3"/>
        <v>0.4</v>
      </c>
      <c r="G19" s="55">
        <f t="shared" ref="G19:G24" si="4">IF(A19&lt;&gt;"",(H19*D19),"")</f>
        <v>2130</v>
      </c>
      <c r="H19" s="46">
        <f>IFERROR(VLOOKUP(Спецификация!A19,безскидки[],2,FALSE),"")</f>
        <v>2130</v>
      </c>
      <c r="I19" s="47" t="s">
        <v>62</v>
      </c>
      <c r="J19" s="45">
        <f>IFERROR(VLOOKUP(Спецификация!I19,ФАСАДЫ[],MATCH(TEXT($F$2*1000,"@"),ФАСАДЫ[#Headers],),),"")</f>
        <v>5660</v>
      </c>
      <c r="K19" s="48">
        <f t="shared" ref="K19:K24" si="5">IF(A19&lt;&gt;"",(J19*F19),"")</f>
        <v>2264</v>
      </c>
      <c r="L19" s="49"/>
      <c r="M19" s="49"/>
    </row>
    <row r="20" spans="1:13" ht="17.25" customHeight="1">
      <c r="A20" s="75" t="s">
        <v>44</v>
      </c>
      <c r="B20" s="75"/>
      <c r="C20" s="75"/>
      <c r="D20" s="42">
        <v>1</v>
      </c>
      <c r="E20" s="54">
        <f>IFERROR(VLOOKUP(Спецификация!A20,безскидки[],3,FALSE),"")</f>
        <v>0.45</v>
      </c>
      <c r="F20" s="44">
        <f t="shared" si="3"/>
        <v>0.45</v>
      </c>
      <c r="G20" s="55">
        <f t="shared" si="4"/>
        <v>3750</v>
      </c>
      <c r="H20" s="46">
        <f>IFERROR(VLOOKUP(Спецификация!A20,безскидки[],2,FALSE),"")</f>
        <v>3750</v>
      </c>
      <c r="I20" s="47" t="s">
        <v>62</v>
      </c>
      <c r="J20" s="45">
        <f>IFERROR(VLOOKUP(Спецификация!I20,ФАСАДЫ[],MATCH(TEXT($F$2*1000,"@"),ФАСАДЫ[#Headers],),),"")</f>
        <v>5660</v>
      </c>
      <c r="K20" s="48">
        <f t="shared" si="5"/>
        <v>2547</v>
      </c>
      <c r="L20" s="49"/>
      <c r="M20" s="49"/>
    </row>
    <row r="21" spans="1:13" ht="17.25" customHeight="1">
      <c r="A21" s="75" t="s">
        <v>36</v>
      </c>
      <c r="B21" s="75"/>
      <c r="C21" s="75"/>
      <c r="D21" s="42">
        <v>1</v>
      </c>
      <c r="E21" s="54">
        <f>IFERROR(VLOOKUP(Спецификация!A21,безскидки[],3,FALSE),"")</f>
        <v>0.4</v>
      </c>
      <c r="F21" s="44">
        <f t="shared" si="3"/>
        <v>0.4</v>
      </c>
      <c r="G21" s="55">
        <f t="shared" si="4"/>
        <v>2130</v>
      </c>
      <c r="H21" s="46">
        <f>IFERROR(VLOOKUP(Спецификация!A21,безскидки[],2,FALSE),"")</f>
        <v>2130</v>
      </c>
      <c r="I21" s="47" t="s">
        <v>62</v>
      </c>
      <c r="J21" s="45">
        <f>IFERROR(VLOOKUP(Спецификация!I21,ФАСАДЫ[],MATCH(TEXT($F$2*1000,"@"),ФАСАДЫ[#Headers],),),"")</f>
        <v>5660</v>
      </c>
      <c r="K21" s="48">
        <f t="shared" si="5"/>
        <v>2264</v>
      </c>
      <c r="L21" s="49"/>
      <c r="M21" s="49"/>
    </row>
    <row r="22" spans="1:13" ht="17.25" customHeight="1">
      <c r="A22" s="75" t="s">
        <v>56</v>
      </c>
      <c r="B22" s="75"/>
      <c r="C22" s="75"/>
      <c r="D22" s="42">
        <v>1</v>
      </c>
      <c r="E22" s="54">
        <f>IFERROR(VLOOKUP(Спецификация!A22,безскидки[],3,FALSE),"")</f>
        <v>0.15</v>
      </c>
      <c r="F22" s="51">
        <f t="shared" si="3"/>
        <v>0.15</v>
      </c>
      <c r="G22" s="55">
        <f t="shared" si="4"/>
        <v>2640</v>
      </c>
      <c r="H22" s="46">
        <f>IFERROR(VLOOKUP(Спецификация!A22,безскидки[],2,FALSE),"")</f>
        <v>2640</v>
      </c>
      <c r="I22" s="47" t="s">
        <v>62</v>
      </c>
      <c r="J22" s="45">
        <f>IFERROR(VLOOKUP(Спецификация!I22,ФАСАДЫ[],MATCH(TEXT($F$2*1000,"@"),ФАСАДЫ[#Headers],),),"")</f>
        <v>5660</v>
      </c>
      <c r="K22" s="48">
        <f t="shared" si="5"/>
        <v>849</v>
      </c>
      <c r="L22" s="49"/>
      <c r="M22" s="49"/>
    </row>
    <row r="23" spans="1:13" ht="17.25" customHeight="1">
      <c r="A23" s="75"/>
      <c r="B23" s="75"/>
      <c r="C23" s="75"/>
      <c r="D23" s="56"/>
      <c r="E23" s="54" t="str">
        <f>IFERROR(VLOOKUP(Спецификация!A23,безскидки[],3,FALSE),"")</f>
        <v/>
      </c>
      <c r="F23" s="51" t="str">
        <f t="shared" si="3"/>
        <v/>
      </c>
      <c r="G23" s="55" t="str">
        <f t="shared" si="4"/>
        <v/>
      </c>
      <c r="H23" s="46">
        <f>SUM(H4:H22)</f>
        <v>28300</v>
      </c>
      <c r="I23" s="46"/>
      <c r="J23" s="46"/>
      <c r="K23" s="46"/>
      <c r="L23" s="49"/>
      <c r="M23" s="49"/>
    </row>
    <row r="24" spans="1:13" ht="17.25" customHeight="1">
      <c r="A24" s="75"/>
      <c r="B24" s="75"/>
      <c r="C24" s="75"/>
      <c r="D24" s="42"/>
      <c r="E24" s="54" t="str">
        <f>IFERROR(VLOOKUP(Спецификация!A24,безскидки[],3,FALSE),"")</f>
        <v/>
      </c>
      <c r="F24" s="51" t="str">
        <f t="shared" si="3"/>
        <v/>
      </c>
      <c r="G24" s="55" t="str">
        <f t="shared" si="4"/>
        <v/>
      </c>
      <c r="H24" s="46" t="str">
        <f>IFERROR(VLOOKUP(Спецификация!A24,безскидки[],2,FALSE),"")</f>
        <v/>
      </c>
      <c r="I24" s="47"/>
      <c r="J24" s="45" t="str">
        <f>IFERROR(VLOOKUP(Спецификация!I24,ФАСАДЫ[],MATCH(TEXT($F$2*1000,"@"),ФАСАДЫ[#Headers],),),"")</f>
        <v/>
      </c>
      <c r="K24" s="48" t="str">
        <f t="shared" si="5"/>
        <v/>
      </c>
      <c r="L24" s="49"/>
      <c r="M24" s="49"/>
    </row>
    <row r="25" spans="1:13" ht="14.25" hidden="1" customHeight="1" thickTop="1" thickBot="1">
      <c r="A25" s="96" t="s">
        <v>8</v>
      </c>
      <c r="B25" s="96"/>
      <c r="C25" s="96"/>
      <c r="D25" s="37">
        <v>1</v>
      </c>
      <c r="E25" s="37"/>
      <c r="F25" s="38">
        <f t="shared" ref="F25" si="6">IF(D25&lt;&gt;"",(G25*D25),"")</f>
        <v>1000</v>
      </c>
      <c r="G25" s="39">
        <v>1000</v>
      </c>
      <c r="H25" s="40"/>
    </row>
    <row r="26" spans="1:13" ht="14.25" hidden="1" customHeight="1" thickTop="1" thickBot="1">
      <c r="A26" s="13"/>
      <c r="B26" s="13"/>
      <c r="C26" s="13"/>
      <c r="D26" s="14"/>
      <c r="F26" s="27">
        <f>SUM(F20:F25)</f>
        <v>1001</v>
      </c>
      <c r="H26" s="35"/>
    </row>
    <row r="27" spans="1:13" ht="17.25" customHeight="1">
      <c r="A27" s="92" t="s">
        <v>80</v>
      </c>
      <c r="B27" s="92"/>
      <c r="C27" s="92"/>
      <c r="D27" s="93" t="s">
        <v>83</v>
      </c>
      <c r="E27" s="94"/>
      <c r="F27" s="95"/>
      <c r="G27" s="55"/>
      <c r="H27" s="46"/>
      <c r="I27" s="47"/>
      <c r="J27" s="45"/>
      <c r="K27" s="48"/>
      <c r="L27" s="49"/>
      <c r="M27" s="49"/>
    </row>
    <row r="28" spans="1:13" ht="17.25" customHeight="1">
      <c r="A28" s="75" t="s">
        <v>81</v>
      </c>
      <c r="B28" s="75"/>
      <c r="C28" s="75"/>
      <c r="D28" s="76">
        <f>(A2+C2)*0.75</f>
        <v>2.9625000000000004</v>
      </c>
      <c r="E28" s="77"/>
      <c r="F28" s="78"/>
      <c r="G28" s="55"/>
      <c r="H28" s="46"/>
      <c r="I28" s="47"/>
      <c r="J28" s="45"/>
      <c r="K28" s="48"/>
      <c r="L28" s="49"/>
      <c r="M28" s="49"/>
    </row>
    <row r="29" spans="1:13" ht="17.25" customHeight="1">
      <c r="A29" s="75" t="s">
        <v>82</v>
      </c>
      <c r="B29" s="75"/>
      <c r="C29" s="75"/>
      <c r="D29" s="76"/>
      <c r="E29" s="77"/>
      <c r="F29" s="78"/>
      <c r="G29" s="55"/>
      <c r="H29" s="46"/>
      <c r="I29" s="47"/>
      <c r="J29" s="45"/>
      <c r="K29" s="48"/>
      <c r="L29" s="49"/>
      <c r="M29" s="49"/>
    </row>
    <row r="30" spans="1:13" ht="17.25" customHeight="1">
      <c r="A30" s="75"/>
      <c r="B30" s="75"/>
      <c r="C30" s="75"/>
      <c r="D30" s="76"/>
      <c r="E30" s="77"/>
      <c r="F30" s="78"/>
      <c r="G30" s="55"/>
      <c r="H30" s="46"/>
      <c r="I30" s="47"/>
      <c r="J30" s="45"/>
      <c r="K30" s="48"/>
      <c r="L30" s="49"/>
      <c r="M30" s="49"/>
    </row>
    <row r="31" spans="1:13" ht="17.25" customHeight="1">
      <c r="A31" s="75"/>
      <c r="B31" s="75"/>
      <c r="C31" s="75"/>
      <c r="D31" s="76"/>
      <c r="E31" s="77"/>
      <c r="F31" s="78"/>
      <c r="G31" s="55"/>
      <c r="H31" s="46"/>
      <c r="I31" s="47"/>
      <c r="J31" s="45"/>
      <c r="K31" s="48"/>
      <c r="L31" s="49"/>
      <c r="M31" s="49"/>
    </row>
    <row r="32" spans="1:13" ht="17.25" customHeight="1">
      <c r="A32" s="75"/>
      <c r="B32" s="75"/>
      <c r="C32" s="75"/>
      <c r="D32" s="76"/>
      <c r="E32" s="77"/>
      <c r="F32" s="78"/>
      <c r="G32" s="55"/>
      <c r="H32" s="46"/>
      <c r="I32" s="47"/>
      <c r="J32" s="45"/>
      <c r="K32" s="48"/>
      <c r="L32" s="49"/>
      <c r="M32" s="49"/>
    </row>
    <row r="33" spans="1:13" ht="17.25" customHeight="1">
      <c r="A33" s="75"/>
      <c r="B33" s="75"/>
      <c r="C33" s="75"/>
      <c r="D33" s="42"/>
      <c r="E33" s="54"/>
      <c r="F33" s="51"/>
      <c r="G33" s="55"/>
      <c r="H33" s="46"/>
      <c r="I33" s="47"/>
      <c r="J33" s="45"/>
      <c r="K33" s="48"/>
      <c r="L33" s="49"/>
      <c r="M33" s="49"/>
    </row>
    <row r="34" spans="1:13" ht="17.25" customHeight="1">
      <c r="A34" s="75"/>
      <c r="B34" s="75"/>
      <c r="C34" s="75"/>
      <c r="D34" s="42"/>
      <c r="E34" s="54"/>
      <c r="F34" s="51"/>
      <c r="G34" s="55"/>
      <c r="H34" s="46"/>
      <c r="I34" s="47"/>
      <c r="J34" s="45"/>
      <c r="K34" s="48"/>
      <c r="L34" s="49"/>
      <c r="M34" s="49"/>
    </row>
  </sheetData>
  <mergeCells count="45">
    <mergeCell ref="A9:C9"/>
    <mergeCell ref="A10:C10"/>
    <mergeCell ref="B15:C15"/>
    <mergeCell ref="A14:C14"/>
    <mergeCell ref="A11:C11"/>
    <mergeCell ref="A13:C13"/>
    <mergeCell ref="D27:F27"/>
    <mergeCell ref="A20:C20"/>
    <mergeCell ref="A21:C21"/>
    <mergeCell ref="A25:C25"/>
    <mergeCell ref="A22:C22"/>
    <mergeCell ref="A23:C23"/>
    <mergeCell ref="A24:C24"/>
    <mergeCell ref="A17:C17"/>
    <mergeCell ref="A27:C27"/>
    <mergeCell ref="A28:C28"/>
    <mergeCell ref="A29:C29"/>
    <mergeCell ref="A30:C30"/>
    <mergeCell ref="A18:C18"/>
    <mergeCell ref="A19:C19"/>
    <mergeCell ref="F2:H2"/>
    <mergeCell ref="F1:H1"/>
    <mergeCell ref="I1:K1"/>
    <mergeCell ref="I2:K2"/>
    <mergeCell ref="B16:C16"/>
    <mergeCell ref="A1:B1"/>
    <mergeCell ref="A3:C3"/>
    <mergeCell ref="A2:B2"/>
    <mergeCell ref="C2:D2"/>
    <mergeCell ref="C1:D1"/>
    <mergeCell ref="A4:C4"/>
    <mergeCell ref="A8:C8"/>
    <mergeCell ref="A5:C5"/>
    <mergeCell ref="A6:C6"/>
    <mergeCell ref="A7:C7"/>
    <mergeCell ref="A12:C12"/>
    <mergeCell ref="A33:C33"/>
    <mergeCell ref="A34:C34"/>
    <mergeCell ref="D28:F28"/>
    <mergeCell ref="D29:F29"/>
    <mergeCell ref="D30:F30"/>
    <mergeCell ref="D31:F31"/>
    <mergeCell ref="D32:F32"/>
    <mergeCell ref="A31:C31"/>
    <mergeCell ref="A32:C32"/>
  </mergeCells>
  <dataValidations count="5">
    <dataValidation type="list" allowBlank="1" showInputMessage="1" showErrorMessage="1" sqref="B15:B16">
      <formula1>Ящик</formula1>
    </dataValidation>
    <dataValidation type="list" allowBlank="1" showInputMessage="1" showErrorMessage="1" sqref="B24:C25 B22:C22 A22:A25 A18:C21">
      <formula1>Безскидок</formula1>
    </dataValidation>
    <dataValidation type="list" allowBlank="1" showInputMessage="1" showErrorMessage="1" sqref="A4:C10">
      <formula1>Материалы</formula1>
    </dataValidation>
    <dataValidation type="list" allowBlank="1" showInputMessage="1" showErrorMessage="1" sqref="A12:C13">
      <formula1>Полки</formula1>
    </dataValidation>
    <dataValidation type="list" allowBlank="1" showInputMessage="1" showErrorMessage="1" sqref="I4:I8 I12:I13 I15:I16 I27:I34 I18:I22 I24">
      <formula1>ФАСАД</formula1>
    </dataValidation>
  </dataValidations>
  <pageMargins left="0.47244094488188981" right="0.15748031496062992" top="1.1811023622047245" bottom="0.31496062992125984" header="0.15748031496062992" footer="0.27559055118110237"/>
  <pageSetup paperSize="9" scale="96" orientation="landscape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21">
    <tabColor theme="3" tint="-0.499984740745262"/>
  </sheetPr>
  <dimension ref="A1:F60"/>
  <sheetViews>
    <sheetView topLeftCell="A43" zoomScale="115" zoomScaleNormal="115" workbookViewId="0">
      <selection activeCell="A54" sqref="A54"/>
    </sheetView>
  </sheetViews>
  <sheetFormatPr defaultRowHeight="15"/>
  <cols>
    <col min="1" max="1" width="27.28515625" style="3" customWidth="1"/>
    <col min="2" max="2" width="13.140625" style="4" customWidth="1"/>
    <col min="3" max="3" width="12.140625" style="4" customWidth="1"/>
    <col min="4" max="5" width="11.5703125" style="3" customWidth="1"/>
    <col min="6" max="6" width="11.5703125" style="22" customWidth="1"/>
    <col min="7" max="13" width="10.7109375" style="3" customWidth="1"/>
    <col min="14" max="16384" width="9.140625" style="3"/>
  </cols>
  <sheetData>
    <row r="1" spans="1:6">
      <c r="A1" s="3" t="s">
        <v>7</v>
      </c>
      <c r="B1" s="4" t="s">
        <v>4</v>
      </c>
      <c r="C1" s="4" t="s">
        <v>74</v>
      </c>
      <c r="E1" s="22"/>
      <c r="F1" s="3"/>
    </row>
    <row r="2" spans="1:6">
      <c r="A2" s="21" t="s">
        <v>15</v>
      </c>
      <c r="B2" s="4">
        <v>950</v>
      </c>
      <c r="C2" s="34">
        <f t="shared" ref="C2" si="0">0.3*0.1</f>
        <v>0.03</v>
      </c>
      <c r="E2" s="22"/>
      <c r="F2" s="3"/>
    </row>
    <row r="3" spans="1:6">
      <c r="A3" s="21" t="s">
        <v>16</v>
      </c>
      <c r="B3" s="4">
        <v>1250</v>
      </c>
      <c r="C3" s="34">
        <f>0.6*0.1</f>
        <v>0.06</v>
      </c>
      <c r="E3" s="22"/>
      <c r="F3" s="3"/>
    </row>
    <row r="4" spans="1:6">
      <c r="A4" s="21" t="s">
        <v>75</v>
      </c>
      <c r="B4" s="4">
        <v>1500</v>
      </c>
      <c r="C4" s="34">
        <f>0.1*0.1</f>
        <v>1.0000000000000002E-2</v>
      </c>
      <c r="E4" s="22"/>
      <c r="F4" s="3"/>
    </row>
    <row r="5" spans="1:6">
      <c r="A5" s="3" t="s">
        <v>17</v>
      </c>
      <c r="B5" s="4">
        <v>1250</v>
      </c>
      <c r="C5" s="34">
        <f>0.3*0.25</f>
        <v>7.4999999999999997E-2</v>
      </c>
      <c r="E5" s="22"/>
      <c r="F5" s="3"/>
    </row>
    <row r="6" spans="1:6">
      <c r="A6" s="3" t="s">
        <v>18</v>
      </c>
      <c r="B6" s="4">
        <v>1500</v>
      </c>
      <c r="C6" s="34">
        <f>0.6*0.25</f>
        <v>0.15</v>
      </c>
      <c r="E6" s="22"/>
      <c r="F6" s="3"/>
    </row>
    <row r="7" spans="1:6">
      <c r="A7" s="3" t="s">
        <v>76</v>
      </c>
      <c r="B7" s="4">
        <v>1800</v>
      </c>
      <c r="C7" s="34">
        <f>1*0.25</f>
        <v>0.25</v>
      </c>
      <c r="E7" s="22"/>
      <c r="F7" s="3"/>
    </row>
    <row r="8" spans="1:6" ht="15.75" thickBot="1">
      <c r="A8" s="6" t="s">
        <v>66</v>
      </c>
      <c r="B8" s="7" t="s">
        <v>10</v>
      </c>
      <c r="C8" s="7" t="s">
        <v>11</v>
      </c>
      <c r="D8" s="20" t="s">
        <v>30</v>
      </c>
      <c r="E8" s="20" t="s">
        <v>14</v>
      </c>
      <c r="F8" s="20" t="s">
        <v>12</v>
      </c>
    </row>
    <row r="9" spans="1:6" ht="15.75" thickTop="1">
      <c r="A9" s="17" t="s">
        <v>20</v>
      </c>
      <c r="B9" s="8">
        <v>900</v>
      </c>
      <c r="C9" s="8">
        <v>1120</v>
      </c>
      <c r="D9" s="33">
        <f>Материал[[#This Row],[РАЗМЕР]]*Материал[[#Headers],[0.92]]</f>
        <v>0.13800000000000001</v>
      </c>
      <c r="E9" s="33">
        <f>Материал[[#This Row],[РАЗМЕР]]*Материал[[#Headers],[0.72]]</f>
        <v>0.108</v>
      </c>
      <c r="F9" s="5">
        <v>0.15</v>
      </c>
    </row>
    <row r="10" spans="1:6">
      <c r="A10" s="17" t="s">
        <v>21</v>
      </c>
      <c r="B10" s="8">
        <v>1190</v>
      </c>
      <c r="C10" s="8">
        <v>1420</v>
      </c>
      <c r="D10" s="33">
        <f>Материал[[#This Row],[РАЗМЕР]]*Материал[[#Headers],[0.92]]</f>
        <v>0.27600000000000002</v>
      </c>
      <c r="E10" s="33">
        <f>Материал[[#This Row],[РАЗМЕР]]*Материал[[#Headers],[0.72]]</f>
        <v>0.216</v>
      </c>
      <c r="F10" s="5">
        <v>0.3</v>
      </c>
    </row>
    <row r="11" spans="1:6">
      <c r="A11" s="17" t="s">
        <v>22</v>
      </c>
      <c r="B11" s="8">
        <v>1340</v>
      </c>
      <c r="C11" s="8">
        <v>1700</v>
      </c>
      <c r="D11" s="33">
        <f>Материал[[#This Row],[РАЗМЕР]]*Материал[[#Headers],[0.92]]</f>
        <v>0.36800000000000005</v>
      </c>
      <c r="E11" s="33">
        <f>Материал[[#This Row],[РАЗМЕР]]*Материал[[#Headers],[0.72]]</f>
        <v>0.28799999999999998</v>
      </c>
      <c r="F11" s="5">
        <v>0.4</v>
      </c>
    </row>
    <row r="12" spans="1:6">
      <c r="A12" s="17" t="s">
        <v>23</v>
      </c>
      <c r="B12" s="8">
        <v>1430</v>
      </c>
      <c r="C12" s="8">
        <v>1800</v>
      </c>
      <c r="D12" s="33">
        <f>Материал[[#This Row],[РАЗМЕР]]*Материал[[#Headers],[0.92]]</f>
        <v>0.41400000000000003</v>
      </c>
      <c r="E12" s="33">
        <f>Материал[[#This Row],[РАЗМЕР]]*Материал[[#Headers],[0.72]]</f>
        <v>0.32400000000000001</v>
      </c>
      <c r="F12" s="5">
        <v>0.45</v>
      </c>
    </row>
    <row r="13" spans="1:6">
      <c r="A13" s="17" t="s">
        <v>24</v>
      </c>
      <c r="B13" s="8">
        <v>1490</v>
      </c>
      <c r="C13" s="8">
        <v>1920</v>
      </c>
      <c r="D13" s="33">
        <f>Материал[[#This Row],[РАЗМЕР]]*Материал[[#Headers],[0.92]]</f>
        <v>0.46</v>
      </c>
      <c r="E13" s="33">
        <f>Материал[[#This Row],[РАЗМЕР]]*Материал[[#Headers],[0.72]]</f>
        <v>0.36</v>
      </c>
      <c r="F13" s="5">
        <v>0.5</v>
      </c>
    </row>
    <row r="14" spans="1:6">
      <c r="A14" s="17" t="s">
        <v>25</v>
      </c>
      <c r="B14" s="8">
        <v>1650</v>
      </c>
      <c r="C14" s="8">
        <v>2140</v>
      </c>
      <c r="D14" s="33">
        <f>Материал[[#This Row],[РАЗМЕР]]*Материал[[#Headers],[0.92]]</f>
        <v>0.55200000000000005</v>
      </c>
      <c r="E14" s="33">
        <f>Материал[[#This Row],[РАЗМЕР]]*Материал[[#Headers],[0.72]]</f>
        <v>0.432</v>
      </c>
      <c r="F14" s="5">
        <v>0.6</v>
      </c>
    </row>
    <row r="15" spans="1:6">
      <c r="A15" s="17" t="s">
        <v>31</v>
      </c>
      <c r="B15" s="8">
        <v>2270</v>
      </c>
      <c r="C15" s="8">
        <v>2400</v>
      </c>
      <c r="D15" s="33">
        <f>Материал[[#This Row],[РАЗМЕР]]*Материал[[#Headers],[0.92]]</f>
        <v>0.55200000000000005</v>
      </c>
      <c r="E15" s="33">
        <f>Материал[[#This Row],[РАЗМЕР]]*Материал[[#Headers],[0.72]]</f>
        <v>0.432</v>
      </c>
      <c r="F15" s="5">
        <v>0.6</v>
      </c>
    </row>
    <row r="16" spans="1:6">
      <c r="A16" s="17" t="s">
        <v>26</v>
      </c>
      <c r="B16" s="8">
        <v>2580</v>
      </c>
      <c r="C16" s="8">
        <v>2710</v>
      </c>
      <c r="D16" s="33">
        <f>Материал[[#This Row],[РАЗМЕР]]*Материал[[#Headers],[0.92]]</f>
        <v>0.7360000000000001</v>
      </c>
      <c r="E16" s="33">
        <f>Материал[[#This Row],[РАЗМЕР]]*Материал[[#Headers],[0.72]]</f>
        <v>0.57599999999999996</v>
      </c>
      <c r="F16" s="5">
        <v>0.8</v>
      </c>
    </row>
    <row r="17" spans="1:6">
      <c r="A17" s="17" t="s">
        <v>27</v>
      </c>
      <c r="B17" s="8">
        <v>2790</v>
      </c>
      <c r="C17" s="8">
        <v>2920</v>
      </c>
      <c r="D17" s="33">
        <f>Материал[[#This Row],[РАЗМЕР]]*Материал[[#Headers],[0.92]]</f>
        <v>0.82800000000000007</v>
      </c>
      <c r="E17" s="33">
        <f>Материал[[#This Row],[РАЗМЕР]]*Материал[[#Headers],[0.72]]</f>
        <v>0.64800000000000002</v>
      </c>
      <c r="F17" s="5">
        <v>0.9</v>
      </c>
    </row>
    <row r="18" spans="1:6">
      <c r="A18" s="18" t="s">
        <v>32</v>
      </c>
      <c r="B18" s="10">
        <v>1590</v>
      </c>
      <c r="C18" s="10">
        <v>1630</v>
      </c>
      <c r="D18" s="33">
        <f>Материал[[#This Row],[РАЗМЕР]]*Материал[[#Headers],[0.92]]</f>
        <v>0.36800000000000005</v>
      </c>
      <c r="E18" s="33">
        <f>Материал[[#This Row],[РАЗМЕР]]*Материал[[#Headers],[0.72]]</f>
        <v>0.28799999999999998</v>
      </c>
      <c r="F18" s="5">
        <v>0.4</v>
      </c>
    </row>
    <row r="19" spans="1:6">
      <c r="A19" s="17" t="s">
        <v>33</v>
      </c>
      <c r="B19" s="10">
        <v>1500</v>
      </c>
      <c r="C19" s="10">
        <v>1630</v>
      </c>
      <c r="D19" s="33"/>
      <c r="E19" s="33"/>
      <c r="F19" s="5"/>
    </row>
    <row r="20" spans="1:6">
      <c r="A20" s="17" t="s">
        <v>28</v>
      </c>
      <c r="B20" s="10">
        <v>3720</v>
      </c>
      <c r="C20" s="10">
        <v>3850</v>
      </c>
      <c r="D20" s="33">
        <f>Материал[[#This Row],[РАЗМЕР]]*Материал[[#Headers],[0.92]]</f>
        <v>0.36800000000000005</v>
      </c>
      <c r="E20" s="33">
        <f>Материал[[#This Row],[РАЗМЕР]]*Материал[[#Headers],[0.72]]</f>
        <v>0.28799999999999998</v>
      </c>
      <c r="F20" s="5">
        <v>0.4</v>
      </c>
    </row>
    <row r="21" spans="1:6">
      <c r="A21" s="18" t="s">
        <v>29</v>
      </c>
      <c r="B21" s="5">
        <v>2300</v>
      </c>
      <c r="C21" s="5">
        <v>2430</v>
      </c>
      <c r="D21" s="33">
        <f>Материал[[#This Row],[РАЗМЕР]]*Материал[[#Headers],[0.92]]</f>
        <v>0.34960000000000002</v>
      </c>
      <c r="E21" s="33">
        <f>Материал[[#This Row],[РАЗМЕР]]*Материал[[#Headers],[0.72]]</f>
        <v>0.27360000000000001</v>
      </c>
      <c r="F21" s="5">
        <v>0.38</v>
      </c>
    </row>
    <row r="22" spans="1:6">
      <c r="A22" s="18"/>
      <c r="B22" s="1"/>
      <c r="C22" s="2"/>
      <c r="D22" s="33"/>
      <c r="E22" s="33"/>
      <c r="F22" s="5"/>
    </row>
    <row r="23" spans="1:6">
      <c r="A23" s="18"/>
      <c r="B23" s="1"/>
      <c r="C23" s="2"/>
      <c r="D23" s="33"/>
      <c r="E23" s="33"/>
      <c r="F23" s="5"/>
    </row>
    <row r="24" spans="1:6">
      <c r="A24" s="3" t="s">
        <v>66</v>
      </c>
      <c r="B24" s="22" t="s">
        <v>59</v>
      </c>
      <c r="C24" s="22" t="s">
        <v>71</v>
      </c>
      <c r="F24" s="3"/>
    </row>
    <row r="25" spans="1:6">
      <c r="A25" s="29" t="s">
        <v>67</v>
      </c>
      <c r="B25" s="22">
        <v>1170</v>
      </c>
      <c r="C25" s="32">
        <f t="shared" ref="C25" si="1">0.5*0.36</f>
        <v>0.18</v>
      </c>
      <c r="F25" s="3"/>
    </row>
    <row r="26" spans="1:6">
      <c r="A26" s="3" t="s">
        <v>69</v>
      </c>
      <c r="B26" s="22">
        <v>1265</v>
      </c>
      <c r="C26" s="32">
        <f>0.5*0.5</f>
        <v>0.25</v>
      </c>
      <c r="F26" s="3"/>
    </row>
    <row r="27" spans="1:6">
      <c r="A27" s="29" t="s">
        <v>70</v>
      </c>
      <c r="B27" s="30">
        <v>1230</v>
      </c>
      <c r="C27" s="31">
        <f>0.6*0.36</f>
        <v>0.216</v>
      </c>
      <c r="F27" s="3"/>
    </row>
    <row r="28" spans="1:6">
      <c r="A28" s="3" t="s">
        <v>68</v>
      </c>
      <c r="B28" s="22">
        <v>1490</v>
      </c>
      <c r="C28" s="32">
        <f>0.6*0.5</f>
        <v>0.3</v>
      </c>
      <c r="F28" s="3"/>
    </row>
    <row r="29" spans="1:6">
      <c r="A29" s="3" t="s">
        <v>6</v>
      </c>
      <c r="B29" s="4" t="s">
        <v>1</v>
      </c>
      <c r="C29" s="4" t="s">
        <v>12</v>
      </c>
      <c r="D29" s="3" t="s">
        <v>57</v>
      </c>
    </row>
    <row r="30" spans="1:6">
      <c r="A30" s="18" t="s">
        <v>34</v>
      </c>
      <c r="B30" s="9">
        <v>1550</v>
      </c>
      <c r="C30" s="23">
        <v>0.15</v>
      </c>
      <c r="D30" s="25">
        <f>безскидки[[#This Row],[РАЗМЕР]]*0.75</f>
        <v>0.11249999999999999</v>
      </c>
    </row>
    <row r="31" spans="1:6">
      <c r="A31" s="18" t="s">
        <v>35</v>
      </c>
      <c r="B31" s="9">
        <v>1890</v>
      </c>
      <c r="C31" s="23">
        <v>0.3</v>
      </c>
      <c r="D31" s="25">
        <f>безскидки[[#This Row],[РАЗМЕР]]*0.75</f>
        <v>0.22499999999999998</v>
      </c>
    </row>
    <row r="32" spans="1:6">
      <c r="A32" s="18" t="s">
        <v>36</v>
      </c>
      <c r="B32" s="9">
        <v>2130</v>
      </c>
      <c r="C32" s="23">
        <v>0.4</v>
      </c>
      <c r="D32" s="25">
        <f>безскидки[[#This Row],[РАЗМЕР]]*0.75</f>
        <v>0.30000000000000004</v>
      </c>
    </row>
    <row r="33" spans="1:4">
      <c r="A33" s="18" t="s">
        <v>37</v>
      </c>
      <c r="B33" s="9">
        <v>2270</v>
      </c>
      <c r="C33" s="23">
        <v>0.45</v>
      </c>
      <c r="D33" s="25">
        <f>безскидки[[#This Row],[РАЗМЕР]]*0.75</f>
        <v>0.33750000000000002</v>
      </c>
    </row>
    <row r="34" spans="1:4">
      <c r="A34" s="18" t="s">
        <v>38</v>
      </c>
      <c r="B34" s="9">
        <v>2370</v>
      </c>
      <c r="C34" s="23">
        <v>0.5</v>
      </c>
      <c r="D34" s="25">
        <f>безскидки[[#This Row],[РАЗМЕР]]*0.75</f>
        <v>0.375</v>
      </c>
    </row>
    <row r="35" spans="1:4">
      <c r="A35" s="18" t="s">
        <v>39</v>
      </c>
      <c r="B35" s="9">
        <v>2570</v>
      </c>
      <c r="C35" s="23">
        <v>0.6</v>
      </c>
      <c r="D35" s="25">
        <f>безскидки[[#This Row],[РАЗМЕР]]*0.75</f>
        <v>0.44999999999999996</v>
      </c>
    </row>
    <row r="36" spans="1:4">
      <c r="A36" s="18" t="s">
        <v>40</v>
      </c>
      <c r="B36" s="9">
        <v>2680</v>
      </c>
      <c r="C36" s="23">
        <v>0.6</v>
      </c>
      <c r="D36" s="25">
        <f>безскидки[[#This Row],[РАЗМЕР]]*0.75</f>
        <v>0.44999999999999996</v>
      </c>
    </row>
    <row r="37" spans="1:4">
      <c r="A37" s="18" t="s">
        <v>41</v>
      </c>
      <c r="B37" s="9">
        <v>3030</v>
      </c>
      <c r="C37" s="23">
        <v>0.8</v>
      </c>
      <c r="D37" s="25">
        <f>безскидки[[#This Row],[РАЗМЕР]]*0.75</f>
        <v>0.60000000000000009</v>
      </c>
    </row>
    <row r="38" spans="1:4">
      <c r="A38" s="18" t="s">
        <v>42</v>
      </c>
      <c r="B38" s="9">
        <v>3300</v>
      </c>
      <c r="C38" s="23">
        <v>0.9</v>
      </c>
      <c r="D38" s="25">
        <f>безскидки[[#This Row],[РАЗМЕР]]*0.75</f>
        <v>0.67500000000000004</v>
      </c>
    </row>
    <row r="39" spans="1:4">
      <c r="A39" s="18" t="s">
        <v>43</v>
      </c>
      <c r="B39" s="9">
        <v>3600</v>
      </c>
      <c r="C39" s="23">
        <v>1</v>
      </c>
      <c r="D39" s="25">
        <f>безскидки[[#This Row],[РАЗМЕР]]*0.75</f>
        <v>0.75</v>
      </c>
    </row>
    <row r="40" spans="1:4">
      <c r="A40" s="18" t="s">
        <v>44</v>
      </c>
      <c r="B40" s="9">
        <v>3750</v>
      </c>
      <c r="C40" s="23">
        <v>0.45</v>
      </c>
      <c r="D40" s="25">
        <f>безскидки[[#This Row],[РАЗМЕР]]*0.75</f>
        <v>0.33750000000000002</v>
      </c>
    </row>
    <row r="41" spans="1:4">
      <c r="A41" s="18" t="s">
        <v>45</v>
      </c>
      <c r="B41" s="9">
        <v>2370</v>
      </c>
      <c r="C41" s="23">
        <v>0.8</v>
      </c>
      <c r="D41" s="25">
        <f>безскидки[[#This Row],[РАЗМЕР]]*0.75</f>
        <v>0.60000000000000009</v>
      </c>
    </row>
    <row r="42" spans="1:4">
      <c r="A42" s="18" t="s">
        <v>46</v>
      </c>
      <c r="B42" s="9">
        <v>2380</v>
      </c>
      <c r="C42" s="23">
        <v>0.85</v>
      </c>
      <c r="D42" s="25">
        <f>безскидки[[#This Row],[РАЗМЕР]]*0.75</f>
        <v>0.63749999999999996</v>
      </c>
    </row>
    <row r="43" spans="1:4">
      <c r="A43" s="18" t="s">
        <v>47</v>
      </c>
      <c r="B43" s="9">
        <v>2475</v>
      </c>
      <c r="C43" s="23">
        <v>0.9</v>
      </c>
      <c r="D43" s="25">
        <f>безскидки[[#This Row],[РАЗМЕР]]*0.75</f>
        <v>0.67500000000000004</v>
      </c>
    </row>
    <row r="44" spans="1:4">
      <c r="A44" s="18" t="s">
        <v>48</v>
      </c>
      <c r="B44" s="9">
        <v>2520</v>
      </c>
      <c r="C44" s="23">
        <v>0.95</v>
      </c>
      <c r="D44" s="25">
        <f>безскидки[[#This Row],[РАЗМЕР]]*0.75</f>
        <v>0.71249999999999991</v>
      </c>
    </row>
    <row r="45" spans="1:4">
      <c r="A45" s="18" t="s">
        <v>49</v>
      </c>
      <c r="B45" s="9">
        <v>2570</v>
      </c>
      <c r="C45" s="23">
        <v>1</v>
      </c>
      <c r="D45" s="25">
        <f>безскидки[[#This Row],[РАЗМЕР]]*0.75</f>
        <v>0.75</v>
      </c>
    </row>
    <row r="46" spans="1:4">
      <c r="A46" s="18" t="s">
        <v>50</v>
      </c>
      <c r="B46" s="9">
        <v>2640</v>
      </c>
      <c r="C46" s="23">
        <v>1.05</v>
      </c>
      <c r="D46" s="25">
        <f>безскидки[[#This Row],[РАЗМЕР]]*0.75</f>
        <v>0.78750000000000009</v>
      </c>
    </row>
    <row r="47" spans="1:4">
      <c r="A47" s="18" t="s">
        <v>51</v>
      </c>
      <c r="B47" s="9">
        <v>2680</v>
      </c>
      <c r="C47" s="23">
        <v>1.1000000000000001</v>
      </c>
      <c r="D47" s="25">
        <f>безскидки[[#This Row],[РАЗМЕР]]*0.75</f>
        <v>0.82500000000000007</v>
      </c>
    </row>
    <row r="48" spans="1:4">
      <c r="A48" s="18" t="s">
        <v>52</v>
      </c>
      <c r="B48" s="9">
        <v>2780</v>
      </c>
      <c r="C48" s="4">
        <v>1.1499999999999999</v>
      </c>
      <c r="D48" s="25">
        <f>безскидки[[#This Row],[РАЗМЕР]]*0.75</f>
        <v>0.86249999999999993</v>
      </c>
    </row>
    <row r="49" spans="1:6">
      <c r="A49" s="18" t="s">
        <v>53</v>
      </c>
      <c r="B49" s="9">
        <v>2940</v>
      </c>
      <c r="C49" s="23">
        <v>1.2</v>
      </c>
      <c r="D49" s="25">
        <f>безскидки[[#This Row],[РАЗМЕР]]*0.75</f>
        <v>0.89999999999999991</v>
      </c>
    </row>
    <row r="50" spans="1:6">
      <c r="A50" s="18" t="s">
        <v>54</v>
      </c>
      <c r="B50" s="9">
        <v>2270</v>
      </c>
      <c r="C50" s="24">
        <v>0.4</v>
      </c>
      <c r="D50" s="26">
        <f>безскидки[[#This Row],[РАЗМЕР]]*0.75</f>
        <v>0.30000000000000004</v>
      </c>
      <c r="E50" s="9"/>
    </row>
    <row r="51" spans="1:6">
      <c r="A51" s="18" t="s">
        <v>55</v>
      </c>
      <c r="B51" s="10">
        <v>1830</v>
      </c>
      <c r="C51" s="4">
        <v>0</v>
      </c>
      <c r="D51" s="25">
        <f>безскидки[[#This Row],[РАЗМЕР]]*0.75</f>
        <v>0</v>
      </c>
    </row>
    <row r="52" spans="1:6">
      <c r="A52" s="18" t="s">
        <v>56</v>
      </c>
      <c r="B52" s="10">
        <v>2640</v>
      </c>
      <c r="C52" s="4">
        <v>0.15</v>
      </c>
      <c r="D52" s="25">
        <f>безскидки[[#This Row],[РАЗМЕР]]*0.6</f>
        <v>0.09</v>
      </c>
    </row>
    <row r="54" spans="1:6">
      <c r="A54" s="3" t="s">
        <v>65</v>
      </c>
      <c r="B54" s="60" t="s">
        <v>10</v>
      </c>
      <c r="C54" s="61" t="s">
        <v>11</v>
      </c>
      <c r="F54" s="3"/>
    </row>
    <row r="55" spans="1:6">
      <c r="A55" s="62" t="s">
        <v>62</v>
      </c>
      <c r="B55" s="63">
        <v>5660</v>
      </c>
      <c r="C55" s="64">
        <v>5660</v>
      </c>
      <c r="F55" s="3"/>
    </row>
    <row r="56" spans="1:6">
      <c r="A56" s="65" t="s">
        <v>64</v>
      </c>
      <c r="B56" s="66">
        <v>5660</v>
      </c>
      <c r="C56" s="67">
        <v>5660</v>
      </c>
      <c r="F56" s="3"/>
    </row>
    <row r="57" spans="1:6">
      <c r="A57" s="62" t="s">
        <v>78</v>
      </c>
      <c r="B57" s="63">
        <v>6970</v>
      </c>
      <c r="C57" s="64">
        <v>7490</v>
      </c>
      <c r="F57" s="3"/>
    </row>
    <row r="58" spans="1:6">
      <c r="A58" s="65" t="s">
        <v>63</v>
      </c>
      <c r="B58" s="66">
        <v>7350</v>
      </c>
      <c r="C58" s="67">
        <v>7880</v>
      </c>
      <c r="F58" s="3"/>
    </row>
    <row r="59" spans="1:6">
      <c r="A59" s="62"/>
      <c r="B59" s="63"/>
      <c r="C59" s="64"/>
      <c r="F59" s="3"/>
    </row>
    <row r="60" spans="1:6">
      <c r="F60" s="3"/>
    </row>
  </sheetData>
  <dataConsolidate/>
  <dataValidations count="4">
    <dataValidation type="custom" allowBlank="1" showInputMessage="1" showErrorMessage="1" sqref="A5">
      <formula1>MATCH(#REF!,$B:$B,0)=ROW(#REF!)</formula1>
    </dataValidation>
    <dataValidation type="custom" allowBlank="1" showInputMessage="1" showErrorMessage="1" sqref="A9">
      <formula1>MATCH(#REF!,$B:$B,0)=ROW(#REF!)</formula1>
    </dataValidation>
    <dataValidation type="custom" allowBlank="1" showInputMessage="1" showErrorMessage="1" sqref="A10:A12">
      <formula1>MATCH(#REF!,$B:$B,0)=ROW(#REF!)</formula1>
    </dataValidation>
    <dataValidation type="custom" allowBlank="1" showInputMessage="1" showErrorMessage="1" sqref="A13:A17">
      <formula1>MATCH(#REF!,$B:$B,0)=ROW(#REF!)</formula1>
    </dataValidation>
  </dataValidations>
  <pageMargins left="0.7" right="0.7" top="0.75" bottom="0.75" header="0.3" footer="0.3"/>
  <pageSetup paperSize="9" orientation="portrait" r:id="rId1"/>
  <ignoredErrors>
    <ignoredError sqref="A10:A17 A5" listDataValidation="1"/>
    <ignoredError sqref="C26:C28 C3:C7" calculatedColumn="1"/>
  </ignoredErrors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Полка_над_в_0</vt:lpstr>
      <vt:lpstr>Полки</vt:lpstr>
      <vt:lpstr>ФАСАД</vt:lpstr>
      <vt:lpstr>Ящик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2016-01-23T11:27:35Z</cp:lastPrinted>
  <dcterms:created xsi:type="dcterms:W3CDTF">2014-07-15T12:41:21Z</dcterms:created>
  <dcterms:modified xsi:type="dcterms:W3CDTF">2016-02-02T14:00:56Z</dcterms:modified>
</cp:coreProperties>
</file>