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320" windowHeight="11760" activeTab="0"/>
  </bookViews>
  <sheets>
    <sheet name="Лист1" sheetId="1" r:id="rId1"/>
    <sheet name="План" sheetId="2" state="hidden" r:id="rId2"/>
    <sheet name="Остаточная тр-ть" sheetId="3" state="hidden" r:id="rId3"/>
    <sheet name="План слачи на СГП" sheetId="4" state="hidden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<sst xmlns="http://schemas.openxmlformats.org/spreadsheetml/2006/main" count="44" uniqueCount="29">
  <si>
    <t>Мощность</t>
  </si>
  <si>
    <t>Сепаратор</t>
  </si>
  <si>
    <t>Анализатор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</si>
  <si>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</si>
  <si>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</si>
  <si>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</si>
  <si>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</si>
  <si>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</si>
  <si>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</si>
  <si>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</si>
  <si>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</si>
  <si>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</si>
  <si>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</si>
  <si>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</si>
  <si>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</si>
  <si>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</t>
  </si>
  <si>
    <t>Наименование</t>
  </si>
  <si>
    <t>Спектрометр</t>
  </si>
  <si>
    <t>Анализатор2</t>
  </si>
  <si>
    <t>Спектрометр2</t>
  </si>
  <si>
    <t>Сепаратор2</t>
  </si>
  <si>
    <t>Сепаратор3</t>
  </si>
  <si>
    <t>Набор</t>
  </si>
  <si>
    <t>Дефицит</t>
  </si>
  <si>
    <t>Январь (след год)</t>
  </si>
  <si>
    <t>начало</t>
  </si>
  <si>
    <t>конец</t>
  </si>
  <si>
    <t>Календарь (кол-во дней):</t>
  </si>
  <si>
    <t>Разница между датами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</si>
</sst>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14" fontId="1" fillId="24" borderId="10" xfId="0" applyNumberFormat="1" applyFont="1" applyFill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7" fontId="1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0" fillId="2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6:AB35"/>
  <sheetViews>
    <sheetView tabSelected="1" zoomScalePageLayoutView="0" workbookViewId="0" topLeftCell="A4">
      <selection activeCell="C13" sqref="C13"/>
    </sheetView>
  </sheetViews>
  <sheetFormatPr defaultColWidth="9.140625" defaultRowHeight="15"/>
  <cols>
    <col min="1" max="1" width="3.140625" style="0" bestFit="1" customWidth="1"/>
    <col min="2" max="2" width="14.8515625" style="0" bestFit="1" customWidth="1"/>
    <col min="3" max="3" width="11.7109375" style="0" customWidth="1"/>
    <col min="4" max="4" width="12.57421875" style="0" customWidth="1"/>
    <col min="5" max="5" width="11.00390625" style="0" customWidth="1"/>
    <col min="7" max="7" width="10.140625" style="0" bestFit="1" customWidth="1"/>
  </cols>
  <sheetData>
    <row r="6" ht="15">
      <c r="H6" s="7"/>
    </row>
    <row r="8" spans="7:19" ht="15" hidden="1">
      <c r="G8">
        <f>IF(SUM(G22)&gt;$E$13,$E$13,G22)</f>
        <v>29</v>
      </c>
      <c r="H8">
        <f>IF(SUM($G$8:G8)&lt;$E$13,IF(SUM($G$22:H22)&gt;$E$13,SUM($E$13-SUM($G$22:G22)),H22),0)</f>
        <v>31</v>
      </c>
      <c r="I8">
        <f>IF(SUM($G$8:H8)&lt;$E$13,IF(SUM($G$22:I22)&gt;$E$13,SUM($E$13-SUM($G$22:H22)),I22),0)</f>
        <v>30</v>
      </c>
      <c r="J8">
        <f>IF(SUM($G$8:I8)&lt;$E$13,IF(SUM($G$22:J22)&gt;$E$13,SUM($E$13-SUM($G$22:I22)),J22),0)</f>
        <v>7</v>
      </c>
      <c r="K8">
        <f>IF(SUM($G$8:J8)&lt;$E$13,IF(SUM($G$22:K22)&gt;$E$13,SUM($E$13-SUM($G$22:J22)),K22),0)</f>
        <v>0</v>
      </c>
      <c r="L8">
        <f>IF(SUM($G$8:K8)&lt;$E$13,IF(SUM($G$22:L22)&gt;$E$13,SUM($E$13-SUM($G$22:K22)),L22),0)</f>
        <v>0</v>
      </c>
      <c r="M8">
        <f>IF(SUM($G$8:L8)&lt;$E$13,IF(SUM($G$22:M22)&gt;$E$13,SUM($E$13-SUM($G$22:L22)),M22),0)</f>
        <v>0</v>
      </c>
      <c r="N8">
        <f>IF(SUM($G$8:M8)&lt;$E$13,IF(SUM($G$22:N22)&gt;$E$13,SUM($E$13-SUM($G$22:M22)),N22),0)</f>
        <v>0</v>
      </c>
      <c r="O8">
        <f>IF(SUM($G$8:N8)&lt;$E$13,IF(SUM($G$22:O22)&gt;$E$13,SUM($E$13-SUM($G$22:N22)),O22),0)</f>
        <v>0</v>
      </c>
      <c r="P8">
        <f>IF(SUM($G$8:O8)&lt;$E$13,IF(SUM($G$22:P22)&gt;$E$13,SUM($E$13-SUM($G$22:O22)),P22),0)</f>
        <v>0</v>
      </c>
      <c r="Q8">
        <f>IF(SUM($G$8:P8)&lt;$E$13,IF(SUM($G$22:Q22)&gt;$E$13,SUM($E$13-SUM($G$22:P22)),Q22),0)</f>
        <v>0</v>
      </c>
      <c r="R8">
        <f>IF(SUM($G$8:Q8)&lt;$E$13,IF(SUM($G$22:R22)&gt;$E$13,SUM($E$13-SUM($G$22:Q22)),R22),0)</f>
        <v>0</v>
      </c>
      <c r="S8" t="b">
        <f>SUM(G8:Q8)=E13</f>
        <v>1</v>
      </c>
    </row>
    <row r="9" ht="15">
      <c r="C9" s="1"/>
    </row>
    <row r="11" spans="1:18" ht="48" customHeight="1">
      <c r="A11" s="15" t="s">
        <v>15</v>
      </c>
      <c r="B11" s="15" t="s">
        <v>16</v>
      </c>
      <c r="C11" s="16" t="s">
        <v>26</v>
      </c>
      <c r="D11" s="17" t="s">
        <v>25</v>
      </c>
      <c r="E11" s="17" t="s">
        <v>28</v>
      </c>
      <c r="F11" s="18" t="s">
        <v>3</v>
      </c>
      <c r="G11" s="18" t="s">
        <v>4</v>
      </c>
      <c r="H11" s="18" t="s">
        <v>5</v>
      </c>
      <c r="I11" s="18" t="s">
        <v>6</v>
      </c>
      <c r="J11" s="18" t="s">
        <v>7</v>
      </c>
      <c r="K11" s="18" t="s">
        <v>8</v>
      </c>
      <c r="L11" s="18" t="s">
        <v>9</v>
      </c>
      <c r="M11" s="18" t="s">
        <v>10</v>
      </c>
      <c r="N11" s="18" t="s">
        <v>11</v>
      </c>
      <c r="O11" s="18" t="s">
        <v>12</v>
      </c>
      <c r="P11" s="18" t="s">
        <v>13</v>
      </c>
      <c r="Q11" s="18" t="s">
        <v>14</v>
      </c>
      <c r="R11" s="19" t="s">
        <v>24</v>
      </c>
    </row>
    <row r="12" spans="1:19" ht="15" hidden="1">
      <c r="A12" s="2">
        <v>1</v>
      </c>
      <c r="B12" s="2" t="str">
        <f>VLOOKUP(A12,'План слачи на СГП'!A:B,2,0)</f>
        <v>Анализатор</v>
      </c>
      <c r="C12" s="8">
        <v>42510</v>
      </c>
      <c r="D12" s="8">
        <v>42401</v>
      </c>
      <c r="E12" s="9">
        <f aca="true" t="shared" si="0" ref="E12:E18">C12-D12</f>
        <v>109</v>
      </c>
      <c r="F12" s="2" t="e">
        <f>_xlfn.IFERROR(IF(F11=План!B1,IF(VLOOKUP(B12,План!A:B,2,0)&gt;0,VLOOKUP(B12,План!A:B,2,0),""),""),"")</f>
        <v>#NAME?</v>
      </c>
      <c r="G12" s="2" t="e">
        <f>IF(_xlfn.IFERROR(IF(MONTH($D$12)=2,SUM(VLOOKUP($B$12,'Остаточная тр-ть'!$A:$B,2,0)-VLOOKUP($B$12,План!$A:$B,2,0))/$E$12*IF(SUM($F$22:G22)&gt;E12,E12-F22,SUM(F22:G22)+SUM(F12)),""),"")&gt;VLOOKUP($B$12,'Остаточная тр-ть'!$A:$B,2,0),"",_xlfn.IFERROR(IF(MONTH($D$12)=2,SUM(VLOOKUP($B$12,'Остаточная тр-ть'!$A:$B,2,0)-VLOOKUP($B$12,План!$A:$B,2,0))/$E$12*SUM(G22),""),""))</f>
        <v>#NAME?</v>
      </c>
      <c r="H12" s="2" t="e">
        <f>IF(_xlfn.IFERROR(IF(MONTH($D$12)=2,SUM(VLOOKUP($B$12,'Остаточная тр-ть'!$A:$B,2,0)-VLOOKUP($B$12,План!$A:$B,2,0))/$E$12*IF(SUM($G$22:H22)&gt;F12,F12-G22,SUM(G22:H22)+SUM(G12)),""),"")&gt;VLOOKUP($B$12,'Остаточная тр-ть'!$A:$B,2,0),"",_xlfn.IFERROR(IF(MONTH($D$12)=2,SUM(VLOOKUP($B$12,'Остаточная тр-ть'!$A:$B,2,0)-VLOOKUP($B$12,План!$A:$B,2,0))/$E$12*SUM(H22),""),""))</f>
        <v>#NAME?</v>
      </c>
      <c r="I12" s="2" t="e">
        <f>IF(_xlfn.IFERROR(IF(MONTH($D$12)=2,SUM(VLOOKUP($B$12,'Остаточная тр-ть'!$A:$B,2,0)-VLOOKUP($B$12,План!$A:$B,2,0))/$E$12*IF(SUM($F$22:I22)&gt;G12,G12-H22,SUM(H22:I22)+SUM(H12)),""),"")&gt;VLOOKUP($B$12,'Остаточная тр-ть'!$A:$B,2,0),"",_xlfn.IFERROR(IF(MONTH($D$12)=2,SUM(VLOOKUP($B$12,'Остаточная тр-ть'!$A:$B,2,0)-VLOOKUP($B$12,План!$A:$B,2,0))/$E$12*SUM(I22),""),""))</f>
        <v>#NAME?</v>
      </c>
      <c r="J12" s="2" t="e">
        <f>IF(_xlfn.IFERROR(IF(MONTH($D$12)=2,SUM(VLOOKUP($B$12,'Остаточная тр-ть'!$A:$B,2,0)-VLOOKUP($B$12,План!$A:$B,2,0))/$E$12*IF(SUM($F$22:J22)&gt;H12,H12-I22,SUM(I22:J22)+SUM(I12)),""),"")&gt;VLOOKUP($B$12,'Остаточная тр-ть'!$A:$B,2,0),"",_xlfn.IFERROR(IF(MONTH($D$12)=2,SUM(VLOOKUP($B$12,'Остаточная тр-ть'!$A:$B,2,0)-VLOOKUP($B$12,План!$A:$B,2,0))/$E$12*SUM(J22),""),""))</f>
        <v>#NAME?</v>
      </c>
      <c r="K12" s="2" t="e">
        <f>IF(_xlfn.IFERROR(IF(MONTH($D$12)=2,SUM(VLOOKUP($B$12,'Остаточная тр-ть'!$A:$B,2,0)-VLOOKUP($B$12,План!$A:$B,2,0))/$E$12*IF(SUM($F$22:K22)&gt;I12,I12-J22,SUM(J22:K22)+SUM(J12)),""),"")&gt;VLOOKUP($B$12,'Остаточная тр-ть'!$A:$B,2,0),"",_xlfn.IFERROR(IF(MONTH($D$12)=2,SUM(VLOOKUP($B$12,'Остаточная тр-ть'!$A:$B,2,0)-VLOOKUP($B$12,План!$A:$B,2,0))/$E$12*SUM(K22),""),""))</f>
        <v>#NAME?</v>
      </c>
      <c r="L12" s="2" t="e">
        <f>IF(_xlfn.IFERROR(IF(MONTH($D$12)=2,SUM(VLOOKUP($B$12,'Остаточная тр-ть'!$A:$B,2,0)-VLOOKUP($B$12,План!$A:$B,2,0))/$E$12*IF(SUM($F$22:L22)&gt;J12,J12-K22,SUM(K22:L22)+SUM(K12)),""),"")&gt;VLOOKUP($B$12,'Остаточная тр-ть'!$A:$B,2,0),"",_xlfn.IFERROR(IF(MONTH($D$12)=2,SUM(VLOOKUP($B$12,'Остаточная тр-ть'!$A:$B,2,0)-VLOOKUP($B$12,План!$A:$B,2,0))/$E$12*SUM(L22),""),""))</f>
        <v>#NAME?</v>
      </c>
      <c r="M12" s="2" t="e">
        <f>IF(_xlfn.IFERROR(IF(MONTH($D$12)=2,SUM(VLOOKUP($B$12,'Остаточная тр-ть'!$A:$B,2,0)-VLOOKUP($B$12,План!$A:$B,2,0))/$E$12*IF(SUM($F$22:M22)&gt;K12,K12-L22,SUM(L22:M22)+SUM(L12)),""),"")&gt;VLOOKUP($B$12,'Остаточная тр-ть'!$A:$B,2,0),"",_xlfn.IFERROR(IF(MONTH($D$12)=2,SUM(VLOOKUP($B$12,'Остаточная тр-ть'!$A:$B,2,0)-VLOOKUP($B$12,План!$A:$B,2,0))/$E$12*SUM(M22),""),""))</f>
        <v>#NAME?</v>
      </c>
      <c r="N12" s="2" t="e">
        <f>IF(_xlfn.IFERROR(IF(MONTH($D$12)=2,SUM(VLOOKUP($B$12,'Остаточная тр-ть'!$A:$B,2,0)-VLOOKUP($B$12,План!$A:$B,2,0))/$E$12*IF(SUM($F$22:N22)&gt;L12,L12-M22,SUM(M22:N22)+SUM(M12)),""),"")&gt;VLOOKUP($B$12,'Остаточная тр-ть'!$A:$B,2,0),"",_xlfn.IFERROR(IF(MONTH($D$12)=2,SUM(VLOOKUP($B$12,'Остаточная тр-ть'!$A:$B,2,0)-VLOOKUP($B$12,План!$A:$B,2,0))/$E$12*SUM(N22),""),""))</f>
        <v>#NAME?</v>
      </c>
      <c r="O12" s="2" t="e">
        <f>IF(_xlfn.IFERROR(IF(MONTH($D$12)=2,SUM(VLOOKUP($B$12,'Остаточная тр-ть'!$A:$B,2,0)-VLOOKUP($B$12,План!$A:$B,2,0))/$E$12*IF(SUM($F$22:O22)&gt;M12,M12-N22,SUM(N22:O22)+SUM(N12)),""),"")&gt;VLOOKUP($B$12,'Остаточная тр-ть'!$A:$B,2,0),"",_xlfn.IFERROR(IF(MONTH($D$12)=2,SUM(VLOOKUP($B$12,'Остаточная тр-ть'!$A:$B,2,0)-VLOOKUP($B$12,План!$A:$B,2,0))/$E$12*SUM(O22),""),""))</f>
        <v>#NAME?</v>
      </c>
      <c r="P12" s="2" t="e">
        <f>IF(_xlfn.IFERROR(IF(MONTH($D$12)=2,SUM(VLOOKUP($B$12,'Остаточная тр-ть'!$A:$B,2,0)-VLOOKUP($B$12,План!$A:$B,2,0))/$E$12*IF(SUM($F$22:P22)&gt;N12,N12-O22,SUM(O22:P22)+SUM(O12)),""),"")&gt;VLOOKUP($B$12,'Остаточная тр-ть'!$A:$B,2,0),"",_xlfn.IFERROR(IF(MONTH($D$12)=2,SUM(VLOOKUP($B$12,'Остаточная тр-ть'!$A:$B,2,0)-VLOOKUP($B$12,План!$A:$B,2,0))/$E$12*SUM(P22),""),""))</f>
        <v>#NAME?</v>
      </c>
      <c r="Q12" s="2" t="e">
        <f>IF(_xlfn.IFERROR(IF(MONTH($D$12)=2,SUM(VLOOKUP($B$12,'Остаточная тр-ть'!$A:$B,2,0)-VLOOKUP($B$12,План!$A:$B,2,0))/$E$12*IF(SUM($F$22:Q22)&gt;O12,O12-P22,SUM(P22:Q22)+SUM(P12)),""),"")&gt;VLOOKUP($B$12,'Остаточная тр-ть'!$A:$B,2,0),"",_xlfn.IFERROR(IF(MONTH($D$12)=2,SUM(VLOOKUP($B$12,'Остаточная тр-ть'!$A:$B,2,0)-VLOOKUP($B$12,План!$A:$B,2,0))/$E$12*SUM(Q22),""),""))</f>
        <v>#NAME?</v>
      </c>
      <c r="R12" s="2"/>
      <c r="S12" t="e">
        <f>SUM(F12:R12)</f>
        <v>#NAME?</v>
      </c>
    </row>
    <row r="13" spans="1:19" ht="15">
      <c r="A13" s="11">
        <v>2</v>
      </c>
      <c r="B13" s="11" t="str">
        <f>VLOOKUP(A13,'План слачи на СГП'!A:B,2,0)</f>
        <v>Сепаратор</v>
      </c>
      <c r="C13" s="13">
        <v>42526</v>
      </c>
      <c r="D13" s="13">
        <v>42430</v>
      </c>
      <c r="E13" s="14">
        <f>C13-D13+1</f>
        <v>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>
        <f aca="true" t="shared" si="1" ref="S13:S19">SUM(F13:R13)</f>
        <v>0</v>
      </c>
    </row>
    <row r="14" spans="1:19" ht="15" hidden="1">
      <c r="A14" s="2">
        <v>3</v>
      </c>
      <c r="B14" s="2" t="str">
        <f>VLOOKUP(A14,'План слачи на СГП'!A:B,2,0)</f>
        <v>Спектрометр</v>
      </c>
      <c r="C14" s="3">
        <v>42488</v>
      </c>
      <c r="D14" s="3">
        <v>42401</v>
      </c>
      <c r="E14" s="4">
        <f t="shared" si="0"/>
        <v>87</v>
      </c>
      <c r="F14" s="2" t="e">
        <f>_xlfn.IFERROR(IF(F13=План!B3,IF(VLOOKUP(B14,План!A:B,2,0)&gt;0,VLOOKUP(B14,План!A:B,2,0),""),""),"")</f>
        <v>#NAME?</v>
      </c>
      <c r="G14" s="2" t="e">
        <f>_xlfn.IFERROR(IF(MONTH(C14)&amp;YEAR(C14)="22016",SUM(VLOOKUP(B14,'Остаточная тр-ть'!A:B,2,0)-VLOOKUP(B14,План!A:B,2,0)),""),"")</f>
        <v>#NAME?</v>
      </c>
      <c r="H14" s="2" t="e">
        <f>_xlfn.IFERROR(IF(MONTH(C14)&amp;YEAR(C14)="32016",SUM(VLOOKUP(B14,'Остаточная тр-ть'!A:B,2,0)-VLOOKUP(B14,План!A:B,2,0)),""),"")</f>
        <v>#NAME?</v>
      </c>
      <c r="I14" s="2" t="e">
        <f>_xlfn.IFERROR(IF(MONTH(C14)&amp;YEAR(C14)="42016",SUM(VLOOKUP(B14,'Остаточная тр-ть'!A:B,2,0)-VLOOKUP(B14,План!A:B,2,0)),""),"")</f>
        <v>#NAME?</v>
      </c>
      <c r="J14" s="2" t="e">
        <f>_xlfn.IFERROR(IF(MONTH(C14)&amp;YEAR(C14)="52016",SUM(VLOOKUP(B14,'Остаточная тр-ть'!A:B,2,0)-VLOOKUP(B14,План!A:B,2,0)),""),"")</f>
        <v>#NAME?</v>
      </c>
      <c r="K14" s="2" t="e">
        <f>_xlfn.IFERROR(IF(MONTH(C14)&amp;YEAR(C14)="62016",SUM(VLOOKUP(B14,'Остаточная тр-ть'!A:B,2,0)-VLOOKUP(B14,План!A:B,2,0)),""),"")</f>
        <v>#NAME?</v>
      </c>
      <c r="L14" s="2" t="e">
        <f>_xlfn.IFERROR(IF(MONTH(C14)&amp;YEAR(C14)="72016",SUM(VLOOKUP(B14,'Остаточная тр-ть'!A:B,2,0)-VLOOKUP(B14,План!A:B,2,0)),""),"")</f>
        <v>#NAME?</v>
      </c>
      <c r="M14" s="2" t="e">
        <f>_xlfn.IFERROR(IF(MONTH(C14)&amp;YEAR(C14)="82016",SUM(VLOOKUP(B14,'Остаточная тр-ть'!A:B,2,0)-VLOOKUP(B14,План!A:B,2,0)),""),"")</f>
        <v>#NAME?</v>
      </c>
      <c r="N14" s="2" t="e">
        <f>_xlfn.IFERROR(IF(MONTH(C14)&amp;YEAR(C14)="92016",SUM(VLOOKUP(B14,'Остаточная тр-ть'!A:B,2,0)-VLOOKUP(B14,План!A:B,2,0)),""),"")</f>
        <v>#NAME?</v>
      </c>
      <c r="O14" s="2" t="e">
        <f>_xlfn.IFERROR(IF(MONTH(C14)&amp;YEAR(C14)="102016",SUM(VLOOKUP(B14,'Остаточная тр-ть'!A:B,2,0)-VLOOKUP(B14,План!A:B,2,0)),""),"")</f>
        <v>#NAME?</v>
      </c>
      <c r="P14" s="2" t="e">
        <f>_xlfn.IFERROR(IF(MONTH(C14)&amp;YEAR(C14)="112016",SUM(VLOOKUP(B14,'Остаточная тр-ть'!A:B,2,0)-VLOOKUP(B14,План!A:B,2,0)),""),"")</f>
        <v>#NAME?</v>
      </c>
      <c r="Q14" s="2" t="e">
        <f>_xlfn.IFERROR(IF(MONTH(C14)&amp;YEAR(C14)="122016",SUM(VLOOKUP(B14,'Остаточная тр-ть'!A:B,2,0)-VLOOKUP(B14,План!A:B,2,0)),""),"")</f>
        <v>#NAME?</v>
      </c>
      <c r="R14" s="2" t="e">
        <f>_xlfn.IFERROR(IF(MONTH(C14)&amp;YEAR(C14)="12017",SUM(VLOOKUP(B14,'Остаточная тр-ть'!A:B,2,0)-VLOOKUP(B14,План!A:B,2,0)),""),"")</f>
        <v>#NAME?</v>
      </c>
      <c r="S14" t="e">
        <f t="shared" si="1"/>
        <v>#NAME?</v>
      </c>
    </row>
    <row r="15" spans="1:19" ht="15" hidden="1">
      <c r="A15" s="2">
        <v>4</v>
      </c>
      <c r="B15" s="2" t="str">
        <f>VLOOKUP(A15,'План слачи на СГП'!A:B,2,0)</f>
        <v>Анализатор2</v>
      </c>
      <c r="C15" s="3">
        <v>42518</v>
      </c>
      <c r="D15" s="3">
        <v>42401</v>
      </c>
      <c r="E15" s="4">
        <f t="shared" si="0"/>
        <v>117</v>
      </c>
      <c r="F15" s="2" t="e">
        <f>_xlfn.IFERROR(IF(F14=План!B4,IF(VLOOKUP(B15,План!A:B,2,0)&gt;0,VLOOKUP(B15,План!A:B,2,0),""),""),"")</f>
        <v>#NAME?</v>
      </c>
      <c r="G15" s="2" t="e">
        <f>_xlfn.IFERROR(IF(MONTH(C15)&amp;YEAR(C15)="22016",SUM(VLOOKUP(B15,'Остаточная тр-ть'!A:B,2,0)-VLOOKUP(B15,План!A:B,2,0)),""),"")</f>
        <v>#NAME?</v>
      </c>
      <c r="H15" s="2" t="e">
        <f>_xlfn.IFERROR(IF(MONTH(C15)&amp;YEAR(C15)="32016",SUM(VLOOKUP(B15,'Остаточная тр-ть'!A:B,2,0)-VLOOKUP(B15,План!A:B,2,0)),""),"")</f>
        <v>#NAME?</v>
      </c>
      <c r="I15" s="2" t="e">
        <f>_xlfn.IFERROR(IF(MONTH(C15)&amp;YEAR(C15)="42016",SUM(VLOOKUP(B15,'Остаточная тр-ть'!A:B,2,0)-VLOOKUP(B15,План!A:B,2,0)),""),"")</f>
        <v>#NAME?</v>
      </c>
      <c r="J15" s="2" t="e">
        <f>_xlfn.IFERROR(IF(MONTH(C15)&amp;YEAR(C15)="52016",SUM(VLOOKUP(B15,'Остаточная тр-ть'!A:B,2,0)-VLOOKUP(B15,План!A:B,2,0)),""),"")</f>
        <v>#NAME?</v>
      </c>
      <c r="K15" s="2" t="e">
        <f>_xlfn.IFERROR(IF(MONTH(C15)&amp;YEAR(C15)="62016",SUM(VLOOKUP(B15,'Остаточная тр-ть'!A:B,2,0)-VLOOKUP(B15,План!A:B,2,0)),""),"")</f>
        <v>#NAME?</v>
      </c>
      <c r="L15" s="2" t="e">
        <f>_xlfn.IFERROR(IF(MONTH(C15)&amp;YEAR(C15)="72016",SUM(VLOOKUP(B15,'Остаточная тр-ть'!A:B,2,0)-VLOOKUP(B15,План!A:B,2,0)),""),"")</f>
        <v>#NAME?</v>
      </c>
      <c r="M15" s="2" t="e">
        <f>_xlfn.IFERROR(IF(MONTH(C15)&amp;YEAR(C15)="82016",SUM(VLOOKUP(B15,'Остаточная тр-ть'!A:B,2,0)-VLOOKUP(B15,План!A:B,2,0)),""),"")</f>
        <v>#NAME?</v>
      </c>
      <c r="N15" s="2" t="e">
        <f>_xlfn.IFERROR(IF(MONTH(C15)&amp;YEAR(C15)="92016",SUM(VLOOKUP(B15,'Остаточная тр-ть'!A:B,2,0)-VLOOKUP(B15,План!A:B,2,0)),""),"")</f>
        <v>#NAME?</v>
      </c>
      <c r="O15" s="2" t="e">
        <f>_xlfn.IFERROR(IF(MONTH(C15)&amp;YEAR(C15)="102016",SUM(VLOOKUP(B15,'Остаточная тр-ть'!A:B,2,0)-VLOOKUP(B15,План!A:B,2,0)),""),"")</f>
        <v>#NAME?</v>
      </c>
      <c r="P15" s="2" t="e">
        <f>_xlfn.IFERROR(IF(MONTH(C15)&amp;YEAR(C15)="112016",SUM(VLOOKUP(B15,'Остаточная тр-ть'!A:B,2,0)-VLOOKUP(B15,План!A:B,2,0)),""),"")</f>
        <v>#NAME?</v>
      </c>
      <c r="Q15" s="2" t="e">
        <f>_xlfn.IFERROR(IF(MONTH(C15)&amp;YEAR(C15)="122016",SUM(VLOOKUP(B15,'Остаточная тр-ть'!A:B,2,0)-VLOOKUP(B15,План!A:B,2,0)),""),"")</f>
        <v>#NAME?</v>
      </c>
      <c r="R15" s="2" t="e">
        <f>_xlfn.IFERROR(IF(MONTH(C15)&amp;YEAR(C15)="12017",SUM(VLOOKUP(B15,'Остаточная тр-ть'!A:B,2,0)-VLOOKUP(B15,План!A:B,2,0)),""),"")</f>
        <v>#NAME?</v>
      </c>
      <c r="S15" t="e">
        <f t="shared" si="1"/>
        <v>#NAME?</v>
      </c>
    </row>
    <row r="16" spans="1:19" ht="15" hidden="1">
      <c r="A16" s="2">
        <v>5</v>
      </c>
      <c r="B16" s="2" t="str">
        <f>VLOOKUP(A16,'План слачи на СГП'!A:B,2,0)</f>
        <v>Спектрометр2</v>
      </c>
      <c r="C16" s="3">
        <v>42457</v>
      </c>
      <c r="D16" s="3">
        <v>42401</v>
      </c>
      <c r="E16" s="4">
        <f t="shared" si="0"/>
        <v>56</v>
      </c>
      <c r="F16" s="2" t="e">
        <f>_xlfn.IFERROR(IF(F15=План!B5,IF(VLOOKUP(B16,План!A:B,2,0)&gt;0,VLOOKUP(B16,План!A:B,2,0),""),""),"")</f>
        <v>#NAME?</v>
      </c>
      <c r="G16" s="2" t="e">
        <f>_xlfn.IFERROR(IF(MONTH(C16)&amp;YEAR(C16)="22016",SUM(VLOOKUP(B16,'Остаточная тр-ть'!A:B,2,0)-VLOOKUP(B16,План!A:B,2,0)),""),"")</f>
        <v>#NAME?</v>
      </c>
      <c r="H16" s="2" t="e">
        <f>_xlfn.IFERROR(IF(MONTH(C16)&amp;YEAR(C16)="32016",SUM(VLOOKUP(B16,'Остаточная тр-ть'!A:B,2,0)-VLOOKUP(B16,План!A:B,2,0)),""),"")</f>
        <v>#NAME?</v>
      </c>
      <c r="I16" s="2" t="e">
        <f>_xlfn.IFERROR(IF(MONTH(C16)&amp;YEAR(C16)="42016",SUM(VLOOKUP(B16,'Остаточная тр-ть'!A:B,2,0)-VLOOKUP(B16,План!A:B,2,0)),""),"")</f>
        <v>#NAME?</v>
      </c>
      <c r="J16" s="2" t="e">
        <f>_xlfn.IFERROR(IF(MONTH(C16)&amp;YEAR(C16)="52016",SUM(VLOOKUP(B16,'Остаточная тр-ть'!A:B,2,0)-VLOOKUP(B16,План!A:B,2,0)),""),"")</f>
        <v>#NAME?</v>
      </c>
      <c r="K16" s="2" t="e">
        <f>_xlfn.IFERROR(IF(MONTH(C16)&amp;YEAR(C16)="62016",SUM(VLOOKUP(B16,'Остаточная тр-ть'!A:B,2,0)-VLOOKUP(B16,План!A:B,2,0)),""),"")</f>
        <v>#NAME?</v>
      </c>
      <c r="L16" s="2" t="e">
        <f>_xlfn.IFERROR(IF(MONTH(C16)&amp;YEAR(C16)="72016",SUM(VLOOKUP(B16,'Остаточная тр-ть'!A:B,2,0)-VLOOKUP(B16,План!A:B,2,0)),""),"")</f>
        <v>#NAME?</v>
      </c>
      <c r="M16" s="2" t="e">
        <f>_xlfn.IFERROR(IF(MONTH(C16)&amp;YEAR(C16)="82016",SUM(VLOOKUP(B16,'Остаточная тр-ть'!A:B,2,0)-VLOOKUP(B16,План!A:B,2,0)),""),"")</f>
        <v>#NAME?</v>
      </c>
      <c r="N16" s="2" t="e">
        <f>_xlfn.IFERROR(IF(MONTH(C16)&amp;YEAR(C16)="92016",SUM(VLOOKUP(B16,'Остаточная тр-ть'!A:B,2,0)-VLOOKUP(B16,План!A:B,2,0)),""),"")</f>
        <v>#NAME?</v>
      </c>
      <c r="O16" s="2" t="e">
        <f>_xlfn.IFERROR(IF(MONTH(C16)&amp;YEAR(C16)="102016",SUM(VLOOKUP(B16,'Остаточная тр-ть'!A:B,2,0)-VLOOKUP(B16,План!A:B,2,0)),""),"")</f>
        <v>#NAME?</v>
      </c>
      <c r="P16" s="2" t="e">
        <f>_xlfn.IFERROR(IF(MONTH(C16)&amp;YEAR(C16)="112016",SUM(VLOOKUP(B16,'Остаточная тр-ть'!A:B,2,0)-VLOOKUP(B16,План!A:B,2,0)),""),"")</f>
        <v>#NAME?</v>
      </c>
      <c r="Q16" s="2" t="e">
        <f>_xlfn.IFERROR(IF(MONTH(C16)&amp;YEAR(C16)="122016",SUM(VLOOKUP(B16,'Остаточная тр-ть'!A:B,2,0)-VLOOKUP(B16,План!A:B,2,0)),""),"")</f>
        <v>#NAME?</v>
      </c>
      <c r="R16" s="2" t="e">
        <f>_xlfn.IFERROR(IF(MONTH(C16)&amp;YEAR(C16)="12017",SUM(VLOOKUP(B16,'Остаточная тр-ть'!A:B,2,0)-VLOOKUP(B16,План!A:B,2,0)),""),"")</f>
        <v>#NAME?</v>
      </c>
      <c r="S16" t="e">
        <f t="shared" si="1"/>
        <v>#NAME?</v>
      </c>
    </row>
    <row r="17" spans="1:19" ht="15" hidden="1">
      <c r="A17" s="2">
        <v>6</v>
      </c>
      <c r="B17" s="2" t="str">
        <f>VLOOKUP(A17,'План слачи на СГП'!A:B,2,0)</f>
        <v>Сепаратор2</v>
      </c>
      <c r="C17" s="3">
        <v>42454</v>
      </c>
      <c r="D17" s="3">
        <v>42401</v>
      </c>
      <c r="E17" s="4">
        <f t="shared" si="0"/>
        <v>53</v>
      </c>
      <c r="F17" s="2" t="e">
        <f>_xlfn.IFERROR(IF(F16=План!B6,IF(VLOOKUP(B17,План!A:B,2,0)&gt;0,VLOOKUP(B17,План!A:B,2,0),""),""),"")</f>
        <v>#NAME?</v>
      </c>
      <c r="G17" s="2" t="e">
        <f>_xlfn.IFERROR(IF(MONTH(C17)&amp;YEAR(C17)="22016",SUM(VLOOKUP(B17,'Остаточная тр-ть'!A:B,2,0)-VLOOKUP(B17,План!A:B,2,0)),""),"")</f>
        <v>#NAME?</v>
      </c>
      <c r="H17" s="2" t="e">
        <f>_xlfn.IFERROR(IF(MONTH(C17)&amp;YEAR(C17)="32016",SUM(VLOOKUP(B17,'Остаточная тр-ть'!A:B,2,0)-VLOOKUP(B17,План!A:B,2,0)),""),"")</f>
        <v>#NAME?</v>
      </c>
      <c r="I17" s="2" t="e">
        <f>_xlfn.IFERROR(IF(MONTH(C17)&amp;YEAR(C17)="42016",SUM(VLOOKUP(B17,'Остаточная тр-ть'!A:B,2,0)-VLOOKUP(B17,План!A:B,2,0)),""),"")</f>
        <v>#NAME?</v>
      </c>
      <c r="J17" s="2" t="e">
        <f>_xlfn.IFERROR(IF(MONTH(C17)&amp;YEAR(C17)="52016",SUM(VLOOKUP(B17,'Остаточная тр-ть'!A:B,2,0)-VLOOKUP(B17,План!A:B,2,0)),""),"")</f>
        <v>#NAME?</v>
      </c>
      <c r="K17" s="2" t="e">
        <f>_xlfn.IFERROR(IF(MONTH(C17)&amp;YEAR(C17)="62016",SUM(VLOOKUP(B17,'Остаточная тр-ть'!A:B,2,0)-VLOOKUP(B17,План!A:B,2,0)),""),"")</f>
        <v>#NAME?</v>
      </c>
      <c r="L17" s="2" t="e">
        <f>_xlfn.IFERROR(IF(MONTH(C17)&amp;YEAR(C17)="72016",SUM(VLOOKUP(B17,'Остаточная тр-ть'!A:B,2,0)-VLOOKUP(B17,План!A:B,2,0)),""),"")</f>
        <v>#NAME?</v>
      </c>
      <c r="M17" s="2" t="e">
        <f>_xlfn.IFERROR(IF(MONTH(C17)&amp;YEAR(C17)="82016",SUM(VLOOKUP(B17,'Остаточная тр-ть'!A:B,2,0)-VLOOKUP(B17,План!A:B,2,0)),""),"")</f>
        <v>#NAME?</v>
      </c>
      <c r="N17" s="2" t="e">
        <f>_xlfn.IFERROR(IF(MONTH(C17)&amp;YEAR(C17)="92016",SUM(VLOOKUP(B17,'Остаточная тр-ть'!A:B,2,0)-VLOOKUP(B17,План!A:B,2,0)),""),"")</f>
        <v>#NAME?</v>
      </c>
      <c r="O17" s="2" t="e">
        <f>_xlfn.IFERROR(IF(MONTH(C17)&amp;YEAR(C17)="102016",SUM(VLOOKUP(B17,'Остаточная тр-ть'!A:B,2,0)-VLOOKUP(B17,План!A:B,2,0)),""),"")</f>
        <v>#NAME?</v>
      </c>
      <c r="P17" s="2" t="e">
        <f>_xlfn.IFERROR(IF(MONTH(C17)&amp;YEAR(C17)="112016",SUM(VLOOKUP(B17,'Остаточная тр-ть'!A:B,2,0)-VLOOKUP(B17,План!A:B,2,0)),""),"")</f>
        <v>#NAME?</v>
      </c>
      <c r="Q17" s="2" t="e">
        <f>_xlfn.IFERROR(IF(MONTH(C17)&amp;YEAR(C17)="122016",SUM(VLOOKUP(B17,'Остаточная тр-ть'!A:B,2,0)-VLOOKUP(B17,План!A:B,2,0)),""),"")</f>
        <v>#NAME?</v>
      </c>
      <c r="R17" s="2" t="e">
        <f>_xlfn.IFERROR(IF(MONTH(C17)&amp;YEAR(C17)="12017",SUM(VLOOKUP(B17,'Остаточная тр-ть'!A:B,2,0)-VLOOKUP(B17,План!A:B,2,0)),""),"")</f>
        <v>#NAME?</v>
      </c>
      <c r="S17" t="e">
        <f t="shared" si="1"/>
        <v>#NAME?</v>
      </c>
    </row>
    <row r="18" spans="1:19" ht="15" hidden="1">
      <c r="A18" s="2">
        <v>7</v>
      </c>
      <c r="B18" s="2" t="str">
        <f>VLOOKUP(A18,'План слачи на СГП'!A:B,2,0)</f>
        <v>Сепаратор3</v>
      </c>
      <c r="C18" s="3">
        <v>42518</v>
      </c>
      <c r="D18" s="3">
        <v>42401</v>
      </c>
      <c r="E18" s="4">
        <f t="shared" si="0"/>
        <v>117</v>
      </c>
      <c r="F18" s="2" t="e">
        <f>_xlfn.IFERROR(IF(F17=План!B7,IF(VLOOKUP(B18,План!A:B,2,0)&gt;0,VLOOKUP(B18,План!A:B,2,0),""),""),"")</f>
        <v>#NAME?</v>
      </c>
      <c r="G18" s="2" t="e">
        <f>_xlfn.IFERROR(IF(MONTH(C18)&amp;YEAR(C18)="22016",SUM(VLOOKUP(B18,'Остаточная тр-ть'!A:B,2,0)-VLOOKUP(B18,План!A:B,2,0)),""),"")</f>
        <v>#NAME?</v>
      </c>
      <c r="H18" s="2" t="e">
        <f>_xlfn.IFERROR(IF(MONTH(C18)&amp;YEAR(C18)="32016",SUM(VLOOKUP(B18,'Остаточная тр-ть'!A:B,2,0)-VLOOKUP(B18,План!A:B,2,0)),""),"")</f>
        <v>#NAME?</v>
      </c>
      <c r="I18" s="2" t="e">
        <f>_xlfn.IFERROR(IF(MONTH(C18)&amp;YEAR(C18)="42016",SUM(VLOOKUP(B18,'Остаточная тр-ть'!A:B,2,0)-VLOOKUP(B18,План!A:B,2,0)),""),"")</f>
        <v>#NAME?</v>
      </c>
      <c r="J18" s="2" t="e">
        <f>_xlfn.IFERROR(IF(MONTH(C18)&amp;YEAR(C18)="52016",SUM(VLOOKUP(B18,'Остаточная тр-ть'!A:B,2,0)-VLOOKUP(B18,План!A:B,2,0)),""),"")</f>
        <v>#NAME?</v>
      </c>
      <c r="K18" s="2" t="e">
        <f>_xlfn.IFERROR(IF(MONTH(C18)&amp;YEAR(C18)="62016",SUM(VLOOKUP(B18,'Остаточная тр-ть'!A:B,2,0)-VLOOKUP(B18,План!A:B,2,0)),""),"")</f>
        <v>#NAME?</v>
      </c>
      <c r="L18" s="2" t="e">
        <f>_xlfn.IFERROR(IF(MONTH(C18)&amp;YEAR(C18)="72016",SUM(VLOOKUP(B18,'Остаточная тр-ть'!A:B,2,0)-VLOOKUP(B18,План!A:B,2,0)),""),"")</f>
        <v>#NAME?</v>
      </c>
      <c r="M18" s="2" t="e">
        <f>_xlfn.IFERROR(IF(MONTH(C18)&amp;YEAR(C18)="82016",SUM(VLOOKUP(B18,'Остаточная тр-ть'!A:B,2,0)-VLOOKUP(B18,План!A:B,2,0)),""),"")</f>
        <v>#NAME?</v>
      </c>
      <c r="N18" s="2" t="e">
        <f>_xlfn.IFERROR(IF(MONTH(C18)&amp;YEAR(C18)="92016",SUM(VLOOKUP(B18,'Остаточная тр-ть'!A:B,2,0)-VLOOKUP(B18,План!A:B,2,0)),""),"")</f>
        <v>#NAME?</v>
      </c>
      <c r="O18" s="2" t="e">
        <f>_xlfn.IFERROR(IF(MONTH(C18)&amp;YEAR(C18)="102016",SUM(VLOOKUP(B18,'Остаточная тр-ть'!A:B,2,0)-VLOOKUP(B18,План!A:B,2,0)),""),"")</f>
        <v>#NAME?</v>
      </c>
      <c r="P18" s="2" t="e">
        <f>_xlfn.IFERROR(IF(MONTH(C18)&amp;YEAR(C18)="112016",SUM(VLOOKUP(B18,'Остаточная тр-ть'!A:B,2,0)-VLOOKUP(B18,План!A:B,2,0)),""),"")</f>
        <v>#NAME?</v>
      </c>
      <c r="Q18" s="2" t="e">
        <f>_xlfn.IFERROR(IF(MONTH(C18)&amp;YEAR(C18)="122016",SUM(VLOOKUP(B18,'Остаточная тр-ть'!A:B,2,0)-VLOOKUP(B18,План!A:B,2,0)),""),"")</f>
        <v>#NAME?</v>
      </c>
      <c r="R18" s="2" t="e">
        <f>_xlfn.IFERROR(IF(MONTH(C18)&amp;YEAR(C18)="12017",SUM(VLOOKUP(B18,'Остаточная тр-ть'!A:B,2,0)-VLOOKUP(B18,План!A:B,2,0)),""),"")</f>
        <v>#NAME?</v>
      </c>
      <c r="S18" t="e">
        <f t="shared" si="1"/>
        <v>#NAME?</v>
      </c>
    </row>
    <row r="19" spans="1:19" ht="15" hidden="1">
      <c r="A19" s="20" t="s">
        <v>22</v>
      </c>
      <c r="B19" s="21"/>
      <c r="C19" s="3"/>
      <c r="D19" s="3"/>
      <c r="E19" s="4"/>
      <c r="F19" s="2" t="e">
        <f>SUM(F12:F18)</f>
        <v>#NAME?</v>
      </c>
      <c r="G19" s="2" t="e">
        <f aca="true" t="shared" si="2" ref="G19:Q19">SUM(G12:G18)</f>
        <v>#NAME?</v>
      </c>
      <c r="H19" s="2" t="e">
        <f t="shared" si="2"/>
        <v>#NAME?</v>
      </c>
      <c r="I19" s="2" t="e">
        <f t="shared" si="2"/>
        <v>#NAME?</v>
      </c>
      <c r="J19" s="2" t="e">
        <f t="shared" si="2"/>
        <v>#NAME?</v>
      </c>
      <c r="K19" s="2" t="e">
        <f t="shared" si="2"/>
        <v>#NAME?</v>
      </c>
      <c r="L19" s="2" t="e">
        <f t="shared" si="2"/>
        <v>#NAME?</v>
      </c>
      <c r="M19" s="2" t="e">
        <f t="shared" si="2"/>
        <v>#NAME?</v>
      </c>
      <c r="N19" s="2" t="e">
        <f t="shared" si="2"/>
        <v>#NAME?</v>
      </c>
      <c r="O19" s="2" t="e">
        <f t="shared" si="2"/>
        <v>#NAME?</v>
      </c>
      <c r="P19" s="2" t="e">
        <f t="shared" si="2"/>
        <v>#NAME?</v>
      </c>
      <c r="Q19" s="2" t="e">
        <f t="shared" si="2"/>
        <v>#NAME?</v>
      </c>
      <c r="R19" s="2"/>
      <c r="S19" t="e">
        <f t="shared" si="1"/>
        <v>#NAME?</v>
      </c>
    </row>
    <row r="20" spans="1:18" ht="15" hidden="1">
      <c r="A20" s="20" t="s">
        <v>0</v>
      </c>
      <c r="B20" s="21"/>
      <c r="C20" s="2"/>
      <c r="D20" s="2"/>
      <c r="E20" s="4"/>
      <c r="F20" s="2">
        <v>300</v>
      </c>
      <c r="G20" s="2">
        <v>300</v>
      </c>
      <c r="H20" s="2">
        <v>300</v>
      </c>
      <c r="I20" s="2">
        <v>300</v>
      </c>
      <c r="J20" s="2">
        <v>300</v>
      </c>
      <c r="K20" s="2">
        <v>300</v>
      </c>
      <c r="L20" s="2">
        <v>300</v>
      </c>
      <c r="M20" s="2">
        <v>300</v>
      </c>
      <c r="N20" s="2">
        <v>300</v>
      </c>
      <c r="O20" s="2">
        <v>300</v>
      </c>
      <c r="P20" s="2">
        <v>300</v>
      </c>
      <c r="Q20" s="2">
        <v>300</v>
      </c>
      <c r="R20" s="2"/>
    </row>
    <row r="21" spans="1:18" ht="15" hidden="1">
      <c r="A21" s="22" t="s">
        <v>23</v>
      </c>
      <c r="B21" s="22"/>
      <c r="C21" s="5"/>
      <c r="D21" s="5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23" t="s">
        <v>27</v>
      </c>
      <c r="B22" s="23"/>
      <c r="C22" s="23"/>
      <c r="D22" s="23"/>
      <c r="E22" s="23"/>
      <c r="F22" s="12">
        <v>31</v>
      </c>
      <c r="G22" s="12">
        <v>29</v>
      </c>
      <c r="H22" s="12">
        <v>31</v>
      </c>
      <c r="I22" s="12">
        <v>30</v>
      </c>
      <c r="J22" s="12">
        <v>31</v>
      </c>
      <c r="K22" s="12">
        <v>30</v>
      </c>
      <c r="L22" s="12">
        <v>31</v>
      </c>
      <c r="M22" s="12">
        <v>31</v>
      </c>
      <c r="N22" s="12">
        <v>30</v>
      </c>
      <c r="O22" s="12">
        <v>31</v>
      </c>
      <c r="P22" s="12">
        <v>30</v>
      </c>
      <c r="Q22" s="12">
        <v>31</v>
      </c>
      <c r="R22" s="12">
        <v>30</v>
      </c>
    </row>
    <row r="24" spans="9:28" ht="15"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9:28" ht="15.75" thickBot="1"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6:28" ht="15.75" thickBot="1">
      <c r="F26" s="25">
        <f>SUMPRODUCT(N(TEXT(ROW(INDEX(A:A,$D$13):INDEX(A:A,$C$13)),"ММММ")=F11))</f>
        <v>0</v>
      </c>
      <c r="G26" s="26">
        <f>SUMPRODUCT(N(TEXT(ROW(INDEX(B:B,$D$13):INDEX(B:B,$C$13)),"ММММ")=G11))</f>
        <v>0</v>
      </c>
      <c r="H26" s="26">
        <f>SUMPRODUCT(N(TEXT(ROW(INDEX(C:C,$D$13):INDEX(C:C,$C$13)),"ММММ")=H11))</f>
        <v>31</v>
      </c>
      <c r="I26" s="26">
        <f>SUMPRODUCT(N(TEXT(ROW(INDEX(D:D,$D$13):INDEX(D:D,$C$13)),"ММММ")=I11))</f>
        <v>30</v>
      </c>
      <c r="J26" s="26">
        <f>SUMPRODUCT(N(TEXT(ROW(INDEX(E:E,$D$13):INDEX(E:E,$C$13)),"ММММ")=J11))</f>
        <v>31</v>
      </c>
      <c r="K26" s="26">
        <f>SUMPRODUCT(N(TEXT(ROW(INDEX(F:F,$D$13):INDEX(F:F,$C$13)),"ММММ")=K11))</f>
        <v>5</v>
      </c>
      <c r="L26" s="26">
        <f>SUMPRODUCT(N(TEXT(ROW(INDEX(G:G,$D$13):INDEX(G:G,$C$13)),"ММММ")=L11))</f>
        <v>0</v>
      </c>
      <c r="M26" s="26">
        <f>SUMPRODUCT(N(TEXT(ROW(INDEX(H:H,$D$13):INDEX(H:H,$C$13)),"ММММ")=M11))</f>
        <v>0</v>
      </c>
      <c r="N26" s="26">
        <f>SUMPRODUCT(N(TEXT(ROW(INDEX(I:I,$D$13):INDEX(I:I,$C$13)),"ММММ")=N11))</f>
        <v>0</v>
      </c>
      <c r="O26" s="26">
        <f>SUMPRODUCT(N(TEXT(ROW(INDEX(J:J,$D$13):INDEX(J:J,$C$13)),"ММММ")=O11))</f>
        <v>0</v>
      </c>
      <c r="P26" s="26">
        <f>SUMPRODUCT(N(TEXT(ROW(INDEX(K:K,$D$13):INDEX(K:K,$C$13)),"ММММ")=P11))</f>
        <v>0</v>
      </c>
      <c r="Q26" s="27">
        <f>SUMPRODUCT(N(TEXT(ROW(INDEX(L:L,$D$13):INDEX(L:L,$C$13)),"ММММ")=Q11))</f>
        <v>0</v>
      </c>
      <c r="R26" s="7"/>
      <c r="S26" s="28" t="b">
        <f>SUM(F26:Q26)=E13</f>
        <v>1</v>
      </c>
      <c r="T26" s="7"/>
      <c r="U26" s="7"/>
      <c r="V26" s="7"/>
      <c r="W26" s="7"/>
      <c r="X26" s="7"/>
      <c r="Y26" s="7"/>
      <c r="Z26" s="7"/>
      <c r="AA26" s="7"/>
      <c r="AB26" s="7"/>
    </row>
    <row r="27" spans="9:28" ht="15"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9:28" ht="15"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9:28" ht="15"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9:28" ht="15"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9:28" ht="15"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7:28" ht="15">
      <c r="G32" s="10">
        <f>IF(MONTH($D$13)&amp;YEAR($D$13)="22016",IF(MONTH($C$13)&amp;YEAR($C$13)&gt;"22016",G22-SUM(DAY($D$13)-1),$E$13),IF(MONTH($D$13)&amp;YEAR($E$13)&gt;"22016",0,IF($E$13-SUM(F$32:$G32)&gt;G22,G22,$E$13-SUM(F$32:$G32))))</f>
        <v>0</v>
      </c>
      <c r="H32" s="10">
        <f>IF(MONTH($D$13)&amp;YEAR($D$13)="32016",IF(MONTH($C$13)&amp;YEAR($C$13)&gt;"32016",H22-SUM(DAY($D$13)-1),$E$13),IF(MONTH($D$13)&amp;YEAR($E$13)&gt;"32016",0,IF($E$13-SUM($G$32:G32)&gt;H22,H22,$E$13-SUM($G$32:G32))))</f>
        <v>31</v>
      </c>
      <c r="I32" s="10">
        <f>IF(MONTH($D$13)&amp;YEAR($D$13)="42016",IF(MONTH($C$13)&amp;YEAR($C$13)&gt;"42016",I22-SUM(DAY($D$13)-1),$E$13),IF(MONTH($D$13)&amp;YEAR($E$13)&gt;"42016",0,IF($E$13-SUM($G$32:H32)&gt;I22,I22,$E$13-SUM($G$32:H32))))</f>
        <v>30</v>
      </c>
      <c r="J32" s="10">
        <f>IF(MONTH($D$13)&amp;YEAR($D$13)="52016",IF(MONTH($C$13)&amp;YEAR($C$13)&gt;"52016",J22-SUM(DAY($D$13)-1),$E$13),IF(MONTH($D$13)&amp;YEAR($E$13)&gt;"52016",0,IF($E$13-SUM($G$32:I32)&gt;J22,J22,$E$13-SUM($G$32:I32))))</f>
        <v>31</v>
      </c>
      <c r="K32" s="10">
        <f>IF(MONTH($D$13)&amp;YEAR($D$13)="62016",IF(MONTH($C$13)&amp;YEAR($C$13)&gt;"62016",K22-SUM(DAY($D$13)-1),$E$13),IF(MONTH($D$13)&amp;YEAR($E$13)&gt;"62016",0,IF($E$13-SUM($G$32:J32)&gt;K22,K22,$E$13-SUM($G$32:J32))))</f>
        <v>5</v>
      </c>
      <c r="L32" s="10">
        <f>IF(MONTH($D$13)&amp;YEAR($D$13)="72016",IF(MONTH($C$13)&amp;YEAR($C$13)&gt;"72016",L22-SUM(DAY($D$13)-1),$E$13),IF(MONTH($D$13)&amp;YEAR($E$13)&gt;"72016",0,IF($E$13-SUM($G$32:K32)&gt;L22,L22,$E$13-SUM($G$32:K32))))</f>
        <v>0</v>
      </c>
      <c r="M32" s="10">
        <f>IF(MONTH($D$13)&amp;YEAR($D$13)="82016",IF(MONTH($C$13)&amp;YEAR($C$13)&gt;"82016",M22-SUM(DAY($D$13)-1),$E$13),IF(MONTH($D$13)&amp;YEAR($E$13)&gt;"82016",0,IF($E$13-SUM($G$32:L32)&gt;M22,M22,$E$13-SUM($G$32:L32))))</f>
        <v>0</v>
      </c>
      <c r="N32" s="10">
        <f>IF(MONTH($D$13)&amp;YEAR($D$13)="92016",IF(MONTH($C$13)&amp;YEAR($C$13)&gt;"92016",N22-SUM(DAY($D$13)-1),$E$13),IF(MONTH($D$13)&amp;YEAR($E$13)&gt;"92016",0,IF($E$13-SUM($G$32:M32)&gt;N22,N22,$E$13-SUM($G$32:M32))))</f>
        <v>0</v>
      </c>
      <c r="O32" s="10">
        <f>IF(MONTH($D$13)&amp;YEAR($D$13)="102016",IF(MONTH($C$13)&amp;YEAR($C$13)&gt;"102016",O22-SUM(DAY($D$13)-1),$E$13),IF(MONTH($D$13)&amp;YEAR($E$13)&gt;"102016",0,IF($E$13-SUM($G$32:N32)&gt;O22,O22,$E$13-SUM($G$32:N32))))</f>
        <v>0</v>
      </c>
      <c r="P32" s="10">
        <f>IF(MONTH($D$13)&amp;YEAR($D$13)="112016",IF(MONTH($C$13)&amp;YEAR($C$13)&gt;"112016",P22-SUM(DAY($D$13)-1),$E$13),IF(MONTH($D$13)&amp;YEAR($E$13)&gt;"112016",0,IF($E$13-SUM($G$32:O32)&gt;P22,P22,$E$13-SUM($G$32:O32))))</f>
        <v>0</v>
      </c>
      <c r="Q32" s="10">
        <f>IF(MONTH($D$13)&amp;YEAR($D$13)="122016",IF(MONTH($C$13)&amp;YEAR($C$13)&gt;"122016",Q22-SUM(DAY($D$13)-1),$E$13),IF(MONTH($D$13)&amp;YEAR($E$13)&gt;"122016",0,IF($E$13-SUM($G$32:P32)&gt;Q22,Q22,$E$13-SUM($G$32:P32))))</f>
        <v>0</v>
      </c>
      <c r="R32" s="10">
        <f>IF(MONTH($D$13)&amp;YEAR($D$13)="12017",IF(MONTH($C$13)&amp;YEAR($C$13)&gt;"12017",R22-SUM(DAY($D$13)-1),$E$13),IF(MONTH($D$13)&amp;YEAR($E$13)&gt;"12017",0,IF($E$13-SUM($G$32:Q32)&gt;R22,R22,$E$13-SUM($G$32:Q32))))</f>
        <v>0</v>
      </c>
      <c r="S32" s="10" t="b">
        <f>SUM(G32:R32)=E13</f>
        <v>1</v>
      </c>
      <c r="T32" s="7"/>
      <c r="U32" s="7"/>
      <c r="V32" s="7"/>
      <c r="W32" s="7"/>
      <c r="X32" s="7"/>
      <c r="Y32" s="7"/>
      <c r="Z32" s="7"/>
      <c r="AA32" s="7"/>
      <c r="AB32" s="7"/>
    </row>
    <row r="33" spans="20:28" ht="15">
      <c r="T33" s="7"/>
      <c r="U33" s="7"/>
      <c r="V33" s="7"/>
      <c r="W33" s="7"/>
      <c r="X33" s="7"/>
      <c r="Y33" s="7"/>
      <c r="Z33" s="7"/>
      <c r="AA33" s="7"/>
      <c r="AB33" s="7"/>
    </row>
    <row r="34" spans="7:28" ht="15">
      <c r="G34" s="2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9:28" ht="15">
      <c r="S35" s="7"/>
      <c r="T35" s="7"/>
      <c r="U35" s="7"/>
      <c r="V35" s="7"/>
      <c r="W35" s="7"/>
      <c r="X35" s="7"/>
      <c r="Y35" s="7"/>
      <c r="Z35" s="7"/>
      <c r="AA35" s="7"/>
      <c r="AB35" s="7"/>
    </row>
  </sheetData>
  <sheetProtection/>
  <mergeCells count="4">
    <mergeCell ref="A19:B19"/>
    <mergeCell ref="A20:B20"/>
    <mergeCell ref="A21:B21"/>
    <mergeCell ref="A22:E22"/>
  </mergeCells>
  <conditionalFormatting sqref="S32">
    <cfRule type="cellIs" priority="1" dxfId="1" operator="notEqual">
      <formula>TRUE</formula>
    </cfRule>
    <cfRule type="cellIs" priority="2" dxfId="0" operator="equal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7109375" style="0" bestFit="1" customWidth="1"/>
  </cols>
  <sheetData>
    <row r="1" ht="15">
      <c r="B1" t="s">
        <v>7</v>
      </c>
    </row>
    <row r="2" spans="1:2" ht="15">
      <c r="A2" t="s">
        <v>2</v>
      </c>
      <c r="B2">
        <v>100</v>
      </c>
    </row>
    <row r="3" spans="1:2" ht="15">
      <c r="A3" t="s">
        <v>1</v>
      </c>
      <c r="B3">
        <v>66</v>
      </c>
    </row>
    <row r="4" spans="1:2" ht="15">
      <c r="A4" t="s">
        <v>17</v>
      </c>
      <c r="B4">
        <v>100</v>
      </c>
    </row>
    <row r="5" spans="1:2" ht="15">
      <c r="A5" t="s">
        <v>18</v>
      </c>
      <c r="B5">
        <v>20</v>
      </c>
    </row>
    <row r="6" spans="1:2" ht="15">
      <c r="A6" t="s">
        <v>19</v>
      </c>
      <c r="B6">
        <v>30</v>
      </c>
    </row>
    <row r="7" spans="1:2" ht="15">
      <c r="A7" s="2" t="s">
        <v>20</v>
      </c>
      <c r="B7">
        <v>0</v>
      </c>
    </row>
    <row r="8" spans="1:2" ht="15">
      <c r="A8" s="2" t="s">
        <v>21</v>
      </c>
      <c r="B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3.57421875" style="0" customWidth="1"/>
  </cols>
  <sheetData>
    <row r="1" spans="1:2" ht="15">
      <c r="A1" t="s">
        <v>2</v>
      </c>
      <c r="B1">
        <v>500</v>
      </c>
    </row>
    <row r="2" spans="1:2" ht="15">
      <c r="A2" t="s">
        <v>1</v>
      </c>
      <c r="B2">
        <v>2000</v>
      </c>
    </row>
    <row r="3" spans="1:2" ht="15">
      <c r="A3" t="s">
        <v>17</v>
      </c>
      <c r="B3">
        <v>3000</v>
      </c>
    </row>
    <row r="4" spans="1:2" ht="15">
      <c r="A4" t="s">
        <v>18</v>
      </c>
      <c r="B4">
        <v>3000</v>
      </c>
    </row>
    <row r="5" spans="1:2" ht="15">
      <c r="A5" t="s">
        <v>19</v>
      </c>
      <c r="B5">
        <v>3000</v>
      </c>
    </row>
    <row r="6" spans="1:2" ht="15">
      <c r="A6" t="s">
        <v>20</v>
      </c>
      <c r="B6">
        <v>3000</v>
      </c>
    </row>
    <row r="7" spans="1:2" ht="15">
      <c r="A7" t="s">
        <v>21</v>
      </c>
      <c r="B7">
        <v>3000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9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1.7109375" style="0" bestFit="1" customWidth="1"/>
  </cols>
  <sheetData>
    <row r="1" spans="1:2" ht="15">
      <c r="A1">
        <v>1</v>
      </c>
      <c r="B1" t="s">
        <v>2</v>
      </c>
    </row>
    <row r="2" spans="1:2" ht="15">
      <c r="A2">
        <v>2</v>
      </c>
      <c r="B2" t="s">
        <v>1</v>
      </c>
    </row>
    <row r="3" spans="1:2" ht="15">
      <c r="A3">
        <v>3</v>
      </c>
      <c r="B3" t="s">
        <v>17</v>
      </c>
    </row>
    <row r="4" spans="1:2" ht="15">
      <c r="A4">
        <v>4</v>
      </c>
      <c r="B4" t="s">
        <v>18</v>
      </c>
    </row>
    <row r="5" spans="1:2" ht="15">
      <c r="A5">
        <v>5</v>
      </c>
      <c r="B5" t="s">
        <v>19</v>
      </c>
    </row>
    <row r="6" spans="1:2" ht="15">
      <c r="A6">
        <v>6</v>
      </c>
      <c r="B6" t="s">
        <v>20</v>
      </c>
    </row>
    <row r="7" spans="1:2" ht="15">
      <c r="A7">
        <v>7</v>
      </c>
      <c r="B7" t="s">
        <v>21</v>
      </c>
    </row>
    <row r="8" ht="15">
      <c r="A8">
        <v>8</v>
      </c>
    </row>
    <row r="9" ht="15">
      <c r="A9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Дымченко Константин Георгиевич</dc:creator>
  <cp:keywords/>
  <dc:description/>
  <cp:lastModifiedBy>AlexM</cp:lastModifiedBy>
  <dcterms:created xsi:type="dcterms:W3CDTF">2016-02-15T12:53:49Z</dcterms:created>
  <dcterms:modified xsi:type="dcterms:W3CDTF">2016-02-19T16:21:54Z</dcterms:modified>
  <cp:category/>
  <cp:version/>
  <cp:contentType/>
  <cp:contentStatus/>
</cp:coreProperties>
</file>