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15" windowWidth="15480" windowHeight="11460" activeTab="4"/>
  </bookViews>
  <sheets>
    <sheet name="Выбери месяц" sheetId="13" r:id="rId1"/>
    <sheet name="Отдел МТО" sheetId="11" r:id="rId2"/>
    <sheet name="Сектор МТО" sheetId="14" r:id="rId3"/>
    <sheet name="Сектор ТО" sheetId="15" r:id="rId4"/>
    <sheet name="Сектор АХО" sheetId="16" r:id="rId5"/>
    <sheet name="всяки" sheetId="9" r:id="rId6"/>
    <sheet name="Структура" sheetId="12" r:id="rId7"/>
  </sheets>
  <externalReferences>
    <externalReference r:id="rId8"/>
    <externalReference r:id="rId9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1">'Отдел МТО'!$16:$21</definedName>
    <definedName name="_xlnm.Print_Titles" localSheetId="4">'Сектор АХО'!$16:$21</definedName>
    <definedName name="_xlnm.Print_Titles" localSheetId="2">'Сектор МТО'!$16:$21</definedName>
    <definedName name="_xlnm.Print_Titles" localSheetId="3">'Сектор ТО'!$16:$21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4525"/>
</workbook>
</file>

<file path=xl/calcChain.xml><?xml version="1.0" encoding="utf-8"?>
<calcChain xmlns="http://schemas.openxmlformats.org/spreadsheetml/2006/main">
  <c r="H19" i="16" l="1"/>
  <c r="I19" i="16"/>
  <c r="J19" i="16"/>
  <c r="K19" i="16"/>
  <c r="L19" i="16"/>
  <c r="L24" i="16" s="1"/>
  <c r="M19" i="16"/>
  <c r="N19" i="16"/>
  <c r="O19" i="16"/>
  <c r="P19" i="16"/>
  <c r="Q19" i="16"/>
  <c r="R19" i="16"/>
  <c r="S19" i="16"/>
  <c r="H19" i="15"/>
  <c r="I19" i="15"/>
  <c r="J19" i="15"/>
  <c r="K19" i="15"/>
  <c r="L19" i="15"/>
  <c r="M19" i="15"/>
  <c r="N19" i="15"/>
  <c r="O19" i="15"/>
  <c r="P19" i="15"/>
  <c r="Q19" i="15"/>
  <c r="R19" i="15"/>
  <c r="S19" i="15"/>
  <c r="H19" i="14"/>
  <c r="I19" i="14"/>
  <c r="J19" i="14"/>
  <c r="K19" i="14"/>
  <c r="L19" i="14"/>
  <c r="M19" i="14"/>
  <c r="N19" i="14"/>
  <c r="O19" i="14"/>
  <c r="P19" i="14"/>
  <c r="Q19" i="14"/>
  <c r="R19" i="14"/>
  <c r="S19" i="14"/>
  <c r="H19" i="11"/>
  <c r="I19" i="11"/>
  <c r="J19" i="11"/>
  <c r="K19" i="11"/>
  <c r="L19" i="11"/>
  <c r="M19" i="11"/>
  <c r="N19" i="11"/>
  <c r="O19" i="11"/>
  <c r="P19" i="11"/>
  <c r="Q19" i="11"/>
  <c r="R19" i="11"/>
  <c r="S19" i="11"/>
  <c r="U19" i="11"/>
  <c r="G19" i="11" l="1"/>
  <c r="F19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G19" i="14"/>
  <c r="F19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G19" i="15"/>
  <c r="F19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G19" i="16"/>
  <c r="F19" i="16"/>
  <c r="T17" i="16"/>
  <c r="K38" i="14" l="1"/>
  <c r="J38" i="14"/>
  <c r="I38" i="14"/>
  <c r="H38" i="14"/>
  <c r="G38" i="14"/>
  <c r="F38" i="14"/>
  <c r="F17" i="9" l="1"/>
  <c r="K39" i="14" l="1"/>
  <c r="J39" i="14"/>
  <c r="I39" i="14"/>
  <c r="H39" i="14"/>
  <c r="G39" i="14"/>
  <c r="F39" i="14"/>
  <c r="D38" i="14"/>
  <c r="C38" i="14"/>
  <c r="U19" i="16" l="1"/>
  <c r="U19" i="15"/>
  <c r="U19" i="14"/>
  <c r="U40" i="14" s="1"/>
  <c r="U41" i="14" s="1"/>
  <c r="D22" i="16" l="1"/>
  <c r="C22" i="16"/>
  <c r="B22" i="16"/>
  <c r="C21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AC14" i="16"/>
  <c r="AE14" i="16" s="1"/>
  <c r="N30" i="16" s="1"/>
  <c r="AG31" i="16" s="1"/>
  <c r="D26" i="15"/>
  <c r="C26" i="15"/>
  <c r="D22" i="15"/>
  <c r="C22" i="15"/>
  <c r="B22" i="15"/>
  <c r="C21" i="15"/>
  <c r="AC14" i="15"/>
  <c r="AE14" i="15" s="1"/>
  <c r="N34" i="15" s="1"/>
  <c r="AG35" i="15" s="1"/>
  <c r="D34" i="14"/>
  <c r="C34" i="14"/>
  <c r="D30" i="14"/>
  <c r="C30" i="14"/>
  <c r="D26" i="14"/>
  <c r="C26" i="14"/>
  <c r="D22" i="14"/>
  <c r="B38" i="14" s="1"/>
  <c r="C22" i="14"/>
  <c r="B22" i="14"/>
  <c r="C21" i="14"/>
  <c r="T40" i="14"/>
  <c r="T41" i="14" s="1"/>
  <c r="S40" i="14"/>
  <c r="S41" i="14" s="1"/>
  <c r="R40" i="14"/>
  <c r="R41" i="14" s="1"/>
  <c r="Q40" i="14"/>
  <c r="Q41" i="14" s="1"/>
  <c r="P40" i="14"/>
  <c r="P41" i="14" s="1"/>
  <c r="O40" i="14"/>
  <c r="O41" i="14" s="1"/>
  <c r="N40" i="14"/>
  <c r="N41" i="14" s="1"/>
  <c r="M40" i="14"/>
  <c r="M41" i="14" s="1"/>
  <c r="L40" i="14"/>
  <c r="K40" i="14"/>
  <c r="K41" i="14" s="1"/>
  <c r="J40" i="14"/>
  <c r="J41" i="14" s="1"/>
  <c r="I40" i="14"/>
  <c r="I41" i="14" s="1"/>
  <c r="H40" i="14"/>
  <c r="H41" i="14" s="1"/>
  <c r="G40" i="14"/>
  <c r="G41" i="14" s="1"/>
  <c r="F40" i="14"/>
  <c r="F41" i="14" s="1"/>
  <c r="P38" i="14"/>
  <c r="O38" i="14"/>
  <c r="O39" i="14" s="1"/>
  <c r="N38" i="14"/>
  <c r="N39" i="14" s="1"/>
  <c r="M38" i="14"/>
  <c r="M39" i="14" s="1"/>
  <c r="L38" i="14"/>
  <c r="L39" i="14" s="1"/>
  <c r="AC14" i="14"/>
  <c r="AE14" i="14" s="1"/>
  <c r="N46" i="14" s="1"/>
  <c r="AG47" i="14" s="1"/>
  <c r="R38" i="14" l="1"/>
  <c r="R39" i="14" s="1"/>
  <c r="T38" i="14"/>
  <c r="T39" i="14" s="1"/>
  <c r="Q38" i="14"/>
  <c r="Q39" i="14" s="1"/>
  <c r="S38" i="14"/>
  <c r="S39" i="14" s="1"/>
  <c r="L41" i="14"/>
  <c r="V41" i="14" s="1"/>
  <c r="V40" i="14"/>
  <c r="P39" i="14"/>
  <c r="V38" i="14"/>
  <c r="AG29" i="16"/>
  <c r="B26" i="15"/>
  <c r="AG33" i="15"/>
  <c r="B34" i="14"/>
  <c r="B30" i="14"/>
  <c r="B26" i="14"/>
  <c r="AG45" i="14"/>
  <c r="D26" i="11"/>
  <c r="D30" i="11"/>
  <c r="D34" i="11"/>
  <c r="C26" i="11"/>
  <c r="C30" i="11"/>
  <c r="C34" i="11"/>
  <c r="V39" i="14" l="1"/>
  <c r="W40" i="14" s="1"/>
  <c r="W38" i="14"/>
  <c r="AD38" i="14"/>
  <c r="AE38" i="14" s="1" a="1"/>
  <c r="AE38" i="14" s="1"/>
  <c r="AD39" i="14"/>
  <c r="AE39" i="14" s="1" a="1"/>
  <c r="AE39" i="14" s="1"/>
  <c r="AD40" i="14"/>
  <c r="AE40" i="14" s="1" a="1"/>
  <c r="AE40" i="14" s="1"/>
  <c r="AF38" i="14"/>
  <c r="AH38" i="14" s="1" a="1"/>
  <c r="AH38" i="14" s="1"/>
  <c r="AD41" i="14"/>
  <c r="AE41" i="14" s="1" a="1"/>
  <c r="AE41" i="14" s="1"/>
  <c r="C22" i="11"/>
  <c r="D22" i="11" l="1"/>
  <c r="B26" i="11" l="1"/>
  <c r="B34" i="11"/>
  <c r="B30" i="11"/>
  <c r="B22" i="11"/>
  <c r="C21" i="11" l="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AC14" i="11"/>
  <c r="AE14" i="11" s="1"/>
  <c r="N42" i="11" s="1"/>
  <c r="AG43" i="11" s="1"/>
  <c r="J27" i="11" l="1"/>
  <c r="G27" i="11"/>
  <c r="I27" i="11"/>
  <c r="K27" i="11"/>
  <c r="AG41" i="11"/>
  <c r="H27" i="11" l="1"/>
  <c r="F27" i="11"/>
  <c r="G29" i="11" l="1"/>
  <c r="I29" i="11"/>
  <c r="K29" i="11"/>
  <c r="H29" i="11"/>
  <c r="J29" i="11"/>
  <c r="H22" i="14"/>
  <c r="P22" i="14"/>
  <c r="P23" i="14" s="1"/>
  <c r="T22" i="14"/>
  <c r="T23" i="14" s="1"/>
  <c r="H22" i="15"/>
  <c r="L22" i="15"/>
  <c r="L23" i="15" s="1"/>
  <c r="P22" i="15"/>
  <c r="P23" i="15" s="1"/>
  <c r="T22" i="15"/>
  <c r="T23" i="15" s="1"/>
  <c r="L22" i="16"/>
  <c r="T23" i="16"/>
  <c r="J22" i="16"/>
  <c r="J23" i="16" s="1"/>
  <c r="R23" i="16"/>
  <c r="L25" i="16"/>
  <c r="T24" i="16"/>
  <c r="T25" i="16" s="1"/>
  <c r="I25" i="16"/>
  <c r="M24" i="16"/>
  <c r="M25" i="16" s="1"/>
  <c r="Q24" i="16"/>
  <c r="Q25" i="16" s="1"/>
  <c r="U24" i="16"/>
  <c r="U25" i="16" s="1"/>
  <c r="I22" i="16"/>
  <c r="I23" i="16" s="1"/>
  <c r="M23" i="16"/>
  <c r="Q23" i="16"/>
  <c r="N24" i="16"/>
  <c r="N25" i="16" s="1"/>
  <c r="G26" i="15"/>
  <c r="G27" i="15" s="1"/>
  <c r="K26" i="15"/>
  <c r="K27" i="15" s="1"/>
  <c r="O26" i="15"/>
  <c r="O27" i="15" s="1"/>
  <c r="S26" i="15"/>
  <c r="S27" i="15" s="1"/>
  <c r="H28" i="15"/>
  <c r="H29" i="15" s="1"/>
  <c r="L28" i="15"/>
  <c r="L29" i="15" s="1"/>
  <c r="P28" i="15"/>
  <c r="P29" i="15" s="1"/>
  <c r="T28" i="15"/>
  <c r="T29" i="15" s="1"/>
  <c r="J22" i="15"/>
  <c r="J23" i="15" s="1"/>
  <c r="R22" i="15"/>
  <c r="R23" i="15" s="1"/>
  <c r="L24" i="15"/>
  <c r="L25" i="15" s="1"/>
  <c r="T24" i="15"/>
  <c r="T25" i="15" s="1"/>
  <c r="G24" i="15"/>
  <c r="G25" i="15" s="1"/>
  <c r="I24" i="15"/>
  <c r="I25" i="15" s="1"/>
  <c r="K24" i="15"/>
  <c r="K25" i="15" s="1"/>
  <c r="M24" i="15"/>
  <c r="M25" i="15" s="1"/>
  <c r="O24" i="15"/>
  <c r="O25" i="15" s="1"/>
  <c r="Q24" i="15"/>
  <c r="Q25" i="15" s="1"/>
  <c r="S24" i="15"/>
  <c r="S25" i="15" s="1"/>
  <c r="U24" i="15"/>
  <c r="U25" i="15" s="1"/>
  <c r="G22" i="15"/>
  <c r="G23" i="15" s="1"/>
  <c r="K22" i="15"/>
  <c r="K23" i="15" s="1"/>
  <c r="O22" i="15"/>
  <c r="O23" i="15" s="1"/>
  <c r="S22" i="15"/>
  <c r="S23" i="15" s="1"/>
  <c r="J24" i="15"/>
  <c r="J25" i="15" s="1"/>
  <c r="R24" i="15"/>
  <c r="R25" i="15" s="1"/>
  <c r="L26" i="15"/>
  <c r="L27" i="15" s="1"/>
  <c r="T26" i="15"/>
  <c r="T27" i="15" s="1"/>
  <c r="F34" i="14"/>
  <c r="J34" i="14"/>
  <c r="J35" i="14" s="1"/>
  <c r="N34" i="14"/>
  <c r="N35" i="14" s="1"/>
  <c r="G34" i="14"/>
  <c r="G35" i="14" s="1"/>
  <c r="G26" i="14"/>
  <c r="G27" i="14" s="1"/>
  <c r="I30" i="14"/>
  <c r="I31" i="14" s="1"/>
  <c r="K34" i="14"/>
  <c r="K35" i="14" s="1"/>
  <c r="K26" i="14"/>
  <c r="K27" i="14" s="1"/>
  <c r="M30" i="14"/>
  <c r="M31" i="14" s="1"/>
  <c r="O34" i="14"/>
  <c r="O35" i="14" s="1"/>
  <c r="O26" i="14"/>
  <c r="O27" i="14" s="1"/>
  <c r="Q30" i="14"/>
  <c r="Q31" i="14" s="1"/>
  <c r="S34" i="14"/>
  <c r="S35" i="14" s="1"/>
  <c r="S26" i="14"/>
  <c r="S27" i="14" s="1"/>
  <c r="F32" i="14"/>
  <c r="H36" i="14"/>
  <c r="H37" i="14" s="1"/>
  <c r="H32" i="14"/>
  <c r="H33" i="14" s="1"/>
  <c r="J32" i="14"/>
  <c r="J33" i="14" s="1"/>
  <c r="L36" i="14"/>
  <c r="L37" i="14" s="1"/>
  <c r="L32" i="14"/>
  <c r="L33" i="14" s="1"/>
  <c r="N32" i="14"/>
  <c r="N33" i="14" s="1"/>
  <c r="P36" i="14"/>
  <c r="P37" i="14" s="1"/>
  <c r="P32" i="14"/>
  <c r="P33" i="14" s="1"/>
  <c r="R32" i="14"/>
  <c r="R33" i="14" s="1"/>
  <c r="T36" i="14"/>
  <c r="T37" i="14" s="1"/>
  <c r="T32" i="14"/>
  <c r="T33" i="14" s="1"/>
  <c r="J22" i="14"/>
  <c r="J23" i="14" s="1"/>
  <c r="R22" i="14"/>
  <c r="R23" i="14" s="1"/>
  <c r="L24" i="14"/>
  <c r="L25" i="14" s="1"/>
  <c r="T24" i="14"/>
  <c r="T25" i="14" s="1"/>
  <c r="J26" i="14"/>
  <c r="J27" i="14" s="1"/>
  <c r="H34" i="14"/>
  <c r="L34" i="14"/>
  <c r="L35" i="14" s="1"/>
  <c r="P34" i="14"/>
  <c r="P35" i="14" s="1"/>
  <c r="R34" i="14"/>
  <c r="R35" i="14" s="1"/>
  <c r="L22" i="14"/>
  <c r="L23" i="14" s="1"/>
  <c r="F26" i="15"/>
  <c r="N26" i="15"/>
  <c r="N27" i="15" s="1"/>
  <c r="H22" i="16"/>
  <c r="F22" i="16"/>
  <c r="H25" i="16"/>
  <c r="G25" i="16"/>
  <c r="O24" i="16"/>
  <c r="O25" i="16" s="1"/>
  <c r="G22" i="16"/>
  <c r="G23" i="16" s="1"/>
  <c r="O23" i="16"/>
  <c r="J25" i="16"/>
  <c r="I26" i="15"/>
  <c r="I27" i="15" s="1"/>
  <c r="Q26" i="15"/>
  <c r="Q27" i="15" s="1"/>
  <c r="J28" i="15"/>
  <c r="J29" i="15" s="1"/>
  <c r="R28" i="15"/>
  <c r="R29" i="15" s="1"/>
  <c r="N22" i="15"/>
  <c r="N23" i="15" s="1"/>
  <c r="P24" i="15"/>
  <c r="P25" i="15" s="1"/>
  <c r="I28" i="15"/>
  <c r="I29" i="15" s="1"/>
  <c r="M28" i="15"/>
  <c r="M29" i="15" s="1"/>
  <c r="Q28" i="15"/>
  <c r="Q29" i="15" s="1"/>
  <c r="U28" i="15"/>
  <c r="U29" i="15" s="1"/>
  <c r="I22" i="15"/>
  <c r="I23" i="15" s="1"/>
  <c r="Q22" i="15"/>
  <c r="Q23" i="15" s="1"/>
  <c r="N24" i="15"/>
  <c r="N25" i="15" s="1"/>
  <c r="P26" i="15"/>
  <c r="P27" i="15" s="1"/>
  <c r="F30" i="14"/>
  <c r="N30" i="14"/>
  <c r="N31" i="14" s="1"/>
  <c r="I34" i="14"/>
  <c r="I35" i="14" s="1"/>
  <c r="K30" i="14"/>
  <c r="K31" i="14" s="1"/>
  <c r="M26" i="14"/>
  <c r="M27" i="14" s="1"/>
  <c r="Q34" i="14"/>
  <c r="Q35" i="14" s="1"/>
  <c r="S30" i="14"/>
  <c r="S31" i="14" s="1"/>
  <c r="F28" i="14"/>
  <c r="J36" i="14"/>
  <c r="J37" i="14" s="1"/>
  <c r="L28" i="14"/>
  <c r="L29" i="14" s="1"/>
  <c r="N28" i="14"/>
  <c r="N29" i="14" s="1"/>
  <c r="R36" i="14"/>
  <c r="R37" i="14" s="1"/>
  <c r="T28" i="14"/>
  <c r="T29" i="14" s="1"/>
  <c r="N22" i="14"/>
  <c r="N23" i="14" s="1"/>
  <c r="P24" i="14"/>
  <c r="P25" i="14" s="1"/>
  <c r="N26" i="14"/>
  <c r="N27" i="14" s="1"/>
  <c r="L30" i="14"/>
  <c r="L31" i="14" s="1"/>
  <c r="R30" i="14"/>
  <c r="R31" i="14" s="1"/>
  <c r="T30" i="14"/>
  <c r="T31" i="14" s="1"/>
  <c r="G32" i="14"/>
  <c r="G33" i="14" s="1"/>
  <c r="G24" i="14"/>
  <c r="G25" i="14" s="1"/>
  <c r="I32" i="14"/>
  <c r="I33" i="14" s="1"/>
  <c r="I24" i="14"/>
  <c r="I25" i="14" s="1"/>
  <c r="K32" i="14"/>
  <c r="K33" i="14" s="1"/>
  <c r="K24" i="14"/>
  <c r="K25" i="14" s="1"/>
  <c r="M32" i="14"/>
  <c r="M33" i="14" s="1"/>
  <c r="M24" i="14"/>
  <c r="M25" i="14" s="1"/>
  <c r="O32" i="14"/>
  <c r="O33" i="14" s="1"/>
  <c r="O24" i="14"/>
  <c r="O25" i="14" s="1"/>
  <c r="Q32" i="14"/>
  <c r="Q33" i="14" s="1"/>
  <c r="Q24" i="14"/>
  <c r="Q25" i="14" s="1"/>
  <c r="S32" i="14"/>
  <c r="S33" i="14" s="1"/>
  <c r="S24" i="14"/>
  <c r="S25" i="14" s="1"/>
  <c r="U32" i="14"/>
  <c r="U33" i="14" s="1"/>
  <c r="U24" i="14"/>
  <c r="U25" i="14" s="1"/>
  <c r="G22" i="14"/>
  <c r="G23" i="14" s="1"/>
  <c r="K22" i="14"/>
  <c r="K23" i="14" s="1"/>
  <c r="O22" i="14"/>
  <c r="O23" i="14" s="1"/>
  <c r="S22" i="14"/>
  <c r="S23" i="14" s="1"/>
  <c r="J24" i="14"/>
  <c r="J25" i="14" s="1"/>
  <c r="R24" i="14"/>
  <c r="R25" i="14" s="1"/>
  <c r="L26" i="14"/>
  <c r="L27" i="14" s="1"/>
  <c r="T26" i="14"/>
  <c r="T27" i="14" s="1"/>
  <c r="R26" i="14"/>
  <c r="R27" i="14" s="1"/>
  <c r="J26" i="15"/>
  <c r="J27" i="15" s="1"/>
  <c r="R26" i="15"/>
  <c r="R27" i="15" s="1"/>
  <c r="P23" i="16"/>
  <c r="N23" i="16"/>
  <c r="P24" i="16"/>
  <c r="P25" i="16" s="1"/>
  <c r="K25" i="16"/>
  <c r="S24" i="16"/>
  <c r="S25" i="16" s="1"/>
  <c r="K22" i="16"/>
  <c r="K23" i="16" s="1"/>
  <c r="S23" i="16"/>
  <c r="R24" i="16"/>
  <c r="R25" i="16" s="1"/>
  <c r="M26" i="15"/>
  <c r="M27" i="15" s="1"/>
  <c r="F28" i="15"/>
  <c r="N28" i="15"/>
  <c r="N29" i="15" s="1"/>
  <c r="F22" i="15"/>
  <c r="H24" i="15"/>
  <c r="H25" i="15" s="1"/>
  <c r="G28" i="15"/>
  <c r="G29" i="15" s="1"/>
  <c r="K28" i="15"/>
  <c r="K29" i="15" s="1"/>
  <c r="O28" i="15"/>
  <c r="O29" i="15" s="1"/>
  <c r="S28" i="15"/>
  <c r="S29" i="15" s="1"/>
  <c r="M22" i="15"/>
  <c r="M23" i="15" s="1"/>
  <c r="F24" i="15"/>
  <c r="H26" i="15"/>
  <c r="J30" i="14"/>
  <c r="J31" i="14" s="1"/>
  <c r="G30" i="14"/>
  <c r="G31" i="14" s="1"/>
  <c r="I26" i="14"/>
  <c r="I27" i="14" s="1"/>
  <c r="M34" i="14"/>
  <c r="M35" i="14" s="1"/>
  <c r="O30" i="14"/>
  <c r="O31" i="14" s="1"/>
  <c r="Q26" i="14"/>
  <c r="Q27" i="14" s="1"/>
  <c r="F36" i="14"/>
  <c r="H28" i="14"/>
  <c r="H29" i="14" s="1"/>
  <c r="J28" i="14"/>
  <c r="J29" i="14" s="1"/>
  <c r="N36" i="14"/>
  <c r="N37" i="14" s="1"/>
  <c r="P28" i="14"/>
  <c r="P29" i="14" s="1"/>
  <c r="R28" i="14"/>
  <c r="R29" i="14" s="1"/>
  <c r="F22" i="14"/>
  <c r="H24" i="14"/>
  <c r="H25" i="14" s="1"/>
  <c r="F26" i="14"/>
  <c r="H30" i="14"/>
  <c r="P30" i="14"/>
  <c r="P31" i="14" s="1"/>
  <c r="T34" i="14"/>
  <c r="T35" i="14" s="1"/>
  <c r="G36" i="14"/>
  <c r="G37" i="14" s="1"/>
  <c r="G28" i="14"/>
  <c r="G29" i="14" s="1"/>
  <c r="I36" i="14"/>
  <c r="I37" i="14" s="1"/>
  <c r="I28" i="14"/>
  <c r="I29" i="14" s="1"/>
  <c r="K36" i="14"/>
  <c r="K37" i="14" s="1"/>
  <c r="K28" i="14"/>
  <c r="K29" i="14" s="1"/>
  <c r="M36" i="14"/>
  <c r="M37" i="14" s="1"/>
  <c r="M28" i="14"/>
  <c r="M29" i="14" s="1"/>
  <c r="O36" i="14"/>
  <c r="O37" i="14" s="1"/>
  <c r="O28" i="14"/>
  <c r="O29" i="14" s="1"/>
  <c r="Q36" i="14"/>
  <c r="Q37" i="14" s="1"/>
  <c r="Q28" i="14"/>
  <c r="Q29" i="14" s="1"/>
  <c r="S36" i="14"/>
  <c r="S37" i="14" s="1"/>
  <c r="S28" i="14"/>
  <c r="S29" i="14" s="1"/>
  <c r="U36" i="14"/>
  <c r="U37" i="14" s="1"/>
  <c r="U28" i="14"/>
  <c r="U29" i="14" s="1"/>
  <c r="I22" i="14"/>
  <c r="I23" i="14" s="1"/>
  <c r="M22" i="14"/>
  <c r="M23" i="14" s="1"/>
  <c r="Q22" i="14"/>
  <c r="Q23" i="14" s="1"/>
  <c r="F24" i="14"/>
  <c r="N24" i="14"/>
  <c r="N25" i="14" s="1"/>
  <c r="H26" i="14"/>
  <c r="P26" i="14"/>
  <c r="P27" i="14" s="1"/>
  <c r="P27" i="11"/>
  <c r="T27" i="11"/>
  <c r="O29" i="11"/>
  <c r="S29" i="11"/>
  <c r="O27" i="11"/>
  <c r="S27" i="11"/>
  <c r="N29" i="11"/>
  <c r="R29" i="11"/>
  <c r="N34" i="11"/>
  <c r="N35" i="11" s="1"/>
  <c r="S34" i="11"/>
  <c r="S35" i="11" s="1"/>
  <c r="P36" i="11"/>
  <c r="P37" i="11" s="1"/>
  <c r="O36" i="11"/>
  <c r="O37" i="11" s="1"/>
  <c r="S36" i="11"/>
  <c r="S37" i="11" s="1"/>
  <c r="H30" i="11"/>
  <c r="H31" i="11" s="1"/>
  <c r="J34" i="11"/>
  <c r="J35" i="11" s="1"/>
  <c r="L34" i="11"/>
  <c r="L35" i="11" s="1"/>
  <c r="L22" i="11"/>
  <c r="L23" i="11" s="1"/>
  <c r="G32" i="11"/>
  <c r="G33" i="11" s="1"/>
  <c r="G24" i="11"/>
  <c r="G25" i="11" s="1"/>
  <c r="I32" i="11"/>
  <c r="I33" i="11" s="1"/>
  <c r="I24" i="11"/>
  <c r="I25" i="11" s="1"/>
  <c r="K32" i="11"/>
  <c r="K33" i="11" s="1"/>
  <c r="K24" i="11"/>
  <c r="K25" i="11" s="1"/>
  <c r="G30" i="11"/>
  <c r="G31" i="11" s="1"/>
  <c r="G22" i="11"/>
  <c r="G23" i="11" s="1"/>
  <c r="I30" i="11"/>
  <c r="I31" i="11" s="1"/>
  <c r="I22" i="11"/>
  <c r="I23" i="11" s="1"/>
  <c r="K30" i="11"/>
  <c r="K31" i="11" s="1"/>
  <c r="H36" i="11"/>
  <c r="H37" i="11" s="1"/>
  <c r="J36" i="11"/>
  <c r="J37" i="11" s="1"/>
  <c r="L36" i="11"/>
  <c r="L37" i="11" s="1"/>
  <c r="M32" i="11"/>
  <c r="M33" i="11" s="1"/>
  <c r="N32" i="11"/>
  <c r="N33" i="11" s="1"/>
  <c r="T32" i="11"/>
  <c r="T33" i="11" s="1"/>
  <c r="R30" i="11"/>
  <c r="R31" i="11" s="1"/>
  <c r="T30" i="11"/>
  <c r="T31" i="11" s="1"/>
  <c r="M30" i="11"/>
  <c r="M31" i="11" s="1"/>
  <c r="O30" i="11"/>
  <c r="O31" i="11" s="1"/>
  <c r="Q30" i="11"/>
  <c r="Q31" i="11" s="1"/>
  <c r="M24" i="11"/>
  <c r="M25" i="11" s="1"/>
  <c r="Q24" i="11"/>
  <c r="Q25" i="11" s="1"/>
  <c r="P24" i="11"/>
  <c r="P25" i="11" s="1"/>
  <c r="N22" i="11"/>
  <c r="N23" i="11" s="1"/>
  <c r="P22" i="11"/>
  <c r="P23" i="11" s="1"/>
  <c r="F30" i="11"/>
  <c r="U36" i="11"/>
  <c r="U37" i="11" s="1"/>
  <c r="F32" i="11"/>
  <c r="F22" i="11"/>
  <c r="U24" i="11"/>
  <c r="U25" i="11" s="1"/>
  <c r="N27" i="11"/>
  <c r="R27" i="11"/>
  <c r="M29" i="11"/>
  <c r="Q29" i="11"/>
  <c r="M27" i="11"/>
  <c r="Q27" i="11"/>
  <c r="L29" i="11"/>
  <c r="P29" i="11"/>
  <c r="T29" i="11"/>
  <c r="P34" i="11"/>
  <c r="P35" i="11" s="1"/>
  <c r="F36" i="11"/>
  <c r="R36" i="11"/>
  <c r="R37" i="11" s="1"/>
  <c r="Q36" i="11"/>
  <c r="Q37" i="11" s="1"/>
  <c r="H34" i="11"/>
  <c r="H35" i="11" s="1"/>
  <c r="H22" i="11"/>
  <c r="H23" i="11" s="1"/>
  <c r="J30" i="11"/>
  <c r="J31" i="11" s="1"/>
  <c r="J22" i="11"/>
  <c r="J23" i="11" s="1"/>
  <c r="L30" i="11"/>
  <c r="L31" i="11" s="1"/>
  <c r="G36" i="11"/>
  <c r="G37" i="11" s="1"/>
  <c r="I36" i="11"/>
  <c r="I37" i="11" s="1"/>
  <c r="K36" i="11"/>
  <c r="K37" i="11" s="1"/>
  <c r="G34" i="11"/>
  <c r="G35" i="11" s="1"/>
  <c r="I34" i="11"/>
  <c r="I35" i="11" s="1"/>
  <c r="K34" i="11"/>
  <c r="K35" i="11" s="1"/>
  <c r="K22" i="11"/>
  <c r="K23" i="11" s="1"/>
  <c r="H32" i="11"/>
  <c r="H33" i="11" s="1"/>
  <c r="H24" i="11"/>
  <c r="H25" i="11" s="1"/>
  <c r="J32" i="11"/>
  <c r="J33" i="11" s="1"/>
  <c r="J24" i="11"/>
  <c r="J25" i="11" s="1"/>
  <c r="L32" i="11"/>
  <c r="L33" i="11" s="1"/>
  <c r="L24" i="11"/>
  <c r="L25" i="11" s="1"/>
  <c r="M36" i="11"/>
  <c r="M37" i="11" s="1"/>
  <c r="N36" i="11"/>
  <c r="N37" i="11" s="1"/>
  <c r="T36" i="11"/>
  <c r="T37" i="11" s="1"/>
  <c r="R34" i="11"/>
  <c r="R35" i="11" s="1"/>
  <c r="T34" i="11"/>
  <c r="T35" i="11" s="1"/>
  <c r="M34" i="11"/>
  <c r="M35" i="11" s="1"/>
  <c r="O34" i="11"/>
  <c r="O35" i="11" s="1"/>
  <c r="Q34" i="11"/>
  <c r="Q35" i="11" s="1"/>
  <c r="O32" i="11"/>
  <c r="O33" i="11" s="1"/>
  <c r="Q32" i="11"/>
  <c r="Q33" i="11" s="1"/>
  <c r="S32" i="11"/>
  <c r="S33" i="11" s="1"/>
  <c r="P32" i="11"/>
  <c r="P33" i="11" s="1"/>
  <c r="R32" i="11"/>
  <c r="R33" i="11" s="1"/>
  <c r="P30" i="11"/>
  <c r="P31" i="11" s="1"/>
  <c r="N30" i="11"/>
  <c r="N31" i="11" s="1"/>
  <c r="S30" i="11"/>
  <c r="S31" i="11" s="1"/>
  <c r="N24" i="11"/>
  <c r="N25" i="11" s="1"/>
  <c r="T24" i="11"/>
  <c r="T25" i="11" s="1"/>
  <c r="R22" i="11"/>
  <c r="R23" i="11" s="1"/>
  <c r="T22" i="11"/>
  <c r="T23" i="11" s="1"/>
  <c r="M22" i="11"/>
  <c r="M23" i="11" s="1"/>
  <c r="O22" i="11"/>
  <c r="O23" i="11" s="1"/>
  <c r="Q22" i="11"/>
  <c r="Q23" i="11" s="1"/>
  <c r="O24" i="11"/>
  <c r="O25" i="11" s="1"/>
  <c r="S24" i="11"/>
  <c r="S25" i="11" s="1"/>
  <c r="R24" i="11"/>
  <c r="R25" i="11" s="1"/>
  <c r="S22" i="11"/>
  <c r="S23" i="11" s="1"/>
  <c r="F34" i="11"/>
  <c r="U32" i="11"/>
  <c r="U33" i="11" s="1"/>
  <c r="F24" i="11"/>
  <c r="U28" i="11"/>
  <c r="U29" i="11" s="1"/>
  <c r="L23" i="16" l="1"/>
  <c r="H27" i="14"/>
  <c r="AD28" i="14" s="1"/>
  <c r="AE28" i="14" s="1" a="1"/>
  <c r="AE28" i="14" s="1"/>
  <c r="H31" i="14"/>
  <c r="AD32" i="14" s="1"/>
  <c r="AE32" i="14" s="1" a="1"/>
  <c r="AE32" i="14" s="1"/>
  <c r="AD31" i="14"/>
  <c r="AE31" i="14" s="1" a="1"/>
  <c r="AE31" i="14" s="1"/>
  <c r="H27" i="15"/>
  <c r="AD29" i="15" s="1"/>
  <c r="AE29" i="15" s="1" a="1"/>
  <c r="AE29" i="15" s="1"/>
  <c r="AD28" i="15"/>
  <c r="AE28" i="15" s="1" a="1"/>
  <c r="AE28" i="15" s="1"/>
  <c r="AF26" i="15"/>
  <c r="AH26" i="15" s="1" a="1"/>
  <c r="AH26" i="15" s="1"/>
  <c r="AD26" i="15"/>
  <c r="AE26" i="15" s="1" a="1"/>
  <c r="AE26" i="15" s="1"/>
  <c r="H35" i="14"/>
  <c r="AD36" i="14" s="1"/>
  <c r="AE36" i="14" s="1" a="1"/>
  <c r="AE36" i="14" s="1"/>
  <c r="H23" i="14"/>
  <c r="AF22" i="14" s="1"/>
  <c r="AH22" i="14" s="1" a="1"/>
  <c r="AH22" i="14" s="1"/>
  <c r="H23" i="16"/>
  <c r="H23" i="15"/>
  <c r="AD25" i="15" s="1"/>
  <c r="AE25" i="15" s="1" a="1"/>
  <c r="AE25" i="15" s="1"/>
  <c r="F25" i="11"/>
  <c r="V25" i="11" s="1"/>
  <c r="V24" i="11"/>
  <c r="V34" i="11"/>
  <c r="F35" i="11"/>
  <c r="V35" i="11" s="1"/>
  <c r="F37" i="11"/>
  <c r="V37" i="11" s="1"/>
  <c r="V36" i="11"/>
  <c r="F29" i="11"/>
  <c r="V29" i="11" s="1"/>
  <c r="V28" i="11"/>
  <c r="V32" i="11"/>
  <c r="F33" i="11"/>
  <c r="V33" i="11" s="1"/>
  <c r="V30" i="11"/>
  <c r="F31" i="11"/>
  <c r="V31" i="11" s="1"/>
  <c r="F27" i="14"/>
  <c r="V27" i="14" s="1"/>
  <c r="V26" i="14"/>
  <c r="V22" i="14"/>
  <c r="F23" i="14"/>
  <c r="V23" i="14" s="1"/>
  <c r="F37" i="14"/>
  <c r="V37" i="14" s="1"/>
  <c r="V36" i="14"/>
  <c r="F25" i="15"/>
  <c r="V25" i="15" s="1"/>
  <c r="V24" i="15"/>
  <c r="F31" i="14"/>
  <c r="V31" i="14" s="1"/>
  <c r="V30" i="14"/>
  <c r="F27" i="15"/>
  <c r="V27" i="15" s="1"/>
  <c r="V26" i="15"/>
  <c r="F33" i="14"/>
  <c r="V33" i="14" s="1"/>
  <c r="W32" i="14" s="1"/>
  <c r="V32" i="14"/>
  <c r="W30" i="14" s="1"/>
  <c r="F35" i="14"/>
  <c r="V35" i="14" s="1"/>
  <c r="V34" i="14"/>
  <c r="F25" i="16"/>
  <c r="V25" i="16" s="1"/>
  <c r="V24" i="16"/>
  <c r="F23" i="11"/>
  <c r="V23" i="11" s="1"/>
  <c r="V22" i="11"/>
  <c r="AD23" i="11"/>
  <c r="AE23" i="11" s="1" a="1"/>
  <c r="AE23" i="11" s="1"/>
  <c r="L27" i="11"/>
  <c r="V27" i="11" s="1"/>
  <c r="V26" i="11"/>
  <c r="AD28" i="11"/>
  <c r="AE28" i="11" s="1" a="1"/>
  <c r="AE28" i="11" s="1"/>
  <c r="F25" i="14"/>
  <c r="V25" i="14" s="1"/>
  <c r="V24" i="14"/>
  <c r="V22" i="15"/>
  <c r="F23" i="15"/>
  <c r="V23" i="15" s="1"/>
  <c r="V28" i="15"/>
  <c r="F29" i="15"/>
  <c r="V29" i="15" s="1"/>
  <c r="V28" i="14"/>
  <c r="F29" i="14"/>
  <c r="V29" i="14" s="1"/>
  <c r="V22" i="16"/>
  <c r="F23" i="16"/>
  <c r="V23" i="16" s="1"/>
  <c r="AD22" i="14" l="1"/>
  <c r="AE22" i="14" s="1" a="1"/>
  <c r="AE22" i="14" s="1"/>
  <c r="AD35" i="14"/>
  <c r="AE35" i="14" s="1" a="1"/>
  <c r="AE35" i="14" s="1"/>
  <c r="AD34" i="14"/>
  <c r="AE34" i="14" s="1" a="1"/>
  <c r="AE34" i="14" s="1"/>
  <c r="AD24" i="14"/>
  <c r="AE24" i="14" s="1" a="1"/>
  <c r="AE24" i="14" s="1"/>
  <c r="AD23" i="14"/>
  <c r="AE23" i="14" s="1" a="1"/>
  <c r="AE23" i="14" s="1"/>
  <c r="AD30" i="14"/>
  <c r="AE30" i="14" s="1" a="1"/>
  <c r="AE30" i="14" s="1"/>
  <c r="AD27" i="14"/>
  <c r="AE27" i="14" s="1" a="1"/>
  <c r="AE27" i="14" s="1"/>
  <c r="AD24" i="15"/>
  <c r="AE24" i="15" s="1" a="1"/>
  <c r="AE24" i="15" s="1"/>
  <c r="AD25" i="14"/>
  <c r="AE25" i="14" s="1" a="1"/>
  <c r="AE25" i="14" s="1"/>
  <c r="AD27" i="15"/>
  <c r="AE27" i="15" s="1" a="1"/>
  <c r="AE27" i="15" s="1"/>
  <c r="AD29" i="14"/>
  <c r="AE29" i="14" s="1" a="1"/>
  <c r="AE29" i="14" s="1"/>
  <c r="AF22" i="16"/>
  <c r="AH22" i="16" s="1" a="1"/>
  <c r="AH22" i="16" s="1"/>
  <c r="AD22" i="16"/>
  <c r="AE22" i="16" s="1" a="1"/>
  <c r="AE22" i="16" s="1"/>
  <c r="AD25" i="16"/>
  <c r="AE25" i="16" s="1" a="1"/>
  <c r="AE25" i="16" s="1"/>
  <c r="AD24" i="16"/>
  <c r="AE24" i="16" s="1" a="1"/>
  <c r="AE24" i="16" s="1"/>
  <c r="AD23" i="16"/>
  <c r="AE23" i="16" s="1" a="1"/>
  <c r="AE23" i="16" s="1"/>
  <c r="W26" i="14"/>
  <c r="AD23" i="15"/>
  <c r="AE23" i="15" s="1" a="1"/>
  <c r="AE23" i="15" s="1"/>
  <c r="AD37" i="14"/>
  <c r="AE37" i="14" s="1" a="1"/>
  <c r="AE37" i="14" s="1"/>
  <c r="AF34" i="14"/>
  <c r="AH34" i="14" s="1" a="1"/>
  <c r="AH34" i="14" s="1"/>
  <c r="AD33" i="14"/>
  <c r="AE33" i="14" s="1" a="1"/>
  <c r="AE33" i="14" s="1"/>
  <c r="AF30" i="14"/>
  <c r="AH30" i="14" s="1" a="1"/>
  <c r="AH30" i="14" s="1"/>
  <c r="AD26" i="14"/>
  <c r="AE26" i="14" s="1" a="1"/>
  <c r="AE26" i="14" s="1"/>
  <c r="AF26" i="14"/>
  <c r="AH26" i="14" s="1" a="1"/>
  <c r="AH26" i="14" s="1"/>
  <c r="W28" i="14"/>
  <c r="W28" i="15"/>
  <c r="W28" i="11"/>
  <c r="AF22" i="15"/>
  <c r="AH22" i="15" s="1" a="1"/>
  <c r="AH22" i="15" s="1"/>
  <c r="AD22" i="15"/>
  <c r="AE22" i="15" s="1" a="1"/>
  <c r="AE22" i="15" s="1"/>
  <c r="W26" i="15"/>
  <c r="AF26" i="11"/>
  <c r="AH26" i="11" s="1" a="1"/>
  <c r="AH26" i="11" s="1"/>
  <c r="W24" i="14"/>
  <c r="AD26" i="11"/>
  <c r="AE26" i="11" s="1" a="1"/>
  <c r="AE26" i="11" s="1"/>
  <c r="AD29" i="11"/>
  <c r="AE29" i="11" s="1" a="1"/>
  <c r="AE29" i="11" s="1"/>
  <c r="AD27" i="11"/>
  <c r="AE27" i="11" s="1" a="1"/>
  <c r="AE27" i="11" s="1"/>
  <c r="W22" i="14"/>
  <c r="AD32" i="11"/>
  <c r="AE32" i="11" s="1" a="1"/>
  <c r="AE32" i="11" s="1"/>
  <c r="AD24" i="11"/>
  <c r="AE24" i="11" s="1" a="1"/>
  <c r="AE24" i="11" s="1"/>
  <c r="AF30" i="11"/>
  <c r="AH30" i="11" s="1" a="1"/>
  <c r="AH30" i="11" s="1"/>
  <c r="AD30" i="11"/>
  <c r="AE30" i="11" s="1" a="1"/>
  <c r="AE30" i="11" s="1"/>
  <c r="AD31" i="11"/>
  <c r="AE31" i="11" s="1" a="1"/>
  <c r="AE31" i="11" s="1"/>
  <c r="W36" i="11"/>
  <c r="AD33" i="11"/>
  <c r="AE33" i="11" s="1" a="1"/>
  <c r="AE33" i="11" s="1"/>
  <c r="AD25" i="11"/>
  <c r="AE25" i="11" s="1" a="1"/>
  <c r="AE25" i="11" s="1"/>
  <c r="W34" i="11"/>
  <c r="AD22" i="11"/>
  <c r="AE22" i="11" s="1" a="1"/>
  <c r="AE22" i="11" s="1"/>
  <c r="AF22" i="11"/>
  <c r="AH22" i="11" s="1" a="1"/>
  <c r="AH22" i="11" s="1"/>
  <c r="W22" i="16"/>
  <c r="W24" i="15"/>
  <c r="W36" i="14"/>
  <c r="W32" i="11"/>
  <c r="W26" i="11"/>
  <c r="AD35" i="11"/>
  <c r="AE35" i="11" s="1" a="1"/>
  <c r="AE35" i="11" s="1"/>
  <c r="AD34" i="11"/>
  <c r="AE34" i="11" s="1" a="1"/>
  <c r="AE34" i="11" s="1"/>
  <c r="W22" i="11"/>
  <c r="W24" i="16"/>
  <c r="W22" i="15"/>
  <c r="W34" i="14"/>
  <c r="W30" i="11"/>
  <c r="AD36" i="11"/>
  <c r="AE36" i="11" s="1" a="1"/>
  <c r="AE36" i="11" s="1"/>
  <c r="AD37" i="11"/>
  <c r="AE37" i="11" s="1" a="1"/>
  <c r="AE37" i="11" s="1"/>
  <c r="AF34" i="11"/>
  <c r="AH34" i="11" s="1" a="1"/>
  <c r="AH34" i="11" s="1"/>
  <c r="W24" i="11"/>
</calcChain>
</file>

<file path=xl/comments1.xml><?xml version="1.0" encoding="utf-8"?>
<comments xmlns="http://schemas.openxmlformats.org/spreadsheetml/2006/main">
  <authors>
    <author>мама</author>
  </authors>
  <commentLis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<sst xmlns="http://schemas.openxmlformats.org/spreadsheetml/2006/main" count="320" uniqueCount="80">
  <si>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</si>
  <si>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</si>
  <si>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</si>
  <si>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</si>
  <si>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</si>
  <si>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</si>
  <si>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</si>
  <si>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</si>
  <si>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</si>
  <si>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</si>
  <si>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</si>
  <si>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</si>
  <si>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</si>
  <si>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</si>
  <si>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</si>
  <si>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</si>
  <si>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</si>
  <si>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</si>
  <si>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</si>
  <si>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</si>
  <si>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</si>
  <si>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</si>
  <si>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</si>
  <si>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</si>
  <si>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</si>
  <si>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</si>
  <si>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</si>
  <si>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</si>
  <si>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</si>
  <si>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</si>
  <si>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</si>
  <si>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</si>
  <si>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</si>
  <si>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</si>
  <si>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</si>
  <si>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</si>
  <si>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</si>
  <si>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</si>
  <si>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</si>
  <si>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</si>
  <si>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</si>
  <si>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</si>
  <si>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</si>
  <si>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</si>
  <si>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</si>
  <si>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</si>
  <si>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</si>
  <si>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</si>
  <si>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</si>
  <si>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</si>
  <si>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</si>
  <si>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</si>
  <si>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</si>
  <si>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</si>
  <si>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</si>
  <si>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</si>
  <si>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</si>
  <si>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</si>
  <si>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</si>
  <si>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</si>
  <si>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</si>
  <si>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</si>
  <si>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</si>
  <si>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</si>
  <si>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</si>
  <si>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</si>
  <si>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</si>
  <si>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</si>
  <si>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</si>
  <si>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Начальник отдела</t>
  </si>
  <si>
    <t>дни, часы</t>
  </si>
  <si>
    <t>Сектор транспортного обеспечения</t>
  </si>
  <si>
    <t>Сектор административно-хозяйственного обеспечения</t>
  </si>
  <si>
    <t>ОТ</t>
  </si>
  <si>
    <t>В</t>
  </si>
  <si>
    <t>Сектор материально-технического обеспечения</t>
  </si>
  <si>
    <t>Материально-технический отдел</t>
  </si>
  <si>
    <t>11(87)</t>
  </si>
  <si>
    <t>Должно быть</t>
  </si>
  <si>
    <t>Не считает Рабочие выходные(Всякие)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</si>
</sst>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d"/>
    <numFmt numFmtId="166" formatCode="0000000000"/>
    <numFmt numFmtId="167" formatCode="General;;;@"/>
  </numFmts>
  <fonts count="6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36"/>
      <name val="Arial Cyr"/>
      <charset val="204"/>
    </font>
    <font>
      <b/>
      <sz val="36"/>
      <name val="Arial Narrow"/>
      <family val="2"/>
      <charset val="204"/>
    </font>
    <font>
      <sz val="18"/>
      <color indexed="10"/>
      <name val="Arial Cyr"/>
      <charset val="204"/>
    </font>
    <font>
      <b/>
      <sz val="10"/>
      <color rgb="FFFF000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</cellStyleXfs>
  <cellXfs count="336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14" xfId="0" applyFont="1" applyBorder="1" applyAlignment="1" applyProtection="1">
      <alignment vertical="top"/>
      <protection locked="0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  <protection locked="0"/>
    </xf>
    <xf numFmtId="166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54" fillId="0" borderId="0" xfId="0" applyFont="1" applyFill="1" applyBorder="1" applyProtection="1">
      <protection locked="0"/>
    </xf>
    <xf numFmtId="0" fontId="5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8" fillId="0" borderId="12" xfId="0" applyFont="1" applyFill="1" applyBorder="1" applyAlignment="1" applyProtection="1">
      <alignment horizontal="center" vertical="center" wrapText="1"/>
      <protection locked="0"/>
    </xf>
    <xf numFmtId="166" fontId="5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shrinkToFit="1"/>
    </xf>
    <xf numFmtId="1" fontId="1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1" fontId="1" fillId="0" borderId="47" xfId="0" applyNumberFormat="1" applyFont="1" applyFill="1" applyBorder="1" applyAlignment="1" applyProtection="1">
      <alignment horizontal="center" vertical="center" shrinkToFit="1"/>
    </xf>
    <xf numFmtId="0" fontId="1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37" xfId="0" applyNumberFormat="1" applyFont="1" applyFill="1" applyBorder="1" applyAlignment="1" applyProtection="1">
      <alignment horizontal="center" vertical="center" shrinkToFit="1"/>
    </xf>
    <xf numFmtId="1" fontId="1" fillId="28" borderId="12" xfId="0" applyNumberFormat="1" applyFont="1" applyFill="1" applyBorder="1" applyAlignment="1" applyProtection="1">
      <alignment horizontal="center" vertical="center" shrinkToFit="1"/>
    </xf>
    <xf numFmtId="1" fontId="1" fillId="0" borderId="53" xfId="0" applyNumberFormat="1" applyFont="1" applyFill="1" applyBorder="1" applyAlignment="1" applyProtection="1">
      <alignment horizontal="center" vertical="center" shrinkToFit="1"/>
    </xf>
    <xf numFmtId="1" fontId="1" fillId="0" borderId="12" xfId="0" applyNumberFormat="1" applyFont="1" applyFill="1" applyBorder="1" applyAlignment="1" applyProtection="1">
      <alignment horizontal="center" vertical="center" shrinkToFit="1"/>
    </xf>
    <xf numFmtId="1" fontId="1" fillId="0" borderId="22" xfId="0" applyNumberFormat="1" applyFont="1" applyFill="1" applyBorder="1" applyAlignment="1" applyProtection="1">
      <alignment horizontal="center" vertical="center" shrinkToFit="1"/>
    </xf>
    <xf numFmtId="1" fontId="1" fillId="28" borderId="22" xfId="0" applyNumberFormat="1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" fontId="1" fillId="0" borderId="39" xfId="0" applyNumberFormat="1" applyFont="1" applyFill="1" applyBorder="1" applyAlignment="1" applyProtection="1">
      <alignment horizontal="center" vertical="center" shrinkToFit="1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53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61" xfId="0" applyFont="1" applyFill="1" applyBorder="1" applyAlignment="1" applyProtection="1">
      <alignment vertical="center" wrapText="1"/>
      <protection locked="0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0" fillId="0" borderId="61" xfId="0" applyBorder="1" applyProtection="1">
      <protection locked="0"/>
    </xf>
    <xf numFmtId="0" fontId="50" fillId="0" borderId="0" xfId="0" applyFont="1" applyFill="1" applyBorder="1" applyAlignment="1" applyProtection="1">
      <alignment vertical="center"/>
    </xf>
    <xf numFmtId="0" fontId="0" fillId="0" borderId="0" xfId="0" applyBorder="1"/>
    <xf numFmtId="0" fontId="0" fillId="32" borderId="0" xfId="0" applyFill="1"/>
    <xf numFmtId="0" fontId="50" fillId="32" borderId="0" xfId="0" applyFont="1" applyFill="1" applyBorder="1" applyAlignment="1" applyProtection="1">
      <alignment vertical="center"/>
    </xf>
    <xf numFmtId="0" fontId="59" fillId="32" borderId="0" xfId="0" applyFont="1" applyFill="1"/>
    <xf numFmtId="0" fontId="59" fillId="32" borderId="0" xfId="0" applyFont="1" applyFill="1" applyBorder="1" applyAlignment="1" applyProtection="1">
      <alignment vertical="center"/>
      <protection locked="0"/>
    </xf>
    <xf numFmtId="0" fontId="60" fillId="32" borderId="0" xfId="0" applyFont="1" applyFill="1" applyBorder="1" applyAlignment="1">
      <alignment vertical="center"/>
    </xf>
    <xf numFmtId="166" fontId="58" fillId="0" borderId="12" xfId="0" applyNumberFormat="1" applyFont="1" applyFill="1" applyBorder="1" applyAlignment="1">
      <alignment horizontal="center" vertical="center"/>
    </xf>
    <xf numFmtId="166" fontId="58" fillId="0" borderId="12" xfId="0" applyNumberFormat="1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166" fontId="58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43" fillId="0" borderId="1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</xf>
    <xf numFmtId="0" fontId="43" fillId="0" borderId="54" xfId="0" applyFont="1" applyFill="1" applyBorder="1" applyAlignment="1" applyProtection="1">
      <alignment horizontal="center" vertical="center"/>
    </xf>
    <xf numFmtId="0" fontId="43" fillId="0" borderId="32" xfId="0" applyFont="1" applyFill="1" applyBorder="1" applyAlignment="1" applyProtection="1">
      <alignment horizontal="center" vertical="center"/>
    </xf>
    <xf numFmtId="0" fontId="43" fillId="0" borderId="68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  <protection locked="0"/>
    </xf>
    <xf numFmtId="0" fontId="43" fillId="0" borderId="43" xfId="0" applyFont="1" applyFill="1" applyBorder="1" applyAlignment="1" applyProtection="1">
      <alignment horizontal="center" vertical="center"/>
      <protection locked="0"/>
    </xf>
    <xf numFmtId="0" fontId="43" fillId="0" borderId="41" xfId="0" applyFont="1" applyFill="1" applyBorder="1" applyAlignment="1" applyProtection="1">
      <alignment horizontal="center" vertical="center"/>
    </xf>
    <xf numFmtId="0" fontId="43" fillId="0" borderId="53" xfId="0" applyFont="1" applyFill="1" applyBorder="1" applyAlignment="1" applyProtection="1">
      <alignment horizontal="center" vertical="center"/>
      <protection locked="0"/>
    </xf>
    <xf numFmtId="0" fontId="43" fillId="0" borderId="12" xfId="0" applyFont="1" applyFill="1" applyBorder="1" applyAlignment="1" applyProtection="1">
      <alignment horizontal="center" vertical="center"/>
    </xf>
    <xf numFmtId="0" fontId="43" fillId="0" borderId="50" xfId="0" applyFont="1" applyFill="1" applyBorder="1" applyAlignment="1" applyProtection="1">
      <alignment horizontal="center" vertical="center"/>
    </xf>
    <xf numFmtId="0" fontId="60" fillId="27" borderId="10" xfId="0" applyFont="1" applyFill="1" applyBorder="1" applyAlignment="1">
      <alignment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1" fontId="1" fillId="0" borderId="38" xfId="0" applyNumberFormat="1" applyFont="1" applyFill="1" applyBorder="1" applyAlignment="1" applyProtection="1">
      <alignment horizontal="center" vertical="center" shrinkToFit="1"/>
    </xf>
    <xf numFmtId="1" fontId="1" fillId="0" borderId="41" xfId="0" applyNumberFormat="1" applyFont="1" applyFill="1" applyBorder="1" applyAlignment="1" applyProtection="1">
      <alignment horizontal="center" vertical="center" shrinkToFit="1"/>
    </xf>
    <xf numFmtId="1" fontId="1" fillId="0" borderId="13" xfId="0" applyNumberFormat="1" applyFont="1" applyFill="1" applyBorder="1" applyAlignment="1" applyProtection="1">
      <alignment horizontal="center" vertical="center" shrinkToFit="1"/>
    </xf>
    <xf numFmtId="1" fontId="1" fillId="0" borderId="52" xfId="0" applyNumberFormat="1" applyFont="1" applyFill="1" applyBorder="1" applyAlignment="1" applyProtection="1">
      <alignment horizontal="center" vertical="center" shrinkToFit="1"/>
    </xf>
    <xf numFmtId="1" fontId="1" fillId="28" borderId="50" xfId="0" applyNumberFormat="1" applyFont="1" applyFill="1" applyBorder="1" applyAlignment="1" applyProtection="1">
      <alignment horizontal="center" vertical="center" shrinkToFit="1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7" fillId="25" borderId="12" xfId="0" applyNumberFormat="1" applyFont="1" applyFill="1" applyBorder="1" applyAlignment="1">
      <alignment horizontal="center" vertical="top"/>
    </xf>
    <xf numFmtId="14" fontId="44" fillId="25" borderId="12" xfId="0" applyNumberFormat="1" applyFont="1" applyFill="1" applyBorder="1" applyAlignment="1">
      <alignment horizontal="center" vertical="top"/>
    </xf>
    <xf numFmtId="14" fontId="47" fillId="24" borderId="12" xfId="0" applyNumberFormat="1" applyFont="1" applyFill="1" applyBorder="1"/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4" fontId="44" fillId="24" borderId="12" xfId="0" applyNumberFormat="1" applyFont="1" applyFill="1" applyBorder="1"/>
    <xf numFmtId="14" fontId="44" fillId="0" borderId="12" xfId="0" applyNumberFormat="1" applyFont="1" applyBorder="1"/>
    <xf numFmtId="1" fontId="0" fillId="0" borderId="37" xfId="0" applyNumberFormat="1" applyFont="1" applyFill="1" applyBorder="1" applyAlignment="1" applyProtection="1">
      <alignment horizontal="center" vertical="center" shrinkToFit="1"/>
    </xf>
    <xf numFmtId="1" fontId="0" fillId="0" borderId="12" xfId="0" applyNumberFormat="1" applyFont="1" applyFill="1" applyBorder="1" applyAlignment="1" applyProtection="1">
      <alignment horizontal="center" vertical="center" shrinkToFit="1"/>
    </xf>
    <xf numFmtId="0" fontId="56" fillId="0" borderId="12" xfId="0" applyFont="1" applyFill="1" applyBorder="1" applyAlignment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67" xfId="0" applyFont="1" applyFill="1" applyBorder="1" applyAlignment="1" applyProtection="1">
      <alignment horizontal="center" vertical="center"/>
    </xf>
    <xf numFmtId="0" fontId="43" fillId="0" borderId="14" xfId="0" applyFont="1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43" fillId="0" borderId="38" xfId="0" applyFont="1" applyFill="1" applyBorder="1" applyAlignment="1" applyProtection="1">
      <alignment horizontal="center" vertical="center"/>
    </xf>
    <xf numFmtId="0" fontId="43" fillId="0" borderId="40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</xf>
    <xf numFmtId="0" fontId="43" fillId="0" borderId="11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53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43" fillId="0" borderId="11" xfId="0" applyFont="1" applyFill="1" applyBorder="1" applyAlignment="1" applyProtection="1">
      <alignment horizontal="center" vertical="center"/>
      <protection locked="0"/>
    </xf>
    <xf numFmtId="0" fontId="43" fillId="0" borderId="52" xfId="0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29" xfId="0" applyFont="1" applyFill="1" applyBorder="1" applyAlignment="1" applyProtection="1">
      <alignment horizontal="center" vertical="center"/>
    </xf>
    <xf numFmtId="0" fontId="43" fillId="0" borderId="72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167" fontId="51" fillId="0" borderId="60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Border="1" applyAlignment="1" applyProtection="1">
      <alignment horizontal="center" vertical="center" wrapText="1"/>
      <protection locked="0"/>
    </xf>
    <xf numFmtId="0" fontId="52" fillId="0" borderId="10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49" fontId="4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167" fontId="51" fillId="0" borderId="61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4" xfId="0" applyFont="1" applyFill="1" applyBorder="1" applyAlignment="1" applyProtection="1">
      <alignment horizontal="center" vertical="center"/>
    </xf>
    <xf numFmtId="0" fontId="43" fillId="0" borderId="43" xfId="0" applyFont="1" applyFill="1" applyBorder="1" applyAlignment="1" applyProtection="1">
      <alignment horizontal="center" vertical="center"/>
    </xf>
    <xf numFmtId="0" fontId="43" fillId="0" borderId="27" xfId="0" applyFont="1" applyFill="1" applyBorder="1" applyAlignment="1" applyProtection="1">
      <alignment horizontal="center" vertical="center"/>
      <protection locked="0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Protection="1"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 textRotation="90" wrapText="1"/>
      <protection locked="0"/>
    </xf>
    <xf numFmtId="0" fontId="0" fillId="0" borderId="57" xfId="0" applyBorder="1" applyAlignment="1" applyProtection="1">
      <alignment horizontal="center" vertical="center" textRotation="90"/>
      <protection locked="0"/>
    </xf>
    <xf numFmtId="0" fontId="0" fillId="0" borderId="58" xfId="0" applyBorder="1" applyAlignment="1" applyProtection="1">
      <alignment horizontal="center" vertical="center" textRotation="90"/>
      <protection locked="0"/>
    </xf>
    <xf numFmtId="0" fontId="0" fillId="0" borderId="54" xfId="0" applyBorder="1" applyAlignment="1" applyProtection="1">
      <alignment horizontal="center" vertical="center" textRotation="90" wrapText="1"/>
      <protection locked="0"/>
    </xf>
    <xf numFmtId="0" fontId="0" fillId="0" borderId="32" xfId="0" applyBorder="1" applyAlignment="1" applyProtection="1">
      <alignment horizontal="center" vertical="center" textRotation="90"/>
      <protection locked="0"/>
    </xf>
    <xf numFmtId="0" fontId="0" fillId="0" borderId="14" xfId="0" applyBorder="1" applyAlignment="1" applyProtection="1">
      <alignment horizontal="center" vertical="center" textRotation="90"/>
      <protection locked="0"/>
    </xf>
    <xf numFmtId="165" fontId="0" fillId="0" borderId="22" xfId="0" applyNumberFormat="1" applyFont="1" applyFill="1" applyBorder="1" applyAlignment="1" applyProtection="1">
      <alignment horizontal="center" vertical="center"/>
      <protection locked="0"/>
    </xf>
    <xf numFmtId="165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165" fontId="0" fillId="0" borderId="45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49" fontId="49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textRotation="90" wrapText="1"/>
      <protection locked="0"/>
    </xf>
    <xf numFmtId="0" fontId="0" fillId="0" borderId="58" xfId="0" applyBorder="1" applyAlignment="1" applyProtection="1">
      <alignment horizontal="center" vertical="center" textRotation="90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0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22" fillId="0" borderId="18" xfId="36" applyNumberFormat="1" applyFont="1" applyBorder="1" applyAlignment="1" applyProtection="1">
      <alignment horizontal="center" vertical="center"/>
      <protection locked="0"/>
    </xf>
    <xf numFmtId="0" fontId="22" fillId="0" borderId="30" xfId="36" applyNumberFormat="1" applyFont="1" applyBorder="1" applyAlignment="1" applyProtection="1">
      <alignment horizontal="center" vertical="center"/>
      <protection locked="0"/>
    </xf>
    <xf numFmtId="0" fontId="22" fillId="0" borderId="31" xfId="36" applyNumberFormat="1" applyFont="1" applyBorder="1" applyAlignment="1" applyProtection="1">
      <alignment horizontal="center" vertical="center"/>
      <protection locked="0"/>
    </xf>
    <xf numFmtId="0" fontId="22" fillId="0" borderId="16" xfId="36" applyNumberFormat="1" applyFont="1" applyBorder="1" applyAlignment="1" applyProtection="1">
      <alignment horizontal="center" vertical="center"/>
      <protection locked="0"/>
    </xf>
    <xf numFmtId="0" fontId="22" fillId="0" borderId="2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50" fillId="0" borderId="10" xfId="0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 applyProtection="1">
      <alignment horizontal="center"/>
      <protection locked="0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14" fontId="36" fillId="0" borderId="74" xfId="0" applyNumberFormat="1" applyFont="1" applyFill="1" applyBorder="1" applyAlignment="1" applyProtection="1">
      <alignment horizontal="center"/>
    </xf>
    <xf numFmtId="0" fontId="50" fillId="0" borderId="32" xfId="0" applyFont="1" applyFill="1" applyBorder="1" applyAlignment="1" applyProtection="1">
      <alignment horizontal="left" vertical="center"/>
    </xf>
    <xf numFmtId="0" fontId="26" fillId="0" borderId="74" xfId="0" applyFont="1" applyFill="1" applyBorder="1" applyAlignment="1" applyProtection="1">
      <alignment horizontal="center" vertical="center"/>
      <protection locked="0"/>
    </xf>
    <xf numFmtId="14" fontId="36" fillId="0" borderId="74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49" fontId="49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57" fillId="29" borderId="12" xfId="0" applyFont="1" applyFill="1" applyBorder="1" applyAlignment="1">
      <alignment horizontal="center" vertical="center" wrapText="1"/>
    </xf>
    <xf numFmtId="0" fontId="57" fillId="27" borderId="32" xfId="0" applyFont="1" applyFill="1" applyBorder="1" applyAlignment="1">
      <alignment horizontal="center" vertical="center" wrapText="1"/>
    </xf>
    <xf numFmtId="0" fontId="57" fillId="27" borderId="11" xfId="0" applyFont="1" applyFill="1" applyBorder="1" applyAlignment="1">
      <alignment horizontal="center" vertical="center" wrapText="1"/>
    </xf>
    <xf numFmtId="0" fontId="57" fillId="30" borderId="13" xfId="0" applyFont="1" applyFill="1" applyBorder="1" applyAlignment="1">
      <alignment horizontal="center" vertical="center" wrapText="1"/>
    </xf>
    <xf numFmtId="0" fontId="57" fillId="30" borderId="11" xfId="0" applyFont="1" applyFill="1" applyBorder="1" applyAlignment="1">
      <alignment horizontal="center" vertical="center" wrapText="1"/>
    </xf>
    <xf numFmtId="0" fontId="57" fillId="31" borderId="13" xfId="0" applyFont="1" applyFill="1" applyBorder="1" applyAlignment="1">
      <alignment horizontal="center" vertical="center" wrapText="1"/>
    </xf>
    <xf numFmtId="0" fontId="57" fillId="31" borderId="11" xfId="0" applyFont="1" applyFill="1" applyBorder="1" applyAlignment="1">
      <alignment horizontal="center" vertical="center" wrapText="1"/>
    </xf>
    <xf numFmtId="0" fontId="0" fillId="27" borderId="0" xfId="0" applyFill="1" applyBorder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vertical="center"/>
      <protection locked="0"/>
    </xf>
    <xf numFmtId="0" fontId="43" fillId="33" borderId="12" xfId="0" applyFont="1" applyFill="1" applyBorder="1" applyAlignment="1" applyProtection="1">
      <alignment horizontal="center" vertical="center"/>
    </xf>
    <xf numFmtId="0" fontId="62" fillId="27" borderId="0" xfId="0" applyFont="1" applyFill="1" applyBorder="1" applyAlignment="1" applyProtection="1">
      <alignment horizontal="center" vertical="center" wrapText="1"/>
      <protection locked="0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11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%20&#1043;&#1041;&#1059;/&#1058;&#1072;&#1073;&#1077;&#1083;&#1103;/2016/&#1060;&#1077;&#1074;&#1088;&#1072;&#1083;&#1100;/&#1071;&#1085;&#1074;&#1072;&#1088;&#1100;%201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Структура"/>
      <sheetName val="всяки"/>
    </sheetNames>
    <sheetDataSet>
      <sheetData sheetId="0"/>
      <sheetData sheetId="1"/>
      <sheetData sheetId="2">
        <row r="8">
          <cell r="F8" t="str">
            <v>Сектор материально-технического обеспечения</v>
          </cell>
        </row>
      </sheetData>
      <sheetData sheetId="3"/>
      <sheetData sheetId="4"/>
      <sheetData sheetId="5">
        <row r="1">
          <cell r="A1" t="str">
            <v>Материально-технический отдел</v>
          </cell>
          <cell r="C1" t="str">
            <v>Сектор материально-технического обеспечения</v>
          </cell>
          <cell r="E1" t="str">
            <v>Сектор транспортного обеспечения</v>
          </cell>
          <cell r="G1" t="str">
            <v>Сектор административно-хозяйственного обеспечения</v>
          </cell>
        </row>
        <row r="2">
          <cell r="A2">
            <v>498</v>
          </cell>
          <cell r="B2" t="str">
            <v>Желтикова Л.А., Начальник материально-технического отдела</v>
          </cell>
          <cell r="C2">
            <v>521</v>
          </cell>
          <cell r="D2" t="str">
            <v xml:space="preserve">Боброва Т.Н., Начальник сектора МТО </v>
          </cell>
          <cell r="E2">
            <v>431</v>
          </cell>
          <cell r="F2" t="str">
            <v xml:space="preserve">Хабаров С.Н., Начальник сетора ТО </v>
          </cell>
          <cell r="G2">
            <v>544</v>
          </cell>
          <cell r="H2" t="str">
            <v>Мерзляков И.В., Слесарь-ремонтник 5 разряда</v>
          </cell>
        </row>
        <row r="3">
          <cell r="A3">
            <v>273</v>
          </cell>
          <cell r="B3" t="str">
            <v>Каримов И.Ф., начальник сектора административно-хозяйственного обеспечения</v>
          </cell>
          <cell r="C3">
            <v>572</v>
          </cell>
          <cell r="D3" t="str">
            <v xml:space="preserve">Муратов А.В., Кладовщик сектора МТО </v>
          </cell>
          <cell r="E3">
            <v>384</v>
          </cell>
          <cell r="F3" t="str">
            <v>Лопанова М.О., Ведущий специалист</v>
          </cell>
        </row>
        <row r="4">
          <cell r="A4">
            <v>347</v>
          </cell>
          <cell r="B4" t="str">
            <v>Атаулина Е.В., ведущий специалист сектора административно-хозяйственного обеспечения</v>
          </cell>
          <cell r="C4">
            <v>591</v>
          </cell>
          <cell r="D4" t="str">
            <v>Рожков К.Е., Кладовщик сектора МТО</v>
          </cell>
        </row>
        <row r="5">
          <cell r="A5">
            <v>536</v>
          </cell>
          <cell r="B5" t="str">
            <v>Кравцова О.Н., ведущий специалист сектора административно-хозяйственного обеспечения</v>
          </cell>
          <cell r="C5">
            <v>584</v>
          </cell>
          <cell r="D5" t="str">
            <v>Пичевский С.Ф.
Ведущий специалист сектора МТО</v>
          </cell>
        </row>
        <row r="6">
          <cell r="C6">
            <v>619</v>
          </cell>
          <cell r="D6" t="str">
            <v>Чернова А.В. Заведующая складом сектра МТО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127"/>
    <col min="8" max="8" width="36.28515625" style="127" customWidth="1"/>
    <col min="9" max="9" width="20.5703125" style="127" customWidth="1"/>
    <col min="10" max="17" width="9.140625" style="127"/>
  </cols>
  <sheetData>
    <row r="2" spans="6:20" ht="15.75" x14ac:dyDescent="0.2">
      <c r="I2" s="128"/>
      <c r="J2" s="128"/>
      <c r="K2" s="128"/>
      <c r="L2" s="128"/>
      <c r="M2" s="128"/>
      <c r="N2" s="128"/>
      <c r="O2" s="128"/>
      <c r="P2" s="128"/>
      <c r="Q2" s="128"/>
      <c r="R2" s="125"/>
      <c r="S2" s="125"/>
      <c r="T2" s="126"/>
    </row>
    <row r="7" spans="6:20" ht="44.25" x14ac:dyDescent="0.55000000000000004">
      <c r="F7" s="129"/>
      <c r="G7" s="129"/>
      <c r="H7" s="129"/>
      <c r="I7" s="129"/>
      <c r="J7" s="129"/>
    </row>
    <row r="8" spans="6:20" ht="45.75" x14ac:dyDescent="0.55000000000000004">
      <c r="F8" s="129"/>
      <c r="G8" s="130" t="s">
        <v>39</v>
      </c>
      <c r="H8" s="154" t="s">
        <v>46</v>
      </c>
      <c r="I8" s="131">
        <v>2016</v>
      </c>
      <c r="J8" s="131" t="s">
        <v>67</v>
      </c>
    </row>
    <row r="9" spans="6:20" ht="44.25" x14ac:dyDescent="0.55000000000000004">
      <c r="F9" s="129"/>
      <c r="G9" s="129"/>
      <c r="H9" s="129"/>
      <c r="I9" s="129"/>
      <c r="J9" s="129"/>
    </row>
  </sheetData>
  <dataValidations count="2">
    <dataValidation type="list" showInputMessage="1" showErrorMessage="1" sqref="H8">
      <formula1>месяц</formula1>
    </dataValidation>
    <dataValidation type="list" allowBlank="1" showInputMessage="1" showErrorMessage="1" sqref="I8">
      <formula1>год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62"/>
  <sheetViews>
    <sheetView topLeftCell="D23" zoomScale="85" zoomScaleNormal="85" zoomScaleSheetLayoutView="85" workbookViewId="0">
      <selection activeCell="AD41" sqref="AD41:AF41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304">
        <v>301008</v>
      </c>
      <c r="AG5" s="305"/>
      <c r="AH5" s="30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307">
        <v>11356728</v>
      </c>
      <c r="AG6" s="308"/>
      <c r="AH6" s="309"/>
    </row>
    <row r="7" spans="2:35" s="4" customFormat="1" ht="15.75" x14ac:dyDescent="0.2">
      <c r="B7" s="5"/>
      <c r="C7" s="137" t="s">
        <v>5</v>
      </c>
      <c r="D7" s="6"/>
      <c r="E7" s="310" t="s">
        <v>66</v>
      </c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319" t="s">
        <v>76</v>
      </c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22" t="s">
        <v>29</v>
      </c>
      <c r="N12" s="323"/>
      <c r="O12" s="323"/>
      <c r="P12" s="323"/>
      <c r="Q12" s="323"/>
      <c r="R12" s="323"/>
      <c r="S12" s="323"/>
      <c r="T12" s="323"/>
      <c r="U12" s="323"/>
      <c r="V12" s="323"/>
      <c r="W12" s="313" t="s">
        <v>7</v>
      </c>
      <c r="X12" s="313"/>
      <c r="Y12" s="313"/>
      <c r="Z12" s="316" t="s">
        <v>8</v>
      </c>
      <c r="AA12" s="316"/>
      <c r="AB12" s="123"/>
      <c r="AC12" s="311" t="s">
        <v>9</v>
      </c>
      <c r="AD12" s="311"/>
      <c r="AE12" s="311"/>
      <c r="AF12" s="311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14"/>
      <c r="X13" s="314"/>
      <c r="Y13" s="314"/>
      <c r="Z13" s="317"/>
      <c r="AA13" s="317"/>
      <c r="AB13" s="123"/>
      <c r="AC13" s="312" t="s">
        <v>10</v>
      </c>
      <c r="AD13" s="312"/>
      <c r="AE13" s="312" t="s">
        <v>11</v>
      </c>
      <c r="AF13" s="312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0"/>
      <c r="X14" s="320"/>
      <c r="Y14" s="320"/>
      <c r="Z14" s="318">
        <v>42429</v>
      </c>
      <c r="AA14" s="318"/>
      <c r="AB14" s="121"/>
      <c r="AC14" s="318">
        <f>DATE('Выбери месяц'!$I$8,VLOOKUP('Выбери месяц'!$H$8,всяки!$A$1:$B$12,2,0),1)</f>
        <v>42401</v>
      </c>
      <c r="AD14" s="318"/>
      <c r="AE14" s="321">
        <f>EOMONTH(AC14,0)</f>
        <v>42429</v>
      </c>
      <c r="AF14" s="321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15"/>
      <c r="X15" s="315"/>
      <c r="Y15" s="315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75" t="s">
        <v>12</v>
      </c>
      <c r="C16" s="294" t="s">
        <v>30</v>
      </c>
      <c r="D16" s="275" t="s">
        <v>13</v>
      </c>
      <c r="E16" s="278" t="s">
        <v>68</v>
      </c>
      <c r="F16" s="283" t="s">
        <v>14</v>
      </c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5"/>
      <c r="V16" s="283" t="s">
        <v>15</v>
      </c>
      <c r="W16" s="297"/>
      <c r="X16" s="298" t="s">
        <v>16</v>
      </c>
      <c r="Y16" s="299"/>
      <c r="Z16" s="299"/>
      <c r="AA16" s="299"/>
      <c r="AB16" s="284"/>
      <c r="AC16" s="285"/>
      <c r="AD16" s="300" t="s">
        <v>17</v>
      </c>
      <c r="AE16" s="301"/>
      <c r="AF16" s="301"/>
      <c r="AG16" s="301"/>
      <c r="AH16" s="302"/>
    </row>
    <row r="17" spans="2:37" ht="18" customHeight="1" x14ac:dyDescent="0.2">
      <c r="B17" s="292"/>
      <c r="C17" s="295"/>
      <c r="D17" s="276"/>
      <c r="E17" s="279"/>
      <c r="F17" s="286">
        <f>DATE('Выбери месяц'!$I$8,VLOOKUP('Выбери месяц'!$H$8,всяки!$A$1:$B$12,2,0),1)</f>
        <v>42401</v>
      </c>
      <c r="G17" s="281">
        <f>DATE('Выбери месяц'!$I$8,VLOOKUP('Выбери месяц'!$H$8,всяки!$A$1:$B$12,2,0),1+COLUMN(A:A))</f>
        <v>42402</v>
      </c>
      <c r="H17" s="281">
        <f>DATE('Выбери месяц'!$I$8,VLOOKUP('Выбери месяц'!$H$8,всяки!$A$1:$B$12,2,0),1+COLUMN(B:B))</f>
        <v>42403</v>
      </c>
      <c r="I17" s="281">
        <f>DATE('Выбери месяц'!$I$8,VLOOKUP('Выбери месяц'!$H$8,всяки!$A$1:$B$12,2,0),1+COLUMN(C:C))</f>
        <v>42404</v>
      </c>
      <c r="J17" s="281">
        <f>DATE('Выбери месяц'!$I$8,VLOOKUP('Выбери месяц'!$H$8,всяки!$A$1:$B$12,2,0),1+COLUMN(D:D))</f>
        <v>42405</v>
      </c>
      <c r="K17" s="281">
        <f>DATE('Выбери месяц'!$I$8,VLOOKUP('Выбери месяц'!$H$8,всяки!$A$1:$B$12,2,0),1+COLUMN(E:E))</f>
        <v>42406</v>
      </c>
      <c r="L17" s="281">
        <f>DATE('Выбери месяц'!$I$8,VLOOKUP('Выбери месяц'!$H$8,всяки!$A$1:$B$12,2,0),1+COLUMN(F:F))</f>
        <v>42407</v>
      </c>
      <c r="M17" s="281">
        <f>DATE('Выбери месяц'!$I$8,VLOOKUP('Выбери месяц'!$H$8,всяки!$A$1:$B$12,2,0),1+COLUMN(G:G))</f>
        <v>42408</v>
      </c>
      <c r="N17" s="281">
        <f>DATE('Выбери месяц'!$I$8,VLOOKUP('Выбери месяц'!$H$8,всяки!$A$1:$B$12,2,0),1+COLUMN(H:H))</f>
        <v>42409</v>
      </c>
      <c r="O17" s="281">
        <f>DATE('Выбери месяц'!$I$8,VLOOKUP('Выбери месяц'!$H$8,всяки!$A$1:$B$12,2,0),1+COLUMN(I:I))</f>
        <v>42410</v>
      </c>
      <c r="P17" s="281">
        <f>DATE('Выбери месяц'!$I$8,VLOOKUP('Выбери месяц'!$H$8,всяки!$A$1:$B$12,2,0),1+COLUMN(J:J))</f>
        <v>42411</v>
      </c>
      <c r="Q17" s="281">
        <f>DATE('Выбери месяц'!$I$8,VLOOKUP('Выбери месяц'!$H$8,всяки!$A$1:$B$12,2,0),1+COLUMN(K:K))</f>
        <v>42412</v>
      </c>
      <c r="R17" s="281">
        <f>DATE('Выбери месяц'!$I$8,VLOOKUP('Выбери месяц'!$H$8,всяки!$A$1:$B$12,2,0),1+COLUMN(L:L))</f>
        <v>42413</v>
      </c>
      <c r="S17" s="281">
        <f>DATE('Выбери месяц'!$I$8,VLOOKUP('Выбери месяц'!$H$8,всяки!$A$1:$B$12,2,0),1+COLUMN(M:M))</f>
        <v>42414</v>
      </c>
      <c r="T17" s="281">
        <f>DATE('Выбери месяц'!$I$8,VLOOKUP('Выбери месяц'!$H$8,всяки!$A$1:$B$12,2,0),1+COLUMN(N:N))</f>
        <v>42415</v>
      </c>
      <c r="U17" s="245" t="s">
        <v>38</v>
      </c>
      <c r="V17" s="273" t="s">
        <v>18</v>
      </c>
      <c r="W17" s="250" t="s">
        <v>19</v>
      </c>
      <c r="X17" s="251" t="s">
        <v>20</v>
      </c>
      <c r="Y17" s="252"/>
      <c r="Z17" s="252"/>
      <c r="AA17" s="252"/>
      <c r="AB17" s="252"/>
      <c r="AC17" s="250"/>
      <c r="AD17" s="253" t="s">
        <v>21</v>
      </c>
      <c r="AE17" s="256" t="s">
        <v>70</v>
      </c>
      <c r="AF17" s="259" t="s">
        <v>21</v>
      </c>
      <c r="AG17" s="260"/>
      <c r="AH17" s="269" t="s">
        <v>70</v>
      </c>
    </row>
    <row r="18" spans="2:37" ht="17.25" customHeight="1" x14ac:dyDescent="0.2">
      <c r="B18" s="292"/>
      <c r="C18" s="295"/>
      <c r="D18" s="276"/>
      <c r="E18" s="279"/>
      <c r="F18" s="287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45"/>
      <c r="V18" s="274"/>
      <c r="W18" s="250"/>
      <c r="X18" s="251" t="s">
        <v>23</v>
      </c>
      <c r="Y18" s="252"/>
      <c r="Z18" s="252"/>
      <c r="AA18" s="252"/>
      <c r="AB18" s="252"/>
      <c r="AC18" s="250"/>
      <c r="AD18" s="254"/>
      <c r="AE18" s="257"/>
      <c r="AF18" s="261"/>
      <c r="AG18" s="262"/>
      <c r="AH18" s="270"/>
    </row>
    <row r="19" spans="2:37" ht="19.5" customHeight="1" x14ac:dyDescent="0.2">
      <c r="B19" s="292"/>
      <c r="C19" s="295"/>
      <c r="D19" s="276"/>
      <c r="E19" s="279"/>
      <c r="F19" s="286">
        <f>DATE('Выбери месяц'!$I$8,VLOOKUP('Выбери месяц'!$H$8,всяки!$A$1:$B$12,2,0),16)</f>
        <v>42416</v>
      </c>
      <c r="G19" s="281">
        <f>DATE('Выбери месяц'!$I$8,VLOOKUP('Выбери месяц'!$H$8,всяки!$A$1:$B$12,2,0),16+COLUMN(A:A))</f>
        <v>42417</v>
      </c>
      <c r="H19" s="281">
        <f>DATE('Выбери месяц'!$I$8,VLOOKUP('Выбери месяц'!$H$8,всяки!$A$1:$B$12,2,0),16+COLUMN(B:B))</f>
        <v>42418</v>
      </c>
      <c r="I19" s="281">
        <f>DATE('Выбери месяц'!$I$8,VLOOKUP('Выбери месяц'!$H$8,всяки!$A$1:$B$12,2,0),16+COLUMN(C:C))</f>
        <v>42419</v>
      </c>
      <c r="J19" s="281">
        <f>DATE('Выбери месяц'!$I$8,VLOOKUP('Выбери месяц'!$H$8,всяки!$A$1:$B$12,2,0),16+COLUMN(D:D))</f>
        <v>42420</v>
      </c>
      <c r="K19" s="281">
        <f>DATE('Выбери месяц'!$I$8,VLOOKUP('Выбери месяц'!$H$8,всяки!$A$1:$B$12,2,0),16+COLUMN(E:E))</f>
        <v>42421</v>
      </c>
      <c r="L19" s="281">
        <f>DATE('Выбери месяц'!$I$8,VLOOKUP('Выбери месяц'!$H$8,всяки!$A$1:$B$12,2,0),16+COLUMN(F:F))</f>
        <v>42422</v>
      </c>
      <c r="M19" s="281">
        <f>DATE('Выбери месяц'!$I$8,VLOOKUP('Выбери месяц'!$H$8,всяки!$A$1:$B$12,2,0),16+COLUMN(G:G))</f>
        <v>42423</v>
      </c>
      <c r="N19" s="281">
        <f>DATE('Выбери месяц'!$I$8,VLOOKUP('Выбери месяц'!$H$8,всяки!$A$1:$B$12,2,0),16+COLUMN(H:H))</f>
        <v>42424</v>
      </c>
      <c r="O19" s="281">
        <f>DATE('Выбери месяц'!$I$8,VLOOKUP('Выбери месяц'!$H$8,всяки!$A$1:$B$12,2,0),16+COLUMN(I:I))</f>
        <v>42425</v>
      </c>
      <c r="P19" s="281">
        <f>DATE('Выбери месяц'!$I$8,VLOOKUP('Выбери месяц'!$H$8,всяки!$A$1:$B$12,2,0),16+COLUMN(J:J))</f>
        <v>42426</v>
      </c>
      <c r="Q19" s="281">
        <f>DATE('Выбери месяц'!$I$8,VLOOKUP('Выбери месяц'!$H$8,всяки!$A$1:$B$12,2,0),16+COLUMN(K:K))</f>
        <v>42427</v>
      </c>
      <c r="R19" s="281">
        <f>DATE('Выбери месяц'!$I$8,VLOOKUP('Выбери месяц'!$H$8,всяки!$A$1:$B$12,2,0),16+COLUMN(L:L))</f>
        <v>42428</v>
      </c>
      <c r="S19" s="281">
        <f>DATE('Выбери месяц'!$I$8,VLOOKUP('Выбери месяц'!$H$8,всяки!$A$1:$B$12,2,0),16+COLUMN(M:M))</f>
        <v>42429</v>
      </c>
      <c r="T19" s="281"/>
      <c r="U19" s="290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1" t="s">
        <v>22</v>
      </c>
      <c r="W19" s="272"/>
      <c r="X19" s="248" t="s">
        <v>24</v>
      </c>
      <c r="Y19" s="265" t="s">
        <v>25</v>
      </c>
      <c r="Z19" s="256" t="s">
        <v>26</v>
      </c>
      <c r="AA19" s="267" t="s">
        <v>24</v>
      </c>
      <c r="AB19" s="265" t="s">
        <v>25</v>
      </c>
      <c r="AC19" s="269" t="s">
        <v>26</v>
      </c>
      <c r="AD19" s="254"/>
      <c r="AE19" s="257"/>
      <c r="AF19" s="261"/>
      <c r="AG19" s="262"/>
      <c r="AH19" s="270"/>
    </row>
    <row r="20" spans="2:37" ht="19.5" customHeight="1" x14ac:dyDescent="0.2">
      <c r="B20" s="293"/>
      <c r="C20" s="296"/>
      <c r="D20" s="277"/>
      <c r="E20" s="280"/>
      <c r="F20" s="287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91"/>
      <c r="V20" s="271" t="s">
        <v>27</v>
      </c>
      <c r="W20" s="272"/>
      <c r="X20" s="249"/>
      <c r="Y20" s="266"/>
      <c r="Z20" s="257"/>
      <c r="AA20" s="268"/>
      <c r="AB20" s="266"/>
      <c r="AC20" s="270"/>
      <c r="AD20" s="255"/>
      <c r="AE20" s="258"/>
      <c r="AF20" s="263"/>
      <c r="AG20" s="264"/>
      <c r="AH20" s="303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42">
        <v>4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4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19">
        <v>10</v>
      </c>
      <c r="AE21" s="118">
        <v>11</v>
      </c>
      <c r="AF21" s="246">
        <v>12</v>
      </c>
      <c r="AG21" s="247"/>
      <c r="AH21" s="120">
        <v>13</v>
      </c>
      <c r="AI21" s="70"/>
      <c r="AJ21" s="71"/>
      <c r="AK21" s="71"/>
    </row>
    <row r="22" spans="2:37" ht="18" customHeight="1" thickTop="1" x14ac:dyDescent="0.2">
      <c r="B22" s="220">
        <f>IF(D22&gt;0,COUNTIF($D$22:D22,"&gt;0"),"")</f>
        <v>1</v>
      </c>
      <c r="C22" s="223">
        <f>IFERROR(INDEX(INDEX(Структура!$A$1:$H$31,0,MATCH('Отдел МТО'!$F$8,Структура!$A$1:$G$1,0)+1),TRUNC(ROW(A4)/4)+1,0),"")</f>
        <v>0</v>
      </c>
      <c r="D22" s="225">
        <f>IFERROR(HLOOKUP('Отдел МТО'!$F$8,Структура!$A$1:$H$31,TRUNC(ROW(A4)/4)+1,0),"")</f>
        <v>498</v>
      </c>
      <c r="E22" s="288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38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2" t="str">
        <f t="array" ref="AE22">IF(AD22="","",SUMPRODUCT((F22:U25=AD22)*(IFERROR(WEEKDAY($F$17:$U$20,2),7)&lt;6)*(ISNA(MATCH($F$17:$U$20,празд,0))))&amp;"("&amp;SUMPRODUCT((F22:U25=AD22)*(IFERROR(WEEKDAY($F$17:$U$20,2),7)&lt;6)*(ISNA(MATCH($F$17:$U$20,празд,0))))*8-COUNT(MATCH(F$17:U$20,предпр,))&amp;")")</f>
        <v/>
      </c>
      <c r="AF22" s="216" t="str">
        <f>IF(SUMPRODUCT(--ISNUMBER(SEARCH("К",F22:U25)))&gt;0,"К","")</f>
        <v/>
      </c>
      <c r="AG22" s="217"/>
      <c r="AH22" s="190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8-COUNT(MATCH(I$17:X$20,предпр,))&amp;")")</f>
        <v/>
      </c>
      <c r="AI22" s="66"/>
      <c r="AJ22" s="66"/>
    </row>
    <row r="23" spans="2:37" ht="18" customHeight="1" x14ac:dyDescent="0.2">
      <c r="B23" s="221"/>
      <c r="C23" s="224"/>
      <c r="D23" s="226"/>
      <c r="E23" s="289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19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2" t="str">
        <f t="array" ref="AE23">IF(AD23="","",SUMPRODUCT((F22:U25=AD23)*(IFERROR(WEEKDAY($F$17:$U$20,2),7)&lt;6)*(ISNA(MATCH($F$17:$U$20,празд,0))))&amp;"("&amp;SUMPRODUCT((F22:U25=AD23)*(IFERROR(WEEKDAY($F$17:$U$20,2),7)&lt;6)*(ISNA(MATCH($F$17:$U$20,празд,0))))*8-COUNT(MATCH(F$17:U$20,предпр,))&amp;")")</f>
        <v/>
      </c>
      <c r="AF23" s="208"/>
      <c r="AG23" s="209"/>
      <c r="AH23" s="155"/>
      <c r="AI23" s="72"/>
      <c r="AJ23" s="72"/>
    </row>
    <row r="24" spans="2:37" ht="18" customHeight="1" x14ac:dyDescent="0.2">
      <c r="B24" s="221"/>
      <c r="C24" s="224"/>
      <c r="D24" s="226"/>
      <c r="E24" s="289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10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2" t="str">
        <f t="array" ref="AE24">IF(AD24="","",SUMPRODUCT((F22:U25=AD24)*(IFERROR(WEEKDAY($F$17:$U$20,2),7)&lt;6)*(ISNA(MATCH($F$17:$U$20,празд,0))))&amp;"("&amp;SUMPRODUCT((F22:U25=AD24)*(IFERROR(WEEKDAY($F$17:$U$20,2),7)&lt;6)*(ISNA(MATCH($F$17:$U$20,празд,0))))*8-COUNT(MATCH(F$17:U$20,предпр,))&amp;")")</f>
        <v/>
      </c>
      <c r="AF24" s="212"/>
      <c r="AG24" s="213"/>
      <c r="AH24" s="148"/>
      <c r="AI24" s="72"/>
      <c r="AJ24" s="72"/>
    </row>
    <row r="25" spans="2:37" ht="18" customHeight="1" thickBot="1" x14ac:dyDescent="0.25">
      <c r="B25" s="222"/>
      <c r="C25" s="224"/>
      <c r="D25" s="226"/>
      <c r="E25" s="289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39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3" t="str">
        <f t="array" ref="AE25">IF(AD25="","",SUMPRODUCT((F22:U25=AD25)*(IFERROR(WEEKDAY($F$17:$U$20,2),7)&lt;6)*(ISNA(MATCH($F$17:$U$20,празд,0))))&amp;"("&amp;SUMPRODUCT((F22:U25=AD25)*(IFERROR(WEEKDAY($F$17:$U$20,2),7)&lt;6)*(ISNA(MATCH($F$17:$U$20,празд,0))))*8-COUNT(MATCH(F$17:U$20,предпр,))&amp;")")</f>
        <v/>
      </c>
      <c r="AF25" s="240"/>
      <c r="AG25" s="241"/>
      <c r="AH25" s="149"/>
      <c r="AI25" s="72"/>
      <c r="AJ25" s="72"/>
    </row>
    <row r="26" spans="2:37" ht="18" customHeight="1" thickTop="1" x14ac:dyDescent="0.2">
      <c r="B26" s="220">
        <f>IF(D26&gt;0,COUNTIF($D$22:D26,"&gt;0"),"")</f>
        <v>2</v>
      </c>
      <c r="C26" s="223">
        <f>IFERROR(INDEX(INDEX(Структура!$A$1:$H$31,0,MATCH('Отдел МТО'!$F$8,Структура!$A$1:$G$1,0)+1),TRUNC(ROW(A8)/4)+1,0),"")</f>
        <v>0</v>
      </c>
      <c r="D26" s="225">
        <f>IFERROR(HLOOKUP('Отдел МТО'!$F$8,Структура!$A$1:$H$31,TRUNC(ROW(A8)/4)+1,0),"")</f>
        <v>273</v>
      </c>
      <c r="E26" s="227" t="s">
        <v>65</v>
      </c>
      <c r="F26" s="88" t="str">
        <f t="shared" ref="F26:S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85" t="s">
        <v>73</v>
      </c>
      <c r="U26" s="158" t="s">
        <v>28</v>
      </c>
      <c r="V26" s="103">
        <f>COUNTIF(F26:U26,"Я")*1+COUNTIF(F26:U26,"РВ")*1</f>
        <v>10</v>
      </c>
      <c r="W26" s="218">
        <f>SUM(V28,V26)</f>
        <v>10</v>
      </c>
      <c r="X26" s="110"/>
      <c r="Y26" s="99"/>
      <c r="Z26" s="100"/>
      <c r="AA26" s="100"/>
      <c r="AB26" s="99"/>
      <c r="AC26" s="111"/>
      <c r="AD26" s="145" t="str">
        <f>IF(SUMPRODUCT(--ISNUMBER(SEARCH("НН",F26:U29)))&gt;0,"НН","")</f>
        <v/>
      </c>
      <c r="AE26" s="192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8-COUNT(MATCH(F$17:U$20,предпр,))&amp;")")</f>
        <v/>
      </c>
      <c r="AF26" s="206" t="str">
        <f>IF(SUMPRODUCT(--ISNUMBER(SEARCH("К",F26:U29)))&gt;0,"К","")</f>
        <v/>
      </c>
      <c r="AG26" s="207"/>
      <c r="AH26" s="150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21"/>
      <c r="C27" s="224"/>
      <c r="D27" s="226"/>
      <c r="E27" s="228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9" t="str">
        <f t="shared" si="5"/>
        <v/>
      </c>
      <c r="U27" s="85" t="s">
        <v>28</v>
      </c>
      <c r="V27" s="101">
        <f>SUM(F27:U27)</f>
        <v>80</v>
      </c>
      <c r="W27" s="219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>ОТ</v>
      </c>
      <c r="AE27" s="152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8-COUNT(MATCH(F$17:U$20,предпр,))&amp;")")</f>
        <v>10(79)</v>
      </c>
      <c r="AF27" s="208"/>
      <c r="AG27" s="209"/>
      <c r="AH27" s="155"/>
      <c r="AI27" s="72"/>
      <c r="AJ27" s="72"/>
    </row>
    <row r="28" spans="2:37" ht="18" customHeight="1" x14ac:dyDescent="0.2">
      <c r="B28" s="221"/>
      <c r="C28" s="224"/>
      <c r="D28" s="226"/>
      <c r="E28" s="228"/>
      <c r="F28" s="186" t="s">
        <v>73</v>
      </c>
      <c r="G28" s="186" t="s">
        <v>73</v>
      </c>
      <c r="H28" s="186" t="s">
        <v>73</v>
      </c>
      <c r="I28" s="186" t="s">
        <v>73</v>
      </c>
      <c r="J28" s="186" t="s">
        <v>73</v>
      </c>
      <c r="K28" s="186" t="s">
        <v>73</v>
      </c>
      <c r="L28" s="186" t="s">
        <v>73</v>
      </c>
      <c r="M28" s="186" t="s">
        <v>74</v>
      </c>
      <c r="N28" s="186" t="s">
        <v>73</v>
      </c>
      <c r="O28" s="186" t="s">
        <v>73</v>
      </c>
      <c r="P28" s="186" t="s">
        <v>73</v>
      </c>
      <c r="Q28" s="186" t="s">
        <v>73</v>
      </c>
      <c r="R28" s="186" t="s">
        <v>73</v>
      </c>
      <c r="S28" s="186" t="s">
        <v>73</v>
      </c>
      <c r="T28" s="186"/>
      <c r="U28" s="85" t="str">
        <f t="shared" ref="U28" si="6">IF(U$19="","",IF(AND(U$19&gt;=$AI28,U$19&lt;=$AJ28),"Р",IF(NOT(ISERROR(VLOOKUP(U$19,предпр,1,0)=U$19)),"Я",IF(NOT(ISERROR(VLOOKUP(U$19,выхрабд,1,0)=U$19)),"Я",IF(OR(WEEKDAY(U$19,2)&gt;5,ISNUMBER(MATCH(U$19,празд,0)),SUMPRODUCT(1*(U$19=допнер))),"В",IF(WEEKDAY(U$19,2)&lt;6,"Я"))))))</f>
        <v/>
      </c>
      <c r="V28" s="102">
        <f>COUNTIF(F28:U28,"Я")*1+COUNTIF(F28:U28,"РВ")*1</f>
        <v>0</v>
      </c>
      <c r="W28" s="210">
        <f>SUM(V29,V27)</f>
        <v>80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2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8-COUNT(MATCH(F$17:U$20,предпр,))&amp;")")</f>
        <v/>
      </c>
      <c r="AF28" s="212"/>
      <c r="AG28" s="213"/>
      <c r="AH28" s="148"/>
      <c r="AI28" s="72"/>
      <c r="AJ28" s="72"/>
    </row>
    <row r="29" spans="2:37" ht="18" customHeight="1" thickBot="1" x14ac:dyDescent="0.25">
      <c r="B29" s="222"/>
      <c r="C29" s="224"/>
      <c r="D29" s="226"/>
      <c r="E29" s="229"/>
      <c r="F29" s="78" t="str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/>
      </c>
      <c r="G29" s="79" t="str">
        <f t="shared" si="7"/>
        <v/>
      </c>
      <c r="H29" s="79" t="str">
        <f t="shared" si="7"/>
        <v/>
      </c>
      <c r="I29" s="79" t="str">
        <f t="shared" si="7"/>
        <v/>
      </c>
      <c r="J29" s="79" t="str">
        <f t="shared" si="7"/>
        <v/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 t="str">
        <f t="shared" si="7"/>
        <v/>
      </c>
      <c r="O29" s="79" t="str">
        <f t="shared" si="7"/>
        <v/>
      </c>
      <c r="P29" s="79" t="str">
        <f t="shared" si="7"/>
        <v/>
      </c>
      <c r="Q29" s="79" t="str">
        <f t="shared" si="7"/>
        <v/>
      </c>
      <c r="R29" s="79" t="str">
        <f t="shared" si="7"/>
        <v/>
      </c>
      <c r="S29" s="79" t="str">
        <f t="shared" si="7"/>
        <v/>
      </c>
      <c r="T29" s="160" t="str">
        <f t="shared" si="7"/>
        <v/>
      </c>
      <c r="U29" s="90" t="str">
        <f t="shared" si="7"/>
        <v/>
      </c>
      <c r="V29" s="104">
        <f>SUM(F29:U29)</f>
        <v>0</v>
      </c>
      <c r="W29" s="211"/>
      <c r="X29" s="112"/>
      <c r="Y29" s="80"/>
      <c r="Z29" s="81"/>
      <c r="AA29" s="80"/>
      <c r="AB29" s="80"/>
      <c r="AC29" s="113"/>
      <c r="AD29" s="146" t="str">
        <f>IF(SUMPRODUCT(--ISNUMBER(SEARCH("ОД",F26:U29)))&gt;0,"ОД","")</f>
        <v/>
      </c>
      <c r="AE29" s="153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8-COUNT(MATCH(F$17:U$20,предпр,))&amp;")")</f>
        <v/>
      </c>
      <c r="AF29" s="214"/>
      <c r="AG29" s="215"/>
      <c r="AH29" s="151"/>
    </row>
    <row r="30" spans="2:37" ht="18" customHeight="1" thickTop="1" x14ac:dyDescent="0.2">
      <c r="B30" s="220">
        <f>IF(D30&gt;0,COUNTIF($D$22:D30,"&gt;0"),"")</f>
        <v>3</v>
      </c>
      <c r="C30" s="223">
        <f>IFERROR(INDEX(INDEX(Структура!$A$1:$H$31,0,MATCH('Отдел МТО'!$F$8,Структура!$A$1:$G$1,0)+1),TRUNC(ROW(A12)/4)+1,0),"")</f>
        <v>0</v>
      </c>
      <c r="D30" s="225">
        <f>IFERROR(HLOOKUP('Отдел МТО'!$F$8,Структура!$A$1:$H$31,TRUNC(ROW(A12)/4)+1,0),"")</f>
        <v>347</v>
      </c>
      <c r="E30" s="228" t="s">
        <v>65</v>
      </c>
      <c r="F30" s="98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88" t="str">
        <f t="shared" si="8"/>
        <v>Я</v>
      </c>
      <c r="H30" s="88" t="str">
        <f t="shared" si="8"/>
        <v>Я</v>
      </c>
      <c r="I30" s="88" t="str">
        <f t="shared" si="8"/>
        <v>Я</v>
      </c>
      <c r="J30" s="88" t="str">
        <f t="shared" si="8"/>
        <v>Я</v>
      </c>
      <c r="K30" s="88" t="str">
        <f t="shared" si="8"/>
        <v>В</v>
      </c>
      <c r="L30" s="88" t="str">
        <f t="shared" si="8"/>
        <v>В</v>
      </c>
      <c r="M30" s="88" t="str">
        <f t="shared" si="8"/>
        <v>Я</v>
      </c>
      <c r="N30" s="88" t="str">
        <f t="shared" si="8"/>
        <v>Я</v>
      </c>
      <c r="O30" s="88" t="str">
        <f t="shared" si="8"/>
        <v>Я</v>
      </c>
      <c r="P30" s="88" t="str">
        <f t="shared" si="8"/>
        <v>Я</v>
      </c>
      <c r="Q30" s="88" t="str">
        <f t="shared" si="8"/>
        <v>Я</v>
      </c>
      <c r="R30" s="88" t="str">
        <f t="shared" si="8"/>
        <v>В</v>
      </c>
      <c r="S30" s="88" t="str">
        <f t="shared" si="8"/>
        <v>В</v>
      </c>
      <c r="T30" s="157" t="str">
        <f t="shared" si="8"/>
        <v>Я</v>
      </c>
      <c r="U30" s="158" t="s">
        <v>28</v>
      </c>
      <c r="V30" s="103">
        <f>COUNTIF(F30:U30,"Я")*1+COUNTIF(F30:U30,"РВ")*1</f>
        <v>11</v>
      </c>
      <c r="W30" s="218">
        <f>SUM(V32,V30)</f>
        <v>20</v>
      </c>
      <c r="X30" s="110"/>
      <c r="Y30" s="99"/>
      <c r="Z30" s="100"/>
      <c r="AA30" s="100"/>
      <c r="AB30" s="99"/>
      <c r="AC30" s="111"/>
      <c r="AD30" s="145" t="str">
        <f>IF(SUMPRODUCT(--ISNUMBER(SEARCH("НН",F30:U33)))&gt;0,"НН","")</f>
        <v/>
      </c>
      <c r="AE30" s="192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8-COUNT(MATCH(F$17:U$20,предпр,))&amp;")")</f>
        <v/>
      </c>
      <c r="AF30" s="206" t="str">
        <f>IF(SUMPRODUCT(--ISNUMBER(SEARCH("К",F30:U33)))&gt;0,"К","")</f>
        <v/>
      </c>
      <c r="AG30" s="207"/>
      <c r="AH30" s="150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8-COUNT(MATCH(F$17:U$20,предпр,))&amp;")")</f>
        <v/>
      </c>
      <c r="AI30" s="72"/>
      <c r="AJ30" s="72"/>
    </row>
    <row r="31" spans="2:37" ht="18" customHeight="1" x14ac:dyDescent="0.2">
      <c r="B31" s="221"/>
      <c r="C31" s="224"/>
      <c r="D31" s="226"/>
      <c r="E31" s="228"/>
      <c r="F31" s="59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91">
        <f t="shared" si="9"/>
        <v>8</v>
      </c>
      <c r="H31" s="91">
        <f t="shared" si="9"/>
        <v>8</v>
      </c>
      <c r="I31" s="91">
        <f t="shared" si="9"/>
        <v>8</v>
      </c>
      <c r="J31" s="91">
        <f t="shared" si="9"/>
        <v>8</v>
      </c>
      <c r="K31" s="91" t="str">
        <f t="shared" si="9"/>
        <v/>
      </c>
      <c r="L31" s="91" t="str">
        <f t="shared" si="9"/>
        <v/>
      </c>
      <c r="M31" s="91">
        <f t="shared" si="9"/>
        <v>8</v>
      </c>
      <c r="N31" s="91">
        <f t="shared" si="9"/>
        <v>8</v>
      </c>
      <c r="O31" s="91">
        <f t="shared" si="9"/>
        <v>8</v>
      </c>
      <c r="P31" s="91">
        <f t="shared" si="9"/>
        <v>8</v>
      </c>
      <c r="Q31" s="91">
        <f t="shared" si="9"/>
        <v>8</v>
      </c>
      <c r="R31" s="91" t="str">
        <f t="shared" si="9"/>
        <v/>
      </c>
      <c r="S31" s="91" t="str">
        <f t="shared" si="9"/>
        <v/>
      </c>
      <c r="T31" s="159">
        <f t="shared" si="9"/>
        <v>8</v>
      </c>
      <c r="U31" s="85" t="s">
        <v>28</v>
      </c>
      <c r="V31" s="101">
        <f>SUM(F31:U31)</f>
        <v>88</v>
      </c>
      <c r="W31" s="219"/>
      <c r="X31" s="106"/>
      <c r="Y31" s="8"/>
      <c r="Z31" s="9"/>
      <c r="AA31" s="8"/>
      <c r="AB31" s="8"/>
      <c r="AC31" s="107"/>
      <c r="AD31" s="146" t="str">
        <f>IF(SUMPRODUCT(--ISNUMBER(SEARCH("ОТ",F30:U33)))&gt;0,"ОТ","")</f>
        <v/>
      </c>
      <c r="AE31" s="152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8-COUNT(MATCH(F$17:U$20,предпр,))&amp;")")</f>
        <v/>
      </c>
      <c r="AF31" s="208"/>
      <c r="AG31" s="209"/>
      <c r="AH31" s="155"/>
      <c r="AI31" s="72"/>
      <c r="AJ31" s="72"/>
    </row>
    <row r="32" spans="2:37" ht="18" customHeight="1" x14ac:dyDescent="0.2">
      <c r="B32" s="221"/>
      <c r="C32" s="224"/>
      <c r="D32" s="226"/>
      <c r="E32" s="228"/>
      <c r="F32" s="59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91" t="str">
        <f t="shared" si="10"/>
        <v>Я</v>
      </c>
      <c r="H32" s="91" t="str">
        <f t="shared" si="10"/>
        <v>Я</v>
      </c>
      <c r="I32" s="91" t="str">
        <f t="shared" si="10"/>
        <v>Я</v>
      </c>
      <c r="J32" s="91" t="str">
        <f t="shared" si="10"/>
        <v>Я</v>
      </c>
      <c r="K32" s="91" t="str">
        <f t="shared" si="10"/>
        <v>В</v>
      </c>
      <c r="L32" s="91" t="str">
        <f t="shared" si="10"/>
        <v>В</v>
      </c>
      <c r="M32" s="91" t="str">
        <f t="shared" si="10"/>
        <v>В</v>
      </c>
      <c r="N32" s="91" t="str">
        <f t="shared" si="10"/>
        <v>Я</v>
      </c>
      <c r="O32" s="91" t="str">
        <f t="shared" si="10"/>
        <v>Я</v>
      </c>
      <c r="P32" s="91" t="str">
        <f t="shared" si="10"/>
        <v>Я</v>
      </c>
      <c r="Q32" s="91" t="str">
        <f t="shared" si="10"/>
        <v>В</v>
      </c>
      <c r="R32" s="91" t="str">
        <f t="shared" si="10"/>
        <v>В</v>
      </c>
      <c r="S32" s="91" t="str">
        <f t="shared" si="10"/>
        <v>Я</v>
      </c>
      <c r="T32" s="159" t="str">
        <f t="shared" si="10"/>
        <v/>
      </c>
      <c r="U32" s="85" t="str">
        <f t="shared" si="10"/>
        <v/>
      </c>
      <c r="V32" s="102">
        <f>COUNTIF(F32:U32,"Я")*1+COUNTIF(F32:U32,"РВ")*1</f>
        <v>9</v>
      </c>
      <c r="W32" s="210">
        <f>SUM(V33,V31)</f>
        <v>159</v>
      </c>
      <c r="X32" s="106"/>
      <c r="Y32" s="8"/>
      <c r="Z32" s="9"/>
      <c r="AA32" s="8"/>
      <c r="AB32" s="8"/>
      <c r="AC32" s="107"/>
      <c r="AD32" s="146" t="str">
        <f>IF(SUMPRODUCT(--ISNUMBER(SEARCH("б",F30:U33)))&gt;0,"Б","")</f>
        <v/>
      </c>
      <c r="AE32" s="152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8-COUNT(MATCH(F$17:U$20,предпр,))&amp;")")</f>
        <v/>
      </c>
      <c r="AF32" s="212"/>
      <c r="AG32" s="213"/>
      <c r="AH32" s="148"/>
      <c r="AI32" s="72"/>
      <c r="AJ32" s="72"/>
    </row>
    <row r="33" spans="2:36" ht="18" customHeight="1" thickBot="1" x14ac:dyDescent="0.25">
      <c r="B33" s="222"/>
      <c r="C33" s="224"/>
      <c r="D33" s="226"/>
      <c r="E33" s="233"/>
      <c r="F33" s="78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79">
        <f t="shared" si="11"/>
        <v>8</v>
      </c>
      <c r="H33" s="79">
        <f t="shared" si="11"/>
        <v>8</v>
      </c>
      <c r="I33" s="79">
        <f t="shared" si="11"/>
        <v>8</v>
      </c>
      <c r="J33" s="79">
        <f t="shared" si="11"/>
        <v>7</v>
      </c>
      <c r="K33" s="79" t="str">
        <f t="shared" si="11"/>
        <v/>
      </c>
      <c r="L33" s="79" t="str">
        <f t="shared" si="11"/>
        <v/>
      </c>
      <c r="M33" s="79" t="str">
        <f t="shared" si="11"/>
        <v/>
      </c>
      <c r="N33" s="79">
        <f t="shared" si="11"/>
        <v>8</v>
      </c>
      <c r="O33" s="79">
        <f t="shared" si="11"/>
        <v>8</v>
      </c>
      <c r="P33" s="79">
        <f t="shared" si="11"/>
        <v>8</v>
      </c>
      <c r="Q33" s="79" t="str">
        <f t="shared" si="11"/>
        <v/>
      </c>
      <c r="R33" s="79" t="str">
        <f t="shared" si="11"/>
        <v/>
      </c>
      <c r="S33" s="79">
        <f t="shared" si="11"/>
        <v>8</v>
      </c>
      <c r="T33" s="160" t="str">
        <f t="shared" si="11"/>
        <v/>
      </c>
      <c r="U33" s="90" t="str">
        <f t="shared" si="11"/>
        <v/>
      </c>
      <c r="V33" s="104">
        <f>SUM(F33:U33)</f>
        <v>71</v>
      </c>
      <c r="W33" s="211"/>
      <c r="X33" s="112"/>
      <c r="Y33" s="80"/>
      <c r="Z33" s="81"/>
      <c r="AA33" s="80"/>
      <c r="AB33" s="80"/>
      <c r="AC33" s="113"/>
      <c r="AD33" s="193" t="str">
        <f>IF(SUMPRODUCT(--ISNUMBER(SEARCH("ОД",F30:U33)))&gt;0,"ОД","")</f>
        <v/>
      </c>
      <c r="AE33" s="153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8-COUNT(MATCH(F$17:U$20,предпр,))&amp;")")</f>
        <v/>
      </c>
      <c r="AF33" s="214"/>
      <c r="AG33" s="215"/>
      <c r="AH33" s="151"/>
    </row>
    <row r="34" spans="2:36" ht="18" customHeight="1" thickTop="1" x14ac:dyDescent="0.2">
      <c r="B34" s="220">
        <f>IF(D34&gt;0,COUNTIF($D$22:D34,"&gt;0"),"")</f>
        <v>4</v>
      </c>
      <c r="C34" s="223">
        <f>IFERROR(INDEX(INDEX(Структура!$A$1:$H$31,0,MATCH('Отдел МТО'!$F$8,Структура!$A$1:$G$1,0)+1),TRUNC(ROW(A16)/4)+1,0),"")</f>
        <v>0</v>
      </c>
      <c r="D34" s="225">
        <f>IFERROR(HLOOKUP('Отдел МТО'!$F$8,Структура!$A$1:$H$31,TRUNC(ROW(A16)/4)+1,0),"")</f>
        <v>536</v>
      </c>
      <c r="E34" s="237" t="s">
        <v>65</v>
      </c>
      <c r="F34" s="98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88" t="str">
        <f t="shared" si="12"/>
        <v>Я</v>
      </c>
      <c r="H34" s="88" t="str">
        <f t="shared" si="12"/>
        <v>Я</v>
      </c>
      <c r="I34" s="88" t="str">
        <f t="shared" si="12"/>
        <v>Я</v>
      </c>
      <c r="J34" s="88" t="str">
        <f t="shared" si="12"/>
        <v>Я</v>
      </c>
      <c r="K34" s="88" t="str">
        <f t="shared" si="12"/>
        <v>В</v>
      </c>
      <c r="L34" s="88" t="str">
        <f t="shared" si="12"/>
        <v>В</v>
      </c>
      <c r="M34" s="88" t="str">
        <f t="shared" si="12"/>
        <v>Я</v>
      </c>
      <c r="N34" s="88" t="str">
        <f t="shared" si="12"/>
        <v>Я</v>
      </c>
      <c r="O34" s="88" t="str">
        <f t="shared" si="12"/>
        <v>Я</v>
      </c>
      <c r="P34" s="88" t="str">
        <f t="shared" si="12"/>
        <v>Я</v>
      </c>
      <c r="Q34" s="88" t="str">
        <f t="shared" si="12"/>
        <v>Я</v>
      </c>
      <c r="R34" s="88" t="str">
        <f t="shared" si="12"/>
        <v>В</v>
      </c>
      <c r="S34" s="88" t="str">
        <f t="shared" si="12"/>
        <v>В</v>
      </c>
      <c r="T34" s="157" t="str">
        <f t="shared" si="12"/>
        <v>Я</v>
      </c>
      <c r="U34" s="158" t="s">
        <v>28</v>
      </c>
      <c r="V34" s="105">
        <f>COUNTIF(F34:U34,"Я")*1+COUNTIF(F34:U34,"РВ")*1</f>
        <v>11</v>
      </c>
      <c r="W34" s="238">
        <f>SUM(V36,V34)</f>
        <v>20</v>
      </c>
      <c r="X34" s="114"/>
      <c r="Y34" s="96"/>
      <c r="Z34" s="97"/>
      <c r="AA34" s="97"/>
      <c r="AB34" s="96"/>
      <c r="AC34" s="115"/>
      <c r="AD34" s="144" t="str">
        <f>IF(SUMPRODUCT(--ISNUMBER(SEARCH("НН",F34:U37)))&gt;0,"НН","")</f>
        <v/>
      </c>
      <c r="AE34" s="192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8-COUNT(MATCH(F$17:U$20,предпр,))&amp;")")</f>
        <v/>
      </c>
      <c r="AF34" s="216" t="str">
        <f>IF(SUMPRODUCT(--ISNUMBER(SEARCH("К",F34:U37)))&gt;0,"К","")</f>
        <v/>
      </c>
      <c r="AG34" s="217"/>
      <c r="AH34" s="156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8-COUNT(MATCH(F$17:U$20,предпр,))&amp;")")</f>
        <v/>
      </c>
      <c r="AI34" s="72"/>
      <c r="AJ34" s="72"/>
    </row>
    <row r="35" spans="2:36" ht="18" customHeight="1" x14ac:dyDescent="0.2">
      <c r="B35" s="221"/>
      <c r="C35" s="224"/>
      <c r="D35" s="226"/>
      <c r="E35" s="228"/>
      <c r="F35" s="59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91">
        <f t="shared" si="13"/>
        <v>8</v>
      </c>
      <c r="H35" s="91">
        <f t="shared" si="13"/>
        <v>8</v>
      </c>
      <c r="I35" s="91">
        <f t="shared" si="13"/>
        <v>8</v>
      </c>
      <c r="J35" s="91">
        <f t="shared" si="13"/>
        <v>8</v>
      </c>
      <c r="K35" s="91" t="str">
        <f t="shared" si="13"/>
        <v/>
      </c>
      <c r="L35" s="91" t="str">
        <f t="shared" si="13"/>
        <v/>
      </c>
      <c r="M35" s="91">
        <f t="shared" si="13"/>
        <v>8</v>
      </c>
      <c r="N35" s="91">
        <f t="shared" si="13"/>
        <v>8</v>
      </c>
      <c r="O35" s="91">
        <f t="shared" si="13"/>
        <v>8</v>
      </c>
      <c r="P35" s="91">
        <f t="shared" si="13"/>
        <v>8</v>
      </c>
      <c r="Q35" s="91">
        <f t="shared" si="13"/>
        <v>8</v>
      </c>
      <c r="R35" s="91" t="str">
        <f t="shared" si="13"/>
        <v/>
      </c>
      <c r="S35" s="91" t="str">
        <f t="shared" si="13"/>
        <v/>
      </c>
      <c r="T35" s="159">
        <f t="shared" si="13"/>
        <v>8</v>
      </c>
      <c r="U35" s="85" t="s">
        <v>28</v>
      </c>
      <c r="V35" s="101">
        <f>SUM(F35:U35)</f>
        <v>88</v>
      </c>
      <c r="W35" s="219"/>
      <c r="X35" s="106"/>
      <c r="Y35" s="8"/>
      <c r="Z35" s="9"/>
      <c r="AA35" s="8"/>
      <c r="AB35" s="8"/>
      <c r="AC35" s="107"/>
      <c r="AD35" s="146" t="str">
        <f>IF(SUMPRODUCT(--ISNUMBER(SEARCH("ОТ",F34:U37)))&gt;0,"ОТ","")</f>
        <v/>
      </c>
      <c r="AE35" s="152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8-COUNT(MATCH(F$17:U$20,предпр,))&amp;")")</f>
        <v/>
      </c>
      <c r="AF35" s="208"/>
      <c r="AG35" s="209"/>
      <c r="AH35" s="155"/>
      <c r="AI35" s="72"/>
      <c r="AJ35" s="72"/>
    </row>
    <row r="36" spans="2:36" ht="18" customHeight="1" x14ac:dyDescent="0.2">
      <c r="B36" s="221"/>
      <c r="C36" s="224"/>
      <c r="D36" s="226"/>
      <c r="E36" s="228"/>
      <c r="F36" s="59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91" t="str">
        <f t="shared" si="14"/>
        <v>Я</v>
      </c>
      <c r="H36" s="91" t="str">
        <f t="shared" si="14"/>
        <v>Я</v>
      </c>
      <c r="I36" s="91" t="str">
        <f t="shared" si="14"/>
        <v>Я</v>
      </c>
      <c r="J36" s="91" t="str">
        <f t="shared" si="14"/>
        <v>Я</v>
      </c>
      <c r="K36" s="91" t="str">
        <f t="shared" si="14"/>
        <v>В</v>
      </c>
      <c r="L36" s="91" t="str">
        <f t="shared" si="14"/>
        <v>В</v>
      </c>
      <c r="M36" s="91" t="str">
        <f t="shared" si="14"/>
        <v>В</v>
      </c>
      <c r="N36" s="91" t="str">
        <f t="shared" si="14"/>
        <v>Я</v>
      </c>
      <c r="O36" s="91" t="str">
        <f t="shared" si="14"/>
        <v>Я</v>
      </c>
      <c r="P36" s="91" t="str">
        <f t="shared" si="14"/>
        <v>Я</v>
      </c>
      <c r="Q36" s="91" t="str">
        <f t="shared" si="14"/>
        <v>В</v>
      </c>
      <c r="R36" s="91" t="str">
        <f t="shared" si="14"/>
        <v>В</v>
      </c>
      <c r="S36" s="91" t="str">
        <f t="shared" si="14"/>
        <v>Я</v>
      </c>
      <c r="T36" s="159" t="str">
        <f t="shared" si="14"/>
        <v/>
      </c>
      <c r="U36" s="85" t="str">
        <f t="shared" si="14"/>
        <v/>
      </c>
      <c r="V36" s="102">
        <f>COUNTIF(F36:U36,"Я")*1+COUNTIF(F36:U36,"РВ")*1</f>
        <v>9</v>
      </c>
      <c r="W36" s="210">
        <f>SUM(V37,V35)</f>
        <v>159</v>
      </c>
      <c r="X36" s="106"/>
      <c r="Y36" s="8"/>
      <c r="Z36" s="9"/>
      <c r="AA36" s="8"/>
      <c r="AB36" s="8"/>
      <c r="AC36" s="107"/>
      <c r="AD36" s="146" t="str">
        <f>IF(SUMPRODUCT(--ISNUMBER(SEARCH("б",F34:U37)))&gt;0,"Б","")</f>
        <v/>
      </c>
      <c r="AE36" s="152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8-COUNT(MATCH(F$17:U$20,предпр,))&amp;")")</f>
        <v/>
      </c>
      <c r="AF36" s="212"/>
      <c r="AG36" s="213"/>
      <c r="AH36" s="148"/>
      <c r="AI36" s="72"/>
      <c r="AJ36" s="72"/>
    </row>
    <row r="37" spans="2:36" ht="22.5" customHeight="1" thickBot="1" x14ac:dyDescent="0.25">
      <c r="B37" s="234"/>
      <c r="C37" s="235"/>
      <c r="D37" s="236"/>
      <c r="E37" s="229"/>
      <c r="F37" s="78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79">
        <f t="shared" si="15"/>
        <v>8</v>
      </c>
      <c r="H37" s="79">
        <f t="shared" si="15"/>
        <v>8</v>
      </c>
      <c r="I37" s="79">
        <f t="shared" si="15"/>
        <v>8</v>
      </c>
      <c r="J37" s="79">
        <f t="shared" si="15"/>
        <v>7</v>
      </c>
      <c r="K37" s="79" t="str">
        <f t="shared" si="15"/>
        <v/>
      </c>
      <c r="L37" s="79" t="str">
        <f t="shared" si="15"/>
        <v/>
      </c>
      <c r="M37" s="79" t="str">
        <f t="shared" si="15"/>
        <v/>
      </c>
      <c r="N37" s="79">
        <f t="shared" si="15"/>
        <v>8</v>
      </c>
      <c r="O37" s="79">
        <f t="shared" si="15"/>
        <v>8</v>
      </c>
      <c r="P37" s="79">
        <f t="shared" si="15"/>
        <v>8</v>
      </c>
      <c r="Q37" s="79" t="str">
        <f t="shared" si="15"/>
        <v/>
      </c>
      <c r="R37" s="79" t="str">
        <f t="shared" si="15"/>
        <v/>
      </c>
      <c r="S37" s="79">
        <f t="shared" si="15"/>
        <v>8</v>
      </c>
      <c r="T37" s="160" t="str">
        <f t="shared" si="15"/>
        <v/>
      </c>
      <c r="U37" s="90" t="str">
        <f t="shared" si="15"/>
        <v/>
      </c>
      <c r="V37" s="104">
        <f>SUM(F37:U37)</f>
        <v>71</v>
      </c>
      <c r="W37" s="211"/>
      <c r="X37" s="112"/>
      <c r="Y37" s="80"/>
      <c r="Z37" s="81"/>
      <c r="AA37" s="80"/>
      <c r="AB37" s="80"/>
      <c r="AC37" s="113"/>
      <c r="AD37" s="193" t="str">
        <f>IF(SUMPRODUCT(--ISNUMBER(SEARCH("ОД",F34:U37)))&gt;0,"ОД","")</f>
        <v/>
      </c>
      <c r="AE37" s="153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8-COUNT(MATCH(F$17:U$20,предпр,))&amp;")")</f>
        <v/>
      </c>
      <c r="AF37" s="214"/>
      <c r="AG37" s="215"/>
      <c r="AH37" s="151"/>
    </row>
    <row r="38" spans="2:36" ht="12.75" customHeight="1" thickTop="1" x14ac:dyDescent="0.2">
      <c r="B38" s="60"/>
      <c r="C38" s="61"/>
      <c r="D38" s="61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4"/>
      <c r="W38" s="64"/>
      <c r="X38" s="65"/>
      <c r="Y38" s="66"/>
      <c r="Z38" s="65"/>
      <c r="AA38" s="66"/>
      <c r="AB38" s="66"/>
      <c r="AC38" s="66"/>
      <c r="AD38" s="64"/>
      <c r="AE38" s="64"/>
      <c r="AF38" s="65"/>
      <c r="AG38" s="65"/>
      <c r="AH38" s="65"/>
    </row>
    <row r="39" spans="2:36" ht="12.75" customHeight="1" x14ac:dyDescent="0.2">
      <c r="D39" s="230"/>
      <c r="E39" s="230"/>
      <c r="F39" s="230"/>
      <c r="G39" s="230"/>
      <c r="H39" s="230"/>
    </row>
    <row r="40" spans="2:36" x14ac:dyDescent="0.2">
      <c r="C40" s="67" t="s">
        <v>31</v>
      </c>
      <c r="D40" s="231"/>
      <c r="E40" s="231"/>
      <c r="F40" s="231"/>
      <c r="G40" s="231"/>
      <c r="H40" s="231"/>
      <c r="I40" s="33"/>
      <c r="J40" s="204"/>
      <c r="K40" s="204"/>
      <c r="L40" s="204"/>
      <c r="M40" s="33"/>
      <c r="N40" s="203"/>
      <c r="O40" s="203"/>
      <c r="P40" s="203"/>
      <c r="Q40" s="203"/>
      <c r="S40" s="33" t="s">
        <v>36</v>
      </c>
      <c r="W40" s="232"/>
      <c r="X40" s="232"/>
      <c r="Y40" s="232"/>
    </row>
    <row r="41" spans="2:36" ht="14.25" x14ac:dyDescent="0.2">
      <c r="D41" s="200" t="s">
        <v>32</v>
      </c>
      <c r="E41" s="200"/>
      <c r="F41" s="200"/>
      <c r="G41" s="200"/>
      <c r="H41" s="200"/>
      <c r="J41" s="198" t="s">
        <v>33</v>
      </c>
      <c r="K41" s="198"/>
      <c r="L41" s="198"/>
      <c r="N41" s="200" t="s">
        <v>34</v>
      </c>
      <c r="O41" s="199"/>
      <c r="P41" s="199"/>
      <c r="Q41" s="199"/>
      <c r="S41" s="33" t="s">
        <v>37</v>
      </c>
      <c r="T41" s="33"/>
      <c r="U41" s="33"/>
      <c r="V41" s="68"/>
      <c r="W41" s="203"/>
      <c r="X41" s="203"/>
      <c r="Y41" s="203"/>
      <c r="Z41" s="34"/>
      <c r="AA41" s="204"/>
      <c r="AB41" s="204"/>
      <c r="AC41" s="68"/>
      <c r="AD41" s="203"/>
      <c r="AE41" s="203"/>
      <c r="AF41" s="203"/>
      <c r="AG41" s="205">
        <f>N42</f>
        <v>42429</v>
      </c>
      <c r="AH41" s="205"/>
    </row>
    <row r="42" spans="2:36" ht="14.25" customHeight="1" x14ac:dyDescent="0.2">
      <c r="N42" s="197">
        <f>Z14</f>
        <v>42429</v>
      </c>
      <c r="O42" s="197"/>
      <c r="P42" s="197"/>
      <c r="Q42" s="197"/>
      <c r="S42" s="69"/>
      <c r="T42" s="69"/>
      <c r="U42" s="69"/>
      <c r="V42" s="198" t="s">
        <v>32</v>
      </c>
      <c r="W42" s="199"/>
      <c r="X42" s="199"/>
      <c r="Y42" s="199"/>
      <c r="AA42" s="200" t="s">
        <v>33</v>
      </c>
      <c r="AB42" s="199"/>
      <c r="AD42" s="198" t="s">
        <v>34</v>
      </c>
      <c r="AE42" s="198"/>
      <c r="AF42" s="198"/>
    </row>
    <row r="43" spans="2:36" ht="19.5" customHeight="1" x14ac:dyDescent="0.2">
      <c r="S43" s="202" t="s">
        <v>35</v>
      </c>
      <c r="T43" s="202"/>
      <c r="U43" s="202"/>
      <c r="V43" s="202"/>
      <c r="W43" s="203"/>
      <c r="X43" s="203"/>
      <c r="Y43" s="203"/>
      <c r="Z43" s="34"/>
      <c r="AA43" s="204"/>
      <c r="AB43" s="204"/>
      <c r="AC43" s="33"/>
      <c r="AD43" s="203"/>
      <c r="AE43" s="203"/>
      <c r="AF43" s="203"/>
      <c r="AG43" s="205">
        <f>N42</f>
        <v>42429</v>
      </c>
      <c r="AH43" s="205"/>
    </row>
    <row r="44" spans="2:36" ht="14.25" x14ac:dyDescent="0.2">
      <c r="V44" s="198" t="s">
        <v>32</v>
      </c>
      <c r="W44" s="199"/>
      <c r="X44" s="199"/>
      <c r="Y44" s="199"/>
      <c r="AA44" s="200" t="s">
        <v>33</v>
      </c>
      <c r="AB44" s="199"/>
      <c r="AD44" s="198" t="s">
        <v>34</v>
      </c>
      <c r="AE44" s="198"/>
      <c r="AF44" s="198"/>
    </row>
    <row r="45" spans="2:36" x14ac:dyDescent="0.2">
      <c r="C45" s="55"/>
      <c r="D45" s="55"/>
    </row>
    <row r="47" spans="2:36" x14ac:dyDescent="0.2">
      <c r="E47" s="48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</row>
    <row r="48" spans="2:36" x14ac:dyDescent="0.2">
      <c r="E48" s="48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V16:W16"/>
    <mergeCell ref="X16:AC16"/>
    <mergeCell ref="AD16:AH16"/>
    <mergeCell ref="AH17:AH20"/>
    <mergeCell ref="AF5:AH5"/>
    <mergeCell ref="AF6:AH6"/>
    <mergeCell ref="E7:Z7"/>
    <mergeCell ref="AC12:AF12"/>
    <mergeCell ref="AC13:AD13"/>
    <mergeCell ref="AE13:AF13"/>
    <mergeCell ref="W12:Y13"/>
    <mergeCell ref="W15:Y15"/>
    <mergeCell ref="Z12:AA13"/>
    <mergeCell ref="Z14:AA14"/>
    <mergeCell ref="F8:Z8"/>
    <mergeCell ref="W14:Y14"/>
    <mergeCell ref="AC14:AD14"/>
    <mergeCell ref="AE14:AF14"/>
    <mergeCell ref="M12:V15"/>
    <mergeCell ref="B22:B25"/>
    <mergeCell ref="C22:C25"/>
    <mergeCell ref="D22:D25"/>
    <mergeCell ref="E22:E25"/>
    <mergeCell ref="W22:W23"/>
    <mergeCell ref="R19:R20"/>
    <mergeCell ref="S19:S20"/>
    <mergeCell ref="T19:T20"/>
    <mergeCell ref="U19:U20"/>
    <mergeCell ref="V19:W19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B16:B20"/>
    <mergeCell ref="C16:C20"/>
    <mergeCell ref="D16:D20"/>
    <mergeCell ref="E16:E20"/>
    <mergeCell ref="P17:P18"/>
    <mergeCell ref="Q17:Q18"/>
    <mergeCell ref="R17:R18"/>
    <mergeCell ref="S17:S18"/>
    <mergeCell ref="T17:T18"/>
    <mergeCell ref="F16:U16"/>
    <mergeCell ref="F17:F18"/>
    <mergeCell ref="G17:G18"/>
    <mergeCell ref="H17:H18"/>
    <mergeCell ref="I17:I18"/>
    <mergeCell ref="J17:J18"/>
    <mergeCell ref="K17:K18"/>
    <mergeCell ref="L17:L18"/>
    <mergeCell ref="M17:M18"/>
    <mergeCell ref="O17:O18"/>
    <mergeCell ref="N17:N18"/>
    <mergeCell ref="AF22:AG22"/>
    <mergeCell ref="AF23:AG23"/>
    <mergeCell ref="W24:W25"/>
    <mergeCell ref="AF24:AG24"/>
    <mergeCell ref="AF25:AG25"/>
    <mergeCell ref="F21:U21"/>
    <mergeCell ref="U17:U18"/>
    <mergeCell ref="AF21:AG21"/>
    <mergeCell ref="X19:X20"/>
    <mergeCell ref="W17:W18"/>
    <mergeCell ref="X17:AC17"/>
    <mergeCell ref="AD17:AD20"/>
    <mergeCell ref="AE17:AE20"/>
    <mergeCell ref="AF17:AG20"/>
    <mergeCell ref="X18:AC18"/>
    <mergeCell ref="Y19:Y20"/>
    <mergeCell ref="Z19:Z20"/>
    <mergeCell ref="AA19:AA20"/>
    <mergeCell ref="AB19:AB20"/>
    <mergeCell ref="AC19:AC20"/>
    <mergeCell ref="V20:W20"/>
    <mergeCell ref="V17:V18"/>
    <mergeCell ref="B26:B29"/>
    <mergeCell ref="C26:C29"/>
    <mergeCell ref="D26:D29"/>
    <mergeCell ref="E26:E29"/>
    <mergeCell ref="W26:W27"/>
    <mergeCell ref="D39:H40"/>
    <mergeCell ref="J40:L40"/>
    <mergeCell ref="N40:Q40"/>
    <mergeCell ref="W40:Y41"/>
    <mergeCell ref="D41:H41"/>
    <mergeCell ref="E30:E33"/>
    <mergeCell ref="W32:W33"/>
    <mergeCell ref="B30:B33"/>
    <mergeCell ref="C30:C33"/>
    <mergeCell ref="D30:D33"/>
    <mergeCell ref="B34:B37"/>
    <mergeCell ref="C34:C37"/>
    <mergeCell ref="D34:D37"/>
    <mergeCell ref="E34:E37"/>
    <mergeCell ref="W34:W35"/>
    <mergeCell ref="AF26:AG26"/>
    <mergeCell ref="AF27:AG27"/>
    <mergeCell ref="W28:W29"/>
    <mergeCell ref="AF28:AG28"/>
    <mergeCell ref="AF29:AG29"/>
    <mergeCell ref="J41:L41"/>
    <mergeCell ref="N41:Q41"/>
    <mergeCell ref="AA41:AB41"/>
    <mergeCell ref="AD41:AF41"/>
    <mergeCell ref="AG41:AH41"/>
    <mergeCell ref="AF34:AG34"/>
    <mergeCell ref="AF35:AG35"/>
    <mergeCell ref="W36:W37"/>
    <mergeCell ref="AF36:AG36"/>
    <mergeCell ref="AF37:AG37"/>
    <mergeCell ref="W30:W31"/>
    <mergeCell ref="AF30:AG30"/>
    <mergeCell ref="AF31:AG31"/>
    <mergeCell ref="AF32:AG32"/>
    <mergeCell ref="AF33:AG33"/>
    <mergeCell ref="N42:Q42"/>
    <mergeCell ref="V42:Y42"/>
    <mergeCell ref="AA42:AB42"/>
    <mergeCell ref="AD42:AF42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">
    <cfRule type="cellIs" dxfId="118" priority="140" operator="equal">
      <formula>"ДО"</formula>
    </cfRule>
    <cfRule type="cellIs" dxfId="117" priority="141" operator="equal">
      <formula>"К"</formula>
    </cfRule>
    <cfRule type="cellIs" dxfId="116" priority="142" operator="equal">
      <formula>"ОД"</formula>
    </cfRule>
    <cfRule type="cellIs" dxfId="115" priority="143" operator="equal">
      <formula>"ОТ"</formula>
    </cfRule>
    <cfRule type="cellIs" dxfId="114" priority="144" operator="equal">
      <formula>"Б"</formula>
    </cfRule>
    <cfRule type="cellIs" dxfId="113" priority="145" operator="equal">
      <formula>"В"</formula>
    </cfRule>
  </conditionalFormatting>
  <conditionalFormatting sqref="F22:U25 F27:U29 U26">
    <cfRule type="cellIs" dxfId="112" priority="33" operator="equal">
      <formula>"ДО"</formula>
    </cfRule>
    <cfRule type="cellIs" dxfId="111" priority="34" operator="equal">
      <formula>"К"</formula>
    </cfRule>
    <cfRule type="cellIs" dxfId="110" priority="35" operator="equal">
      <formula>"ОД"</formula>
    </cfRule>
    <cfRule type="cellIs" dxfId="109" priority="36" operator="equal">
      <formula>"ОТ"</formula>
    </cfRule>
    <cfRule type="cellIs" dxfId="108" priority="37" operator="equal">
      <formula>"Б"</formula>
    </cfRule>
    <cfRule type="cellIs" dxfId="107" priority="38" operator="equal">
      <formula>"В"</formula>
    </cfRule>
  </conditionalFormatting>
  <conditionalFormatting sqref="F30:U33">
    <cfRule type="cellIs" dxfId="106" priority="27" operator="equal">
      <formula>"ДО"</formula>
    </cfRule>
    <cfRule type="cellIs" dxfId="105" priority="28" operator="equal">
      <formula>"К"</formula>
    </cfRule>
    <cfRule type="cellIs" dxfId="104" priority="29" operator="equal">
      <formula>"ОД"</formula>
    </cfRule>
    <cfRule type="cellIs" dxfId="103" priority="30" operator="equal">
      <formula>"ОТ"</formula>
    </cfRule>
    <cfRule type="cellIs" dxfId="102" priority="31" operator="equal">
      <formula>"Б"</formula>
    </cfRule>
    <cfRule type="cellIs" dxfId="101" priority="32" operator="equal">
      <formula>"В"</formula>
    </cfRule>
  </conditionalFormatting>
  <conditionalFormatting sqref="F34:U37">
    <cfRule type="aboveAverage" dxfId="100" priority="21"/>
    <cfRule type="cellIs" dxfId="99" priority="22" operator="equal">
      <formula>"К"</formula>
    </cfRule>
    <cfRule type="cellIs" dxfId="98" priority="23" operator="equal">
      <formula>"ОД"</formula>
    </cfRule>
    <cfRule type="cellIs" dxfId="97" priority="24" operator="equal">
      <formula>"ОТ"</formula>
    </cfRule>
    <cfRule type="cellIs" dxfId="96" priority="25" operator="equal">
      <formula>"Б"</formula>
    </cfRule>
    <cfRule type="cellIs" dxfId="95" priority="26" operator="equal">
      <formula>"В"</formula>
    </cfRule>
  </conditionalFormatting>
  <conditionalFormatting sqref="U17:U20">
    <cfRule type="expression" dxfId="94" priority="17">
      <formula>OR(WEEKDAY(U17,2)&gt;5,ISNUMBER(MATCH(U17,празд,0)))</formula>
    </cfRule>
    <cfRule type="expression" dxfId="93" priority="18">
      <formula>ISNUMBER(MATCH(U17,допнер,0))</formula>
    </cfRule>
  </conditionalFormatting>
  <conditionalFormatting sqref="F26:T26">
    <cfRule type="cellIs" dxfId="92" priority="5" operator="equal">
      <formula>"ДО"</formula>
    </cfRule>
    <cfRule type="cellIs" dxfId="91" priority="6" operator="equal">
      <formula>"К"</formula>
    </cfRule>
    <cfRule type="cellIs" dxfId="90" priority="7" operator="equal">
      <formula>"ОД"</formula>
    </cfRule>
    <cfRule type="cellIs" dxfId="89" priority="8" operator="equal">
      <formula>"ОТ"</formula>
    </cfRule>
    <cfRule type="cellIs" dxfId="88" priority="9" operator="equal">
      <formula>"Б"</formula>
    </cfRule>
    <cfRule type="cellIs" dxfId="87" priority="10" operator="equal">
      <formula>"В"</formula>
    </cfRule>
  </conditionalFormatting>
  <conditionalFormatting sqref="F17:T20">
    <cfRule type="expression" dxfId="86" priority="1">
      <formula>OR(WEEKDAY(F17,2)&gt;5,ISNUMBER(MATCH(F17,празд,0)))</formula>
    </cfRule>
    <cfRule type="expression" dxfId="85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774" yWindow="276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AK66"/>
  <sheetViews>
    <sheetView topLeftCell="A35" zoomScale="85" zoomScaleNormal="85" zoomScaleSheetLayoutView="85" workbookViewId="0">
      <selection activeCell="AD45" sqref="AD45:AF45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285156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304">
        <v>301008</v>
      </c>
      <c r="AG5" s="305"/>
      <c r="AH5" s="30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307">
        <v>11356728</v>
      </c>
      <c r="AG6" s="308"/>
      <c r="AH6" s="309"/>
    </row>
    <row r="7" spans="2:35" s="4" customFormat="1" ht="15.75" x14ac:dyDescent="0.2">
      <c r="B7" s="5"/>
      <c r="C7" s="137" t="s">
        <v>5</v>
      </c>
      <c r="D7" s="6"/>
      <c r="E7" s="310" t="s">
        <v>66</v>
      </c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319" t="s">
        <v>75</v>
      </c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22" t="s">
        <v>29</v>
      </c>
      <c r="N12" s="323"/>
      <c r="O12" s="323"/>
      <c r="P12" s="323"/>
      <c r="Q12" s="323"/>
      <c r="R12" s="323"/>
      <c r="S12" s="323"/>
      <c r="T12" s="323"/>
      <c r="U12" s="323"/>
      <c r="V12" s="323"/>
      <c r="W12" s="313" t="s">
        <v>7</v>
      </c>
      <c r="X12" s="313"/>
      <c r="Y12" s="313"/>
      <c r="Z12" s="316" t="s">
        <v>8</v>
      </c>
      <c r="AA12" s="316"/>
      <c r="AB12" s="123"/>
      <c r="AC12" s="311" t="s">
        <v>9</v>
      </c>
      <c r="AD12" s="311"/>
      <c r="AE12" s="311"/>
      <c r="AF12" s="311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14"/>
      <c r="X13" s="314"/>
      <c r="Y13" s="314"/>
      <c r="Z13" s="317"/>
      <c r="AA13" s="317"/>
      <c r="AB13" s="123"/>
      <c r="AC13" s="312" t="s">
        <v>10</v>
      </c>
      <c r="AD13" s="312"/>
      <c r="AE13" s="312" t="s">
        <v>11</v>
      </c>
      <c r="AF13" s="312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0"/>
      <c r="X14" s="320"/>
      <c r="Y14" s="320"/>
      <c r="Z14" s="318">
        <v>42429</v>
      </c>
      <c r="AA14" s="318"/>
      <c r="AB14" s="121"/>
      <c r="AC14" s="318">
        <f>DATE('Выбери месяц'!$I$8,VLOOKUP('Выбери месяц'!$H$8,всяки!$A$1:$B$12,2,0),1)</f>
        <v>42401</v>
      </c>
      <c r="AD14" s="318"/>
      <c r="AE14" s="321">
        <f>EOMONTH(AC14,0)</f>
        <v>42429</v>
      </c>
      <c r="AF14" s="321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15"/>
      <c r="X15" s="315"/>
      <c r="Y15" s="315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75" t="s">
        <v>12</v>
      </c>
      <c r="C16" s="294" t="s">
        <v>30</v>
      </c>
      <c r="D16" s="275" t="s">
        <v>13</v>
      </c>
      <c r="E16" s="278" t="s">
        <v>68</v>
      </c>
      <c r="F16" s="283" t="s">
        <v>14</v>
      </c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5"/>
      <c r="V16" s="283" t="s">
        <v>15</v>
      </c>
      <c r="W16" s="297"/>
      <c r="X16" s="298" t="s">
        <v>16</v>
      </c>
      <c r="Y16" s="299"/>
      <c r="Z16" s="299"/>
      <c r="AA16" s="299"/>
      <c r="AB16" s="284"/>
      <c r="AC16" s="285"/>
      <c r="AD16" s="300" t="s">
        <v>17</v>
      </c>
      <c r="AE16" s="301"/>
      <c r="AF16" s="301"/>
      <c r="AG16" s="301"/>
      <c r="AH16" s="302"/>
    </row>
    <row r="17" spans="2:37" ht="18" customHeight="1" x14ac:dyDescent="0.2">
      <c r="B17" s="292"/>
      <c r="C17" s="295"/>
      <c r="D17" s="276"/>
      <c r="E17" s="279"/>
      <c r="F17" s="286">
        <f>DATE('Выбери месяц'!$I$8,VLOOKUP('Выбери месяц'!$H$8,всяки!$A$1:$B$12,2,0),1)</f>
        <v>42401</v>
      </c>
      <c r="G17" s="281">
        <f>DATE('Выбери месяц'!$I$8,VLOOKUP('Выбери месяц'!$H$8,всяки!$A$1:$B$12,2,0),1+COLUMN(A:A))</f>
        <v>42402</v>
      </c>
      <c r="H17" s="281">
        <f>DATE('Выбери месяц'!$I$8,VLOOKUP('Выбери месяц'!$H$8,всяки!$A$1:$B$12,2,0),1+COLUMN(B:B))</f>
        <v>42403</v>
      </c>
      <c r="I17" s="281">
        <f>DATE('Выбери месяц'!$I$8,VLOOKUP('Выбери месяц'!$H$8,всяки!$A$1:$B$12,2,0),1+COLUMN(C:C))</f>
        <v>42404</v>
      </c>
      <c r="J17" s="281">
        <f>DATE('Выбери месяц'!$I$8,VLOOKUP('Выбери месяц'!$H$8,всяки!$A$1:$B$12,2,0),1+COLUMN(D:D))</f>
        <v>42405</v>
      </c>
      <c r="K17" s="281">
        <f>DATE('Выбери месяц'!$I$8,VLOOKUP('Выбери месяц'!$H$8,всяки!$A$1:$B$12,2,0),1+COLUMN(E:E))</f>
        <v>42406</v>
      </c>
      <c r="L17" s="281">
        <f>DATE('Выбери месяц'!$I$8,VLOOKUP('Выбери месяц'!$H$8,всяки!$A$1:$B$12,2,0),1+COLUMN(F:F))</f>
        <v>42407</v>
      </c>
      <c r="M17" s="281">
        <f>DATE('Выбери месяц'!$I$8,VLOOKUP('Выбери месяц'!$H$8,всяки!$A$1:$B$12,2,0),1+COLUMN(G:G))</f>
        <v>42408</v>
      </c>
      <c r="N17" s="281">
        <f>DATE('Выбери месяц'!$I$8,VLOOKUP('Выбери месяц'!$H$8,всяки!$A$1:$B$12,2,0),1+COLUMN(H:H))</f>
        <v>42409</v>
      </c>
      <c r="O17" s="281">
        <f>DATE('Выбери месяц'!$I$8,VLOOKUP('Выбери месяц'!$H$8,всяки!$A$1:$B$12,2,0),1+COLUMN(I:I))</f>
        <v>42410</v>
      </c>
      <c r="P17" s="281">
        <f>DATE('Выбери месяц'!$I$8,VLOOKUP('Выбери месяц'!$H$8,всяки!$A$1:$B$12,2,0),1+COLUMN(J:J))</f>
        <v>42411</v>
      </c>
      <c r="Q17" s="281">
        <f>DATE('Выбери месяц'!$I$8,VLOOKUP('Выбери месяц'!$H$8,всяки!$A$1:$B$12,2,0),1+COLUMN(K:K))</f>
        <v>42412</v>
      </c>
      <c r="R17" s="281">
        <f>DATE('Выбери месяц'!$I$8,VLOOKUP('Выбери месяц'!$H$8,всяки!$A$1:$B$12,2,0),1+COLUMN(L:L))</f>
        <v>42413</v>
      </c>
      <c r="S17" s="281">
        <f>DATE('Выбери месяц'!$I$8,VLOOKUP('Выбери месяц'!$H$8,всяки!$A$1:$B$12,2,0),1+COLUMN(M:M))</f>
        <v>42414</v>
      </c>
      <c r="T17" s="281">
        <f>DATE('Выбери месяц'!$I$8,VLOOKUP('Выбери месяц'!$H$8,всяки!$A$1:$B$12,2,0),1+COLUMN(N:N))</f>
        <v>42415</v>
      </c>
      <c r="U17" s="245" t="s">
        <v>38</v>
      </c>
      <c r="V17" s="273" t="s">
        <v>18</v>
      </c>
      <c r="W17" s="250" t="s">
        <v>19</v>
      </c>
      <c r="X17" s="251" t="s">
        <v>20</v>
      </c>
      <c r="Y17" s="252"/>
      <c r="Z17" s="252"/>
      <c r="AA17" s="252"/>
      <c r="AB17" s="252"/>
      <c r="AC17" s="250"/>
      <c r="AD17" s="253" t="s">
        <v>21</v>
      </c>
      <c r="AE17" s="256" t="s">
        <v>70</v>
      </c>
      <c r="AF17" s="259" t="s">
        <v>21</v>
      </c>
      <c r="AG17" s="260"/>
      <c r="AH17" s="269" t="s">
        <v>70</v>
      </c>
    </row>
    <row r="18" spans="2:37" ht="17.25" customHeight="1" x14ac:dyDescent="0.2">
      <c r="B18" s="292"/>
      <c r="C18" s="295"/>
      <c r="D18" s="276"/>
      <c r="E18" s="279"/>
      <c r="F18" s="287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45"/>
      <c r="V18" s="274"/>
      <c r="W18" s="250"/>
      <c r="X18" s="251" t="s">
        <v>23</v>
      </c>
      <c r="Y18" s="252"/>
      <c r="Z18" s="252"/>
      <c r="AA18" s="252"/>
      <c r="AB18" s="252"/>
      <c r="AC18" s="250"/>
      <c r="AD18" s="254"/>
      <c r="AE18" s="257"/>
      <c r="AF18" s="261"/>
      <c r="AG18" s="262"/>
      <c r="AH18" s="270"/>
    </row>
    <row r="19" spans="2:37" ht="19.5" customHeight="1" x14ac:dyDescent="0.2">
      <c r="B19" s="292"/>
      <c r="C19" s="295"/>
      <c r="D19" s="276"/>
      <c r="E19" s="279"/>
      <c r="F19" s="286">
        <f>DATE('Выбери месяц'!$I$8,VLOOKUP('Выбери месяц'!$H$8,всяки!$A$1:$B$12,2,0),16)</f>
        <v>42416</v>
      </c>
      <c r="G19" s="281">
        <f>DATE('Выбери месяц'!$I$8,VLOOKUP('Выбери месяц'!$H$8,всяки!$A$1:$B$12,2,0),16+COLUMN(A:A))</f>
        <v>42417</v>
      </c>
      <c r="H19" s="281">
        <f>DATE('Выбери месяц'!$I$8,VLOOKUP('Выбери месяц'!$H$8,всяки!$A$1:$B$12,2,0),16+COLUMN(B:B))</f>
        <v>42418</v>
      </c>
      <c r="I19" s="281">
        <f>DATE('Выбери месяц'!$I$8,VLOOKUP('Выбери месяц'!$H$8,всяки!$A$1:$B$12,2,0),16+COLUMN(C:C))</f>
        <v>42419</v>
      </c>
      <c r="J19" s="281">
        <f>DATE('Выбери месяц'!$I$8,VLOOKUP('Выбери месяц'!$H$8,всяки!$A$1:$B$12,2,0),16+COLUMN(D:D))</f>
        <v>42420</v>
      </c>
      <c r="K19" s="281">
        <f>DATE('Выбери месяц'!$I$8,VLOOKUP('Выбери месяц'!$H$8,всяки!$A$1:$B$12,2,0),16+COLUMN(E:E))</f>
        <v>42421</v>
      </c>
      <c r="L19" s="281">
        <f>DATE('Выбери месяц'!$I$8,VLOOKUP('Выбери месяц'!$H$8,всяки!$A$1:$B$12,2,0),16+COLUMN(F:F))</f>
        <v>42422</v>
      </c>
      <c r="M19" s="281">
        <f>DATE('Выбери месяц'!$I$8,VLOOKUP('Выбери месяц'!$H$8,всяки!$A$1:$B$12,2,0),16+COLUMN(G:G))</f>
        <v>42423</v>
      </c>
      <c r="N19" s="281">
        <f>DATE('Выбери месяц'!$I$8,VLOOKUP('Выбери месяц'!$H$8,всяки!$A$1:$B$12,2,0),16+COLUMN(H:H))</f>
        <v>42424</v>
      </c>
      <c r="O19" s="281">
        <f>DATE('Выбери месяц'!$I$8,VLOOKUP('Выбери месяц'!$H$8,всяки!$A$1:$B$12,2,0),16+COLUMN(I:I))</f>
        <v>42425</v>
      </c>
      <c r="P19" s="281">
        <f>DATE('Выбери месяц'!$I$8,VLOOKUP('Выбери месяц'!$H$8,всяки!$A$1:$B$12,2,0),16+COLUMN(J:J))</f>
        <v>42426</v>
      </c>
      <c r="Q19" s="281">
        <f>DATE('Выбери месяц'!$I$8,VLOOKUP('Выбери месяц'!$H$8,всяки!$A$1:$B$12,2,0),16+COLUMN(K:K))</f>
        <v>42427</v>
      </c>
      <c r="R19" s="281">
        <f>DATE('Выбери месяц'!$I$8,VLOOKUP('Выбери месяц'!$H$8,всяки!$A$1:$B$12,2,0),16+COLUMN(L:L))</f>
        <v>42428</v>
      </c>
      <c r="S19" s="281">
        <f>DATE('Выбери месяц'!$I$8,VLOOKUP('Выбери месяц'!$H$8,всяки!$A$1:$B$12,2,0),16+COLUMN(M:M))</f>
        <v>42429</v>
      </c>
      <c r="T19" s="281"/>
      <c r="U19" s="290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1" t="s">
        <v>22</v>
      </c>
      <c r="W19" s="272"/>
      <c r="X19" s="248" t="s">
        <v>24</v>
      </c>
      <c r="Y19" s="265" t="s">
        <v>25</v>
      </c>
      <c r="Z19" s="256" t="s">
        <v>26</v>
      </c>
      <c r="AA19" s="267" t="s">
        <v>24</v>
      </c>
      <c r="AB19" s="265" t="s">
        <v>25</v>
      </c>
      <c r="AC19" s="269" t="s">
        <v>26</v>
      </c>
      <c r="AD19" s="254"/>
      <c r="AE19" s="257"/>
      <c r="AF19" s="261"/>
      <c r="AG19" s="262"/>
      <c r="AH19" s="270"/>
    </row>
    <row r="20" spans="2:37" ht="19.5" customHeight="1" x14ac:dyDescent="0.2">
      <c r="B20" s="293"/>
      <c r="C20" s="296"/>
      <c r="D20" s="277"/>
      <c r="E20" s="280"/>
      <c r="F20" s="287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91"/>
      <c r="V20" s="271" t="s">
        <v>27</v>
      </c>
      <c r="W20" s="272"/>
      <c r="X20" s="249"/>
      <c r="Y20" s="266"/>
      <c r="Z20" s="257"/>
      <c r="AA20" s="268"/>
      <c r="AB20" s="266"/>
      <c r="AC20" s="270"/>
      <c r="AD20" s="255"/>
      <c r="AE20" s="258"/>
      <c r="AF20" s="263"/>
      <c r="AG20" s="264"/>
      <c r="AH20" s="303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42">
        <v>4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4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46">
        <v>12</v>
      </c>
      <c r="AG21" s="247"/>
      <c r="AH21" s="120">
        <v>13</v>
      </c>
      <c r="AI21" s="70"/>
      <c r="AJ21" s="71"/>
      <c r="AK21" s="71"/>
    </row>
    <row r="22" spans="2:37" ht="18" customHeight="1" thickTop="1" x14ac:dyDescent="0.2">
      <c r="B22" s="220">
        <f>IF(D22&gt;0,COUNTIF($D$22:D22,"&gt;0"),"")</f>
        <v>1</v>
      </c>
      <c r="C22" s="223">
        <f>IFERROR(INDEX(INDEX(Структура!$A$1:$H$31,0,MATCH('Сектор МТО'!$F$8,Структура!$A$1:$G$1,0)+1),TRUNC(ROW(A4)/4)+1,0),"")</f>
        <v>0</v>
      </c>
      <c r="D22" s="225">
        <f>IFERROR(HLOOKUP('Сектор МТО'!$F$8,Структура!$A$1:$H$31,TRUNC(ROW(A4)/4)+1,0),"")</f>
        <v>521</v>
      </c>
      <c r="E22" s="288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38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2" t="str">
        <f t="array" ref="AE22">IF(AD22="","",SUMPRODUCT((F22:U25=AD22)*(IFERROR(WEEKDAY($F$17:$U$20,2),7)&lt;6)*(ISNA(MATCH($F$17:$U$20,празд,0))))&amp;"("&amp;SUMPRODUCT((F22:U25=AD22)*(IFERROR(WEEKDAY($F$17:$U$20,2),7)&lt;6)*(ISNA(MATCH($F$17:$U$20,празд,0))))*8-COUNT(MATCH(F$17:U$20,предпр,))&amp;")")</f>
        <v/>
      </c>
      <c r="AF22" s="216" t="str">
        <f>IF(SUMPRODUCT(--ISNUMBER(SEARCH("К",F22:U25)))&gt;0,"К","")</f>
        <v/>
      </c>
      <c r="AG22" s="217"/>
      <c r="AH22" s="190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8-COUNT(MATCH(I$17:X$20,предпр,))&amp;")")</f>
        <v/>
      </c>
      <c r="AI22" s="66"/>
      <c r="AJ22" s="66"/>
    </row>
    <row r="23" spans="2:37" ht="18" customHeight="1" x14ac:dyDescent="0.2">
      <c r="B23" s="221"/>
      <c r="C23" s="224"/>
      <c r="D23" s="226"/>
      <c r="E23" s="289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19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2" t="str">
        <f t="array" ref="AE23">IF(AD23="","",SUMPRODUCT((F22:U25=AD23)*(IFERROR(WEEKDAY($F$17:$U$20,2),7)&lt;6)*(ISNA(MATCH($F$17:$U$20,празд,0))))&amp;"("&amp;SUMPRODUCT((F22:U25=AD23)*(IFERROR(WEEKDAY($F$17:$U$20,2),7)&lt;6)*(ISNA(MATCH($F$17:$U$20,празд,0))))*8-COUNT(MATCH(F$17:U$20,предпр,))&amp;")")</f>
        <v/>
      </c>
      <c r="AF23" s="208"/>
      <c r="AG23" s="209"/>
      <c r="AH23" s="190"/>
      <c r="AI23" s="72"/>
      <c r="AJ23" s="72"/>
    </row>
    <row r="24" spans="2:37" ht="18" customHeight="1" x14ac:dyDescent="0.2">
      <c r="B24" s="221"/>
      <c r="C24" s="224"/>
      <c r="D24" s="226"/>
      <c r="E24" s="289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10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2" t="str">
        <f t="array" ref="AE24">IF(AD24="","",SUMPRODUCT((F22:U25=AD24)*(IFERROR(WEEKDAY($F$17:$U$20,2),7)&lt;6)*(ISNA(MATCH($F$17:$U$20,празд,0))))&amp;"("&amp;SUMPRODUCT((F22:U25=AD24)*(IFERROR(WEEKDAY($F$17:$U$20,2),7)&lt;6)*(ISNA(MATCH($F$17:$U$20,празд,0))))*8-COUNT(MATCH(F$17:U$20,предпр,))&amp;")")</f>
        <v/>
      </c>
      <c r="AF24" s="212"/>
      <c r="AG24" s="213"/>
      <c r="AH24" s="148"/>
      <c r="AI24" s="72"/>
      <c r="AJ24" s="72"/>
    </row>
    <row r="25" spans="2:37" ht="18" customHeight="1" thickBot="1" x14ac:dyDescent="0.25">
      <c r="B25" s="222"/>
      <c r="C25" s="224"/>
      <c r="D25" s="226"/>
      <c r="E25" s="289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39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3" t="str">
        <f t="array" ref="AE25">IF(AD25="","",SUMPRODUCT((F22:U25=AD25)*(IFERROR(WEEKDAY($F$17:$U$20,2),7)&lt;6)*(ISNA(MATCH($F$17:$U$20,празд,0))))&amp;"("&amp;SUMPRODUCT((F22:U25=AD25)*(IFERROR(WEEKDAY($F$17:$U$20,2),7)&lt;6)*(ISNA(MATCH($F$17:$U$20,празд,0))))*8-COUNT(MATCH(F$17:U$20,предпр,))&amp;")")</f>
        <v/>
      </c>
      <c r="AF25" s="240"/>
      <c r="AG25" s="241"/>
      <c r="AH25" s="149"/>
      <c r="AI25" s="72"/>
      <c r="AJ25" s="72"/>
    </row>
    <row r="26" spans="2:37" ht="18" customHeight="1" thickTop="1" x14ac:dyDescent="0.2">
      <c r="B26" s="220">
        <f>IF(D26&gt;0,COUNTIF($D$22:D26,"&gt;0"),"")</f>
        <v>2</v>
      </c>
      <c r="C26" s="223">
        <f>IFERROR(INDEX(INDEX(Структура!$A$1:$H$31,0,MATCH('Сектор МТО'!$F$8,Структура!$A$1:$G$1,0)+1),TRUNC(ROW(A8)/4)+1,0),"")</f>
        <v>0</v>
      </c>
      <c r="D26" s="225">
        <f>IFERROR(HLOOKUP('Сектор МТО'!$F$8,Структура!$A$1:$H$31,TRUNC(ROW(A8)/4)+1,0),"")</f>
        <v>572</v>
      </c>
      <c r="E26" s="227" t="s">
        <v>65</v>
      </c>
      <c r="F26" s="98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57" t="str">
        <f t="shared" si="4"/>
        <v>Я</v>
      </c>
      <c r="U26" s="158" t="s">
        <v>28</v>
      </c>
      <c r="V26" s="103">
        <f>COUNTIF(F26:U26,"Я")*1+COUNTIF(F26:U26,"РВ")*1</f>
        <v>11</v>
      </c>
      <c r="W26" s="218">
        <f>SUM(V28,V26)</f>
        <v>20</v>
      </c>
      <c r="X26" s="110"/>
      <c r="Y26" s="99"/>
      <c r="Z26" s="100"/>
      <c r="AA26" s="100"/>
      <c r="AB26" s="99"/>
      <c r="AC26" s="111"/>
      <c r="AD26" s="145" t="str">
        <f>IF(SUMPRODUCT(--ISNUMBER(SEARCH("НН",F26:U29)))&gt;0,"НН","")</f>
        <v/>
      </c>
      <c r="AE26" s="192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8-COUNT(MATCH(F$17:U$20,предпр,))&amp;")")</f>
        <v/>
      </c>
      <c r="AF26" s="206" t="str">
        <f>IF(SUMPRODUCT(--ISNUMBER(SEARCH("К",F26:U29)))&gt;0,"К","")</f>
        <v/>
      </c>
      <c r="AG26" s="207"/>
      <c r="AH26" s="150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21"/>
      <c r="C27" s="224"/>
      <c r="D27" s="226"/>
      <c r="E27" s="228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9">
        <f t="shared" si="5"/>
        <v>8</v>
      </c>
      <c r="U27" s="85" t="s">
        <v>28</v>
      </c>
      <c r="V27" s="101">
        <f>SUM(F27:U27)</f>
        <v>88</v>
      </c>
      <c r="W27" s="219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/>
      </c>
      <c r="AE27" s="152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8-COUNT(MATCH(F$17:U$20,предпр,))&amp;")")</f>
        <v/>
      </c>
      <c r="AF27" s="208"/>
      <c r="AG27" s="209"/>
      <c r="AH27" s="190"/>
      <c r="AI27" s="72"/>
      <c r="AJ27" s="72"/>
    </row>
    <row r="28" spans="2:37" ht="18" customHeight="1" x14ac:dyDescent="0.2">
      <c r="B28" s="221"/>
      <c r="C28" s="224"/>
      <c r="D28" s="226"/>
      <c r="E28" s="228"/>
      <c r="F28" s="59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91" t="str">
        <f t="shared" si="6"/>
        <v>Я</v>
      </c>
      <c r="H28" s="91" t="str">
        <f t="shared" si="6"/>
        <v>Я</v>
      </c>
      <c r="I28" s="91" t="str">
        <f t="shared" si="6"/>
        <v>Я</v>
      </c>
      <c r="J28" s="91" t="str">
        <f t="shared" si="6"/>
        <v>Я</v>
      </c>
      <c r="K28" s="91" t="str">
        <f t="shared" si="6"/>
        <v>В</v>
      </c>
      <c r="L28" s="91" t="str">
        <f t="shared" si="6"/>
        <v>В</v>
      </c>
      <c r="M28" s="91" t="str">
        <f t="shared" si="6"/>
        <v>В</v>
      </c>
      <c r="N28" s="91" t="str">
        <f t="shared" si="6"/>
        <v>Я</v>
      </c>
      <c r="O28" s="91" t="str">
        <f t="shared" si="6"/>
        <v>Я</v>
      </c>
      <c r="P28" s="91" t="str">
        <f t="shared" si="6"/>
        <v>Я</v>
      </c>
      <c r="Q28" s="91" t="str">
        <f t="shared" si="6"/>
        <v>В</v>
      </c>
      <c r="R28" s="91" t="str">
        <f t="shared" si="6"/>
        <v>В</v>
      </c>
      <c r="S28" s="91" t="str">
        <f t="shared" si="6"/>
        <v>Я</v>
      </c>
      <c r="T28" s="159" t="str">
        <f t="shared" si="6"/>
        <v/>
      </c>
      <c r="U28" s="85" t="str">
        <f t="shared" si="6"/>
        <v/>
      </c>
      <c r="V28" s="102">
        <f>COUNTIF(F28:U28,"Я")*1+COUNTIF(F28:U28,"РВ")*1</f>
        <v>9</v>
      </c>
      <c r="W28" s="210">
        <f>SUM(V29,V27)</f>
        <v>159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2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8-COUNT(MATCH(F$17:U$20,предпр,))&amp;")")</f>
        <v/>
      </c>
      <c r="AF28" s="212"/>
      <c r="AG28" s="213"/>
      <c r="AH28" s="148"/>
      <c r="AI28" s="72"/>
      <c r="AJ28" s="72"/>
    </row>
    <row r="29" spans="2:37" ht="18" customHeight="1" thickBot="1" x14ac:dyDescent="0.25">
      <c r="B29" s="222"/>
      <c r="C29" s="224"/>
      <c r="D29" s="226"/>
      <c r="E29" s="229"/>
      <c r="F29" s="78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79">
        <f t="shared" si="7"/>
        <v>8</v>
      </c>
      <c r="H29" s="79">
        <f t="shared" si="7"/>
        <v>8</v>
      </c>
      <c r="I29" s="79">
        <f t="shared" si="7"/>
        <v>8</v>
      </c>
      <c r="J29" s="79">
        <f t="shared" si="7"/>
        <v>7</v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>
        <f t="shared" si="7"/>
        <v>8</v>
      </c>
      <c r="O29" s="79">
        <f t="shared" si="7"/>
        <v>8</v>
      </c>
      <c r="P29" s="79">
        <f t="shared" si="7"/>
        <v>8</v>
      </c>
      <c r="Q29" s="79" t="str">
        <f t="shared" si="7"/>
        <v/>
      </c>
      <c r="R29" s="79" t="str">
        <f t="shared" si="7"/>
        <v/>
      </c>
      <c r="S29" s="79">
        <f t="shared" si="7"/>
        <v>8</v>
      </c>
      <c r="T29" s="160" t="str">
        <f t="shared" si="7"/>
        <v/>
      </c>
      <c r="U29" s="90" t="str">
        <f t="shared" si="7"/>
        <v/>
      </c>
      <c r="V29" s="104">
        <f>SUM(F29:U29)</f>
        <v>71</v>
      </c>
      <c r="W29" s="211"/>
      <c r="X29" s="112"/>
      <c r="Y29" s="80"/>
      <c r="Z29" s="81"/>
      <c r="AA29" s="80"/>
      <c r="AB29" s="80"/>
      <c r="AC29" s="113"/>
      <c r="AD29" s="146" t="str">
        <f>IF(SUMPRODUCT(--ISNUMBER(SEARCH("ОД",F26:U29)))&gt;0,"ОД","")</f>
        <v/>
      </c>
      <c r="AE29" s="153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8-COUNT(MATCH(F$17:U$20,предпр,))&amp;")")</f>
        <v/>
      </c>
      <c r="AF29" s="214"/>
      <c r="AG29" s="215"/>
      <c r="AH29" s="151"/>
    </row>
    <row r="30" spans="2:37" ht="18" customHeight="1" thickTop="1" x14ac:dyDescent="0.2">
      <c r="B30" s="220">
        <f>IF(D30&gt;0,COUNTIF($D$22:D30,"&gt;0"),"")</f>
        <v>3</v>
      </c>
      <c r="C30" s="223">
        <f>IFERROR(INDEX(INDEX(Структура!$A$1:$H$31,0,MATCH('Сектор МТО'!$F$8,Структура!$A$1:$G$1,0)+1),TRUNC(ROW(A12)/4)+1,0),"")</f>
        <v>0</v>
      </c>
      <c r="D30" s="225">
        <f>IFERROR(HLOOKUP('Сектор МТО'!$F$8,Структура!$A$1:$H$31,TRUNC(ROW(A12)/4)+1,0),"")</f>
        <v>591</v>
      </c>
      <c r="E30" s="228" t="s">
        <v>65</v>
      </c>
      <c r="F30" s="98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88" t="str">
        <f t="shared" si="8"/>
        <v>Я</v>
      </c>
      <c r="H30" s="88" t="str">
        <f t="shared" si="8"/>
        <v>Я</v>
      </c>
      <c r="I30" s="88" t="str">
        <f t="shared" si="8"/>
        <v>Я</v>
      </c>
      <c r="J30" s="88" t="str">
        <f t="shared" si="8"/>
        <v>Я</v>
      </c>
      <c r="K30" s="88" t="str">
        <f t="shared" si="8"/>
        <v>В</v>
      </c>
      <c r="L30" s="88" t="str">
        <f t="shared" si="8"/>
        <v>В</v>
      </c>
      <c r="M30" s="88" t="str">
        <f t="shared" si="8"/>
        <v>Я</v>
      </c>
      <c r="N30" s="88" t="str">
        <f t="shared" si="8"/>
        <v>Я</v>
      </c>
      <c r="O30" s="88" t="str">
        <f t="shared" si="8"/>
        <v>Я</v>
      </c>
      <c r="P30" s="88" t="str">
        <f t="shared" si="8"/>
        <v>Я</v>
      </c>
      <c r="Q30" s="88" t="str">
        <f t="shared" si="8"/>
        <v>Я</v>
      </c>
      <c r="R30" s="88" t="str">
        <f t="shared" si="8"/>
        <v>В</v>
      </c>
      <c r="S30" s="88" t="str">
        <f t="shared" si="8"/>
        <v>В</v>
      </c>
      <c r="T30" s="157" t="str">
        <f t="shared" si="8"/>
        <v>Я</v>
      </c>
      <c r="U30" s="158" t="s">
        <v>28</v>
      </c>
      <c r="V30" s="103">
        <f>COUNTIF(F30:U30,"Я")*1+COUNTIF(F30:U30,"РВ")*1</f>
        <v>11</v>
      </c>
      <c r="W30" s="218">
        <f>SUM(V32,V30)</f>
        <v>20</v>
      </c>
      <c r="X30" s="110"/>
      <c r="Y30" s="99"/>
      <c r="Z30" s="100"/>
      <c r="AA30" s="100"/>
      <c r="AB30" s="99"/>
      <c r="AC30" s="111"/>
      <c r="AD30" s="145" t="str">
        <f>IF(SUMPRODUCT(--ISNUMBER(SEARCH("НН",F30:U33)))&gt;0,"НН","")</f>
        <v/>
      </c>
      <c r="AE30" s="192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8-COUNT(MATCH(F$17:U$20,предпр,))&amp;")")</f>
        <v/>
      </c>
      <c r="AF30" s="206" t="str">
        <f>IF(SUMPRODUCT(--ISNUMBER(SEARCH("К",F30:U33)))&gt;0,"К","")</f>
        <v/>
      </c>
      <c r="AG30" s="207"/>
      <c r="AH30" s="150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8-COUNT(MATCH(F$17:U$20,предпр,))&amp;")")</f>
        <v/>
      </c>
      <c r="AI30" s="72"/>
      <c r="AJ30" s="72"/>
    </row>
    <row r="31" spans="2:37" ht="18" customHeight="1" x14ac:dyDescent="0.2">
      <c r="B31" s="221"/>
      <c r="C31" s="224"/>
      <c r="D31" s="226"/>
      <c r="E31" s="228"/>
      <c r="F31" s="59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91">
        <f t="shared" si="9"/>
        <v>8</v>
      </c>
      <c r="H31" s="91">
        <f t="shared" si="9"/>
        <v>8</v>
      </c>
      <c r="I31" s="91">
        <f t="shared" si="9"/>
        <v>8</v>
      </c>
      <c r="J31" s="91">
        <f t="shared" si="9"/>
        <v>8</v>
      </c>
      <c r="K31" s="91" t="str">
        <f t="shared" si="9"/>
        <v/>
      </c>
      <c r="L31" s="91" t="str">
        <f t="shared" si="9"/>
        <v/>
      </c>
      <c r="M31" s="91">
        <f t="shared" si="9"/>
        <v>8</v>
      </c>
      <c r="N31" s="91">
        <f t="shared" si="9"/>
        <v>8</v>
      </c>
      <c r="O31" s="91">
        <f t="shared" si="9"/>
        <v>8</v>
      </c>
      <c r="P31" s="91">
        <f t="shared" si="9"/>
        <v>8</v>
      </c>
      <c r="Q31" s="91">
        <f t="shared" si="9"/>
        <v>8</v>
      </c>
      <c r="R31" s="91" t="str">
        <f t="shared" si="9"/>
        <v/>
      </c>
      <c r="S31" s="91" t="str">
        <f t="shared" si="9"/>
        <v/>
      </c>
      <c r="T31" s="159">
        <f t="shared" si="9"/>
        <v>8</v>
      </c>
      <c r="U31" s="85" t="s">
        <v>28</v>
      </c>
      <c r="V31" s="101">
        <f>SUM(F31:U31)</f>
        <v>88</v>
      </c>
      <c r="W31" s="219"/>
      <c r="X31" s="106"/>
      <c r="Y31" s="8"/>
      <c r="Z31" s="9"/>
      <c r="AA31" s="8"/>
      <c r="AB31" s="8"/>
      <c r="AC31" s="107"/>
      <c r="AD31" s="146" t="str">
        <f>IF(SUMPRODUCT(--ISNUMBER(SEARCH("ОТ",F30:U33)))&gt;0,"ОТ","")</f>
        <v/>
      </c>
      <c r="AE31" s="152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8-COUNT(MATCH(F$17:U$20,предпр,))&amp;")")</f>
        <v/>
      </c>
      <c r="AF31" s="208"/>
      <c r="AG31" s="209"/>
      <c r="AH31" s="190"/>
      <c r="AI31" s="72"/>
      <c r="AJ31" s="72"/>
    </row>
    <row r="32" spans="2:37" ht="18" customHeight="1" x14ac:dyDescent="0.2">
      <c r="B32" s="221"/>
      <c r="C32" s="224"/>
      <c r="D32" s="226"/>
      <c r="E32" s="228"/>
      <c r="F32" s="59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91" t="str">
        <f t="shared" si="10"/>
        <v>Я</v>
      </c>
      <c r="H32" s="91" t="str">
        <f t="shared" si="10"/>
        <v>Я</v>
      </c>
      <c r="I32" s="91" t="str">
        <f t="shared" si="10"/>
        <v>Я</v>
      </c>
      <c r="J32" s="91" t="str">
        <f t="shared" si="10"/>
        <v>Я</v>
      </c>
      <c r="K32" s="91" t="str">
        <f t="shared" si="10"/>
        <v>В</v>
      </c>
      <c r="L32" s="91" t="str">
        <f t="shared" si="10"/>
        <v>В</v>
      </c>
      <c r="M32" s="91" t="str">
        <f t="shared" si="10"/>
        <v>В</v>
      </c>
      <c r="N32" s="91" t="str">
        <f t="shared" si="10"/>
        <v>Я</v>
      </c>
      <c r="O32" s="91" t="str">
        <f t="shared" si="10"/>
        <v>Я</v>
      </c>
      <c r="P32" s="91" t="str">
        <f t="shared" si="10"/>
        <v>Я</v>
      </c>
      <c r="Q32" s="91" t="str">
        <f t="shared" si="10"/>
        <v>В</v>
      </c>
      <c r="R32" s="91" t="str">
        <f t="shared" si="10"/>
        <v>В</v>
      </c>
      <c r="S32" s="91" t="str">
        <f t="shared" si="10"/>
        <v>Я</v>
      </c>
      <c r="T32" s="159" t="str">
        <f t="shared" si="10"/>
        <v/>
      </c>
      <c r="U32" s="85" t="str">
        <f t="shared" si="10"/>
        <v/>
      </c>
      <c r="V32" s="102">
        <f>COUNTIF(F32:U32,"Я")*1+COUNTIF(F32:U32,"РВ")*1</f>
        <v>9</v>
      </c>
      <c r="W32" s="210">
        <f>SUM(V33,V31)</f>
        <v>159</v>
      </c>
      <c r="X32" s="106"/>
      <c r="Y32" s="8"/>
      <c r="Z32" s="9"/>
      <c r="AA32" s="8"/>
      <c r="AB32" s="8"/>
      <c r="AC32" s="107"/>
      <c r="AD32" s="146" t="str">
        <f>IF(SUMPRODUCT(--ISNUMBER(SEARCH("б",F30:U33)))&gt;0,"Б","")</f>
        <v/>
      </c>
      <c r="AE32" s="152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8-COUNT(MATCH(F$17:U$20,предпр,))&amp;")")</f>
        <v/>
      </c>
      <c r="AF32" s="212"/>
      <c r="AG32" s="213"/>
      <c r="AH32" s="148"/>
      <c r="AI32" s="72"/>
      <c r="AJ32" s="72"/>
    </row>
    <row r="33" spans="2:36" ht="18" customHeight="1" thickBot="1" x14ac:dyDescent="0.25">
      <c r="B33" s="222"/>
      <c r="C33" s="224"/>
      <c r="D33" s="226"/>
      <c r="E33" s="233"/>
      <c r="F33" s="78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79">
        <f t="shared" si="11"/>
        <v>8</v>
      </c>
      <c r="H33" s="79">
        <f t="shared" si="11"/>
        <v>8</v>
      </c>
      <c r="I33" s="79">
        <f t="shared" si="11"/>
        <v>8</v>
      </c>
      <c r="J33" s="79">
        <f t="shared" si="11"/>
        <v>7</v>
      </c>
      <c r="K33" s="79" t="str">
        <f t="shared" si="11"/>
        <v/>
      </c>
      <c r="L33" s="79" t="str">
        <f t="shared" si="11"/>
        <v/>
      </c>
      <c r="M33" s="79" t="str">
        <f t="shared" si="11"/>
        <v/>
      </c>
      <c r="N33" s="79">
        <f t="shared" si="11"/>
        <v>8</v>
      </c>
      <c r="O33" s="79">
        <f t="shared" si="11"/>
        <v>8</v>
      </c>
      <c r="P33" s="79">
        <f t="shared" si="11"/>
        <v>8</v>
      </c>
      <c r="Q33" s="79" t="str">
        <f t="shared" si="11"/>
        <v/>
      </c>
      <c r="R33" s="79" t="str">
        <f t="shared" si="11"/>
        <v/>
      </c>
      <c r="S33" s="79">
        <f t="shared" si="11"/>
        <v>8</v>
      </c>
      <c r="T33" s="160" t="str">
        <f t="shared" si="11"/>
        <v/>
      </c>
      <c r="U33" s="90" t="str">
        <f t="shared" si="11"/>
        <v/>
      </c>
      <c r="V33" s="104">
        <f>SUM(F33:U33)</f>
        <v>71</v>
      </c>
      <c r="W33" s="211"/>
      <c r="X33" s="112"/>
      <c r="Y33" s="80"/>
      <c r="Z33" s="81"/>
      <c r="AA33" s="80"/>
      <c r="AB33" s="80"/>
      <c r="AC33" s="113"/>
      <c r="AD33" s="193" t="str">
        <f>IF(SUMPRODUCT(--ISNUMBER(SEARCH("ОД",F30:U33)))&gt;0,"ОД","")</f>
        <v/>
      </c>
      <c r="AE33" s="153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8-COUNT(MATCH(F$17:U$20,предпр,))&amp;")")</f>
        <v/>
      </c>
      <c r="AF33" s="214"/>
      <c r="AG33" s="215"/>
      <c r="AH33" s="151"/>
    </row>
    <row r="34" spans="2:36" ht="18" customHeight="1" thickTop="1" x14ac:dyDescent="0.2">
      <c r="B34" s="220">
        <f>IF(D34&gt;0,COUNTIF($D$22:D34,"&gt;0"),"")</f>
        <v>4</v>
      </c>
      <c r="C34" s="223">
        <f>IFERROR(INDEX(INDEX(Структура!$A$1:$H$31,0,MATCH('Сектор МТО'!$F$8,Структура!$A$1:$G$1,0)+1),TRUNC(ROW(A16)/4)+1,0),"")</f>
        <v>0</v>
      </c>
      <c r="D34" s="225">
        <f>IFERROR(HLOOKUP('Сектор МТО'!$F$8,Структура!$A$1:$H$31,TRUNC(ROW(A16)/4)+1,0),"")</f>
        <v>584</v>
      </c>
      <c r="E34" s="237" t="s">
        <v>65</v>
      </c>
      <c r="F34" s="98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88" t="str">
        <f t="shared" si="12"/>
        <v>Я</v>
      </c>
      <c r="H34" s="88" t="str">
        <f t="shared" si="12"/>
        <v>Я</v>
      </c>
      <c r="I34" s="88" t="str">
        <f t="shared" si="12"/>
        <v>Я</v>
      </c>
      <c r="J34" s="88" t="str">
        <f t="shared" si="12"/>
        <v>Я</v>
      </c>
      <c r="K34" s="88" t="str">
        <f t="shared" si="12"/>
        <v>В</v>
      </c>
      <c r="L34" s="88" t="str">
        <f t="shared" si="12"/>
        <v>В</v>
      </c>
      <c r="M34" s="88" t="str">
        <f t="shared" si="12"/>
        <v>Я</v>
      </c>
      <c r="N34" s="88" t="str">
        <f t="shared" si="12"/>
        <v>Я</v>
      </c>
      <c r="O34" s="88" t="str">
        <f t="shared" si="12"/>
        <v>Я</v>
      </c>
      <c r="P34" s="88" t="str">
        <f t="shared" si="12"/>
        <v>Я</v>
      </c>
      <c r="Q34" s="88" t="str">
        <f t="shared" si="12"/>
        <v>Я</v>
      </c>
      <c r="R34" s="88" t="str">
        <f t="shared" si="12"/>
        <v>В</v>
      </c>
      <c r="S34" s="88" t="str">
        <f t="shared" si="12"/>
        <v>В</v>
      </c>
      <c r="T34" s="157" t="str">
        <f t="shared" si="12"/>
        <v>Я</v>
      </c>
      <c r="U34" s="158" t="s">
        <v>28</v>
      </c>
      <c r="V34" s="105">
        <f>COUNTIF(F34:U34,"Я")*1+COUNTIF(F34:U34,"РВ")*1</f>
        <v>11</v>
      </c>
      <c r="W34" s="238">
        <f>SUM(V36,V34)</f>
        <v>20</v>
      </c>
      <c r="X34" s="114"/>
      <c r="Y34" s="96"/>
      <c r="Z34" s="97"/>
      <c r="AA34" s="97"/>
      <c r="AB34" s="96"/>
      <c r="AC34" s="115"/>
      <c r="AD34" s="144" t="str">
        <f>IF(SUMPRODUCT(--ISNUMBER(SEARCH("НН",F34:U37)))&gt;0,"НН","")</f>
        <v/>
      </c>
      <c r="AE34" s="192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8-COUNT(MATCH(F$17:U$20,предпр,))&amp;")")</f>
        <v/>
      </c>
      <c r="AF34" s="216" t="str">
        <f>IF(SUMPRODUCT(--ISNUMBER(SEARCH("К",F34:U37)))&gt;0,"К","")</f>
        <v/>
      </c>
      <c r="AG34" s="217"/>
      <c r="AH34" s="188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8-COUNT(MATCH(F$17:U$20,предпр,))&amp;")")</f>
        <v/>
      </c>
      <c r="AI34" s="72"/>
      <c r="AJ34" s="72"/>
    </row>
    <row r="35" spans="2:36" ht="18" customHeight="1" x14ac:dyDescent="0.2">
      <c r="B35" s="221"/>
      <c r="C35" s="224"/>
      <c r="D35" s="226"/>
      <c r="E35" s="228"/>
      <c r="F35" s="59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91">
        <f t="shared" si="13"/>
        <v>8</v>
      </c>
      <c r="H35" s="91">
        <f t="shared" si="13"/>
        <v>8</v>
      </c>
      <c r="I35" s="91">
        <f t="shared" si="13"/>
        <v>8</v>
      </c>
      <c r="J35" s="91">
        <f t="shared" si="13"/>
        <v>8</v>
      </c>
      <c r="K35" s="91" t="str">
        <f t="shared" si="13"/>
        <v/>
      </c>
      <c r="L35" s="91" t="str">
        <f t="shared" si="13"/>
        <v/>
      </c>
      <c r="M35" s="91">
        <f t="shared" si="13"/>
        <v>8</v>
      </c>
      <c r="N35" s="91">
        <f t="shared" si="13"/>
        <v>8</v>
      </c>
      <c r="O35" s="91">
        <f t="shared" si="13"/>
        <v>8</v>
      </c>
      <c r="P35" s="91">
        <f t="shared" si="13"/>
        <v>8</v>
      </c>
      <c r="Q35" s="91">
        <f t="shared" si="13"/>
        <v>8</v>
      </c>
      <c r="R35" s="91" t="str">
        <f t="shared" si="13"/>
        <v/>
      </c>
      <c r="S35" s="91" t="str">
        <f t="shared" si="13"/>
        <v/>
      </c>
      <c r="T35" s="159">
        <f t="shared" si="13"/>
        <v>8</v>
      </c>
      <c r="U35" s="85" t="s">
        <v>28</v>
      </c>
      <c r="V35" s="101">
        <f>SUM(F35:U35)</f>
        <v>88</v>
      </c>
      <c r="W35" s="219"/>
      <c r="X35" s="106"/>
      <c r="Y35" s="8"/>
      <c r="Z35" s="9"/>
      <c r="AA35" s="8"/>
      <c r="AB35" s="8"/>
      <c r="AC35" s="107"/>
      <c r="AD35" s="146" t="str">
        <f>IF(SUMPRODUCT(--ISNUMBER(SEARCH("ОТ",F34:U37)))&gt;0,"ОТ","")</f>
        <v/>
      </c>
      <c r="AE35" s="152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8-COUNT(MATCH(F$17:U$20,предпр,))&amp;")")</f>
        <v/>
      </c>
      <c r="AF35" s="208"/>
      <c r="AG35" s="209"/>
      <c r="AH35" s="190"/>
      <c r="AI35" s="72"/>
      <c r="AJ35" s="72"/>
    </row>
    <row r="36" spans="2:36" ht="18" customHeight="1" x14ac:dyDescent="0.2">
      <c r="B36" s="221"/>
      <c r="C36" s="224"/>
      <c r="D36" s="226"/>
      <c r="E36" s="228"/>
      <c r="F36" s="59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91" t="str">
        <f t="shared" si="14"/>
        <v>Я</v>
      </c>
      <c r="H36" s="91" t="str">
        <f t="shared" si="14"/>
        <v>Я</v>
      </c>
      <c r="I36" s="91" t="str">
        <f t="shared" si="14"/>
        <v>Я</v>
      </c>
      <c r="J36" s="91" t="str">
        <f t="shared" si="14"/>
        <v>Я</v>
      </c>
      <c r="K36" s="91" t="str">
        <f t="shared" si="14"/>
        <v>В</v>
      </c>
      <c r="L36" s="91" t="str">
        <f t="shared" si="14"/>
        <v>В</v>
      </c>
      <c r="M36" s="91" t="str">
        <f t="shared" si="14"/>
        <v>В</v>
      </c>
      <c r="N36" s="91" t="str">
        <f t="shared" si="14"/>
        <v>Я</v>
      </c>
      <c r="O36" s="91" t="str">
        <f t="shared" si="14"/>
        <v>Я</v>
      </c>
      <c r="P36" s="91" t="str">
        <f t="shared" si="14"/>
        <v>Я</v>
      </c>
      <c r="Q36" s="91" t="str">
        <f t="shared" si="14"/>
        <v>В</v>
      </c>
      <c r="R36" s="91" t="str">
        <f t="shared" si="14"/>
        <v>В</v>
      </c>
      <c r="S36" s="91" t="str">
        <f t="shared" si="14"/>
        <v>Я</v>
      </c>
      <c r="T36" s="159" t="str">
        <f t="shared" si="14"/>
        <v/>
      </c>
      <c r="U36" s="85" t="str">
        <f t="shared" si="14"/>
        <v/>
      </c>
      <c r="V36" s="102">
        <f>COUNTIF(F36:U36,"Я")*1+COUNTIF(F36:U36,"РВ")*1</f>
        <v>9</v>
      </c>
      <c r="W36" s="210">
        <f>SUM(V37,V35)</f>
        <v>159</v>
      </c>
      <c r="X36" s="106"/>
      <c r="Y36" s="8"/>
      <c r="Z36" s="9"/>
      <c r="AA36" s="8"/>
      <c r="AB36" s="8"/>
      <c r="AC36" s="107"/>
      <c r="AD36" s="146" t="str">
        <f>IF(SUMPRODUCT(--ISNUMBER(SEARCH("б",F34:U37)))&gt;0,"Б","")</f>
        <v/>
      </c>
      <c r="AE36" s="152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8-COUNT(MATCH(F$17:U$20,предпр,))&amp;")")</f>
        <v/>
      </c>
      <c r="AF36" s="212"/>
      <c r="AG36" s="213"/>
      <c r="AH36" s="148"/>
      <c r="AI36" s="72"/>
      <c r="AJ36" s="72"/>
    </row>
    <row r="37" spans="2:36" ht="22.5" customHeight="1" thickBot="1" x14ac:dyDescent="0.25">
      <c r="B37" s="234"/>
      <c r="C37" s="235"/>
      <c r="D37" s="236"/>
      <c r="E37" s="229"/>
      <c r="F37" s="78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79">
        <f t="shared" si="15"/>
        <v>8</v>
      </c>
      <c r="H37" s="79">
        <f t="shared" si="15"/>
        <v>8</v>
      </c>
      <c r="I37" s="79">
        <f t="shared" si="15"/>
        <v>8</v>
      </c>
      <c r="J37" s="79">
        <f t="shared" si="15"/>
        <v>7</v>
      </c>
      <c r="K37" s="79" t="str">
        <f t="shared" si="15"/>
        <v/>
      </c>
      <c r="L37" s="79" t="str">
        <f t="shared" si="15"/>
        <v/>
      </c>
      <c r="M37" s="79" t="str">
        <f t="shared" si="15"/>
        <v/>
      </c>
      <c r="N37" s="79">
        <f t="shared" si="15"/>
        <v>8</v>
      </c>
      <c r="O37" s="79">
        <f t="shared" si="15"/>
        <v>8</v>
      </c>
      <c r="P37" s="79">
        <f t="shared" si="15"/>
        <v>8</v>
      </c>
      <c r="Q37" s="79" t="str">
        <f t="shared" si="15"/>
        <v/>
      </c>
      <c r="R37" s="79" t="str">
        <f t="shared" si="15"/>
        <v/>
      </c>
      <c r="S37" s="79">
        <f t="shared" si="15"/>
        <v>8</v>
      </c>
      <c r="T37" s="160" t="str">
        <f t="shared" si="15"/>
        <v/>
      </c>
      <c r="U37" s="90" t="str">
        <f t="shared" si="15"/>
        <v/>
      </c>
      <c r="V37" s="104">
        <f>SUM(F37:U37)</f>
        <v>71</v>
      </c>
      <c r="W37" s="211"/>
      <c r="X37" s="112"/>
      <c r="Y37" s="80"/>
      <c r="Z37" s="81"/>
      <c r="AA37" s="80"/>
      <c r="AB37" s="80"/>
      <c r="AC37" s="113"/>
      <c r="AD37" s="193" t="str">
        <f>IF(SUMPRODUCT(--ISNUMBER(SEARCH("ОД",F34:U37)))&gt;0,"ОД","")</f>
        <v/>
      </c>
      <c r="AE37" s="153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8-COUNT(MATCH(F$17:U$20,предпр,))&amp;")")</f>
        <v/>
      </c>
      <c r="AF37" s="214"/>
      <c r="AG37" s="215"/>
      <c r="AH37" s="151"/>
    </row>
    <row r="38" spans="2:36" ht="18" customHeight="1" thickTop="1" x14ac:dyDescent="0.2">
      <c r="B38" s="220">
        <f>IF(D38&gt;0,COUNTIF($D$22:D38,"&gt;0"),"")</f>
        <v>5</v>
      </c>
      <c r="C38" s="223" t="str">
        <f>IFERROR(INDEX(INDEX([2]Структура!$A$1:$H$30,0,MATCH('[2]Сектор МТО'!$F$8,[2]Структура!$A$1:$G$1,0)+1),TRUNC(ROW(A20)/4)+1,0),"")</f>
        <v>Чернова А.В. Заведующая складом сектра МТО</v>
      </c>
      <c r="D38" s="225">
        <f>IFERROR(HLOOKUP('[2]Сектор МТО'!$F$8,[2]Структура!$A$1:$H$30,TRUNC(ROW(A20)/4)+1,0),"")</f>
        <v>619</v>
      </c>
      <c r="E38" s="237" t="s">
        <v>65</v>
      </c>
      <c r="F38" s="98" t="str">
        <f t="shared" ref="F38:T38" si="16">IF(F$17="","",IF(AND(F$17&gt;=$AI38,F$17&lt;=$AJ38)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8" s="88" t="str">
        <f t="shared" si="16"/>
        <v>Я</v>
      </c>
      <c r="H38" s="88" t="str">
        <f t="shared" si="16"/>
        <v>Я</v>
      </c>
      <c r="I38" s="88" t="str">
        <f t="shared" si="16"/>
        <v>Я</v>
      </c>
      <c r="J38" s="88" t="str">
        <f t="shared" si="16"/>
        <v>Я</v>
      </c>
      <c r="K38" s="88" t="str">
        <f t="shared" si="16"/>
        <v>В</v>
      </c>
      <c r="L38" s="88" t="str">
        <f t="shared" si="16"/>
        <v>В</v>
      </c>
      <c r="M38" s="88" t="str">
        <f t="shared" si="16"/>
        <v>Я</v>
      </c>
      <c r="N38" s="88" t="str">
        <f t="shared" si="16"/>
        <v>Я</v>
      </c>
      <c r="O38" s="88" t="str">
        <f t="shared" si="16"/>
        <v>Я</v>
      </c>
      <c r="P38" s="88" t="str">
        <f t="shared" si="16"/>
        <v>Я</v>
      </c>
      <c r="Q38" s="88" t="str">
        <f t="shared" si="16"/>
        <v>Я</v>
      </c>
      <c r="R38" s="88" t="str">
        <f t="shared" si="16"/>
        <v>В</v>
      </c>
      <c r="S38" s="88" t="str">
        <f t="shared" si="16"/>
        <v>В</v>
      </c>
      <c r="T38" s="157" t="str">
        <f t="shared" si="16"/>
        <v>Я</v>
      </c>
      <c r="U38" s="158" t="s">
        <v>28</v>
      </c>
      <c r="V38" s="105">
        <f>COUNTIF(F38:U38,"Я")*1+COUNTIF(F38:U38,"РВ")*1</f>
        <v>11</v>
      </c>
      <c r="W38" s="238">
        <f>SUM(V40,V38)</f>
        <v>20</v>
      </c>
      <c r="X38" s="114"/>
      <c r="Y38" s="96"/>
      <c r="Z38" s="97"/>
      <c r="AA38" s="97"/>
      <c r="AB38" s="96"/>
      <c r="AC38" s="115"/>
      <c r="AD38" s="144" t="str">
        <f>IF(SUMPRODUCT(--ISNUMBER(SEARCH("НН",F38:U41)))&gt;0,"НН","")</f>
        <v/>
      </c>
      <c r="AE38" s="163" t="str">
        <f t="array" ref="AE38">IF(AD38="","",SUMPRODUCT(($F$38:$U$41=AD38)*(IFERROR(WEEKDAY($F$17:$U$20,2),7)&lt;6)*(ISNA(MATCH($F$17:$U$20,празд,0))))&amp;"("&amp;SUMPRODUCT(($F$38:$U$41=AD38)*(IFERROR(WEEKDAY($F$17:$U$20,2),7)&lt;6)*(ISNA(MATCH($F$17:$U$20,празд,0))))*8-COUNT(MATCH(F$17:U$20,предпр,))&amp;")")</f>
        <v/>
      </c>
      <c r="AF38" s="216" t="str">
        <f>IF(SUMPRODUCT(--ISNUMBER(SEARCH("К",F38:U41)))&gt;0,"К","")</f>
        <v/>
      </c>
      <c r="AG38" s="217"/>
      <c r="AH38" s="162" t="str">
        <f t="array" ref="AH38">IF(AF38="","",SUMPRODUCT(($F$38:$U$41=AF38)*(IFERROR(WEEKDAY($F$17:$U$20,2),7)&lt;6)*(ISNA(MATCH($F$17:$U$20,празд,0))))&amp;"("&amp;SUMPRODUCT(($F$38:$U$41=AF38)*(IFERROR(WEEKDAY($F$17:$U$20,2),7)&lt;6)*(ISNA(MATCH($F$17:$U$20,празд,0))))*8-COUNT(MATCH(F$17:U$20,предпр,))&amp;")")</f>
        <v/>
      </c>
      <c r="AI38" s="72"/>
      <c r="AJ38" s="72"/>
    </row>
    <row r="39" spans="2:36" ht="18" customHeight="1" x14ac:dyDescent="0.2">
      <c r="B39" s="221"/>
      <c r="C39" s="224"/>
      <c r="D39" s="226"/>
      <c r="E39" s="228"/>
      <c r="F39" s="59">
        <f t="shared" ref="F39:T39" si="17">IF(F38="Я",IF(F$17="","",IF(AND(F$17&gt;=$AI39,F$17&lt;=$AJ39),"Р",IF(NOT(ISERROR(VLOOKUP(F$17,предпр,1,0)=F$17)),$E38*8-1,IF(NOT(ISERROR(VLOOKUP(F$17,выхрабд,1,0)=F$17)),$E38*8,IF(OR(WEEKDAY(F$17,2)&gt;5,ISNUMBER(MATCH(F$17,празд,0)),SUMPRODUCT(1*(F$17=допнер))),"",IF(WEEKDAY(F$17,2)&lt;6,$E38*8)))))),"")</f>
        <v>8</v>
      </c>
      <c r="G39" s="91">
        <f t="shared" si="17"/>
        <v>8</v>
      </c>
      <c r="H39" s="91">
        <f t="shared" si="17"/>
        <v>8</v>
      </c>
      <c r="I39" s="91">
        <f t="shared" si="17"/>
        <v>8</v>
      </c>
      <c r="J39" s="91">
        <f t="shared" si="17"/>
        <v>8</v>
      </c>
      <c r="K39" s="91" t="str">
        <f t="shared" si="17"/>
        <v/>
      </c>
      <c r="L39" s="91" t="str">
        <f t="shared" si="17"/>
        <v/>
      </c>
      <c r="M39" s="91">
        <f t="shared" si="17"/>
        <v>8</v>
      </c>
      <c r="N39" s="91">
        <f t="shared" si="17"/>
        <v>8</v>
      </c>
      <c r="O39" s="91">
        <f t="shared" si="17"/>
        <v>8</v>
      </c>
      <c r="P39" s="91">
        <f t="shared" si="17"/>
        <v>8</v>
      </c>
      <c r="Q39" s="91">
        <f t="shared" si="17"/>
        <v>8</v>
      </c>
      <c r="R39" s="91" t="str">
        <f t="shared" si="17"/>
        <v/>
      </c>
      <c r="S39" s="91" t="str">
        <f t="shared" si="17"/>
        <v/>
      </c>
      <c r="T39" s="159">
        <f t="shared" si="17"/>
        <v>8</v>
      </c>
      <c r="U39" s="85" t="s">
        <v>28</v>
      </c>
      <c r="V39" s="101">
        <f>SUM(F39:U39)</f>
        <v>88</v>
      </c>
      <c r="W39" s="219"/>
      <c r="X39" s="106"/>
      <c r="Y39" s="8"/>
      <c r="Z39" s="9"/>
      <c r="AA39" s="8"/>
      <c r="AB39" s="8"/>
      <c r="AC39" s="107"/>
      <c r="AD39" s="146" t="str">
        <f>IF(SUMPRODUCT(--ISNUMBER(SEARCH("ОТ",F38:U41)))&gt;0,"ОТ","")</f>
        <v/>
      </c>
      <c r="AE39" s="189" t="str">
        <f t="array" ref="AE39">IF(AD39="","",SUMPRODUCT(($F$38:$U$41=AD39)*(IFERROR(WEEKDAY($F$17:$U$20,2),7)&lt;6)*(ISNA(MATCH($F$17:$U$20,празд,0))))&amp;"("&amp;SUMPRODUCT(($F$38:$U$41=AD39)*(IFERROR(WEEKDAY($F$17:$U$20,2),7)&lt;6)*(ISNA(MATCH($F$17:$U$20,празд,0))))*8-COUNT(MATCH(F$17:U$20,предпр,))&amp;")")</f>
        <v/>
      </c>
      <c r="AF39" s="208"/>
      <c r="AG39" s="209"/>
      <c r="AH39" s="164"/>
      <c r="AI39" s="72"/>
      <c r="AJ39" s="72"/>
    </row>
    <row r="40" spans="2:36" ht="18" customHeight="1" x14ac:dyDescent="0.2">
      <c r="B40" s="221"/>
      <c r="C40" s="224"/>
      <c r="D40" s="226"/>
      <c r="E40" s="228"/>
      <c r="F40" s="59" t="str">
        <f t="shared" ref="F40:U40" si="18">IF(F$19="","",IF(AND(F$19&gt;=$AI40,F$19&lt;=$AJ40)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40" s="91" t="str">
        <f t="shared" si="18"/>
        <v>Я</v>
      </c>
      <c r="H40" s="91" t="str">
        <f t="shared" si="18"/>
        <v>Я</v>
      </c>
      <c r="I40" s="91" t="str">
        <f t="shared" si="18"/>
        <v>Я</v>
      </c>
      <c r="J40" s="91" t="str">
        <f t="shared" si="18"/>
        <v>Я</v>
      </c>
      <c r="K40" s="91" t="str">
        <f t="shared" si="18"/>
        <v>В</v>
      </c>
      <c r="L40" s="91" t="str">
        <f t="shared" si="18"/>
        <v>В</v>
      </c>
      <c r="M40" s="91" t="str">
        <f t="shared" si="18"/>
        <v>В</v>
      </c>
      <c r="N40" s="91" t="str">
        <f t="shared" si="18"/>
        <v>Я</v>
      </c>
      <c r="O40" s="91" t="str">
        <f t="shared" si="18"/>
        <v>Я</v>
      </c>
      <c r="P40" s="91" t="str">
        <f t="shared" si="18"/>
        <v>Я</v>
      </c>
      <c r="Q40" s="91" t="str">
        <f t="shared" si="18"/>
        <v>В</v>
      </c>
      <c r="R40" s="91" t="str">
        <f t="shared" si="18"/>
        <v>В</v>
      </c>
      <c r="S40" s="91" t="str">
        <f t="shared" si="18"/>
        <v>Я</v>
      </c>
      <c r="T40" s="159" t="str">
        <f t="shared" si="18"/>
        <v/>
      </c>
      <c r="U40" s="85" t="str">
        <f t="shared" si="18"/>
        <v/>
      </c>
      <c r="V40" s="102">
        <f>COUNTIF(F40:U40,"Я")*1+COUNTIF(F40:U40,"РВ")*1</f>
        <v>9</v>
      </c>
      <c r="W40" s="210">
        <f>SUM(V41,V39)</f>
        <v>159</v>
      </c>
      <c r="X40" s="106"/>
      <c r="Y40" s="8"/>
      <c r="Z40" s="9"/>
      <c r="AA40" s="8"/>
      <c r="AB40" s="8"/>
      <c r="AC40" s="107"/>
      <c r="AD40" s="146" t="str">
        <f>IF(SUMPRODUCT(--ISNUMBER(SEARCH("б",F38:U41)))&gt;0,"Б","")</f>
        <v/>
      </c>
      <c r="AE40" s="189" t="str">
        <f t="array" ref="AE40">IF(AD40="","",SUMPRODUCT(($F$38:$U$41=AD40)*(IFERROR(WEEKDAY($F$17:$U$20,2),7)&lt;6)*(ISNA(MATCH($F$17:$U$20,празд,0))))&amp;"("&amp;SUMPRODUCT(($F$38:$U$41=AD40)*(IFERROR(WEEKDAY($F$17:$U$20,2),7)&lt;6)*(ISNA(MATCH($F$17:$U$20,празд,0))))*8-COUNT(MATCH(F$17:U$20,предпр,))&amp;")")</f>
        <v/>
      </c>
      <c r="AF40" s="212"/>
      <c r="AG40" s="213"/>
      <c r="AH40" s="148"/>
      <c r="AI40" s="72"/>
      <c r="AJ40" s="72"/>
    </row>
    <row r="41" spans="2:36" ht="22.5" customHeight="1" thickBot="1" x14ac:dyDescent="0.25">
      <c r="B41" s="234"/>
      <c r="C41" s="235"/>
      <c r="D41" s="236"/>
      <c r="E41" s="229"/>
      <c r="F41" s="78">
        <f t="shared" ref="F41:U41" si="19">IF(F40="Я",(IF(F$19="","",IF(AND(F$19&gt;=$AI41,F$19&lt;=$AJ41),"Р",IF(NOT(ISERROR(VLOOKUP(F$19,предпр,1,0)=F$19)),$E38*8-1,IF(NOT(ISERROR(VLOOKUP(F$19,выхрабд,1,0)=F$19)),$E38*8,IF(OR(WEEKDAY(F$19,2)&gt;5,ISNUMBER(MATCH(F$19,празд,0)),SUMPRODUCT(1*(F$19=допнер))),"",IF(WEEKDAY(F$19,2)&lt;6,$E38*8))))))),"")</f>
        <v>8</v>
      </c>
      <c r="G41" s="79">
        <f t="shared" si="19"/>
        <v>8</v>
      </c>
      <c r="H41" s="79">
        <f t="shared" si="19"/>
        <v>8</v>
      </c>
      <c r="I41" s="79">
        <f t="shared" si="19"/>
        <v>8</v>
      </c>
      <c r="J41" s="79">
        <f t="shared" si="19"/>
        <v>7</v>
      </c>
      <c r="K41" s="79" t="str">
        <f t="shared" si="19"/>
        <v/>
      </c>
      <c r="L41" s="79" t="str">
        <f t="shared" si="19"/>
        <v/>
      </c>
      <c r="M41" s="79" t="str">
        <f t="shared" si="19"/>
        <v/>
      </c>
      <c r="N41" s="79">
        <f t="shared" si="19"/>
        <v>8</v>
      </c>
      <c r="O41" s="79">
        <f t="shared" si="19"/>
        <v>8</v>
      </c>
      <c r="P41" s="79">
        <f t="shared" si="19"/>
        <v>8</v>
      </c>
      <c r="Q41" s="79" t="str">
        <f t="shared" si="19"/>
        <v/>
      </c>
      <c r="R41" s="79" t="str">
        <f t="shared" si="19"/>
        <v/>
      </c>
      <c r="S41" s="79">
        <f t="shared" si="19"/>
        <v>8</v>
      </c>
      <c r="T41" s="160" t="str">
        <f t="shared" si="19"/>
        <v/>
      </c>
      <c r="U41" s="90" t="str">
        <f t="shared" si="19"/>
        <v/>
      </c>
      <c r="V41" s="104">
        <f>SUM(F41:U41)</f>
        <v>71</v>
      </c>
      <c r="W41" s="211"/>
      <c r="X41" s="112"/>
      <c r="Y41" s="80"/>
      <c r="Z41" s="81"/>
      <c r="AA41" s="80"/>
      <c r="AB41" s="80"/>
      <c r="AC41" s="113"/>
      <c r="AD41" s="147" t="str">
        <f>IF(SUMPRODUCT(--ISNUMBER(SEARCH("ОД",F38:U41)))&gt;0,"ОД","")</f>
        <v/>
      </c>
      <c r="AE41" s="81" t="str">
        <f t="array" ref="AE41">IF(AD41="","",SUMPRODUCT(($F$38:$U$41=AD41)*(IFERROR(WEEKDAY($F$17:$U$20,2),7)&lt;6)*(ISNA(MATCH($F$17:$U$20,празд,0))))&amp;"("&amp;SUMPRODUCT(($F$38:$U$41=AD41)*(IFERROR(WEEKDAY($F$17:$U$20,2),7)&lt;6)*(ISNA(MATCH($F$17:$U$20,празд,0))))*8-COUNT(MATCH(F$17:U$20,предпр,))&amp;")")</f>
        <v/>
      </c>
      <c r="AF41" s="214"/>
      <c r="AG41" s="215"/>
      <c r="AH41" s="151"/>
    </row>
    <row r="42" spans="2:36" ht="12.75" customHeight="1" thickTop="1" x14ac:dyDescent="0.2">
      <c r="B42" s="60"/>
      <c r="C42" s="61"/>
      <c r="D42" s="61"/>
      <c r="E42" s="14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4"/>
      <c r="W42" s="64"/>
      <c r="X42" s="65"/>
      <c r="Y42" s="66"/>
      <c r="Z42" s="65"/>
      <c r="AA42" s="66"/>
      <c r="AB42" s="66"/>
      <c r="AC42" s="66"/>
      <c r="AD42" s="64"/>
      <c r="AE42" s="64"/>
      <c r="AF42" s="65"/>
      <c r="AG42" s="65"/>
      <c r="AH42" s="65"/>
    </row>
    <row r="43" spans="2:36" ht="12.75" customHeight="1" x14ac:dyDescent="0.2">
      <c r="D43" s="230"/>
      <c r="E43" s="230"/>
      <c r="F43" s="230"/>
      <c r="G43" s="230"/>
      <c r="H43" s="230"/>
    </row>
    <row r="44" spans="2:36" x14ac:dyDescent="0.2">
      <c r="C44" s="67" t="s">
        <v>31</v>
      </c>
      <c r="D44" s="231"/>
      <c r="E44" s="231"/>
      <c r="F44" s="231"/>
      <c r="G44" s="231"/>
      <c r="H44" s="231"/>
      <c r="I44" s="33"/>
      <c r="J44" s="204"/>
      <c r="K44" s="204"/>
      <c r="L44" s="204"/>
      <c r="M44" s="33"/>
      <c r="N44" s="203"/>
      <c r="O44" s="203"/>
      <c r="P44" s="203"/>
      <c r="Q44" s="203"/>
      <c r="S44" s="33" t="s">
        <v>36</v>
      </c>
      <c r="W44" s="232" t="s">
        <v>69</v>
      </c>
      <c r="X44" s="232"/>
      <c r="Y44" s="232"/>
    </row>
    <row r="45" spans="2:36" ht="14.25" x14ac:dyDescent="0.2">
      <c r="D45" s="200" t="s">
        <v>32</v>
      </c>
      <c r="E45" s="200"/>
      <c r="F45" s="200"/>
      <c r="G45" s="200"/>
      <c r="H45" s="200"/>
      <c r="J45" s="198" t="s">
        <v>33</v>
      </c>
      <c r="K45" s="198"/>
      <c r="L45" s="198"/>
      <c r="N45" s="200" t="s">
        <v>34</v>
      </c>
      <c r="O45" s="199"/>
      <c r="P45" s="199"/>
      <c r="Q45" s="199"/>
      <c r="S45" s="33" t="s">
        <v>37</v>
      </c>
      <c r="T45" s="33"/>
      <c r="U45" s="33"/>
      <c r="V45" s="68"/>
      <c r="W45" s="203"/>
      <c r="X45" s="203"/>
      <c r="Y45" s="203"/>
      <c r="Z45" s="34"/>
      <c r="AA45" s="204"/>
      <c r="AB45" s="204"/>
      <c r="AC45" s="68"/>
      <c r="AD45" s="203"/>
      <c r="AE45" s="203"/>
      <c r="AF45" s="203"/>
      <c r="AG45" s="205">
        <f>N46</f>
        <v>42429</v>
      </c>
      <c r="AH45" s="205"/>
    </row>
    <row r="46" spans="2:36" ht="14.25" customHeight="1" x14ac:dyDescent="0.2">
      <c r="N46" s="197">
        <f>Z14</f>
        <v>42429</v>
      </c>
      <c r="O46" s="197"/>
      <c r="P46" s="197"/>
      <c r="Q46" s="197"/>
      <c r="S46" s="69"/>
      <c r="T46" s="69"/>
      <c r="U46" s="69"/>
      <c r="V46" s="198" t="s">
        <v>32</v>
      </c>
      <c r="W46" s="199"/>
      <c r="X46" s="199"/>
      <c r="Y46" s="199"/>
      <c r="AA46" s="200" t="s">
        <v>33</v>
      </c>
      <c r="AB46" s="199"/>
      <c r="AD46" s="198" t="s">
        <v>34</v>
      </c>
      <c r="AE46" s="198"/>
      <c r="AF46" s="198"/>
    </row>
    <row r="47" spans="2:36" ht="19.5" customHeight="1" x14ac:dyDescent="0.2">
      <c r="S47" s="202" t="s">
        <v>35</v>
      </c>
      <c r="T47" s="202"/>
      <c r="U47" s="202"/>
      <c r="V47" s="202"/>
      <c r="W47" s="203"/>
      <c r="X47" s="203"/>
      <c r="Y47" s="203"/>
      <c r="Z47" s="34"/>
      <c r="AA47" s="204"/>
      <c r="AB47" s="204"/>
      <c r="AC47" s="33"/>
      <c r="AD47" s="203"/>
      <c r="AE47" s="203"/>
      <c r="AF47" s="203"/>
      <c r="AG47" s="205">
        <f>N46</f>
        <v>42429</v>
      </c>
      <c r="AH47" s="205"/>
    </row>
    <row r="48" spans="2:36" ht="14.25" x14ac:dyDescent="0.2">
      <c r="V48" s="198" t="s">
        <v>32</v>
      </c>
      <c r="W48" s="199"/>
      <c r="X48" s="199"/>
      <c r="Y48" s="199"/>
      <c r="AA48" s="200" t="s">
        <v>33</v>
      </c>
      <c r="AB48" s="199"/>
      <c r="AD48" s="198" t="s">
        <v>34</v>
      </c>
      <c r="AE48" s="198"/>
      <c r="AF48" s="198"/>
    </row>
    <row r="49" spans="3:34" x14ac:dyDescent="0.2">
      <c r="C49" s="55"/>
      <c r="D49" s="55"/>
    </row>
    <row r="51" spans="3:34" x14ac:dyDescent="0.2">
      <c r="E51" s="48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</row>
    <row r="52" spans="3:34" x14ac:dyDescent="0.2">
      <c r="E52" s="48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</row>
    <row r="53" spans="3:34" x14ac:dyDescent="0.2">
      <c r="E53" s="48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6"/>
      <c r="Y53" s="55"/>
      <c r="Z53" s="56"/>
      <c r="AA53" s="55"/>
      <c r="AB53" s="55"/>
      <c r="AC53" s="55"/>
      <c r="AD53" s="55"/>
      <c r="AE53" s="55"/>
      <c r="AF53" s="55"/>
      <c r="AG53" s="55"/>
      <c r="AH53" s="57"/>
    </row>
    <row r="54" spans="3:34" x14ac:dyDescent="0.2">
      <c r="E54" s="48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  <c r="Y54" s="55"/>
      <c r="Z54" s="56"/>
      <c r="AA54" s="55"/>
      <c r="AB54" s="55"/>
      <c r="AC54" s="55"/>
      <c r="AD54" s="55"/>
      <c r="AE54" s="55"/>
      <c r="AF54" s="55"/>
      <c r="AG54" s="55"/>
      <c r="AH54" s="57"/>
    </row>
    <row r="55" spans="3:34" x14ac:dyDescent="0.2">
      <c r="E55" s="48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  <c r="Y55" s="55"/>
      <c r="Z55" s="56"/>
      <c r="AA55" s="55"/>
      <c r="AB55" s="55"/>
      <c r="AC55" s="55"/>
      <c r="AD55" s="55"/>
      <c r="AE55" s="55"/>
      <c r="AF55" s="55"/>
      <c r="AG55" s="55"/>
      <c r="AH55" s="57"/>
    </row>
    <row r="56" spans="3:34" x14ac:dyDescent="0.2">
      <c r="E56" s="48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  <c r="Y56" s="55"/>
      <c r="Z56" s="56"/>
      <c r="AA56" s="55"/>
      <c r="AB56" s="55"/>
      <c r="AC56" s="55"/>
      <c r="AD56" s="55"/>
      <c r="AE56" s="55"/>
      <c r="AF56" s="55"/>
      <c r="AG56" s="55"/>
      <c r="AH56" s="57"/>
    </row>
    <row r="57" spans="3:34" x14ac:dyDescent="0.2">
      <c r="E57" s="58"/>
    </row>
    <row r="58" spans="3:34" x14ac:dyDescent="0.2">
      <c r="E58" s="48"/>
      <c r="F58" s="55"/>
      <c r="R58" s="48"/>
    </row>
    <row r="59" spans="3:34" x14ac:dyDescent="0.2">
      <c r="E59" s="48"/>
      <c r="F59" s="55"/>
      <c r="R59" s="49"/>
    </row>
    <row r="60" spans="3:34" x14ac:dyDescent="0.2">
      <c r="E60" s="48"/>
      <c r="F60" s="55"/>
      <c r="R60" s="50"/>
    </row>
    <row r="61" spans="3:34" x14ac:dyDescent="0.2">
      <c r="R61" s="51"/>
    </row>
    <row r="62" spans="3:34" x14ac:dyDescent="0.2">
      <c r="R62" s="52"/>
    </row>
    <row r="63" spans="3:34" x14ac:dyDescent="0.2">
      <c r="R63" s="53"/>
      <c r="S63" s="54"/>
    </row>
    <row r="65" spans="5:10" ht="16.5" customHeight="1" x14ac:dyDescent="0.2">
      <c r="E65" s="55"/>
      <c r="F65" s="55"/>
      <c r="G65" s="55"/>
      <c r="H65" s="55"/>
      <c r="I65" s="55"/>
      <c r="J65" s="55"/>
    </row>
    <row r="66" spans="5:10" ht="18" customHeight="1" x14ac:dyDescent="0.2">
      <c r="E66" s="55"/>
      <c r="F66" s="55"/>
    </row>
  </sheetData>
  <dataConsolidate/>
  <mergeCells count="147">
    <mergeCell ref="F51:AH51"/>
    <mergeCell ref="F52:AH52"/>
    <mergeCell ref="S47:V47"/>
    <mergeCell ref="W47:Y47"/>
    <mergeCell ref="AA47:AB47"/>
    <mergeCell ref="AD47:AF47"/>
    <mergeCell ref="AG47:AH47"/>
    <mergeCell ref="V48:Y48"/>
    <mergeCell ref="AA48:AB48"/>
    <mergeCell ref="AD48:AF48"/>
    <mergeCell ref="N46:Q46"/>
    <mergeCell ref="V46:Y46"/>
    <mergeCell ref="AA46:AB46"/>
    <mergeCell ref="AD46:AF46"/>
    <mergeCell ref="AF36:AG36"/>
    <mergeCell ref="AF37:AG37"/>
    <mergeCell ref="D43:H44"/>
    <mergeCell ref="J44:L44"/>
    <mergeCell ref="N44:Q44"/>
    <mergeCell ref="W44:Y45"/>
    <mergeCell ref="D45:H45"/>
    <mergeCell ref="J45:L45"/>
    <mergeCell ref="N45:Q45"/>
    <mergeCell ref="AA45:AB45"/>
    <mergeCell ref="D38:D41"/>
    <mergeCell ref="E38:E41"/>
    <mergeCell ref="W38:W39"/>
    <mergeCell ref="AF38:AG38"/>
    <mergeCell ref="AF39:AG39"/>
    <mergeCell ref="W40:W41"/>
    <mergeCell ref="AF40:AG40"/>
    <mergeCell ref="AF41:AG41"/>
    <mergeCell ref="B34:B37"/>
    <mergeCell ref="C34:C37"/>
    <mergeCell ref="D34:D37"/>
    <mergeCell ref="E34:E37"/>
    <mergeCell ref="W34:W35"/>
    <mergeCell ref="AF34:AG34"/>
    <mergeCell ref="AF35:AG35"/>
    <mergeCell ref="W36:W37"/>
    <mergeCell ref="AD45:AF45"/>
    <mergeCell ref="AG45:AH45"/>
    <mergeCell ref="B38:B41"/>
    <mergeCell ref="C38:C41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42:U42">
    <cfRule type="cellIs" dxfId="84" priority="57" operator="equal">
      <formula>"ДО"</formula>
    </cfRule>
    <cfRule type="cellIs" dxfId="83" priority="58" operator="equal">
      <formula>"К"</formula>
    </cfRule>
    <cfRule type="cellIs" dxfId="82" priority="59" operator="equal">
      <formula>"ОД"</formula>
    </cfRule>
    <cfRule type="cellIs" dxfId="81" priority="60" operator="equal">
      <formula>"ОТ"</formula>
    </cfRule>
    <cfRule type="cellIs" dxfId="80" priority="61" operator="equal">
      <formula>"Б"</formula>
    </cfRule>
    <cfRule type="cellIs" dxfId="79" priority="62" operator="equal">
      <formula>"В"</formula>
    </cfRule>
  </conditionalFormatting>
  <conditionalFormatting sqref="F22:U29">
    <cfRule type="cellIs" dxfId="78" priority="37" operator="equal">
      <formula>"ДО"</formula>
    </cfRule>
    <cfRule type="cellIs" dxfId="77" priority="38" operator="equal">
      <formula>"К"</formula>
    </cfRule>
    <cfRule type="cellIs" dxfId="76" priority="39" operator="equal">
      <formula>"ОД"</formula>
    </cfRule>
    <cfRule type="cellIs" dxfId="75" priority="40" operator="equal">
      <formula>"ОТ"</formula>
    </cfRule>
    <cfRule type="cellIs" dxfId="74" priority="41" operator="equal">
      <formula>"Б"</formula>
    </cfRule>
    <cfRule type="cellIs" dxfId="73" priority="42" operator="equal">
      <formula>"В"</formula>
    </cfRule>
  </conditionalFormatting>
  <conditionalFormatting sqref="F30:U33">
    <cfRule type="cellIs" dxfId="72" priority="31" operator="equal">
      <formula>"ДО"</formula>
    </cfRule>
    <cfRule type="cellIs" dxfId="71" priority="32" operator="equal">
      <formula>"К"</formula>
    </cfRule>
    <cfRule type="cellIs" dxfId="70" priority="33" operator="equal">
      <formula>"ОД"</formula>
    </cfRule>
    <cfRule type="cellIs" dxfId="69" priority="34" operator="equal">
      <formula>"ОТ"</formula>
    </cfRule>
    <cfRule type="cellIs" dxfId="68" priority="35" operator="equal">
      <formula>"Б"</formula>
    </cfRule>
    <cfRule type="cellIs" dxfId="67" priority="36" operator="equal">
      <formula>"В"</formula>
    </cfRule>
  </conditionalFormatting>
  <conditionalFormatting sqref="F34:U37">
    <cfRule type="aboveAverage" dxfId="66" priority="25"/>
    <cfRule type="cellIs" dxfId="65" priority="26" operator="equal">
      <formula>"К"</formula>
    </cfRule>
    <cfRule type="cellIs" dxfId="64" priority="27" operator="equal">
      <formula>"ОД"</formula>
    </cfRule>
    <cfRule type="cellIs" dxfId="63" priority="28" operator="equal">
      <formula>"ОТ"</formula>
    </cfRule>
    <cfRule type="cellIs" dxfId="62" priority="29" operator="equal">
      <formula>"Б"</formula>
    </cfRule>
    <cfRule type="cellIs" dxfId="61" priority="30" operator="equal">
      <formula>"В"</formula>
    </cfRule>
  </conditionalFormatting>
  <conditionalFormatting sqref="U17:U20">
    <cfRule type="expression" dxfId="60" priority="23">
      <formula>OR(WEEKDAY(U17,2)&gt;5,ISNUMBER(MATCH(U17,празд,0)))</formula>
    </cfRule>
    <cfRule type="expression" dxfId="59" priority="24">
      <formula>ISNUMBER(MATCH(U17,допнер,0))</formula>
    </cfRule>
  </conditionalFormatting>
  <conditionalFormatting sqref="F39:U39 U38">
    <cfRule type="aboveAverage" dxfId="58" priority="17"/>
    <cfRule type="cellIs" dxfId="57" priority="18" operator="equal">
      <formula>"К"</formula>
    </cfRule>
    <cfRule type="cellIs" dxfId="56" priority="19" operator="equal">
      <formula>"ОД"</formula>
    </cfRule>
    <cfRule type="cellIs" dxfId="55" priority="20" operator="equal">
      <formula>"ОТ"</formula>
    </cfRule>
    <cfRule type="cellIs" dxfId="54" priority="21" operator="equal">
      <formula>"Б"</formula>
    </cfRule>
    <cfRule type="cellIs" dxfId="53" priority="22" operator="equal">
      <formula>"В"</formula>
    </cfRule>
  </conditionalFormatting>
  <conditionalFormatting sqref="F40:U41">
    <cfRule type="aboveAverage" dxfId="52" priority="11"/>
    <cfRule type="cellIs" dxfId="51" priority="12" operator="equal">
      <formula>"К"</formula>
    </cfRule>
    <cfRule type="cellIs" dxfId="50" priority="13" operator="equal">
      <formula>"ОД"</formula>
    </cfRule>
    <cfRule type="cellIs" dxfId="49" priority="14" operator="equal">
      <formula>"ОТ"</formula>
    </cfRule>
    <cfRule type="cellIs" dxfId="48" priority="15" operator="equal">
      <formula>"Б"</formula>
    </cfRule>
    <cfRule type="cellIs" dxfId="47" priority="16" operator="equal">
      <formula>"В"</formula>
    </cfRule>
  </conditionalFormatting>
  <conditionalFormatting sqref="F38:T38">
    <cfRule type="aboveAverage" dxfId="46" priority="5"/>
    <cfRule type="cellIs" dxfId="45" priority="6" operator="equal">
      <formula>"К"</formula>
    </cfRule>
    <cfRule type="cellIs" dxfId="44" priority="7" operator="equal">
      <formula>"ОД"</formula>
    </cfRule>
    <cfRule type="cellIs" dxfId="43" priority="8" operator="equal">
      <formula>"ОТ"</formula>
    </cfRule>
    <cfRule type="cellIs" dxfId="42" priority="9" operator="equal">
      <formula>"Б"</formula>
    </cfRule>
    <cfRule type="cellIs" dxfId="41" priority="10" operator="equal">
      <formula>"В"</formula>
    </cfRule>
  </conditionalFormatting>
  <conditionalFormatting sqref="F17:T20">
    <cfRule type="expression" dxfId="40" priority="1">
      <formula>OR(WEEKDAY(F17,2)&gt;5,ISNUMBER(MATCH(F17,празд,0)))</formula>
    </cfRule>
    <cfRule type="expression" dxfId="39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AK54"/>
  <sheetViews>
    <sheetView topLeftCell="A16" zoomScale="85" zoomScaleNormal="85" zoomScaleSheetLayoutView="85" workbookViewId="0">
      <selection activeCell="AD33" sqref="AD33:AF33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7.710937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304">
        <v>301008</v>
      </c>
      <c r="AG5" s="305"/>
      <c r="AH5" s="30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307">
        <v>11356728</v>
      </c>
      <c r="AG6" s="308"/>
      <c r="AH6" s="309"/>
    </row>
    <row r="7" spans="2:35" s="4" customFormat="1" ht="15.75" x14ac:dyDescent="0.2">
      <c r="B7" s="5"/>
      <c r="C7" s="137" t="s">
        <v>5</v>
      </c>
      <c r="D7" s="6"/>
      <c r="E7" s="310" t="s">
        <v>66</v>
      </c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319" t="s">
        <v>71</v>
      </c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22" t="s">
        <v>29</v>
      </c>
      <c r="N12" s="323"/>
      <c r="O12" s="323"/>
      <c r="P12" s="323"/>
      <c r="Q12" s="323"/>
      <c r="R12" s="323"/>
      <c r="S12" s="323"/>
      <c r="T12" s="323"/>
      <c r="U12" s="323"/>
      <c r="V12" s="323"/>
      <c r="W12" s="313" t="s">
        <v>7</v>
      </c>
      <c r="X12" s="313"/>
      <c r="Y12" s="313"/>
      <c r="Z12" s="316" t="s">
        <v>8</v>
      </c>
      <c r="AA12" s="316"/>
      <c r="AB12" s="123"/>
      <c r="AC12" s="311" t="s">
        <v>9</v>
      </c>
      <c r="AD12" s="311"/>
      <c r="AE12" s="311"/>
      <c r="AF12" s="311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14"/>
      <c r="X13" s="314"/>
      <c r="Y13" s="314"/>
      <c r="Z13" s="317"/>
      <c r="AA13" s="317"/>
      <c r="AB13" s="123"/>
      <c r="AC13" s="312" t="s">
        <v>10</v>
      </c>
      <c r="AD13" s="312"/>
      <c r="AE13" s="312" t="s">
        <v>11</v>
      </c>
      <c r="AF13" s="312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0"/>
      <c r="X14" s="320"/>
      <c r="Y14" s="320"/>
      <c r="Z14" s="318">
        <v>42429</v>
      </c>
      <c r="AA14" s="318"/>
      <c r="AB14" s="121"/>
      <c r="AC14" s="318">
        <f>DATE('Выбери месяц'!$I$8,VLOOKUP('Выбери месяц'!$H$8,всяки!$A$1:$B$12,2,0),1)</f>
        <v>42401</v>
      </c>
      <c r="AD14" s="318"/>
      <c r="AE14" s="321">
        <f>EOMONTH(AC14,0)</f>
        <v>42429</v>
      </c>
      <c r="AF14" s="321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15"/>
      <c r="X15" s="315"/>
      <c r="Y15" s="315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75" t="s">
        <v>12</v>
      </c>
      <c r="C16" s="294" t="s">
        <v>30</v>
      </c>
      <c r="D16" s="275" t="s">
        <v>13</v>
      </c>
      <c r="E16" s="278" t="s">
        <v>68</v>
      </c>
      <c r="F16" s="283" t="s">
        <v>14</v>
      </c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5"/>
      <c r="V16" s="283" t="s">
        <v>15</v>
      </c>
      <c r="W16" s="297"/>
      <c r="X16" s="298" t="s">
        <v>16</v>
      </c>
      <c r="Y16" s="299"/>
      <c r="Z16" s="299"/>
      <c r="AA16" s="299"/>
      <c r="AB16" s="284"/>
      <c r="AC16" s="285"/>
      <c r="AD16" s="300" t="s">
        <v>17</v>
      </c>
      <c r="AE16" s="301"/>
      <c r="AF16" s="301"/>
      <c r="AG16" s="301"/>
      <c r="AH16" s="302"/>
    </row>
    <row r="17" spans="2:37" ht="18" customHeight="1" x14ac:dyDescent="0.2">
      <c r="B17" s="292"/>
      <c r="C17" s="295"/>
      <c r="D17" s="276"/>
      <c r="E17" s="279"/>
      <c r="F17" s="286">
        <f>DATE('Выбери месяц'!$I$8,VLOOKUP('Выбери месяц'!$H$8,всяки!$A$1:$B$12,2,0),1)</f>
        <v>42401</v>
      </c>
      <c r="G17" s="281">
        <f>DATE('Выбери месяц'!$I$8,VLOOKUP('Выбери месяц'!$H$8,всяки!$A$1:$B$12,2,0),1+COLUMN(A:A))</f>
        <v>42402</v>
      </c>
      <c r="H17" s="281">
        <f>DATE('Выбери месяц'!$I$8,VLOOKUP('Выбери месяц'!$H$8,всяки!$A$1:$B$12,2,0),1+COLUMN(B:B))</f>
        <v>42403</v>
      </c>
      <c r="I17" s="281">
        <f>DATE('Выбери месяц'!$I$8,VLOOKUP('Выбери месяц'!$H$8,всяки!$A$1:$B$12,2,0),1+COLUMN(C:C))</f>
        <v>42404</v>
      </c>
      <c r="J17" s="281">
        <f>DATE('Выбери месяц'!$I$8,VLOOKUP('Выбери месяц'!$H$8,всяки!$A$1:$B$12,2,0),1+COLUMN(D:D))</f>
        <v>42405</v>
      </c>
      <c r="K17" s="281">
        <f>DATE('Выбери месяц'!$I$8,VLOOKUP('Выбери месяц'!$H$8,всяки!$A$1:$B$12,2,0),1+COLUMN(E:E))</f>
        <v>42406</v>
      </c>
      <c r="L17" s="281">
        <f>DATE('Выбери месяц'!$I$8,VLOOKUP('Выбери месяц'!$H$8,всяки!$A$1:$B$12,2,0),1+COLUMN(F:F))</f>
        <v>42407</v>
      </c>
      <c r="M17" s="281">
        <f>DATE('Выбери месяц'!$I$8,VLOOKUP('Выбери месяц'!$H$8,всяки!$A$1:$B$12,2,0),1+COLUMN(G:G))</f>
        <v>42408</v>
      </c>
      <c r="N17" s="281">
        <f>DATE('Выбери месяц'!$I$8,VLOOKUP('Выбери месяц'!$H$8,всяки!$A$1:$B$12,2,0),1+COLUMN(H:H))</f>
        <v>42409</v>
      </c>
      <c r="O17" s="281">
        <f>DATE('Выбери месяц'!$I$8,VLOOKUP('Выбери месяц'!$H$8,всяки!$A$1:$B$12,2,0),1+COLUMN(I:I))</f>
        <v>42410</v>
      </c>
      <c r="P17" s="281">
        <f>DATE('Выбери месяц'!$I$8,VLOOKUP('Выбери месяц'!$H$8,всяки!$A$1:$B$12,2,0),1+COLUMN(J:J))</f>
        <v>42411</v>
      </c>
      <c r="Q17" s="281">
        <f>DATE('Выбери месяц'!$I$8,VLOOKUP('Выбери месяц'!$H$8,всяки!$A$1:$B$12,2,0),1+COLUMN(K:K))</f>
        <v>42412</v>
      </c>
      <c r="R17" s="281">
        <f>DATE('Выбери месяц'!$I$8,VLOOKUP('Выбери месяц'!$H$8,всяки!$A$1:$B$12,2,0),1+COLUMN(L:L))</f>
        <v>42413</v>
      </c>
      <c r="S17" s="281">
        <f>DATE('Выбери месяц'!$I$8,VLOOKUP('Выбери месяц'!$H$8,всяки!$A$1:$B$12,2,0),1+COLUMN(M:M))</f>
        <v>42414</v>
      </c>
      <c r="T17" s="281">
        <f>DATE('Выбери месяц'!$I$8,VLOOKUP('Выбери месяц'!$H$8,всяки!$A$1:$B$12,2,0),1+COLUMN(N:N))</f>
        <v>42415</v>
      </c>
      <c r="U17" s="245" t="s">
        <v>38</v>
      </c>
      <c r="V17" s="273" t="s">
        <v>18</v>
      </c>
      <c r="W17" s="250" t="s">
        <v>19</v>
      </c>
      <c r="X17" s="251" t="s">
        <v>20</v>
      </c>
      <c r="Y17" s="252"/>
      <c r="Z17" s="252"/>
      <c r="AA17" s="252"/>
      <c r="AB17" s="252"/>
      <c r="AC17" s="250"/>
      <c r="AD17" s="253" t="s">
        <v>21</v>
      </c>
      <c r="AE17" s="256" t="s">
        <v>70</v>
      </c>
      <c r="AF17" s="259" t="s">
        <v>21</v>
      </c>
      <c r="AG17" s="260"/>
      <c r="AH17" s="269" t="s">
        <v>70</v>
      </c>
    </row>
    <row r="18" spans="2:37" ht="17.25" customHeight="1" x14ac:dyDescent="0.2">
      <c r="B18" s="292"/>
      <c r="C18" s="295"/>
      <c r="D18" s="276"/>
      <c r="E18" s="279"/>
      <c r="F18" s="287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45"/>
      <c r="V18" s="274"/>
      <c r="W18" s="250"/>
      <c r="X18" s="251" t="s">
        <v>23</v>
      </c>
      <c r="Y18" s="252"/>
      <c r="Z18" s="252"/>
      <c r="AA18" s="252"/>
      <c r="AB18" s="252"/>
      <c r="AC18" s="250"/>
      <c r="AD18" s="254"/>
      <c r="AE18" s="257"/>
      <c r="AF18" s="261"/>
      <c r="AG18" s="262"/>
      <c r="AH18" s="270"/>
    </row>
    <row r="19" spans="2:37" ht="19.5" customHeight="1" x14ac:dyDescent="0.2">
      <c r="B19" s="292"/>
      <c r="C19" s="295"/>
      <c r="D19" s="276"/>
      <c r="E19" s="279"/>
      <c r="F19" s="286">
        <f>DATE('Выбери месяц'!$I$8,VLOOKUP('Выбери месяц'!$H$8,всяки!$A$1:$B$12,2,0),16)</f>
        <v>42416</v>
      </c>
      <c r="G19" s="281">
        <f>DATE('Выбери месяц'!$I$8,VLOOKUP('Выбери месяц'!$H$8,всяки!$A$1:$B$12,2,0),16+COLUMN(A:A))</f>
        <v>42417</v>
      </c>
      <c r="H19" s="281">
        <f>DATE('Выбери месяц'!$I$8,VLOOKUP('Выбери месяц'!$H$8,всяки!$A$1:$B$12,2,0),16+COLUMN(B:B))</f>
        <v>42418</v>
      </c>
      <c r="I19" s="281">
        <f>DATE('Выбери месяц'!$I$8,VLOOKUP('Выбери месяц'!$H$8,всяки!$A$1:$B$12,2,0),16+COLUMN(C:C))</f>
        <v>42419</v>
      </c>
      <c r="J19" s="281">
        <f>DATE('Выбери месяц'!$I$8,VLOOKUP('Выбери месяц'!$H$8,всяки!$A$1:$B$12,2,0),16+COLUMN(D:D))</f>
        <v>42420</v>
      </c>
      <c r="K19" s="281">
        <f>DATE('Выбери месяц'!$I$8,VLOOKUP('Выбери месяц'!$H$8,всяки!$A$1:$B$12,2,0),16+COLUMN(E:E))</f>
        <v>42421</v>
      </c>
      <c r="L19" s="281">
        <f>DATE('Выбери месяц'!$I$8,VLOOKUP('Выбери месяц'!$H$8,всяки!$A$1:$B$12,2,0),16+COLUMN(F:F))</f>
        <v>42422</v>
      </c>
      <c r="M19" s="281">
        <f>DATE('Выбери месяц'!$I$8,VLOOKUP('Выбери месяц'!$H$8,всяки!$A$1:$B$12,2,0),16+COLUMN(G:G))</f>
        <v>42423</v>
      </c>
      <c r="N19" s="281">
        <f>DATE('Выбери месяц'!$I$8,VLOOKUP('Выбери месяц'!$H$8,всяки!$A$1:$B$12,2,0),16+COLUMN(H:H))</f>
        <v>42424</v>
      </c>
      <c r="O19" s="281">
        <f>DATE('Выбери месяц'!$I$8,VLOOKUP('Выбери месяц'!$H$8,всяки!$A$1:$B$12,2,0),16+COLUMN(I:I))</f>
        <v>42425</v>
      </c>
      <c r="P19" s="281">
        <f>DATE('Выбери месяц'!$I$8,VLOOKUP('Выбери месяц'!$H$8,всяки!$A$1:$B$12,2,0),16+COLUMN(J:J))</f>
        <v>42426</v>
      </c>
      <c r="Q19" s="281">
        <f>DATE('Выбери месяц'!$I$8,VLOOKUP('Выбери месяц'!$H$8,всяки!$A$1:$B$12,2,0),16+COLUMN(K:K))</f>
        <v>42427</v>
      </c>
      <c r="R19" s="281">
        <f>DATE('Выбери месяц'!$I$8,VLOOKUP('Выбери месяц'!$H$8,всяки!$A$1:$B$12,2,0),16+COLUMN(L:L))</f>
        <v>42428</v>
      </c>
      <c r="S19" s="281">
        <f>DATE('Выбери месяц'!$I$8,VLOOKUP('Выбери месяц'!$H$8,всяки!$A$1:$B$12,2,0),16+COLUMN(M:M))</f>
        <v>42429</v>
      </c>
      <c r="T19" s="281"/>
      <c r="U19" s="290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1" t="s">
        <v>22</v>
      </c>
      <c r="W19" s="272"/>
      <c r="X19" s="248" t="s">
        <v>24</v>
      </c>
      <c r="Y19" s="265" t="s">
        <v>25</v>
      </c>
      <c r="Z19" s="256" t="s">
        <v>26</v>
      </c>
      <c r="AA19" s="267" t="s">
        <v>24</v>
      </c>
      <c r="AB19" s="265" t="s">
        <v>25</v>
      </c>
      <c r="AC19" s="269" t="s">
        <v>26</v>
      </c>
      <c r="AD19" s="254"/>
      <c r="AE19" s="257"/>
      <c r="AF19" s="261"/>
      <c r="AG19" s="262"/>
      <c r="AH19" s="270"/>
    </row>
    <row r="20" spans="2:37" ht="19.5" customHeight="1" x14ac:dyDescent="0.2">
      <c r="B20" s="293"/>
      <c r="C20" s="296"/>
      <c r="D20" s="277"/>
      <c r="E20" s="280"/>
      <c r="F20" s="287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91"/>
      <c r="V20" s="271" t="s">
        <v>27</v>
      </c>
      <c r="W20" s="272"/>
      <c r="X20" s="249"/>
      <c r="Y20" s="266"/>
      <c r="Z20" s="257"/>
      <c r="AA20" s="268"/>
      <c r="AB20" s="266"/>
      <c r="AC20" s="270"/>
      <c r="AD20" s="255"/>
      <c r="AE20" s="258"/>
      <c r="AF20" s="263"/>
      <c r="AG20" s="264"/>
      <c r="AH20" s="303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42">
        <v>4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4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46">
        <v>12</v>
      </c>
      <c r="AG21" s="247"/>
      <c r="AH21" s="120">
        <v>13</v>
      </c>
      <c r="AI21" s="70"/>
      <c r="AJ21" s="71"/>
      <c r="AK21" s="71"/>
    </row>
    <row r="22" spans="2:37" ht="18" customHeight="1" thickTop="1" x14ac:dyDescent="0.2">
      <c r="B22" s="220">
        <f>IF(D22&gt;0,COUNTIF($D$22:D22,"&gt;0"),"")</f>
        <v>1</v>
      </c>
      <c r="C22" s="223">
        <f>IFERROR(INDEX(INDEX(Структура!$A$1:$H$31,0,MATCH('Сектор ТО'!$F$8,Структура!$A$1:$G$1,0)+1),TRUNC(ROW(A4)/4)+1,0),"")</f>
        <v>0</v>
      </c>
      <c r="D22" s="225">
        <f>IFERROR(HLOOKUP('Сектор ТО'!$F$8,Структура!$A$1:$H$31,TRUNC(ROW(A4)/4)+1,0),"")</f>
        <v>431</v>
      </c>
      <c r="E22" s="288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38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2" t="str">
        <f t="array" ref="AE22">IF(AD22="","",SUMPRODUCT((F22:U25=AD22)*(IFERROR(WEEKDAY($F$17:$U$20,2),7)&lt;6)*(ISNA(MATCH($F$17:$U$20,празд,0))))&amp;"("&amp;SUMPRODUCT((F22:U25=AD22)*(IFERROR(WEEKDAY($F$17:$U$20,2),7)&lt;6)*(ISNA(MATCH($F$17:$U$20,празд,0))))*8-COUNT(MATCH(F$17:U$20,предпр,))&amp;")")</f>
        <v/>
      </c>
      <c r="AF22" s="216" t="str">
        <f>IF(SUMPRODUCT(--ISNUMBER(SEARCH("К",F22:U25)))&gt;0,"К","")</f>
        <v/>
      </c>
      <c r="AG22" s="217"/>
      <c r="AH22" s="190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8-COUNT(MATCH(I$17:X$20,предпр,))&amp;")")</f>
        <v/>
      </c>
      <c r="AI22" s="66"/>
      <c r="AJ22" s="66"/>
    </row>
    <row r="23" spans="2:37" ht="18" customHeight="1" x14ac:dyDescent="0.2">
      <c r="B23" s="221"/>
      <c r="C23" s="224"/>
      <c r="D23" s="226"/>
      <c r="E23" s="289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19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2" t="str">
        <f t="array" ref="AE23">IF(AD23="","",SUMPRODUCT((F22:U25=AD23)*(IFERROR(WEEKDAY($F$17:$U$20,2),7)&lt;6)*(ISNA(MATCH($F$17:$U$20,празд,0))))&amp;"("&amp;SUMPRODUCT((F22:U25=AD23)*(IFERROR(WEEKDAY($F$17:$U$20,2),7)&lt;6)*(ISNA(MATCH($F$17:$U$20,празд,0))))*8-COUNT(MATCH(F$17:U$20,предпр,))&amp;")")</f>
        <v/>
      </c>
      <c r="AF23" s="208"/>
      <c r="AG23" s="209"/>
      <c r="AH23" s="190"/>
      <c r="AI23" s="72"/>
      <c r="AJ23" s="72"/>
    </row>
    <row r="24" spans="2:37" ht="18" customHeight="1" x14ac:dyDescent="0.2">
      <c r="B24" s="221"/>
      <c r="C24" s="224"/>
      <c r="D24" s="226"/>
      <c r="E24" s="289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10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2" t="str">
        <f t="array" ref="AE24">IF(AD24="","",SUMPRODUCT((F22:U25=AD24)*(IFERROR(WEEKDAY($F$17:$U$20,2),7)&lt;6)*(ISNA(MATCH($F$17:$U$20,празд,0))))&amp;"("&amp;SUMPRODUCT((F22:U25=AD24)*(IFERROR(WEEKDAY($F$17:$U$20,2),7)&lt;6)*(ISNA(MATCH($F$17:$U$20,празд,0))))*8-COUNT(MATCH(F$17:U$20,предпр,))&amp;")")</f>
        <v/>
      </c>
      <c r="AF24" s="212"/>
      <c r="AG24" s="213"/>
      <c r="AH24" s="148"/>
      <c r="AI24" s="72"/>
      <c r="AJ24" s="72"/>
    </row>
    <row r="25" spans="2:37" ht="18" customHeight="1" thickBot="1" x14ac:dyDescent="0.25">
      <c r="B25" s="222"/>
      <c r="C25" s="224"/>
      <c r="D25" s="226"/>
      <c r="E25" s="289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39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3" t="str">
        <f t="array" ref="AE25">IF(AD25="","",SUMPRODUCT((F22:U25=AD25)*(IFERROR(WEEKDAY($F$17:$U$20,2),7)&lt;6)*(ISNA(MATCH($F$17:$U$20,празд,0))))&amp;"("&amp;SUMPRODUCT((F22:U25=AD25)*(IFERROR(WEEKDAY($F$17:$U$20,2),7)&lt;6)*(ISNA(MATCH($F$17:$U$20,празд,0))))*8-COUNT(MATCH(F$17:U$20,предпр,))&amp;")")</f>
        <v/>
      </c>
      <c r="AF25" s="240"/>
      <c r="AG25" s="241"/>
      <c r="AH25" s="149"/>
      <c r="AI25" s="72"/>
      <c r="AJ25" s="72"/>
    </row>
    <row r="26" spans="2:37" ht="18" customHeight="1" thickTop="1" x14ac:dyDescent="0.2">
      <c r="B26" s="220">
        <f>IF(D26&gt;0,COUNTIF($D$22:D26,"&gt;0"),"")</f>
        <v>2</v>
      </c>
      <c r="C26" s="223">
        <f>IFERROR(INDEX(INDEX(Структура!$A$1:$H$31,0,MATCH('Сектор ТО'!$F$8,Структура!$A$1:$G$1,0)+1),TRUNC(ROW(A8)/4)+1,0),"")</f>
        <v>0</v>
      </c>
      <c r="D26" s="225">
        <f>IFERROR(HLOOKUP('Сектор ТО'!$F$8,Структура!$A$1:$H$31,TRUNC(ROW(A8)/4)+1,0),"")</f>
        <v>384</v>
      </c>
      <c r="E26" s="227" t="s">
        <v>65</v>
      </c>
      <c r="F26" s="98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57" t="str">
        <f t="shared" si="4"/>
        <v>Я</v>
      </c>
      <c r="U26" s="158" t="s">
        <v>28</v>
      </c>
      <c r="V26" s="103">
        <f>COUNTIF(F26:U26,"Я")*1+COUNTIF(F26:U26,"РВ")*1</f>
        <v>11</v>
      </c>
      <c r="W26" s="218">
        <f>SUM(V28,V26)</f>
        <v>20</v>
      </c>
      <c r="X26" s="110"/>
      <c r="Y26" s="99"/>
      <c r="Z26" s="100"/>
      <c r="AA26" s="100"/>
      <c r="AB26" s="99"/>
      <c r="AC26" s="111"/>
      <c r="AD26" s="145" t="str">
        <f>IF(SUMPRODUCT(--ISNUMBER(SEARCH("НН",F26:U29)))&gt;0,"НН","")</f>
        <v/>
      </c>
      <c r="AE26" s="192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8-COUNT(MATCH(F$17:U$20,предпр,))&amp;")")</f>
        <v/>
      </c>
      <c r="AF26" s="206" t="str">
        <f>IF(SUMPRODUCT(--ISNUMBER(SEARCH("К",F26:U29)))&gt;0,"К","")</f>
        <v/>
      </c>
      <c r="AG26" s="207"/>
      <c r="AH26" s="150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21"/>
      <c r="C27" s="224"/>
      <c r="D27" s="226"/>
      <c r="E27" s="228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9">
        <f t="shared" si="5"/>
        <v>8</v>
      </c>
      <c r="U27" s="85" t="s">
        <v>28</v>
      </c>
      <c r="V27" s="101">
        <f>SUM(F27:U27)</f>
        <v>88</v>
      </c>
      <c r="W27" s="219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/>
      </c>
      <c r="AE27" s="152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8-COUNT(MATCH(F$17:U$20,предпр,))&amp;")")</f>
        <v/>
      </c>
      <c r="AF27" s="208"/>
      <c r="AG27" s="209"/>
      <c r="AH27" s="190"/>
      <c r="AI27" s="72"/>
      <c r="AJ27" s="72"/>
    </row>
    <row r="28" spans="2:37" ht="18" customHeight="1" x14ac:dyDescent="0.2">
      <c r="B28" s="221"/>
      <c r="C28" s="224"/>
      <c r="D28" s="226"/>
      <c r="E28" s="228"/>
      <c r="F28" s="59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91" t="str">
        <f t="shared" si="6"/>
        <v>Я</v>
      </c>
      <c r="H28" s="91" t="str">
        <f t="shared" si="6"/>
        <v>Я</v>
      </c>
      <c r="I28" s="91" t="str">
        <f t="shared" si="6"/>
        <v>Я</v>
      </c>
      <c r="J28" s="91" t="str">
        <f t="shared" si="6"/>
        <v>Я</v>
      </c>
      <c r="K28" s="91" t="str">
        <f t="shared" si="6"/>
        <v>В</v>
      </c>
      <c r="L28" s="91" t="str">
        <f t="shared" si="6"/>
        <v>В</v>
      </c>
      <c r="M28" s="91" t="str">
        <f t="shared" si="6"/>
        <v>В</v>
      </c>
      <c r="N28" s="91" t="str">
        <f t="shared" si="6"/>
        <v>Я</v>
      </c>
      <c r="O28" s="91" t="str">
        <f t="shared" si="6"/>
        <v>Я</v>
      </c>
      <c r="P28" s="91" t="str">
        <f t="shared" si="6"/>
        <v>Я</v>
      </c>
      <c r="Q28" s="91" t="str">
        <f t="shared" si="6"/>
        <v>В</v>
      </c>
      <c r="R28" s="91" t="str">
        <f t="shared" si="6"/>
        <v>В</v>
      </c>
      <c r="S28" s="91" t="str">
        <f t="shared" si="6"/>
        <v>Я</v>
      </c>
      <c r="T28" s="159" t="str">
        <f t="shared" si="6"/>
        <v/>
      </c>
      <c r="U28" s="85" t="str">
        <f t="shared" si="6"/>
        <v/>
      </c>
      <c r="V28" s="102">
        <f>COUNTIF(F28:U28,"Я")*1+COUNTIF(F28:U28,"РВ")*1</f>
        <v>9</v>
      </c>
      <c r="W28" s="210">
        <f>SUM(V29,V27)</f>
        <v>159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2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8-COUNT(MATCH(F$17:U$20,предпр,))&amp;")")</f>
        <v/>
      </c>
      <c r="AF28" s="212"/>
      <c r="AG28" s="213"/>
      <c r="AH28" s="148"/>
      <c r="AI28" s="72"/>
      <c r="AJ28" s="72"/>
    </row>
    <row r="29" spans="2:37" ht="18" customHeight="1" thickBot="1" x14ac:dyDescent="0.25">
      <c r="B29" s="234"/>
      <c r="C29" s="235"/>
      <c r="D29" s="236"/>
      <c r="E29" s="229"/>
      <c r="F29" s="78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79">
        <f t="shared" si="7"/>
        <v>8</v>
      </c>
      <c r="H29" s="79">
        <f t="shared" si="7"/>
        <v>8</v>
      </c>
      <c r="I29" s="79">
        <f t="shared" si="7"/>
        <v>8</v>
      </c>
      <c r="J29" s="79">
        <f t="shared" si="7"/>
        <v>7</v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>
        <f t="shared" si="7"/>
        <v>8</v>
      </c>
      <c r="O29" s="79">
        <f t="shared" si="7"/>
        <v>8</v>
      </c>
      <c r="P29" s="79">
        <f t="shared" si="7"/>
        <v>8</v>
      </c>
      <c r="Q29" s="79" t="str">
        <f t="shared" si="7"/>
        <v/>
      </c>
      <c r="R29" s="79" t="str">
        <f t="shared" si="7"/>
        <v/>
      </c>
      <c r="S29" s="79">
        <f t="shared" si="7"/>
        <v>8</v>
      </c>
      <c r="T29" s="160" t="str">
        <f t="shared" si="7"/>
        <v/>
      </c>
      <c r="U29" s="90" t="str">
        <f t="shared" si="7"/>
        <v/>
      </c>
      <c r="V29" s="104">
        <f>SUM(F29:U29)</f>
        <v>71</v>
      </c>
      <c r="W29" s="211"/>
      <c r="X29" s="112"/>
      <c r="Y29" s="80"/>
      <c r="Z29" s="81"/>
      <c r="AA29" s="80"/>
      <c r="AB29" s="80"/>
      <c r="AC29" s="113"/>
      <c r="AD29" s="194" t="str">
        <f>IF(SUMPRODUCT(--ISNUMBER(SEARCH("ОД",F26:U29)))&gt;0,"ОД","")</f>
        <v/>
      </c>
      <c r="AE29" s="153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8-COUNT(MATCH(F$17:U$20,предпр,))&amp;")")</f>
        <v/>
      </c>
      <c r="AF29" s="214"/>
      <c r="AG29" s="215"/>
      <c r="AH29" s="151"/>
    </row>
    <row r="30" spans="2:37" ht="12.75" customHeight="1" thickTop="1" x14ac:dyDescent="0.2">
      <c r="B30" s="60"/>
      <c r="C30" s="61"/>
      <c r="D30" s="61"/>
      <c r="E30" s="14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/>
      <c r="W30" s="64"/>
      <c r="X30" s="65"/>
      <c r="Y30" s="66"/>
      <c r="Z30" s="65"/>
      <c r="AA30" s="66"/>
      <c r="AB30" s="66"/>
      <c r="AC30" s="66"/>
      <c r="AD30" s="195"/>
      <c r="AE30" s="64"/>
      <c r="AF30" s="65"/>
      <c r="AG30" s="65"/>
      <c r="AH30" s="65"/>
    </row>
    <row r="31" spans="2:37" ht="12.75" customHeight="1" x14ac:dyDescent="0.2">
      <c r="D31" s="230"/>
      <c r="E31" s="230"/>
      <c r="F31" s="230"/>
      <c r="G31" s="230"/>
      <c r="H31" s="230"/>
    </row>
    <row r="32" spans="2:37" x14ac:dyDescent="0.2">
      <c r="C32" s="67" t="s">
        <v>31</v>
      </c>
      <c r="D32" s="231"/>
      <c r="E32" s="231"/>
      <c r="F32" s="231"/>
      <c r="G32" s="231"/>
      <c r="H32" s="231"/>
      <c r="I32" s="33"/>
      <c r="J32" s="204"/>
      <c r="K32" s="204"/>
      <c r="L32" s="204"/>
      <c r="M32" s="33"/>
      <c r="N32" s="203"/>
      <c r="O32" s="203"/>
      <c r="P32" s="203"/>
      <c r="Q32" s="203"/>
      <c r="S32" s="33" t="s">
        <v>36</v>
      </c>
      <c r="W32" s="232"/>
      <c r="X32" s="232"/>
      <c r="Y32" s="232"/>
    </row>
    <row r="33" spans="3:34" ht="14.25" x14ac:dyDescent="0.2">
      <c r="D33" s="200" t="s">
        <v>32</v>
      </c>
      <c r="E33" s="200"/>
      <c r="F33" s="200"/>
      <c r="G33" s="200"/>
      <c r="H33" s="200"/>
      <c r="J33" s="198" t="s">
        <v>33</v>
      </c>
      <c r="K33" s="198"/>
      <c r="L33" s="198"/>
      <c r="N33" s="200" t="s">
        <v>34</v>
      </c>
      <c r="O33" s="199"/>
      <c r="P33" s="199"/>
      <c r="Q33" s="199"/>
      <c r="S33" s="33" t="s">
        <v>37</v>
      </c>
      <c r="T33" s="33"/>
      <c r="U33" s="33"/>
      <c r="V33" s="68"/>
      <c r="W33" s="203"/>
      <c r="X33" s="203"/>
      <c r="Y33" s="203"/>
      <c r="Z33" s="34"/>
      <c r="AA33" s="204"/>
      <c r="AB33" s="204"/>
      <c r="AC33" s="68"/>
      <c r="AD33" s="203"/>
      <c r="AE33" s="203"/>
      <c r="AF33" s="203"/>
      <c r="AG33" s="205">
        <f>N34</f>
        <v>42429</v>
      </c>
      <c r="AH33" s="205"/>
    </row>
    <row r="34" spans="3:34" ht="14.25" customHeight="1" x14ac:dyDescent="0.2">
      <c r="N34" s="197">
        <f>Z14</f>
        <v>42429</v>
      </c>
      <c r="O34" s="197"/>
      <c r="P34" s="197"/>
      <c r="Q34" s="197"/>
      <c r="S34" s="69"/>
      <c r="T34" s="69"/>
      <c r="U34" s="69"/>
      <c r="V34" s="198" t="s">
        <v>32</v>
      </c>
      <c r="W34" s="199"/>
      <c r="X34" s="199"/>
      <c r="Y34" s="199"/>
      <c r="AA34" s="200" t="s">
        <v>33</v>
      </c>
      <c r="AB34" s="199"/>
      <c r="AD34" s="198" t="s">
        <v>34</v>
      </c>
      <c r="AE34" s="198"/>
      <c r="AF34" s="198"/>
    </row>
    <row r="35" spans="3:34" ht="19.5" customHeight="1" x14ac:dyDescent="0.2">
      <c r="S35" s="202" t="s">
        <v>35</v>
      </c>
      <c r="T35" s="202"/>
      <c r="U35" s="202"/>
      <c r="V35" s="202"/>
      <c r="W35" s="203"/>
      <c r="X35" s="203"/>
      <c r="Y35" s="203"/>
      <c r="Z35" s="34"/>
      <c r="AA35" s="204"/>
      <c r="AB35" s="204"/>
      <c r="AC35" s="33"/>
      <c r="AD35" s="203"/>
      <c r="AE35" s="203"/>
      <c r="AF35" s="203"/>
      <c r="AG35" s="205">
        <f>N34</f>
        <v>42429</v>
      </c>
      <c r="AH35" s="205"/>
    </row>
    <row r="36" spans="3:34" ht="14.25" x14ac:dyDescent="0.2">
      <c r="V36" s="198" t="s">
        <v>32</v>
      </c>
      <c r="W36" s="199"/>
      <c r="X36" s="199"/>
      <c r="Y36" s="199"/>
      <c r="AA36" s="200" t="s">
        <v>33</v>
      </c>
      <c r="AB36" s="199"/>
      <c r="AD36" s="198" t="s">
        <v>34</v>
      </c>
      <c r="AE36" s="198"/>
      <c r="AF36" s="198"/>
    </row>
    <row r="37" spans="3:34" x14ac:dyDescent="0.2">
      <c r="C37" s="55"/>
      <c r="D37" s="55"/>
    </row>
    <row r="39" spans="3:34" x14ac:dyDescent="0.2">
      <c r="E39" s="48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spans="3:34" x14ac:dyDescent="0.2">
      <c r="E40" s="48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</row>
    <row r="41" spans="3:34" x14ac:dyDescent="0.2">
      <c r="E41" s="48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6"/>
      <c r="Y41" s="55"/>
      <c r="Z41" s="56"/>
      <c r="AA41" s="55"/>
      <c r="AB41" s="55"/>
      <c r="AC41" s="55"/>
      <c r="AD41" s="55"/>
      <c r="AE41" s="55"/>
      <c r="AF41" s="55"/>
      <c r="AG41" s="55"/>
      <c r="AH41" s="57"/>
    </row>
    <row r="42" spans="3:34" x14ac:dyDescent="0.2">
      <c r="E42" s="48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6"/>
      <c r="Y42" s="55"/>
      <c r="Z42" s="56"/>
      <c r="AA42" s="55"/>
      <c r="AB42" s="55"/>
      <c r="AC42" s="55"/>
      <c r="AD42" s="55"/>
      <c r="AE42" s="55"/>
      <c r="AF42" s="55"/>
      <c r="AG42" s="55"/>
      <c r="AH42" s="57"/>
    </row>
    <row r="43" spans="3:34" x14ac:dyDescent="0.2">
      <c r="E43" s="48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5"/>
      <c r="Z43" s="56"/>
      <c r="AA43" s="55"/>
      <c r="AB43" s="55"/>
      <c r="AC43" s="55"/>
      <c r="AD43" s="55"/>
      <c r="AE43" s="55"/>
      <c r="AF43" s="55"/>
      <c r="AG43" s="55"/>
      <c r="AH43" s="57"/>
    </row>
    <row r="44" spans="3:34" x14ac:dyDescent="0.2">
      <c r="E44" s="48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6"/>
      <c r="Y44" s="55"/>
      <c r="Z44" s="56"/>
      <c r="AA44" s="55"/>
      <c r="AB44" s="55"/>
      <c r="AC44" s="55"/>
      <c r="AD44" s="55"/>
      <c r="AE44" s="55"/>
      <c r="AF44" s="55"/>
      <c r="AG44" s="55"/>
      <c r="AH44" s="57"/>
    </row>
    <row r="45" spans="3:34" x14ac:dyDescent="0.2">
      <c r="E45" s="58"/>
    </row>
    <row r="46" spans="3:34" x14ac:dyDescent="0.2">
      <c r="E46" s="48"/>
      <c r="F46" s="55"/>
      <c r="R46" s="48"/>
    </row>
    <row r="47" spans="3:34" x14ac:dyDescent="0.2">
      <c r="E47" s="48"/>
      <c r="F47" s="55"/>
      <c r="R47" s="49"/>
    </row>
    <row r="48" spans="3:34" x14ac:dyDescent="0.2">
      <c r="E48" s="48"/>
      <c r="F48" s="55"/>
      <c r="R48" s="50"/>
    </row>
    <row r="49" spans="5:19" x14ac:dyDescent="0.2">
      <c r="R49" s="51"/>
    </row>
    <row r="50" spans="5:19" x14ac:dyDescent="0.2">
      <c r="R50" s="52"/>
    </row>
    <row r="51" spans="5:19" x14ac:dyDescent="0.2">
      <c r="R51" s="53"/>
      <c r="S51" s="54"/>
    </row>
    <row r="53" spans="5:19" ht="16.5" customHeight="1" x14ac:dyDescent="0.2">
      <c r="E53" s="55"/>
      <c r="F53" s="55"/>
      <c r="G53" s="55"/>
      <c r="H53" s="55"/>
      <c r="I53" s="55"/>
      <c r="J53" s="55"/>
    </row>
    <row r="54" spans="5:19" ht="18" customHeight="1" x14ac:dyDescent="0.2">
      <c r="E54" s="55"/>
      <c r="F54" s="55"/>
    </row>
  </sheetData>
  <dataConsolidate/>
  <mergeCells count="115">
    <mergeCell ref="S35:V35"/>
    <mergeCell ref="W35:Y35"/>
    <mergeCell ref="AA35:AB35"/>
    <mergeCell ref="AD35:AF35"/>
    <mergeCell ref="AG35:AH35"/>
    <mergeCell ref="V36:Y36"/>
    <mergeCell ref="AA36:AB36"/>
    <mergeCell ref="AD36:AF36"/>
    <mergeCell ref="AD33:AF33"/>
    <mergeCell ref="AG33:AH33"/>
    <mergeCell ref="N34:Q34"/>
    <mergeCell ref="V34:Y34"/>
    <mergeCell ref="AA34:AB34"/>
    <mergeCell ref="AD34:AF34"/>
    <mergeCell ref="D31:H32"/>
    <mergeCell ref="J32:L32"/>
    <mergeCell ref="N32:Q32"/>
    <mergeCell ref="W32:Y33"/>
    <mergeCell ref="D33:H33"/>
    <mergeCell ref="J33:L33"/>
    <mergeCell ref="N33:Q33"/>
    <mergeCell ref="AA33:AB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30:U30">
    <cfRule type="cellIs" dxfId="38" priority="39" operator="equal">
      <formula>"ДО"</formula>
    </cfRule>
    <cfRule type="cellIs" dxfId="37" priority="40" operator="equal">
      <formula>"К"</formula>
    </cfRule>
    <cfRule type="cellIs" dxfId="36" priority="41" operator="equal">
      <formula>"ОД"</formula>
    </cfRule>
    <cfRule type="cellIs" dxfId="35" priority="42" operator="equal">
      <formula>"ОТ"</formula>
    </cfRule>
    <cfRule type="cellIs" dxfId="34" priority="43" operator="equal">
      <formula>"Б"</formula>
    </cfRule>
    <cfRule type="cellIs" dxfId="33" priority="44" operator="equal">
      <formula>"В"</formula>
    </cfRule>
  </conditionalFormatting>
  <conditionalFormatting sqref="F22:U29">
    <cfRule type="cellIs" dxfId="32" priority="19" operator="equal">
      <formula>"ДО"</formula>
    </cfRule>
    <cfRule type="cellIs" dxfId="31" priority="20" operator="equal">
      <formula>"К"</formula>
    </cfRule>
    <cfRule type="cellIs" dxfId="30" priority="21" operator="equal">
      <formula>"ОД"</formula>
    </cfRule>
    <cfRule type="cellIs" dxfId="29" priority="22" operator="equal">
      <formula>"ОТ"</formula>
    </cfRule>
    <cfRule type="cellIs" dxfId="28" priority="23" operator="equal">
      <formula>"Б"</formula>
    </cfRule>
    <cfRule type="cellIs" dxfId="27" priority="24" operator="equal">
      <formula>"В"</formula>
    </cfRule>
  </conditionalFormatting>
  <conditionalFormatting sqref="U17:U20">
    <cfRule type="expression" dxfId="26" priority="5">
      <formula>OR(WEEKDAY(U17,2)&gt;5,ISNUMBER(MATCH(U17,празд,0)))</formula>
    </cfRule>
    <cfRule type="expression" dxfId="25" priority="6">
      <formula>ISNUMBER(MATCH(U17,допнер,0))</formula>
    </cfRule>
  </conditionalFormatting>
  <conditionalFormatting sqref="F17:T20">
    <cfRule type="expression" dxfId="24" priority="1">
      <formula>OR(WEEKDAY(F17,2)&gt;5,ISNUMBER(MATCH(F17,празд,0)))</formula>
    </cfRule>
    <cfRule type="expression" dxfId="23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AL50"/>
  <sheetViews>
    <sheetView tabSelected="1" topLeftCell="A13" zoomScale="85" zoomScaleNormal="85" zoomScaleSheetLayoutView="85" workbookViewId="0">
      <selection activeCell="AI23" sqref="AI23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7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304">
        <v>301008</v>
      </c>
      <c r="AG5" s="305"/>
      <c r="AH5" s="30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307">
        <v>11356728</v>
      </c>
      <c r="AG6" s="308"/>
      <c r="AH6" s="309"/>
    </row>
    <row r="7" spans="2:35" s="4" customFormat="1" ht="15.75" x14ac:dyDescent="0.2">
      <c r="B7" s="5"/>
      <c r="C7" s="137" t="s">
        <v>5</v>
      </c>
      <c r="D7" s="6"/>
      <c r="E7" s="310" t="s">
        <v>66</v>
      </c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319" t="s">
        <v>72</v>
      </c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22" t="s">
        <v>29</v>
      </c>
      <c r="N12" s="323"/>
      <c r="O12" s="323"/>
      <c r="P12" s="323"/>
      <c r="Q12" s="323"/>
      <c r="R12" s="323"/>
      <c r="S12" s="323"/>
      <c r="T12" s="323"/>
      <c r="U12" s="323"/>
      <c r="V12" s="323"/>
      <c r="W12" s="313" t="s">
        <v>7</v>
      </c>
      <c r="X12" s="313"/>
      <c r="Y12" s="313"/>
      <c r="Z12" s="316" t="s">
        <v>8</v>
      </c>
      <c r="AA12" s="316"/>
      <c r="AB12" s="123"/>
      <c r="AC12" s="311" t="s">
        <v>9</v>
      </c>
      <c r="AD12" s="311"/>
      <c r="AE12" s="311"/>
      <c r="AF12" s="311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14"/>
      <c r="X13" s="314"/>
      <c r="Y13" s="314"/>
      <c r="Z13" s="317"/>
      <c r="AA13" s="317"/>
      <c r="AB13" s="123"/>
      <c r="AC13" s="312" t="s">
        <v>10</v>
      </c>
      <c r="AD13" s="312"/>
      <c r="AE13" s="312" t="s">
        <v>11</v>
      </c>
      <c r="AF13" s="312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0"/>
      <c r="X14" s="320"/>
      <c r="Y14" s="320"/>
      <c r="Z14" s="318">
        <v>42429</v>
      </c>
      <c r="AA14" s="318"/>
      <c r="AB14" s="121"/>
      <c r="AC14" s="318">
        <f>DATE('Выбери месяц'!$I$8,VLOOKUP('Выбери месяц'!$H$8,всяки!$A$1:$B$12,2,0),1)</f>
        <v>42401</v>
      </c>
      <c r="AD14" s="318"/>
      <c r="AE14" s="321">
        <f>EOMONTH(AC14,0)</f>
        <v>42429</v>
      </c>
      <c r="AF14" s="321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15"/>
      <c r="X15" s="315"/>
      <c r="Y15" s="315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75" t="s">
        <v>12</v>
      </c>
      <c r="C16" s="294" t="s">
        <v>30</v>
      </c>
      <c r="D16" s="275" t="s">
        <v>13</v>
      </c>
      <c r="E16" s="278" t="s">
        <v>68</v>
      </c>
      <c r="F16" s="283" t="s">
        <v>14</v>
      </c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5"/>
      <c r="V16" s="283" t="s">
        <v>15</v>
      </c>
      <c r="W16" s="297"/>
      <c r="X16" s="298" t="s">
        <v>16</v>
      </c>
      <c r="Y16" s="299"/>
      <c r="Z16" s="299"/>
      <c r="AA16" s="299"/>
      <c r="AB16" s="284"/>
      <c r="AC16" s="285"/>
      <c r="AD16" s="300" t="s">
        <v>17</v>
      </c>
      <c r="AE16" s="301"/>
      <c r="AF16" s="301"/>
      <c r="AG16" s="301"/>
      <c r="AH16" s="302"/>
    </row>
    <row r="17" spans="2:38" ht="18" customHeight="1" x14ac:dyDescent="0.2">
      <c r="B17" s="292"/>
      <c r="C17" s="295"/>
      <c r="D17" s="276"/>
      <c r="E17" s="279"/>
      <c r="F17" s="286">
        <f>DATE('Выбери месяц'!$I$8,VLOOKUP('Выбери месяц'!$H$8,всяки!$A$1:$B$12,2,0),1)</f>
        <v>42401</v>
      </c>
      <c r="G17" s="281">
        <f>DATE('Выбери месяц'!$I$8,VLOOKUP('Выбери месяц'!$H$8,всяки!$A$1:$B$12,2,0),1+COLUMN(A:A))</f>
        <v>42402</v>
      </c>
      <c r="H17" s="281">
        <f>DATE('Выбери месяц'!$I$8,VLOOKUP('Выбери месяц'!$H$8,всяки!$A$1:$B$12,2,0),1+COLUMN(B:B))</f>
        <v>42403</v>
      </c>
      <c r="I17" s="281">
        <f>DATE('Выбери месяц'!$I$8,VLOOKUP('Выбери месяц'!$H$8,всяки!$A$1:$B$12,2,0),1+COLUMN(C:C))</f>
        <v>42404</v>
      </c>
      <c r="J17" s="281">
        <f>DATE('Выбери месяц'!$I$8,VLOOKUP('Выбери месяц'!$H$8,всяки!$A$1:$B$12,2,0),1+COLUMN(D:D))</f>
        <v>42405</v>
      </c>
      <c r="K17" s="281">
        <f>DATE('Выбери месяц'!$I$8,VLOOKUP('Выбери месяц'!$H$8,всяки!$A$1:$B$12,2,0),1+COLUMN(E:E))</f>
        <v>42406</v>
      </c>
      <c r="L17" s="281">
        <f>DATE('Выбери месяц'!$I$8,VLOOKUP('Выбери месяц'!$H$8,всяки!$A$1:$B$12,2,0),1+COLUMN(F:F))</f>
        <v>42407</v>
      </c>
      <c r="M17" s="281">
        <f>DATE('Выбери месяц'!$I$8,VLOOKUP('Выбери месяц'!$H$8,всяки!$A$1:$B$12,2,0),1+COLUMN(G:G))</f>
        <v>42408</v>
      </c>
      <c r="N17" s="281">
        <f>DATE('Выбери месяц'!$I$8,VLOOKUP('Выбери месяц'!$H$8,всяки!$A$1:$B$12,2,0),1+COLUMN(H:H))</f>
        <v>42409</v>
      </c>
      <c r="O17" s="281">
        <f>DATE('Выбери месяц'!$I$8,VLOOKUP('Выбери месяц'!$H$8,всяки!$A$1:$B$12,2,0),1+COLUMN(I:I))</f>
        <v>42410</v>
      </c>
      <c r="P17" s="281">
        <f>DATE('Выбери месяц'!$I$8,VLOOKUP('Выбери месяц'!$H$8,всяки!$A$1:$B$12,2,0),1+COLUMN(J:J))</f>
        <v>42411</v>
      </c>
      <c r="Q17" s="281">
        <f>DATE('Выбери месяц'!$I$8,VLOOKUP('Выбери месяц'!$H$8,всяки!$A$1:$B$12,2,0),1+COLUMN(K:K))</f>
        <v>42412</v>
      </c>
      <c r="R17" s="281">
        <f>DATE('Выбери месяц'!$I$8,VLOOKUP('Выбери месяц'!$H$8,всяки!$A$1:$B$12,2,0),1+COLUMN(L:L))</f>
        <v>42413</v>
      </c>
      <c r="S17" s="281">
        <f>DATE('Выбери месяц'!$I$8,VLOOKUP('Выбери месяц'!$H$8,всяки!$A$1:$B$12,2,0),1+COLUMN(M:M))</f>
        <v>42414</v>
      </c>
      <c r="T17" s="281">
        <f>DATE('Выбери месяц'!$I$8,VLOOKUP('Выбери месяц'!$H$8,всяки!$A$1:$B$12,2,0),1+COLUMN(N:N))</f>
        <v>42415</v>
      </c>
      <c r="U17" s="245" t="s">
        <v>38</v>
      </c>
      <c r="V17" s="273" t="s">
        <v>18</v>
      </c>
      <c r="W17" s="250" t="s">
        <v>19</v>
      </c>
      <c r="X17" s="251" t="s">
        <v>20</v>
      </c>
      <c r="Y17" s="252"/>
      <c r="Z17" s="252"/>
      <c r="AA17" s="252"/>
      <c r="AB17" s="252"/>
      <c r="AC17" s="250"/>
      <c r="AD17" s="253" t="s">
        <v>21</v>
      </c>
      <c r="AE17" s="256" t="s">
        <v>70</v>
      </c>
      <c r="AF17" s="259" t="s">
        <v>21</v>
      </c>
      <c r="AG17" s="260"/>
      <c r="AH17" s="269" t="s">
        <v>70</v>
      </c>
    </row>
    <row r="18" spans="2:38" ht="17.25" customHeight="1" x14ac:dyDescent="0.2">
      <c r="B18" s="292"/>
      <c r="C18" s="295"/>
      <c r="D18" s="276"/>
      <c r="E18" s="279"/>
      <c r="F18" s="287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45"/>
      <c r="V18" s="274"/>
      <c r="W18" s="250"/>
      <c r="X18" s="251" t="s">
        <v>23</v>
      </c>
      <c r="Y18" s="252"/>
      <c r="Z18" s="252"/>
      <c r="AA18" s="252"/>
      <c r="AB18" s="252"/>
      <c r="AC18" s="250"/>
      <c r="AD18" s="254"/>
      <c r="AE18" s="257"/>
      <c r="AF18" s="261"/>
      <c r="AG18" s="262"/>
      <c r="AH18" s="270"/>
    </row>
    <row r="19" spans="2:38" ht="19.5" customHeight="1" x14ac:dyDescent="0.2">
      <c r="B19" s="292"/>
      <c r="C19" s="295"/>
      <c r="D19" s="276"/>
      <c r="E19" s="279"/>
      <c r="F19" s="286">
        <f>DATE('Выбери месяц'!$I$8,VLOOKUP('Выбери месяц'!$H$8,всяки!$A$1:$B$12,2,0),16)</f>
        <v>42416</v>
      </c>
      <c r="G19" s="281">
        <f>DATE('Выбери месяц'!$I$8,VLOOKUP('Выбери месяц'!$H$8,всяки!$A$1:$B$12,2,0),16+COLUMN(A:A))</f>
        <v>42417</v>
      </c>
      <c r="H19" s="281">
        <f>DATE('Выбери месяц'!$I$8,VLOOKUP('Выбери месяц'!$H$8,всяки!$A$1:$B$12,2,0),16+COLUMN(B:B))</f>
        <v>42418</v>
      </c>
      <c r="I19" s="281">
        <f>DATE('Выбери месяц'!$I$8,VLOOKUP('Выбери месяц'!$H$8,всяки!$A$1:$B$12,2,0),16+COLUMN(C:C))</f>
        <v>42419</v>
      </c>
      <c r="J19" s="281">
        <f>DATE('Выбери месяц'!$I$8,VLOOKUP('Выбери месяц'!$H$8,всяки!$A$1:$B$12,2,0),16+COLUMN(D:D))</f>
        <v>42420</v>
      </c>
      <c r="K19" s="281">
        <f>DATE('Выбери месяц'!$I$8,VLOOKUP('Выбери месяц'!$H$8,всяки!$A$1:$B$12,2,0),16+COLUMN(E:E))</f>
        <v>42421</v>
      </c>
      <c r="L19" s="281">
        <f>DATE('Выбери месяц'!$I$8,VLOOKUP('Выбери месяц'!$H$8,всяки!$A$1:$B$12,2,0),16+COLUMN(F:F))</f>
        <v>42422</v>
      </c>
      <c r="M19" s="281">
        <f>DATE('Выбери месяц'!$I$8,VLOOKUP('Выбери месяц'!$H$8,всяки!$A$1:$B$12,2,0),16+COLUMN(G:G))</f>
        <v>42423</v>
      </c>
      <c r="N19" s="281">
        <f>DATE('Выбери месяц'!$I$8,VLOOKUP('Выбери месяц'!$H$8,всяки!$A$1:$B$12,2,0),16+COLUMN(H:H))</f>
        <v>42424</v>
      </c>
      <c r="O19" s="281">
        <f>DATE('Выбери месяц'!$I$8,VLOOKUP('Выбери месяц'!$H$8,всяки!$A$1:$B$12,2,0),16+COLUMN(I:I))</f>
        <v>42425</v>
      </c>
      <c r="P19" s="281">
        <f>DATE('Выбери месяц'!$I$8,VLOOKUP('Выбери месяц'!$H$8,всяки!$A$1:$B$12,2,0),16+COLUMN(J:J))</f>
        <v>42426</v>
      </c>
      <c r="Q19" s="281">
        <f>DATE('Выбери месяц'!$I$8,VLOOKUP('Выбери месяц'!$H$8,всяки!$A$1:$B$12,2,0),16+COLUMN(K:K))</f>
        <v>42427</v>
      </c>
      <c r="R19" s="281">
        <f>DATE('Выбери месяц'!$I$8,VLOOKUP('Выбери месяц'!$H$8,всяки!$A$1:$B$12,2,0),16+COLUMN(L:L))</f>
        <v>42428</v>
      </c>
      <c r="S19" s="281">
        <f>DATE('Выбери месяц'!$I$8,VLOOKUP('Выбери месяц'!$H$8,всяки!$A$1:$B$12,2,0),16+COLUMN(M:M))</f>
        <v>42429</v>
      </c>
      <c r="T19" s="281"/>
      <c r="U19" s="290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1" t="s">
        <v>22</v>
      </c>
      <c r="W19" s="272"/>
      <c r="X19" s="248" t="s">
        <v>24</v>
      </c>
      <c r="Y19" s="265" t="s">
        <v>25</v>
      </c>
      <c r="Z19" s="256" t="s">
        <v>26</v>
      </c>
      <c r="AA19" s="267" t="s">
        <v>24</v>
      </c>
      <c r="AB19" s="265" t="s">
        <v>25</v>
      </c>
      <c r="AC19" s="269" t="s">
        <v>26</v>
      </c>
      <c r="AD19" s="254"/>
      <c r="AE19" s="257"/>
      <c r="AF19" s="261"/>
      <c r="AG19" s="262"/>
      <c r="AH19" s="270"/>
    </row>
    <row r="20" spans="2:38" ht="19.5" customHeight="1" x14ac:dyDescent="0.2">
      <c r="B20" s="293"/>
      <c r="C20" s="296"/>
      <c r="D20" s="277"/>
      <c r="E20" s="280"/>
      <c r="F20" s="287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91"/>
      <c r="V20" s="271" t="s">
        <v>27</v>
      </c>
      <c r="W20" s="272"/>
      <c r="X20" s="249"/>
      <c r="Y20" s="266"/>
      <c r="Z20" s="257"/>
      <c r="AA20" s="268"/>
      <c r="AB20" s="266"/>
      <c r="AC20" s="270"/>
      <c r="AD20" s="255"/>
      <c r="AE20" s="258"/>
      <c r="AF20" s="263"/>
      <c r="AG20" s="264"/>
      <c r="AH20" s="303"/>
    </row>
    <row r="21" spans="2:38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42">
        <v>4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4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46">
        <v>12</v>
      </c>
      <c r="AG21" s="247"/>
      <c r="AH21" s="120">
        <v>13</v>
      </c>
      <c r="AI21" s="70"/>
      <c r="AJ21" s="71"/>
      <c r="AK21" s="71"/>
    </row>
    <row r="22" spans="2:38" ht="18" customHeight="1" thickTop="1" x14ac:dyDescent="0.2">
      <c r="B22" s="220">
        <f>IF(D22&gt;0,COUNTIF($D$22:D22,"&gt;0"),"")</f>
        <v>1</v>
      </c>
      <c r="C22" s="223">
        <f>IFERROR(INDEX(INDEX(Структура!$A$1:$H$31,0,MATCH('Сектор АХО'!$F$8,Структура!$A$1:$G$1,0)+1),TRUNC(ROW(A4)/4)+1,0),"")</f>
        <v>0</v>
      </c>
      <c r="D22" s="225">
        <f>IFERROR(HLOOKUP('Сектор АХО'!$F$8,Структура!$A$1:$H$31,TRUNC(ROW(A4)/4)+1,0),"")</f>
        <v>544</v>
      </c>
      <c r="E22" s="288" t="s">
        <v>65</v>
      </c>
      <c r="F22" s="88" t="str">
        <f t="shared" ref="F22:L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185" t="s">
        <v>73</v>
      </c>
      <c r="N22" s="185" t="s">
        <v>73</v>
      </c>
      <c r="O22" s="185" t="s">
        <v>73</v>
      </c>
      <c r="P22" s="185" t="s">
        <v>73</v>
      </c>
      <c r="Q22" s="185" t="s">
        <v>73</v>
      </c>
      <c r="R22" s="185" t="s">
        <v>73</v>
      </c>
      <c r="S22" s="185" t="s">
        <v>73</v>
      </c>
      <c r="T22" s="185" t="s">
        <v>73</v>
      </c>
      <c r="U22" s="88" t="s">
        <v>28</v>
      </c>
      <c r="V22" s="103">
        <f>COUNTIF(F22:U22,"Я")*1+COUNTIF(F22:U22,"РВ")*1</f>
        <v>5</v>
      </c>
      <c r="W22" s="218">
        <f>SUM(V24,V22)</f>
        <v>9</v>
      </c>
      <c r="X22" s="110"/>
      <c r="Y22" s="99"/>
      <c r="Z22" s="100"/>
      <c r="AA22" s="100"/>
      <c r="AB22" s="99"/>
      <c r="AC22" s="111"/>
      <c r="AD22" s="144" t="str">
        <f>IF(SUMPRODUCT(--ISNUMBER(SEARCH("НН",F22:U25)))&gt;0,"НН","")</f>
        <v/>
      </c>
      <c r="AE22" s="152" t="str">
        <f t="array" ref="AE22">IF(AD22="","",SUMPRODUCT((F22:U25=AD22)*(IFERROR(WEEKDAY($F$17:$U$20,2),7)&lt;6)*(ISNA(MATCH($F$17:$U$20,празд,0))))&amp;"("&amp;SUMPRODUCT((F22:U25=AD22)*(IFERROR(WEEKDAY($F$17:$U$20,2),7)&lt;6)*(ISNA(MATCH($F$17:$U$20,празд,0))))*8-COUNT(MATCH(F$17:U$20,предпр,))&amp;")")</f>
        <v/>
      </c>
      <c r="AF22" s="216" t="str">
        <f>IF(SUMPRODUCT(--ISNUMBER(SEARCH("К",F22:U25)))&gt;0,"К","")</f>
        <v/>
      </c>
      <c r="AG22" s="217"/>
      <c r="AH22" s="191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8-COUNT(MATCH(I$17:X$20,предпр,))&amp;")")</f>
        <v/>
      </c>
      <c r="AI22" s="66"/>
      <c r="AJ22" s="66"/>
    </row>
    <row r="23" spans="2:38" ht="18" customHeight="1" x14ac:dyDescent="0.2">
      <c r="B23" s="221"/>
      <c r="C23" s="224"/>
      <c r="D23" s="226"/>
      <c r="E23" s="289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 t="str">
        <f t="shared" si="1"/>
        <v/>
      </c>
      <c r="N23" s="89" t="str">
        <f t="shared" si="1"/>
        <v/>
      </c>
      <c r="O23" s="89" t="str">
        <f t="shared" si="1"/>
        <v/>
      </c>
      <c r="P23" s="89" t="str">
        <f t="shared" si="1"/>
        <v/>
      </c>
      <c r="Q23" s="89" t="str">
        <f t="shared" si="1"/>
        <v/>
      </c>
      <c r="R23" s="89" t="str">
        <f t="shared" si="1"/>
        <v/>
      </c>
      <c r="S23" s="89" t="str">
        <f t="shared" si="1"/>
        <v/>
      </c>
      <c r="T23" s="89" t="str">
        <f t="shared" si="1"/>
        <v/>
      </c>
      <c r="U23" s="91" t="s">
        <v>28</v>
      </c>
      <c r="V23" s="101">
        <f>SUM(F23:U23)</f>
        <v>40</v>
      </c>
      <c r="W23" s="219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>ОТ</v>
      </c>
      <c r="AE23" s="334" t="str">
        <f t="array" ref="AE23">IF(AD23="","",SUMPRODUCT((F22:U25=AD23)*(IFERROR(WEEKDAY($F$17:$U$20,2),7)&lt;6)*(ISNA(MATCH($F$17:$U$20,празд,0))))&amp;"("&amp;SUMPRODUCT((F22:U25=AD23)*(IFERROR(WEEKDAY($F$17:$U$20,2),7)&lt;6)*(ISNA(MATCH($F$17:$U$20,празд,0))))*8-COUNT(MATCH(F$17:U$20,предпр,))&amp;")")</f>
        <v>10(79)</v>
      </c>
      <c r="AF23" s="208"/>
      <c r="AG23" s="209"/>
      <c r="AH23" s="191"/>
      <c r="AI23" s="335" t="s">
        <v>77</v>
      </c>
      <c r="AJ23" s="332" t="s">
        <v>78</v>
      </c>
      <c r="AK23" s="332"/>
      <c r="AL23" s="332"/>
    </row>
    <row r="24" spans="2:38" ht="18" customHeight="1" x14ac:dyDescent="0.2">
      <c r="B24" s="221"/>
      <c r="C24" s="224"/>
      <c r="D24" s="226"/>
      <c r="E24" s="289"/>
      <c r="F24" s="186" t="s">
        <v>73</v>
      </c>
      <c r="G24" s="186" t="s">
        <v>73</v>
      </c>
      <c r="H24" s="186" t="s">
        <v>73</v>
      </c>
      <c r="I24" s="186" t="s">
        <v>73</v>
      </c>
      <c r="J24" s="186" t="s">
        <v>73</v>
      </c>
      <c r="K24" s="186" t="s">
        <v>73</v>
      </c>
      <c r="L24" s="91" t="str">
        <f t="shared" ref="L24:U24" si="2">IF(L$19="","",IF(AND(L$19&gt;=$AI24,L$19&lt;=$AJ24),"Р",IF(NOT(ISERROR(VLOOKUP(L$19,предпр,1,0)=L$19)),"Я",IF(NOT(ISERROR(VLOOKUP(L$19,выхрабд,1,0)=L$19)),"Я",IF(OR(WEEKDAY(L$19,2)&gt;5,ISNUMBER(MATCH(L$19,празд,0)),SUMPRODUCT(1*(L$19=допнер))),"В",IF(WEEKDAY(L$19,2)&lt;6,"Я"))))))</f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4</v>
      </c>
      <c r="W24" s="210">
        <f>SUM(V25,V23)</f>
        <v>72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2" t="str">
        <f t="array" ref="AE24">IF(AD24="","",SUMPRODUCT((F22:U25=AD24)*(IFERROR(WEEKDAY($F$17:$U$20,2),7)&lt;6)*(ISNA(MATCH($F$17:$U$20,празд,0))))&amp;"("&amp;SUMPRODUCT((F22:U25=AD24)*(IFERROR(WEEKDAY($F$17:$U$20,2),7)&lt;6)*(ISNA(MATCH($F$17:$U$20,празд,0))))*8-COUNT(MATCH(F$17:U$20,предпр,))&amp;")")</f>
        <v/>
      </c>
      <c r="AF24" s="212"/>
      <c r="AG24" s="213"/>
      <c r="AH24" s="148"/>
      <c r="AI24" s="72"/>
      <c r="AJ24" s="72"/>
    </row>
    <row r="25" spans="2:38" ht="18" customHeight="1" thickBot="1" x14ac:dyDescent="0.25">
      <c r="B25" s="234"/>
      <c r="C25" s="235"/>
      <c r="D25" s="236"/>
      <c r="E25" s="324"/>
      <c r="F25" s="79" t="str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/>
      </c>
      <c r="G25" s="79" t="str">
        <f t="shared" si="3"/>
        <v/>
      </c>
      <c r="H25" s="79" t="str">
        <f t="shared" si="3"/>
        <v/>
      </c>
      <c r="I25" s="79" t="str">
        <f t="shared" si="3"/>
        <v/>
      </c>
      <c r="J25" s="161" t="str">
        <f t="shared" si="3"/>
        <v/>
      </c>
      <c r="K25" s="161" t="str">
        <f t="shared" si="3"/>
        <v/>
      </c>
      <c r="L25" s="161" t="str">
        <f t="shared" si="3"/>
        <v/>
      </c>
      <c r="M25" s="161" t="str">
        <f t="shared" si="3"/>
        <v/>
      </c>
      <c r="N25" s="161">
        <f t="shared" si="3"/>
        <v>8</v>
      </c>
      <c r="O25" s="161">
        <f t="shared" si="3"/>
        <v>8</v>
      </c>
      <c r="P25" s="161">
        <f t="shared" si="3"/>
        <v>8</v>
      </c>
      <c r="Q25" s="161" t="str">
        <f t="shared" si="3"/>
        <v/>
      </c>
      <c r="R25" s="161" t="str">
        <f t="shared" si="3"/>
        <v/>
      </c>
      <c r="S25" s="161">
        <f t="shared" si="3"/>
        <v>8</v>
      </c>
      <c r="T25" s="161" t="str">
        <f t="shared" si="3"/>
        <v/>
      </c>
      <c r="U25" s="79" t="str">
        <f t="shared" si="3"/>
        <v/>
      </c>
      <c r="V25" s="104">
        <f>SUM(F25:U25)</f>
        <v>32</v>
      </c>
      <c r="W25" s="211"/>
      <c r="X25" s="112"/>
      <c r="Y25" s="80"/>
      <c r="Z25" s="81"/>
      <c r="AA25" s="80"/>
      <c r="AB25" s="80"/>
      <c r="AC25" s="113"/>
      <c r="AD25" s="146" t="str">
        <f>IF(SUMPRODUCT(--ISNUMBER(SEARCH("ОД",F22:U25)))&gt;0,"ОД","")</f>
        <v/>
      </c>
      <c r="AE25" s="153" t="str">
        <f t="array" ref="AE25">IF(AD25="","",SUMPRODUCT((F22:U25=AD25)*(IFERROR(WEEKDAY($F$17:$U$20,2),7)&lt;6)*(ISNA(MATCH($F$17:$U$20,празд,0))))&amp;"("&amp;SUMPRODUCT((F22:U25=AD25)*(IFERROR(WEEKDAY($F$17:$U$20,2),7)&lt;6)*(ISNA(MATCH($F$17:$U$20,празд,0))))*8-COUNT(MATCH(F$17:U$20,предпр,))&amp;")")</f>
        <v/>
      </c>
      <c r="AF25" s="240"/>
      <c r="AG25" s="241"/>
      <c r="AH25" s="149"/>
      <c r="AI25" s="72"/>
      <c r="AJ25" s="72"/>
    </row>
    <row r="26" spans="2:38" ht="12.75" customHeight="1" thickTop="1" x14ac:dyDescent="0.2">
      <c r="B26" s="60"/>
      <c r="C26" s="61"/>
      <c r="D26" s="61"/>
      <c r="E26" s="14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4"/>
      <c r="W26" s="64"/>
      <c r="X26" s="65"/>
      <c r="Y26" s="66"/>
      <c r="Z26" s="65"/>
      <c r="AA26" s="66"/>
      <c r="AB26" s="66"/>
      <c r="AC26" s="66"/>
      <c r="AD26" s="195"/>
      <c r="AE26" s="64"/>
      <c r="AF26" s="196"/>
      <c r="AG26" s="196"/>
      <c r="AH26" s="196"/>
    </row>
    <row r="27" spans="2:38" ht="12.75" customHeight="1" x14ac:dyDescent="0.2">
      <c r="D27" s="230"/>
      <c r="E27" s="230"/>
      <c r="F27" s="230"/>
      <c r="G27" s="230"/>
      <c r="H27" s="230"/>
    </row>
    <row r="28" spans="2:38" x14ac:dyDescent="0.2">
      <c r="C28" s="67" t="s">
        <v>31</v>
      </c>
      <c r="D28" s="231"/>
      <c r="E28" s="231"/>
      <c r="F28" s="231"/>
      <c r="G28" s="231"/>
      <c r="H28" s="231"/>
      <c r="I28" s="33"/>
      <c r="J28" s="204"/>
      <c r="K28" s="204"/>
      <c r="L28" s="204"/>
      <c r="M28" s="33"/>
      <c r="N28" s="203"/>
      <c r="O28" s="203"/>
      <c r="P28" s="203"/>
      <c r="Q28" s="203"/>
      <c r="S28" s="33" t="s">
        <v>36</v>
      </c>
      <c r="W28" s="232" t="s">
        <v>69</v>
      </c>
      <c r="X28" s="232"/>
      <c r="Y28" s="232"/>
    </row>
    <row r="29" spans="2:38" ht="14.25" x14ac:dyDescent="0.2">
      <c r="D29" s="200" t="s">
        <v>32</v>
      </c>
      <c r="E29" s="200"/>
      <c r="F29" s="200"/>
      <c r="G29" s="200"/>
      <c r="H29" s="200"/>
      <c r="J29" s="198" t="s">
        <v>33</v>
      </c>
      <c r="K29" s="198"/>
      <c r="L29" s="198"/>
      <c r="N29" s="200" t="s">
        <v>34</v>
      </c>
      <c r="O29" s="199"/>
      <c r="P29" s="199"/>
      <c r="Q29" s="199"/>
      <c r="S29" s="33" t="s">
        <v>37</v>
      </c>
      <c r="T29" s="33"/>
      <c r="U29" s="33"/>
      <c r="V29" s="68"/>
      <c r="W29" s="203"/>
      <c r="X29" s="203"/>
      <c r="Y29" s="203"/>
      <c r="Z29" s="34"/>
      <c r="AA29" s="204"/>
      <c r="AB29" s="204"/>
      <c r="AC29" s="68"/>
      <c r="AD29" s="203"/>
      <c r="AE29" s="203"/>
      <c r="AF29" s="203"/>
      <c r="AG29" s="205">
        <f>N30</f>
        <v>42429</v>
      </c>
      <c r="AH29" s="205"/>
    </row>
    <row r="30" spans="2:38" ht="14.25" customHeight="1" x14ac:dyDescent="0.2">
      <c r="N30" s="197">
        <f>Z14</f>
        <v>42429</v>
      </c>
      <c r="O30" s="197"/>
      <c r="P30" s="197"/>
      <c r="Q30" s="197"/>
      <c r="S30" s="69"/>
      <c r="T30" s="69"/>
      <c r="U30" s="69"/>
      <c r="V30" s="198" t="s">
        <v>32</v>
      </c>
      <c r="W30" s="199"/>
      <c r="X30" s="199"/>
      <c r="Y30" s="199"/>
      <c r="AA30" s="200" t="s">
        <v>33</v>
      </c>
      <c r="AB30" s="199"/>
      <c r="AD30" s="198" t="s">
        <v>34</v>
      </c>
      <c r="AE30" s="198"/>
      <c r="AF30" s="198"/>
    </row>
    <row r="31" spans="2:38" ht="19.5" customHeight="1" x14ac:dyDescent="0.2">
      <c r="S31" s="202" t="s">
        <v>35</v>
      </c>
      <c r="T31" s="202"/>
      <c r="U31" s="202"/>
      <c r="V31" s="202"/>
      <c r="W31" s="203"/>
      <c r="X31" s="203"/>
      <c r="Y31" s="203"/>
      <c r="Z31" s="34"/>
      <c r="AA31" s="204"/>
      <c r="AB31" s="204"/>
      <c r="AC31" s="33"/>
      <c r="AD31" s="203"/>
      <c r="AE31" s="203"/>
      <c r="AF31" s="203"/>
      <c r="AG31" s="205">
        <f>N30</f>
        <v>42429</v>
      </c>
      <c r="AH31" s="205"/>
    </row>
    <row r="32" spans="2:38" ht="14.25" x14ac:dyDescent="0.2">
      <c r="V32" s="198" t="s">
        <v>32</v>
      </c>
      <c r="W32" s="199"/>
      <c r="X32" s="199"/>
      <c r="Y32" s="199"/>
      <c r="AA32" s="200" t="s">
        <v>33</v>
      </c>
      <c r="AB32" s="199"/>
      <c r="AD32" s="198" t="s">
        <v>34</v>
      </c>
      <c r="AE32" s="198"/>
      <c r="AF32" s="198"/>
    </row>
    <row r="33" spans="3:34" ht="23.25" x14ac:dyDescent="0.2">
      <c r="C33" s="333" t="s">
        <v>79</v>
      </c>
      <c r="D33" s="55"/>
    </row>
    <row r="35" spans="3:34" x14ac:dyDescent="0.2">
      <c r="E35" s="48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pans="3:34" x14ac:dyDescent="0.2">
      <c r="E36" s="48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spans="3:34" x14ac:dyDescent="0.2">
      <c r="E37" s="48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6"/>
      <c r="Y37" s="55"/>
      <c r="Z37" s="56"/>
      <c r="AA37" s="55"/>
      <c r="AB37" s="55"/>
      <c r="AC37" s="55"/>
      <c r="AD37" s="55"/>
      <c r="AE37" s="55"/>
      <c r="AF37" s="55"/>
      <c r="AG37" s="55"/>
      <c r="AH37" s="57"/>
    </row>
    <row r="38" spans="3:34" x14ac:dyDescent="0.2">
      <c r="E38" s="48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6"/>
      <c r="Y38" s="55"/>
      <c r="Z38" s="56"/>
      <c r="AA38" s="55"/>
      <c r="AB38" s="55"/>
      <c r="AC38" s="55"/>
      <c r="AD38" s="55"/>
      <c r="AE38" s="55"/>
      <c r="AF38" s="55"/>
      <c r="AG38" s="55"/>
      <c r="AH38" s="57"/>
    </row>
    <row r="39" spans="3:34" x14ac:dyDescent="0.2">
      <c r="E39" s="48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55"/>
      <c r="Z39" s="56"/>
      <c r="AA39" s="55"/>
      <c r="AB39" s="55"/>
      <c r="AC39" s="55"/>
      <c r="AD39" s="55"/>
      <c r="AE39" s="55"/>
      <c r="AF39" s="55"/>
      <c r="AG39" s="55"/>
      <c r="AH39" s="57"/>
    </row>
    <row r="40" spans="3:34" x14ac:dyDescent="0.2">
      <c r="E40" s="48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6"/>
      <c r="Y40" s="55"/>
      <c r="Z40" s="56"/>
      <c r="AA40" s="55"/>
      <c r="AB40" s="55"/>
      <c r="AC40" s="55"/>
      <c r="AD40" s="55"/>
      <c r="AE40" s="55"/>
      <c r="AF40" s="55"/>
      <c r="AG40" s="55"/>
      <c r="AH40" s="57"/>
    </row>
    <row r="41" spans="3:34" x14ac:dyDescent="0.2">
      <c r="E41" s="58"/>
    </row>
    <row r="42" spans="3:34" x14ac:dyDescent="0.2">
      <c r="E42" s="48"/>
      <c r="F42" s="55"/>
      <c r="R42" s="48"/>
    </row>
    <row r="43" spans="3:34" x14ac:dyDescent="0.2">
      <c r="E43" s="48"/>
      <c r="F43" s="55"/>
      <c r="R43" s="49"/>
    </row>
    <row r="44" spans="3:34" x14ac:dyDescent="0.2">
      <c r="E44" s="48"/>
      <c r="F44" s="55"/>
      <c r="R44" s="50"/>
    </row>
    <row r="45" spans="3:34" x14ac:dyDescent="0.2">
      <c r="R45" s="51"/>
    </row>
    <row r="46" spans="3:34" x14ac:dyDescent="0.2">
      <c r="R46" s="52"/>
    </row>
    <row r="47" spans="3:34" x14ac:dyDescent="0.2">
      <c r="R47" s="53"/>
      <c r="S47" s="54"/>
    </row>
    <row r="49" spans="5:10" ht="16.5" customHeight="1" x14ac:dyDescent="0.2">
      <c r="E49" s="55"/>
      <c r="F49" s="55"/>
      <c r="G49" s="55"/>
      <c r="H49" s="55"/>
      <c r="I49" s="55"/>
      <c r="J49" s="55"/>
    </row>
    <row r="50" spans="5:10" ht="18" customHeight="1" x14ac:dyDescent="0.2">
      <c r="E50" s="55"/>
      <c r="F50" s="55"/>
    </row>
  </sheetData>
  <dataConsolidate/>
  <mergeCells count="106">
    <mergeCell ref="AJ23:AL23"/>
    <mergeCell ref="S31:V31"/>
    <mergeCell ref="W31:Y31"/>
    <mergeCell ref="AA31:AB31"/>
    <mergeCell ref="AD31:AF31"/>
    <mergeCell ref="AG31:AH31"/>
    <mergeCell ref="V32:Y32"/>
    <mergeCell ref="AA32:AB32"/>
    <mergeCell ref="AD32:AF32"/>
    <mergeCell ref="AD29:AF29"/>
    <mergeCell ref="AG29:AH29"/>
    <mergeCell ref="N30:Q30"/>
    <mergeCell ref="V30:Y30"/>
    <mergeCell ref="AA30:AB30"/>
    <mergeCell ref="AD30:AF30"/>
    <mergeCell ref="D27:H28"/>
    <mergeCell ref="J28:L28"/>
    <mergeCell ref="N28:Q28"/>
    <mergeCell ref="W28:Y29"/>
    <mergeCell ref="D29:H29"/>
    <mergeCell ref="J29:L29"/>
    <mergeCell ref="N29:Q29"/>
    <mergeCell ref="AA29:AB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26:U26">
    <cfRule type="cellIs" dxfId="22" priority="41" operator="equal">
      <formula>"ДО"</formula>
    </cfRule>
    <cfRule type="cellIs" dxfId="21" priority="42" operator="equal">
      <formula>"К"</formula>
    </cfRule>
    <cfRule type="cellIs" dxfId="20" priority="43" operator="equal">
      <formula>"ОД"</formula>
    </cfRule>
    <cfRule type="cellIs" dxfId="19" priority="44" operator="equal">
      <formula>"ОТ"</formula>
    </cfRule>
    <cfRule type="cellIs" dxfId="18" priority="45" operator="equal">
      <formula>"Б"</formula>
    </cfRule>
    <cfRule type="cellIs" dxfId="17" priority="46" operator="equal">
      <formula>"В"</formula>
    </cfRule>
  </conditionalFormatting>
  <conditionalFormatting sqref="F22:L22 U22 F23:U25">
    <cfRule type="cellIs" dxfId="16" priority="21" operator="equal">
      <formula>"ДО"</formula>
    </cfRule>
    <cfRule type="cellIs" dxfId="15" priority="22" operator="equal">
      <formula>"К"</formula>
    </cfRule>
    <cfRule type="cellIs" dxfId="14" priority="23" operator="equal">
      <formula>"ОД"</formula>
    </cfRule>
    <cfRule type="cellIs" dxfId="13" priority="24" operator="equal">
      <formula>"ОТ"</formula>
    </cfRule>
    <cfRule type="cellIs" dxfId="12" priority="25" operator="equal">
      <formula>"Б"</formula>
    </cfRule>
    <cfRule type="cellIs" dxfId="11" priority="26" operator="equal">
      <formula>"В"</formula>
    </cfRule>
  </conditionalFormatting>
  <conditionalFormatting sqref="F17:U20">
    <cfRule type="expression" dxfId="10" priority="7">
      <formula>OR(WEEKDAY(F17,2)&gt;5,ISNUMBER(MATCH(F17,празд,0)))</formula>
    </cfRule>
    <cfRule type="expression" dxfId="9" priority="8">
      <formula>ISNUMBER(MATCH(F17,допнер,0))</formula>
    </cfRule>
  </conditionalFormatting>
  <conditionalFormatting sqref="M22:T22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3"/>
  <sheetViews>
    <sheetView workbookViewId="0">
      <selection activeCell="I1" sqref="I1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  <col min="11" max="11" width="9.140625" customWidth="1"/>
  </cols>
  <sheetData>
    <row r="1" spans="1:9" ht="63.75" x14ac:dyDescent="0.2">
      <c r="A1" s="165" t="s">
        <v>40</v>
      </c>
      <c r="B1" s="165">
        <v>1</v>
      </c>
      <c r="C1" s="165">
        <v>2010</v>
      </c>
      <c r="E1" s="165" t="s">
        <v>41</v>
      </c>
      <c r="F1" s="165" t="s">
        <v>42</v>
      </c>
      <c r="G1" s="165" t="s">
        <v>43</v>
      </c>
      <c r="H1" s="165" t="s">
        <v>44</v>
      </c>
      <c r="I1" s="166" t="s">
        <v>45</v>
      </c>
    </row>
    <row r="2" spans="1:9" ht="13.5" x14ac:dyDescent="0.25">
      <c r="A2" s="165" t="s">
        <v>46</v>
      </c>
      <c r="B2" s="165">
        <v>2</v>
      </c>
      <c r="C2" s="165">
        <v>2011</v>
      </c>
      <c r="E2" s="167"/>
      <c r="F2" s="168"/>
      <c r="G2" s="168"/>
      <c r="H2" s="168"/>
      <c r="I2" s="169"/>
    </row>
    <row r="3" spans="1:9" ht="15.75" x14ac:dyDescent="0.2">
      <c r="A3" s="165" t="s">
        <v>47</v>
      </c>
      <c r="B3" s="165">
        <v>3</v>
      </c>
      <c r="C3" s="165">
        <v>2012</v>
      </c>
      <c r="E3" s="170" t="s">
        <v>48</v>
      </c>
      <c r="F3" s="171"/>
      <c r="G3" s="172">
        <v>42370</v>
      </c>
      <c r="H3" s="173">
        <v>42422</v>
      </c>
      <c r="I3" s="174">
        <v>42420</v>
      </c>
    </row>
    <row r="4" spans="1:9" ht="15.75" x14ac:dyDescent="0.2">
      <c r="A4" s="165" t="s">
        <v>49</v>
      </c>
      <c r="B4" s="165">
        <v>4</v>
      </c>
      <c r="C4" s="165">
        <v>2013</v>
      </c>
      <c r="E4" s="170" t="s">
        <v>48</v>
      </c>
      <c r="F4" s="171"/>
      <c r="G4" s="172">
        <v>42371</v>
      </c>
      <c r="H4" s="173">
        <v>42436</v>
      </c>
      <c r="I4" s="175"/>
    </row>
    <row r="5" spans="1:9" ht="15.75" x14ac:dyDescent="0.2">
      <c r="A5" s="165" t="s">
        <v>50</v>
      </c>
      <c r="B5" s="165">
        <v>5</v>
      </c>
      <c r="C5" s="165">
        <v>2014</v>
      </c>
      <c r="E5" s="170" t="s">
        <v>48</v>
      </c>
      <c r="F5" s="171"/>
      <c r="G5" s="172">
        <v>42372</v>
      </c>
      <c r="H5" s="173">
        <v>42493</v>
      </c>
      <c r="I5" s="175"/>
    </row>
    <row r="6" spans="1:9" ht="15.75" x14ac:dyDescent="0.25">
      <c r="A6" s="165" t="s">
        <v>51</v>
      </c>
      <c r="B6" s="165">
        <v>6</v>
      </c>
      <c r="C6" s="165">
        <v>2015</v>
      </c>
      <c r="E6" s="170" t="s">
        <v>48</v>
      </c>
      <c r="F6" s="171"/>
      <c r="G6" s="172">
        <v>42373</v>
      </c>
      <c r="H6" s="176"/>
      <c r="I6" s="175"/>
    </row>
    <row r="7" spans="1:9" ht="15.75" x14ac:dyDescent="0.2">
      <c r="A7" s="165" t="s">
        <v>52</v>
      </c>
      <c r="B7" s="165">
        <v>7</v>
      </c>
      <c r="C7" s="165">
        <v>2016</v>
      </c>
      <c r="E7" s="170" t="s">
        <v>48</v>
      </c>
      <c r="F7" s="171"/>
      <c r="G7" s="172">
        <v>42374</v>
      </c>
      <c r="H7" s="170"/>
      <c r="I7" s="177"/>
    </row>
    <row r="8" spans="1:9" ht="15.75" x14ac:dyDescent="0.2">
      <c r="A8" s="165" t="s">
        <v>53</v>
      </c>
      <c r="B8" s="165">
        <v>8</v>
      </c>
      <c r="C8" s="165">
        <v>2017</v>
      </c>
      <c r="E8" s="170" t="s">
        <v>48</v>
      </c>
      <c r="F8" s="171"/>
      <c r="G8" s="172">
        <v>42375</v>
      </c>
      <c r="H8" s="170"/>
      <c r="I8" s="178"/>
    </row>
    <row r="9" spans="1:9" ht="15.75" x14ac:dyDescent="0.2">
      <c r="A9" s="165" t="s">
        <v>54</v>
      </c>
      <c r="B9" s="165">
        <v>9</v>
      </c>
      <c r="C9" s="165">
        <v>2018</v>
      </c>
      <c r="E9" s="170" t="s">
        <v>55</v>
      </c>
      <c r="F9" s="171"/>
      <c r="G9" s="172">
        <v>42376</v>
      </c>
      <c r="H9" s="173"/>
      <c r="I9" s="178"/>
    </row>
    <row r="10" spans="1:9" ht="15.75" x14ac:dyDescent="0.2">
      <c r="A10" s="165" t="s">
        <v>56</v>
      </c>
      <c r="B10" s="165">
        <v>10</v>
      </c>
      <c r="C10" s="165">
        <v>2019</v>
      </c>
      <c r="E10" s="170" t="s">
        <v>48</v>
      </c>
      <c r="F10" s="171"/>
      <c r="G10" s="172">
        <v>42377</v>
      </c>
      <c r="H10" s="170"/>
      <c r="I10" s="179"/>
    </row>
    <row r="11" spans="1:9" ht="15.75" x14ac:dyDescent="0.2">
      <c r="A11" s="165" t="s">
        <v>57</v>
      </c>
      <c r="B11" s="165">
        <v>11</v>
      </c>
      <c r="C11" s="165">
        <v>2020</v>
      </c>
      <c r="E11" s="170"/>
      <c r="F11" s="171"/>
      <c r="G11" s="172"/>
      <c r="H11" s="170"/>
      <c r="I11" s="179"/>
    </row>
    <row r="12" spans="1:9" ht="15.75" x14ac:dyDescent="0.2">
      <c r="A12" s="165" t="s">
        <v>58</v>
      </c>
      <c r="B12" s="165">
        <v>12</v>
      </c>
      <c r="C12" s="165">
        <v>2021</v>
      </c>
      <c r="E12" s="170" t="s">
        <v>59</v>
      </c>
      <c r="F12" s="171">
        <v>42420</v>
      </c>
      <c r="G12" s="172">
        <v>42423</v>
      </c>
      <c r="H12" s="170"/>
      <c r="I12" s="179"/>
    </row>
    <row r="13" spans="1:9" ht="15.75" x14ac:dyDescent="0.2">
      <c r="E13" s="170" t="s">
        <v>60</v>
      </c>
      <c r="F13" s="171"/>
      <c r="G13" s="172">
        <v>42437</v>
      </c>
      <c r="H13" s="170"/>
      <c r="I13" s="179"/>
    </row>
    <row r="14" spans="1:9" ht="15.75" x14ac:dyDescent="0.2">
      <c r="E14" s="170" t="s">
        <v>61</v>
      </c>
      <c r="F14" s="171"/>
      <c r="G14" s="172">
        <v>42491</v>
      </c>
      <c r="H14" s="170"/>
      <c r="I14" s="179"/>
    </row>
    <row r="15" spans="1:9" ht="15.75" x14ac:dyDescent="0.2">
      <c r="E15" s="170" t="s">
        <v>62</v>
      </c>
      <c r="F15" s="171"/>
      <c r="G15" s="172">
        <v>42499</v>
      </c>
      <c r="H15" s="170"/>
      <c r="I15" s="180"/>
    </row>
    <row r="16" spans="1:9" ht="15.75" x14ac:dyDescent="0.2">
      <c r="E16" s="170" t="s">
        <v>63</v>
      </c>
      <c r="F16" s="171"/>
      <c r="G16" s="172">
        <v>42533</v>
      </c>
      <c r="H16" s="170"/>
      <c r="I16" s="180"/>
    </row>
    <row r="17" spans="5:9" ht="15.75" x14ac:dyDescent="0.2">
      <c r="E17" s="170" t="s">
        <v>64</v>
      </c>
      <c r="F17" s="171">
        <f t="shared" ref="F17" si="0">G17-1</f>
        <v>42677</v>
      </c>
      <c r="G17" s="172">
        <v>42678</v>
      </c>
      <c r="H17" s="170"/>
      <c r="I17" s="180"/>
    </row>
    <row r="18" spans="5:9" ht="15.75" x14ac:dyDescent="0.25">
      <c r="E18" s="181"/>
      <c r="F18" s="171"/>
      <c r="G18" s="172">
        <v>42736</v>
      </c>
      <c r="H18" s="182"/>
      <c r="I18" s="180"/>
    </row>
    <row r="19" spans="5:9" ht="13.5" x14ac:dyDescent="0.25">
      <c r="E19" s="181"/>
      <c r="F19" s="181"/>
      <c r="G19" s="181"/>
      <c r="H19" s="183"/>
      <c r="I19" s="184"/>
    </row>
    <row r="20" spans="5:9" ht="13.5" x14ac:dyDescent="0.25">
      <c r="E20" s="181"/>
      <c r="F20" s="181"/>
      <c r="G20" s="181"/>
      <c r="H20" s="182"/>
      <c r="I20" s="180"/>
    </row>
    <row r="21" spans="5:9" ht="13.5" x14ac:dyDescent="0.25">
      <c r="E21" s="181"/>
      <c r="F21" s="181"/>
      <c r="G21" s="181"/>
      <c r="H21" s="182"/>
      <c r="I21" s="180"/>
    </row>
    <row r="22" spans="5:9" ht="13.5" x14ac:dyDescent="0.25">
      <c r="E22" s="181"/>
      <c r="F22" s="181"/>
      <c r="G22" s="181"/>
      <c r="H22" s="182"/>
      <c r="I22" s="180"/>
    </row>
    <row r="23" spans="5:9" ht="13.5" x14ac:dyDescent="0.25">
      <c r="E23" s="181"/>
      <c r="F23" s="181"/>
      <c r="G23" s="181"/>
      <c r="H23" s="182"/>
      <c r="I23" s="180"/>
    </row>
  </sheetData>
  <phoneticPr fontId="21" type="noConversion"/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19"/>
  <sheetViews>
    <sheetView zoomScale="85" zoomScaleNormal="85" workbookViewId="0">
      <selection activeCell="H2" sqref="H2:H3"/>
    </sheetView>
  </sheetViews>
  <sheetFormatPr defaultRowHeight="12.75" x14ac:dyDescent="0.2"/>
  <cols>
    <col min="1" max="1" width="12.7109375" customWidth="1"/>
    <col min="2" max="2" width="38.42578125" customWidth="1"/>
    <col min="3" max="3" width="19" customWidth="1"/>
    <col min="4" max="4" width="17.7109375" customWidth="1"/>
    <col min="5" max="5" width="15.140625" customWidth="1"/>
    <col min="6" max="6" width="24.28515625" customWidth="1"/>
    <col min="7" max="7" width="14.7109375" customWidth="1"/>
    <col min="8" max="8" width="20.5703125" customWidth="1"/>
  </cols>
  <sheetData>
    <row r="1" spans="1:8" ht="66.75" customHeight="1" x14ac:dyDescent="0.2">
      <c r="A1" s="325" t="s">
        <v>76</v>
      </c>
      <c r="B1" s="325"/>
      <c r="C1" s="326" t="s">
        <v>75</v>
      </c>
      <c r="D1" s="327"/>
      <c r="E1" s="330" t="s">
        <v>71</v>
      </c>
      <c r="F1" s="331"/>
      <c r="G1" s="328" t="s">
        <v>72</v>
      </c>
      <c r="H1" s="329"/>
    </row>
    <row r="2" spans="1:8" ht="68.25" customHeight="1" x14ac:dyDescent="0.2">
      <c r="A2" s="132">
        <v>498</v>
      </c>
      <c r="B2" s="75"/>
      <c r="C2" s="133">
        <v>521</v>
      </c>
      <c r="D2" s="133"/>
      <c r="E2" s="133">
        <v>431</v>
      </c>
      <c r="F2" s="134"/>
      <c r="G2" s="133">
        <v>544</v>
      </c>
      <c r="H2" s="133"/>
    </row>
    <row r="3" spans="1:8" ht="15.75" x14ac:dyDescent="0.2">
      <c r="A3" s="132">
        <v>273</v>
      </c>
      <c r="B3" s="75"/>
      <c r="C3" s="133">
        <v>572</v>
      </c>
      <c r="D3" s="133"/>
      <c r="E3" s="135">
        <v>384</v>
      </c>
      <c r="F3" s="134"/>
      <c r="G3" s="133"/>
      <c r="H3" s="133"/>
    </row>
    <row r="4" spans="1:8" ht="102" customHeight="1" x14ac:dyDescent="0.2">
      <c r="A4" s="132">
        <v>347</v>
      </c>
      <c r="B4" s="75"/>
      <c r="C4" s="133">
        <v>591</v>
      </c>
      <c r="D4" s="133"/>
      <c r="E4" s="136"/>
      <c r="F4" s="136"/>
      <c r="G4" s="133"/>
      <c r="H4" s="133"/>
    </row>
    <row r="5" spans="1:8" ht="93" customHeight="1" x14ac:dyDescent="0.2">
      <c r="A5" s="132">
        <v>536</v>
      </c>
      <c r="B5" s="76"/>
      <c r="C5" s="133">
        <v>584</v>
      </c>
      <c r="D5" s="133"/>
      <c r="E5" s="136"/>
      <c r="F5" s="136"/>
      <c r="G5" s="133"/>
      <c r="H5" s="133"/>
    </row>
    <row r="6" spans="1:8" s="126" customFormat="1" ht="65.25" customHeight="1" x14ac:dyDescent="0.2">
      <c r="A6" s="187"/>
      <c r="B6" s="187"/>
      <c r="C6" s="133">
        <v>619</v>
      </c>
      <c r="D6" s="133"/>
      <c r="E6" s="187"/>
      <c r="F6" s="187"/>
      <c r="G6" s="187"/>
      <c r="H6" s="187"/>
    </row>
    <row r="7" spans="1:8" s="126" customFormat="1" ht="19.5" customHeight="1" x14ac:dyDescent="0.2">
      <c r="A7" s="140"/>
      <c r="B7" s="140"/>
      <c r="C7" s="140"/>
      <c r="D7" s="140"/>
      <c r="E7" s="140"/>
      <c r="F7" s="140"/>
      <c r="G7" s="140"/>
      <c r="H7" s="140"/>
    </row>
    <row r="8" spans="1:8" s="126" customFormat="1" ht="18.75" x14ac:dyDescent="0.2">
      <c r="A8" s="140"/>
      <c r="B8" s="140"/>
      <c r="C8" s="140"/>
      <c r="D8" s="140"/>
      <c r="E8" s="140"/>
      <c r="F8" s="140"/>
      <c r="G8" s="140"/>
      <c r="H8" s="140"/>
    </row>
    <row r="9" spans="1:8" s="126" customFormat="1" ht="18.75" x14ac:dyDescent="0.2">
      <c r="A9" s="140"/>
      <c r="B9" s="140"/>
      <c r="C9" s="140"/>
      <c r="D9" s="140"/>
      <c r="E9" s="140"/>
      <c r="F9" s="140"/>
      <c r="G9" s="140"/>
      <c r="H9" s="140"/>
    </row>
    <row r="10" spans="1:8" s="126" customFormat="1" ht="13.5" customHeight="1" x14ac:dyDescent="0.2">
      <c r="B10" s="141"/>
      <c r="C10" s="141"/>
      <c r="D10" s="141"/>
      <c r="E10" s="141"/>
      <c r="F10" s="141"/>
      <c r="G10" s="141"/>
      <c r="H10" s="141"/>
    </row>
    <row r="11" spans="1:8" s="126" customFormat="1" ht="19.5" customHeight="1" x14ac:dyDescent="0.2">
      <c r="A11" s="141"/>
      <c r="B11" s="141"/>
      <c r="C11" s="141"/>
      <c r="D11" s="141"/>
      <c r="E11" s="141"/>
      <c r="F11" s="141"/>
      <c r="G11" s="141"/>
      <c r="H11" s="141"/>
    </row>
    <row r="12" spans="1:8" s="126" customFormat="1" ht="18.75" x14ac:dyDescent="0.2">
      <c r="A12" s="141"/>
      <c r="B12" s="141"/>
      <c r="C12" s="141"/>
      <c r="D12" s="141"/>
      <c r="E12" s="141"/>
      <c r="F12" s="141"/>
      <c r="G12" s="141"/>
      <c r="H12" s="141"/>
    </row>
    <row r="13" spans="1:8" s="126" customFormat="1" ht="18.75" x14ac:dyDescent="0.2">
      <c r="A13" s="141"/>
      <c r="B13" s="141"/>
      <c r="C13" s="141"/>
      <c r="D13" s="141"/>
      <c r="E13" s="141"/>
      <c r="F13" s="141"/>
      <c r="G13" s="141"/>
      <c r="H13" s="141"/>
    </row>
    <row r="14" spans="1:8" s="126" customFormat="1" ht="18.75" x14ac:dyDescent="0.2">
      <c r="A14" s="141"/>
      <c r="B14" s="141"/>
      <c r="C14" s="141"/>
      <c r="D14" s="141"/>
      <c r="E14" s="141"/>
      <c r="F14" s="141"/>
      <c r="G14" s="141"/>
      <c r="H14" s="141"/>
    </row>
    <row r="15" spans="1:8" s="126" customFormat="1" ht="19.5" customHeight="1" x14ac:dyDescent="0.2">
      <c r="A15" s="141"/>
      <c r="B15" s="141"/>
      <c r="C15" s="141"/>
      <c r="D15" s="141"/>
      <c r="E15" s="141"/>
      <c r="F15" s="141"/>
      <c r="G15" s="141"/>
      <c r="H15" s="141"/>
    </row>
    <row r="16" spans="1:8" s="126" customFormat="1" ht="18.75" x14ac:dyDescent="0.2">
      <c r="A16" s="141"/>
      <c r="B16" s="141"/>
      <c r="C16" s="141"/>
      <c r="D16" s="141"/>
      <c r="E16" s="141"/>
      <c r="F16" s="141"/>
      <c r="G16" s="141"/>
      <c r="H16" s="141"/>
    </row>
    <row r="17" spans="1:8" s="126" customFormat="1" ht="18.75" x14ac:dyDescent="0.2">
      <c r="A17" s="141"/>
      <c r="B17" s="141"/>
      <c r="C17" s="141"/>
      <c r="D17" s="141"/>
      <c r="E17" s="141"/>
      <c r="F17" s="141"/>
      <c r="G17" s="141"/>
      <c r="H17" s="141"/>
    </row>
    <row r="18" spans="1:8" s="126" customFormat="1" ht="18.75" x14ac:dyDescent="0.2">
      <c r="A18" s="141"/>
      <c r="B18" s="141"/>
      <c r="C18" s="141"/>
      <c r="D18" s="141"/>
      <c r="E18" s="141"/>
      <c r="F18" s="141"/>
      <c r="G18" s="141"/>
      <c r="H18" s="141"/>
    </row>
    <row r="19" spans="1:8" s="126" customFormat="1" x14ac:dyDescent="0.2"/>
  </sheetData>
  <mergeCells count="4">
    <mergeCell ref="A1:B1"/>
    <mergeCell ref="C1:D1"/>
    <mergeCell ref="G1:H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Выбери месяц</vt:lpstr>
      <vt:lpstr>Отдел МТО</vt:lpstr>
      <vt:lpstr>Сектор МТО</vt:lpstr>
      <vt:lpstr>Сектор ТО</vt:lpstr>
      <vt:lpstr>Сектор АХО</vt:lpstr>
      <vt:lpstr>всяки</vt:lpstr>
      <vt:lpstr>Структура</vt:lpstr>
      <vt:lpstr>выхрабд</vt:lpstr>
      <vt:lpstr>год</vt:lpstr>
      <vt:lpstr>допнер</vt:lpstr>
      <vt:lpstr>'Отдел МТО'!Заголовки_для_печати</vt:lpstr>
      <vt:lpstr>'Сектор АХО'!Заголовки_для_печати</vt:lpstr>
      <vt:lpstr>'Сектор МТО'!Заголовки_для_печати</vt:lpstr>
      <vt:lpstr>'Сектор ТО'!Заголовки_для_печати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мама</cp:lastModifiedBy>
  <cp:lastPrinted>2016-02-29T09:34:56Z</cp:lastPrinted>
  <dcterms:created xsi:type="dcterms:W3CDTF">2009-01-14T08:47:39Z</dcterms:created>
  <dcterms:modified xsi:type="dcterms:W3CDTF">2016-02-29T10:09:26Z</dcterms:modified>
</cp:coreProperties>
</file>