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Override PartName="/xl/ctrlProps/ctrlProp83.xml" ContentType="application/vnd.ms-excel.controlproperties+xml"/>
  <Default Extension="rels" ContentType="application/vnd.openxmlformats-package.relationships+xml"/>
  <Default Extension="xml" ContentType="application/xml"/>
  <Override PartName="/xl/ctrlProps/ctrlProp52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68.xml" ContentType="application/vnd.ms-excel.controlproperties+xml"/>
  <Override PartName="/xl/ctrlProps/ctrlProp7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84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62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25725" iterateDelta="252"/>
</workbook>
</file>

<file path=xl/calcChain.xml><?xml version="1.0" encoding="utf-8"?>
<calcChain xmlns="http://schemas.openxmlformats.org/spreadsheetml/2006/main">
  <c r="J249" i="1"/>
  <c r="H243"/>
  <c r="K190"/>
  <c r="O145"/>
  <c r="L145"/>
  <c r="N145" s="1"/>
  <c r="M144"/>
  <c r="L144"/>
  <c r="N144" s="1"/>
  <c r="M143"/>
  <c r="L143"/>
  <c r="N143" s="1"/>
  <c r="P140"/>
  <c r="O140"/>
  <c r="P35"/>
  <c r="O143" l="1"/>
  <c r="O144"/>
  <c r="O126" l="1"/>
  <c r="N124"/>
  <c r="M124"/>
  <c r="N125"/>
  <c r="L125"/>
  <c r="O124" l="1"/>
  <c r="O125"/>
  <c r="P137" l="1"/>
  <c r="M137"/>
  <c r="N137" s="1"/>
  <c r="O137" s="1"/>
  <c r="L137"/>
  <c r="P136"/>
  <c r="N136"/>
  <c r="M136"/>
  <c r="L136"/>
  <c r="M135"/>
  <c r="O135" s="1"/>
  <c r="M132"/>
  <c r="N132" s="1"/>
  <c r="O132" s="1"/>
  <c r="L132"/>
  <c r="M131"/>
  <c r="N131" s="1"/>
  <c r="O131" s="1"/>
  <c r="L131"/>
  <c r="M130"/>
  <c r="O130" s="1"/>
  <c r="M129"/>
  <c r="N129" s="1"/>
  <c r="O129" s="1"/>
  <c r="P129"/>
  <c r="L129"/>
  <c r="O120"/>
  <c r="O121"/>
  <c r="N121"/>
  <c r="N120"/>
  <c r="N119"/>
  <c r="M119"/>
  <c r="L119"/>
  <c r="N118"/>
  <c r="O118" s="1"/>
  <c r="N117"/>
  <c r="O117" s="1"/>
  <c r="P118"/>
  <c r="M116"/>
  <c r="O116" s="1"/>
  <c r="M115"/>
  <c r="N115"/>
  <c r="L115"/>
  <c r="L116"/>
  <c r="L117"/>
  <c r="M117" s="1"/>
  <c r="L118"/>
  <c r="M118" s="1"/>
  <c r="L120"/>
  <c r="M120" s="1"/>
  <c r="L121"/>
  <c r="M121" s="1"/>
  <c r="L122"/>
  <c r="M122" s="1"/>
  <c r="O122" s="1"/>
  <c r="P73"/>
  <c r="P47"/>
  <c r="P15"/>
  <c r="O138"/>
  <c r="L138"/>
  <c r="N138" s="1"/>
  <c r="M86"/>
  <c r="P37"/>
  <c r="M31"/>
  <c r="P44"/>
  <c r="P40"/>
  <c r="P39"/>
  <c r="O136" l="1"/>
  <c r="O119"/>
  <c r="O115"/>
  <c r="P71"/>
  <c r="L71"/>
  <c r="N71" s="1"/>
  <c r="O71" s="1"/>
  <c r="K168"/>
  <c r="K167"/>
  <c r="K166"/>
  <c r="K165"/>
  <c r="K164"/>
  <c r="K163"/>
  <c r="K162"/>
  <c r="K161"/>
  <c r="K160"/>
  <c r="K159"/>
  <c r="K158"/>
  <c r="L149"/>
  <c r="L148"/>
  <c r="L127"/>
  <c r="O113"/>
  <c r="L112"/>
  <c r="L111"/>
  <c r="L110"/>
  <c r="L109"/>
  <c r="L108"/>
  <c r="O107"/>
  <c r="L107"/>
  <c r="L106"/>
  <c r="L105"/>
  <c r="L104"/>
  <c r="L103"/>
  <c r="L102"/>
  <c r="L101"/>
  <c r="O100"/>
  <c r="L100"/>
  <c r="L99"/>
  <c r="L98"/>
  <c r="L97"/>
  <c r="L96"/>
  <c r="L95"/>
  <c r="O94"/>
  <c r="L94"/>
  <c r="L93"/>
  <c r="L92"/>
  <c r="L91"/>
  <c r="L90"/>
  <c r="L89"/>
  <c r="L88"/>
  <c r="L86"/>
  <c r="L85"/>
  <c r="L83"/>
  <c r="L82"/>
  <c r="L81"/>
  <c r="L80"/>
  <c r="L79"/>
  <c r="L78"/>
  <c r="L77"/>
  <c r="L76"/>
  <c r="L74"/>
  <c r="L73"/>
  <c r="L72"/>
  <c r="L70"/>
  <c r="L69"/>
  <c r="L68"/>
  <c r="L67"/>
  <c r="L66"/>
  <c r="L65"/>
  <c r="L64"/>
  <c r="L63"/>
  <c r="L62"/>
  <c r="L60"/>
  <c r="L59"/>
  <c r="L58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229"/>
  <c r="M88"/>
  <c r="M102"/>
  <c r="M109"/>
  <c r="M15"/>
  <c r="J176"/>
  <c r="K176" s="1"/>
  <c r="P90"/>
  <c r="P38"/>
  <c r="P108"/>
  <c r="M85"/>
  <c r="H238"/>
  <c r="H245"/>
  <c r="D245"/>
  <c r="H242"/>
  <c r="H246"/>
  <c r="H244"/>
  <c r="H240"/>
  <c r="H239"/>
  <c r="P112" l="1"/>
  <c r="P111"/>
  <c r="P110"/>
  <c r="P109"/>
  <c r="P101"/>
  <c r="P98"/>
  <c r="P96"/>
  <c r="P95"/>
  <c r="P89"/>
  <c r="P69"/>
  <c r="P66"/>
  <c r="P63"/>
  <c r="P56"/>
  <c r="P55"/>
  <c r="P52"/>
  <c r="P48"/>
  <c r="P46"/>
  <c r="P45"/>
  <c r="P42"/>
  <c r="P34"/>
  <c r="P33"/>
  <c r="P28"/>
  <c r="P26"/>
  <c r="P25"/>
  <c r="P24"/>
  <c r="P22"/>
  <c r="P21"/>
  <c r="J182"/>
  <c r="K182" s="1"/>
  <c r="P92"/>
  <c r="P91"/>
  <c r="P86"/>
  <c r="N59"/>
  <c r="N60"/>
  <c r="M58"/>
  <c r="M32"/>
  <c r="M30"/>
  <c r="M18"/>
  <c r="P12"/>
  <c r="M13"/>
  <c r="M14"/>
  <c r="M16"/>
  <c r="M17"/>
  <c r="M19"/>
  <c r="M20"/>
  <c r="M21"/>
  <c r="M22"/>
  <c r="M23"/>
  <c r="M24"/>
  <c r="M25"/>
  <c r="M26"/>
  <c r="M27"/>
  <c r="M28"/>
  <c r="M29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9"/>
  <c r="M60"/>
  <c r="M62"/>
  <c r="M63"/>
  <c r="M64"/>
  <c r="M65"/>
  <c r="M66"/>
  <c r="M67"/>
  <c r="M68"/>
  <c r="M69"/>
  <c r="M70"/>
  <c r="M72"/>
  <c r="M73"/>
  <c r="M74"/>
  <c r="M76"/>
  <c r="M77"/>
  <c r="M78"/>
  <c r="M79"/>
  <c r="M80"/>
  <c r="M81"/>
  <c r="M82"/>
  <c r="M83"/>
  <c r="M89"/>
  <c r="M90"/>
  <c r="M91"/>
  <c r="M92"/>
  <c r="M93"/>
  <c r="M95"/>
  <c r="M96"/>
  <c r="M97"/>
  <c r="M98"/>
  <c r="M99"/>
  <c r="M100"/>
  <c r="M101"/>
  <c r="M103"/>
  <c r="M104"/>
  <c r="M105"/>
  <c r="M106"/>
  <c r="M108"/>
  <c r="M110"/>
  <c r="M111"/>
  <c r="M112"/>
  <c r="M113"/>
  <c r="M127"/>
  <c r="M148"/>
  <c r="M149"/>
  <c r="M12"/>
  <c r="N85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8"/>
  <c r="N62"/>
  <c r="N63"/>
  <c r="N64"/>
  <c r="N65"/>
  <c r="N66"/>
  <c r="N67"/>
  <c r="N68"/>
  <c r="N69"/>
  <c r="N70"/>
  <c r="N72"/>
  <c r="N73"/>
  <c r="N74"/>
  <c r="N76"/>
  <c r="N77"/>
  <c r="N78"/>
  <c r="N79"/>
  <c r="N80"/>
  <c r="N81"/>
  <c r="N82"/>
  <c r="N83"/>
  <c r="N86"/>
  <c r="O86" s="1"/>
  <c r="N88"/>
  <c r="N89"/>
  <c r="N90"/>
  <c r="N91"/>
  <c r="N92"/>
  <c r="N93"/>
  <c r="N95"/>
  <c r="N96"/>
  <c r="N97"/>
  <c r="N98"/>
  <c r="N99"/>
  <c r="N100"/>
  <c r="N101"/>
  <c r="N102"/>
  <c r="N103"/>
  <c r="N104"/>
  <c r="N105"/>
  <c r="N106"/>
  <c r="N108"/>
  <c r="N109"/>
  <c r="N110"/>
  <c r="N111"/>
  <c r="N112"/>
  <c r="N127"/>
  <c r="N148"/>
  <c r="N149"/>
  <c r="O58" l="1"/>
  <c r="P150"/>
  <c r="O111"/>
  <c r="O102"/>
  <c r="O82"/>
  <c r="O73"/>
  <c r="O53"/>
  <c r="O112"/>
  <c r="O95"/>
  <c r="O83"/>
  <c r="O74"/>
  <c r="O54"/>
  <c r="O46"/>
  <c r="O38"/>
  <c r="O148"/>
  <c r="O149"/>
  <c r="O97"/>
  <c r="O67"/>
  <c r="O127"/>
  <c r="O78"/>
  <c r="O49"/>
  <c r="O41"/>
  <c r="O33"/>
  <c r="O23"/>
  <c r="O108"/>
  <c r="O79"/>
  <c r="O69"/>
  <c r="O50"/>
  <c r="O42"/>
  <c r="O34"/>
  <c r="O24"/>
  <c r="O15"/>
  <c r="O109"/>
  <c r="O80"/>
  <c r="O51"/>
  <c r="O43"/>
  <c r="O35"/>
  <c r="O25"/>
  <c r="O45"/>
  <c r="O37"/>
  <c r="O27"/>
  <c r="O68"/>
  <c r="O105"/>
  <c r="O77"/>
  <c r="O56"/>
  <c r="O48"/>
  <c r="O40"/>
  <c r="O31"/>
  <c r="O22"/>
  <c r="O98"/>
  <c r="O70"/>
  <c r="O19"/>
  <c r="O96"/>
  <c r="O81"/>
  <c r="O52"/>
  <c r="O44"/>
  <c r="O103"/>
  <c r="O76"/>
  <c r="O55"/>
  <c r="O47"/>
  <c r="O39"/>
  <c r="O29"/>
  <c r="O21"/>
  <c r="O88"/>
  <c r="O101"/>
  <c r="O26"/>
  <c r="O17"/>
  <c r="O110"/>
  <c r="O104"/>
  <c r="O106"/>
  <c r="O99"/>
  <c r="O93"/>
  <c r="O90"/>
  <c r="O85"/>
  <c r="O92"/>
  <c r="O91"/>
  <c r="O89"/>
  <c r="O72"/>
  <c r="O66"/>
  <c r="O65"/>
  <c r="O64"/>
  <c r="O63"/>
  <c r="O62"/>
  <c r="O59"/>
  <c r="O60"/>
  <c r="O32"/>
  <c r="O30"/>
  <c r="O36"/>
  <c r="O28"/>
  <c r="O20"/>
  <c r="O18"/>
  <c r="O13"/>
  <c r="O16"/>
  <c r="O14"/>
  <c r="J189"/>
  <c r="K189" s="1"/>
  <c r="J175"/>
  <c r="K175" s="1"/>
  <c r="J174"/>
  <c r="K174" s="1"/>
  <c r="N12"/>
  <c r="K195" l="1"/>
  <c r="K199" l="1"/>
  <c r="K203"/>
  <c r="J265" s="1"/>
  <c r="O12"/>
  <c r="O150" l="1"/>
  <c r="L150" l="1"/>
  <c r="L165"/>
  <c r="L167"/>
  <c r="L160"/>
  <c r="L163"/>
  <c r="L161"/>
  <c r="L164"/>
  <c r="L168"/>
  <c r="L159"/>
  <c r="K184"/>
  <c r="K191"/>
  <c r="L166"/>
  <c r="L162"/>
  <c r="L158"/>
  <c r="K177"/>
  <c r="L169" l="1"/>
  <c r="J195" s="1"/>
  <c r="I225" l="1"/>
  <c r="I222"/>
  <c r="I215"/>
  <c r="I224"/>
  <c r="I226"/>
  <c r="I217"/>
  <c r="I218"/>
  <c r="I214"/>
  <c r="J203"/>
  <c r="I221"/>
  <c r="I213"/>
  <c r="I216"/>
  <c r="I220"/>
  <c r="J199"/>
  <c r="I219"/>
  <c r="I223"/>
  <c r="K219" l="1"/>
  <c r="J256" s="1"/>
  <c r="K213"/>
  <c r="J250" s="1"/>
  <c r="K220"/>
  <c r="J257" s="1"/>
  <c r="K224"/>
  <c r="J261" s="1"/>
  <c r="K225"/>
  <c r="J262" s="1"/>
  <c r="K221"/>
  <c r="J258" s="1"/>
  <c r="K226"/>
  <c r="J263" s="1"/>
  <c r="K222"/>
  <c r="J259" s="1"/>
  <c r="K214"/>
  <c r="J251" s="1"/>
  <c r="K217"/>
  <c r="J254" s="1"/>
  <c r="K223"/>
  <c r="J260" s="1"/>
  <c r="K218"/>
  <c r="J255" s="1"/>
  <c r="K216"/>
  <c r="J253" s="1"/>
  <c r="K215"/>
  <c r="J252" s="1"/>
  <c r="J222"/>
  <c r="J215"/>
  <c r="J214"/>
  <c r="J216"/>
  <c r="J223"/>
  <c r="J218"/>
  <c r="J225"/>
  <c r="J226"/>
  <c r="J217"/>
  <c r="J224"/>
  <c r="J213"/>
  <c r="J219"/>
  <c r="J220"/>
  <c r="J221"/>
</calcChain>
</file>

<file path=xl/comments1.xml><?xml version="1.0" encoding="utf-8"?>
<comments xmlns="http://schemas.openxmlformats.org/spreadsheetml/2006/main">
  <authors>
    <author>Михаил Томин</author>
  </authors>
  <commentList>
    <comment ref="D128" authorId="0">
      <text>
        <r>
          <rPr>
            <b/>
            <sz val="9"/>
            <color indexed="81"/>
            <rFont val="Tahoma"/>
            <family val="2"/>
            <charset val="204"/>
          </rPr>
          <t>Михаил Томин:</t>
        </r>
        <r>
          <rPr>
            <sz val="9"/>
            <color indexed="81"/>
            <rFont val="Tahoma"/>
            <family val="2"/>
            <charset val="204"/>
          </rPr>
          <t xml:space="preserve">
Обычно программа Лаишево идут с Чистополем, там обедаем, если нет то обед выделяем внизу в основном блоке обедов
</t>
        </r>
      </text>
    </comment>
  </commentList>
</comments>
</file>

<file path=xl/sharedStrings.xml><?xml version="1.0" encoding="utf-8"?>
<sst xmlns="http://schemas.openxmlformats.org/spreadsheetml/2006/main" count="260" uniqueCount="226">
  <si>
    <t>Транспорт заказчика</t>
  </si>
  <si>
    <t>Дней</t>
  </si>
  <si>
    <t>Кол-во</t>
  </si>
  <si>
    <t>Платник</t>
  </si>
  <si>
    <t>Ночей</t>
  </si>
  <si>
    <t xml:space="preserve">Блок музеев </t>
  </si>
  <si>
    <t>Кол-во ч</t>
  </si>
  <si>
    <t>№</t>
  </si>
  <si>
    <t>Наименование</t>
  </si>
  <si>
    <t>Стоимость  номера</t>
  </si>
  <si>
    <t>Цена</t>
  </si>
  <si>
    <t>Стоимость позиции</t>
  </si>
  <si>
    <t>Стоимость наряда</t>
  </si>
  <si>
    <t>Итоговая стоимость билета на чел</t>
  </si>
  <si>
    <t>Итоговая стоимость на чел</t>
  </si>
  <si>
    <t>Cтоимость наряда на чел</t>
  </si>
  <si>
    <t>Дни</t>
  </si>
  <si>
    <t>Выбор наполняемости экскурсионной программы в туре!</t>
  </si>
  <si>
    <t>Внимание ! При выборе питания группы не забывайте что при мастер-классе нужно выбирать разные обеды!</t>
  </si>
  <si>
    <t>Доплата за взрослого</t>
  </si>
  <si>
    <t>Итог экскур-е обслуж</t>
  </si>
  <si>
    <t>Нетто</t>
  </si>
  <si>
    <t>Количество ночей в гостинице</t>
  </si>
  <si>
    <t>Транспорт Лидер Казань</t>
  </si>
  <si>
    <t>Питание</t>
  </si>
  <si>
    <t>Обеды</t>
  </si>
  <si>
    <t>Завтраки</t>
  </si>
  <si>
    <t>Ужины</t>
  </si>
  <si>
    <t>Работа гида-экскурсовода</t>
  </si>
  <si>
    <t>Входные билеты в объекты показа</t>
  </si>
  <si>
    <t>да</t>
  </si>
  <si>
    <t>Программа тура</t>
  </si>
  <si>
    <r>
      <rPr>
        <sz val="10"/>
        <color theme="1"/>
        <rFont val="Calibri"/>
        <family val="2"/>
        <charset val="204"/>
        <scheme val="minor"/>
      </rPr>
      <t>Доплата за одномест-
ное размещение</t>
    </r>
    <r>
      <rPr>
        <sz val="11"/>
        <color theme="1"/>
        <rFont val="Calibri"/>
        <family val="2"/>
        <scheme val="minor"/>
      </rPr>
      <t xml:space="preserve">
</t>
    </r>
  </si>
  <si>
    <t>Выбрать школьник либо взрослый</t>
  </si>
  <si>
    <t>Школьник</t>
  </si>
  <si>
    <t>Взрослый</t>
  </si>
  <si>
    <t>Аммортизация</t>
  </si>
  <si>
    <t>часы сопровождения</t>
  </si>
  <si>
    <t>Итого экскурсионка</t>
  </si>
  <si>
    <t>Мираж 5*</t>
  </si>
  <si>
    <t>Шаляпин 4*</t>
  </si>
  <si>
    <t>Рубин Апарт 3*</t>
  </si>
  <si>
    <t>Рамада 4*</t>
  </si>
  <si>
    <t>Гранд отель Казань 4* | Европа 3*</t>
  </si>
  <si>
    <t>Хостелы 
ЗОЖ | Сити Хостел | Грин Поинт</t>
  </si>
  <si>
    <r>
      <t xml:space="preserve">Авиатор 2* (блок 2+3) </t>
    </r>
    <r>
      <rPr>
        <b/>
        <sz val="11"/>
        <color theme="1"/>
        <rFont val="Calibri"/>
        <family val="2"/>
        <charset val="204"/>
        <scheme val="minor"/>
      </rPr>
      <t>|</t>
    </r>
    <r>
      <rPr>
        <sz val="11"/>
        <color theme="1"/>
        <rFont val="Calibri"/>
        <family val="2"/>
        <scheme val="minor"/>
      </rPr>
      <t xml:space="preserve"> Mon Plaisir 1*</t>
    </r>
  </si>
  <si>
    <r>
      <t xml:space="preserve">Лучиано 4*  </t>
    </r>
    <r>
      <rPr>
        <b/>
        <sz val="11"/>
        <color theme="1"/>
        <rFont val="Calibri"/>
        <family val="2"/>
        <charset val="204"/>
        <scheme val="minor"/>
      </rPr>
      <t>|</t>
    </r>
    <r>
      <rPr>
        <sz val="11"/>
        <color theme="1"/>
        <rFont val="Calibri"/>
        <family val="2"/>
        <scheme val="minor"/>
      </rPr>
      <t xml:space="preserve"> Хилтон 4*</t>
    </r>
    <r>
      <rPr>
        <b/>
        <sz val="11"/>
        <color theme="1"/>
        <rFont val="Calibri"/>
        <family val="2"/>
        <charset val="204"/>
        <scheme val="minor"/>
      </rPr>
      <t xml:space="preserve"> | </t>
    </r>
    <r>
      <rPr>
        <sz val="11"/>
        <color theme="1"/>
        <rFont val="Calibri"/>
        <family val="2"/>
        <scheme val="minor"/>
      </rPr>
      <t xml:space="preserve">
Арон 3* (2х мест, завтрак в городе)</t>
    </r>
  </si>
  <si>
    <t xml:space="preserve">Булгар 2* | Островский 3* | Хаял 4* </t>
  </si>
  <si>
    <t>под запрос</t>
  </si>
  <si>
    <r>
      <t xml:space="preserve">Корстон 4* </t>
    </r>
    <r>
      <rPr>
        <b/>
        <sz val="11"/>
        <color theme="1"/>
        <rFont val="Calibri"/>
        <family val="2"/>
        <charset val="204"/>
        <scheme val="minor"/>
      </rPr>
      <t>|</t>
    </r>
    <r>
      <rPr>
        <sz val="11"/>
        <color theme="1"/>
        <rFont val="Calibri"/>
        <family val="2"/>
        <scheme val="minor"/>
      </rPr>
      <t xml:space="preserve"> Кортъярд Марриот 4*</t>
    </r>
    <r>
      <rPr>
        <b/>
        <sz val="11"/>
        <color theme="1"/>
        <rFont val="Calibri"/>
        <family val="2"/>
        <charset val="204"/>
        <scheme val="minor"/>
      </rPr>
      <t xml:space="preserve"> |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Ногай 3*(завтрак шведский стол)</t>
    </r>
    <r>
      <rPr>
        <b/>
        <sz val="11"/>
        <color theme="1"/>
        <rFont val="Calibri"/>
        <family val="2"/>
        <charset val="204"/>
        <scheme val="minor"/>
      </rPr>
      <t xml:space="preserve"> | </t>
    </r>
    <r>
      <rPr>
        <sz val="11"/>
        <color theme="1"/>
        <rFont val="Calibri"/>
        <family val="2"/>
        <charset val="204"/>
        <scheme val="minor"/>
      </rPr>
      <t>Татар ИНН 3* 
Арон 3*(4х мест, завтрак в городе)
Деревня Универсиады(2х мест, завтрак в городе)</t>
    </r>
  </si>
  <si>
    <t>Биляр Палас отель  4 * | Сулеман Палас 4 *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</si>
  <si>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 xml:space="preserve">Ногай 3*(завтрак в городе) </t>
    </r>
    <r>
      <rPr>
        <b/>
        <sz val="11"/>
        <color theme="1"/>
        <rFont val="Calibri"/>
        <family val="2"/>
        <charset val="204"/>
        <scheme val="minor"/>
      </rPr>
      <t xml:space="preserve">| </t>
    </r>
    <r>
      <rPr>
        <sz val="11"/>
        <color theme="1"/>
        <rFont val="Calibri"/>
        <family val="2"/>
        <charset val="204"/>
        <scheme val="minor"/>
      </rPr>
      <t xml:space="preserve">Регата 3* </t>
    </r>
    <r>
      <rPr>
        <b/>
        <sz val="11"/>
        <color theme="1"/>
        <rFont val="Calibri"/>
        <family val="2"/>
        <charset val="204"/>
        <scheme val="minor"/>
      </rPr>
      <t>|</t>
    </r>
    <r>
      <rPr>
        <sz val="11"/>
        <color theme="1"/>
        <rFont val="Calibri"/>
        <family val="2"/>
        <charset val="204"/>
        <scheme val="minor"/>
      </rPr>
      <t xml:space="preserve"> Кристалл 3*</t>
    </r>
    <r>
      <rPr>
        <b/>
        <sz val="11"/>
        <color theme="1"/>
        <rFont val="Calibri"/>
        <family val="2"/>
        <charset val="204"/>
        <scheme val="minor"/>
      </rPr>
      <t/>
    </r>
  </si>
  <si>
    <t>Комиссия агентствам включена в стоимость</t>
  </si>
  <si>
    <t xml:space="preserve">Особняк на Театральной 3* | Волга 2* | </t>
  </si>
  <si>
    <r>
      <t>Давыдов 3* | Амакс Сафар отель 3*</t>
    </r>
    <r>
      <rPr>
        <b/>
        <sz val="11"/>
        <color theme="1"/>
        <rFont val="Calibri"/>
        <family val="2"/>
        <charset val="204"/>
        <scheme val="minor"/>
      </rPr>
      <t xml:space="preserve"> |</t>
    </r>
    <r>
      <rPr>
        <sz val="11"/>
        <color theme="1"/>
        <rFont val="Calibri"/>
        <family val="2"/>
        <charset val="204"/>
        <scheme val="minor"/>
      </rPr>
      <t xml:space="preserve"> Олимп 3* |
Гвардейская 2* | Деревня Универсиады(3х мест, завтрак в городе)</t>
    </r>
    <r>
      <rPr>
        <b/>
        <sz val="11"/>
        <color theme="1"/>
        <rFont val="Calibri"/>
        <family val="2"/>
        <charset val="204"/>
        <scheme val="minor"/>
      </rPr>
      <t xml:space="preserve"> | </t>
    </r>
    <r>
      <rPr>
        <sz val="11"/>
        <color theme="1"/>
        <rFont val="Calibri"/>
        <family val="2"/>
        <scheme val="minor"/>
      </rPr>
      <t>Дэвид Бэк | Милена 2*</t>
    </r>
  </si>
  <si>
    <r>
      <t>Релита 4*</t>
    </r>
    <r>
      <rPr>
        <b/>
        <sz val="11"/>
        <color theme="1"/>
        <rFont val="Calibri"/>
        <family val="2"/>
        <charset val="204"/>
        <scheme val="minor"/>
      </rPr>
      <t xml:space="preserve"> |</t>
    </r>
    <r>
      <rPr>
        <sz val="11"/>
        <color theme="1"/>
        <rFont val="Calibri"/>
        <family val="2"/>
        <scheme val="minor"/>
      </rPr>
      <t xml:space="preserve"> Ибис 3* </t>
    </r>
    <r>
      <rPr>
        <b/>
        <sz val="11"/>
        <color theme="1"/>
        <rFont val="Calibri"/>
        <family val="2"/>
        <charset val="204"/>
        <scheme val="minor"/>
      </rPr>
      <t>|</t>
    </r>
    <r>
      <rPr>
        <sz val="11"/>
        <color theme="1"/>
        <rFont val="Calibri"/>
        <family val="2"/>
        <scheme val="minor"/>
      </rPr>
      <t xml:space="preserve">  Мано | Кастро 3* 
</t>
    </r>
    <r>
      <rPr>
        <sz val="11"/>
        <color theme="1"/>
        <rFont val="Calibri"/>
        <family val="2"/>
        <charset val="204"/>
        <scheme val="minor"/>
      </rPr>
      <t>Уникс (п. Васильево)</t>
    </r>
  </si>
  <si>
    <t>Объект 1</t>
  </si>
  <si>
    <t>Объект 2</t>
  </si>
  <si>
    <t>Объект 3</t>
  </si>
  <si>
    <t>Объект 4</t>
  </si>
  <si>
    <t>Объект 5</t>
  </si>
  <si>
    <t>Объект 6</t>
  </si>
  <si>
    <t>Объект 7</t>
  </si>
  <si>
    <t>Объект 8</t>
  </si>
  <si>
    <t>Объект 9</t>
  </si>
  <si>
    <t>Объект 10</t>
  </si>
  <si>
    <t>Объект 11</t>
  </si>
  <si>
    <t>Объект 12</t>
  </si>
  <si>
    <t>Объект 13</t>
  </si>
  <si>
    <t>Объект 14</t>
  </si>
  <si>
    <t>Объект 15</t>
  </si>
  <si>
    <t>Объект 16</t>
  </si>
  <si>
    <t>Объект 17</t>
  </si>
  <si>
    <t>Объект Вариант 1</t>
  </si>
  <si>
    <t>Объект Вариант 2</t>
  </si>
  <si>
    <t>Объект Вариант 3</t>
  </si>
  <si>
    <t>Объект Вариант 4</t>
  </si>
  <si>
    <t>Объект Вариант 5</t>
  </si>
  <si>
    <t>Объект Вариант 6</t>
  </si>
  <si>
    <t>Объект Вариант 7</t>
  </si>
  <si>
    <t>Объект Вариант 8</t>
  </si>
  <si>
    <t>Объект Вариант 9</t>
  </si>
  <si>
    <t>Объект Вариант 10</t>
  </si>
  <si>
    <t>Объект Вариант 11</t>
  </si>
  <si>
    <t>Объект Вариант 12</t>
  </si>
  <si>
    <t>Объект Вариант 13</t>
  </si>
  <si>
    <t>Объект Вариант 14</t>
  </si>
  <si>
    <t>Объект Вариант 15</t>
  </si>
  <si>
    <t>Объект Вариант 16</t>
  </si>
  <si>
    <t>Объект Вариант 17</t>
  </si>
  <si>
    <t>Объект Вариант 18</t>
  </si>
  <si>
    <t>Объект Вариант 19</t>
  </si>
  <si>
    <t>Объект Вариант 20</t>
  </si>
  <si>
    <t>Объект Вариант 21</t>
  </si>
  <si>
    <t>Объект Вариант 22</t>
  </si>
  <si>
    <t>Объект Вариант 23</t>
  </si>
  <si>
    <t>Объект Вариант 24</t>
  </si>
  <si>
    <t>Объект Вариант 25</t>
  </si>
  <si>
    <t>Объект Вариант 26</t>
  </si>
  <si>
    <t>Объект Вариант 27</t>
  </si>
  <si>
    <t>Объект Вариант 28</t>
  </si>
  <si>
    <t>Объект Вариант 29</t>
  </si>
  <si>
    <t>Объект Вариант 30</t>
  </si>
  <si>
    <t>Объект Вариант 31</t>
  </si>
  <si>
    <t>Объект Вариант 32</t>
  </si>
  <si>
    <t>Объект Вариант 33</t>
  </si>
  <si>
    <t>Объект Вариант 34</t>
  </si>
  <si>
    <t>Объект Вариант 35</t>
  </si>
  <si>
    <t>Объект Вариант 36</t>
  </si>
  <si>
    <t>Объект Вариант 37</t>
  </si>
  <si>
    <t>Объект Вариант 38</t>
  </si>
  <si>
    <t>Объект Вариант 39</t>
  </si>
  <si>
    <t>Объект Вариант 40</t>
  </si>
  <si>
    <t>Объект Вариант 41</t>
  </si>
  <si>
    <t>Объект Вариант 42</t>
  </si>
  <si>
    <t>Объект Вариант 43</t>
  </si>
  <si>
    <t>Объект Вариант 44</t>
  </si>
  <si>
    <t>Объект Вариант 45</t>
  </si>
  <si>
    <t>Объект Вариант 46</t>
  </si>
  <si>
    <t>Объект Вариант 47</t>
  </si>
  <si>
    <t>Объект Вариант 48</t>
  </si>
  <si>
    <t>Объект Вариант 49</t>
  </si>
  <si>
    <t>Объект Вариант 50</t>
  </si>
  <si>
    <t>Объект Вариант 51</t>
  </si>
  <si>
    <t>Объект Вариант 52</t>
  </si>
  <si>
    <t>Объект Вариант 53</t>
  </si>
  <si>
    <t>Объект Вариант 54</t>
  </si>
  <si>
    <t>Объект Вариант 55</t>
  </si>
  <si>
    <t>Объект Вариант 56</t>
  </si>
  <si>
    <t>Объект Вариант 57</t>
  </si>
  <si>
    <t>Объект Вариант 58</t>
  </si>
  <si>
    <t>Объект Вариант 59</t>
  </si>
  <si>
    <t>Объект Вариант 60</t>
  </si>
  <si>
    <t>Объект Вариант 61</t>
  </si>
  <si>
    <t>Объект Вариант 62</t>
  </si>
  <si>
    <t>Объект Вариант 63</t>
  </si>
  <si>
    <t>Объект Вариант 64</t>
  </si>
  <si>
    <t>Объект Вариант 65</t>
  </si>
  <si>
    <t>Объект Вариант 66</t>
  </si>
  <si>
    <t>Объект Вариант 67</t>
  </si>
  <si>
    <t>Объект Вариант 68</t>
  </si>
  <si>
    <t>Объект Вариант 69</t>
  </si>
  <si>
    <t>Объект Вариант 70</t>
  </si>
  <si>
    <t>Объект Вариант 71</t>
  </si>
  <si>
    <t>Объект Вариант 72</t>
  </si>
  <si>
    <t>Объект Вариант 73</t>
  </si>
  <si>
    <t>Объект Вариант 74</t>
  </si>
  <si>
    <t>Объект Вариант 75</t>
  </si>
  <si>
    <t>Объект Вариант 76</t>
  </si>
  <si>
    <t>Объект Вариант 77</t>
  </si>
  <si>
    <t>Объект Вариант 78</t>
  </si>
  <si>
    <t>Объект Вариант 79</t>
  </si>
  <si>
    <t>Объект Вариант 80</t>
  </si>
  <si>
    <t>Объект Вариант 81</t>
  </si>
  <si>
    <t>Объект Вариант 82</t>
  </si>
  <si>
    <t>Объект Вариант 83</t>
  </si>
  <si>
    <t>Объект Вариант 84</t>
  </si>
  <si>
    <t>Объект Вариант 85</t>
  </si>
  <si>
    <t>Объект Вариант 86</t>
  </si>
  <si>
    <t>Объект Вариант 87</t>
  </si>
  <si>
    <t>Объект Вариант 88</t>
  </si>
  <si>
    <t>Объект Вариант 89</t>
  </si>
  <si>
    <t>Объект Вариант 90</t>
  </si>
  <si>
    <t>Объект Вариант 91</t>
  </si>
  <si>
    <t>Объект Вариант 92</t>
  </si>
  <si>
    <t>Объект Вариант 93</t>
  </si>
  <si>
    <t>Объект Вариант 94</t>
  </si>
  <si>
    <t>Объект Вариант 95</t>
  </si>
  <si>
    <t>Объект Вариант 96</t>
  </si>
  <si>
    <t>Объект Вариант 97</t>
  </si>
  <si>
    <t>Объект Вариант 98</t>
  </si>
  <si>
    <t>Объект Вариант 99</t>
  </si>
  <si>
    <t>Объект Вариант 100</t>
  </si>
  <si>
    <t>Объект Вариант 101</t>
  </si>
  <si>
    <t>Объект Вариант 102</t>
  </si>
  <si>
    <t>Объект Вариант 103</t>
  </si>
  <si>
    <t>Объект Вариант 104</t>
  </si>
  <si>
    <t>Объект Вариант 105</t>
  </si>
  <si>
    <t>Объект Вариант 106</t>
  </si>
  <si>
    <t>Объект Вариант 107</t>
  </si>
  <si>
    <t>Объект Вариант 108</t>
  </si>
  <si>
    <t>Объект Вариант 109</t>
  </si>
  <si>
    <t>Объект Вариант 110</t>
  </si>
  <si>
    <t>Объект Вариант 111</t>
  </si>
  <si>
    <t>Объект Вариант 112</t>
  </si>
  <si>
    <t>Объект Вариант 113</t>
  </si>
  <si>
    <t>Объект Вариант 114</t>
  </si>
  <si>
    <t>Объект Вариант 115</t>
  </si>
  <si>
    <t>Объект Вариант 116</t>
  </si>
  <si>
    <t>Объект Вариант 117</t>
  </si>
  <si>
    <t>Объект Вариант 118</t>
  </si>
  <si>
    <t>Объект Вариант 119</t>
  </si>
  <si>
    <t>Питание 1</t>
  </si>
  <si>
    <t>Питание 2</t>
  </si>
  <si>
    <t>Питание 3</t>
  </si>
  <si>
    <t>Питание 4</t>
  </si>
  <si>
    <t>Питание 5</t>
  </si>
  <si>
    <t>Питание 6</t>
  </si>
  <si>
    <t>Питание 7</t>
  </si>
  <si>
    <t xml:space="preserve">Блок </t>
  </si>
  <si>
    <t>Расчет стоимости</t>
  </si>
  <si>
    <t>Доплата</t>
  </si>
  <si>
    <t>Предложение 1</t>
  </si>
  <si>
    <t>Предложение 2</t>
  </si>
  <si>
    <t>Предложение 3</t>
  </si>
  <si>
    <t>Предложение 4</t>
  </si>
  <si>
    <t>Предложение 5</t>
  </si>
  <si>
    <t>Предложение 6</t>
  </si>
  <si>
    <t>Предложение 7</t>
  </si>
  <si>
    <t>Предложение 8</t>
  </si>
  <si>
    <t>Предложение 9</t>
  </si>
  <si>
    <t>Предложение 10</t>
  </si>
  <si>
    <t>Предложение 11</t>
  </si>
  <si>
    <t>Предложение 12</t>
  </si>
  <si>
    <t>Предложение 13</t>
  </si>
  <si>
    <t>Предложение 14</t>
  </si>
  <si>
    <t>Стоимсоть блаблабла</t>
  </si>
  <si>
    <t>текст</t>
  </si>
  <si>
    <t xml:space="preserve">Окончательная стоимость </t>
  </si>
  <si>
    <t>Брутто</t>
  </si>
  <si>
    <t>Брутто + 1%</t>
  </si>
  <si>
    <t>Брутто+1%</t>
  </si>
  <si>
    <t xml:space="preserve">Кол-Во </t>
  </si>
  <si>
    <t>Кто платит</t>
  </si>
  <si>
    <t>Стоимость</t>
  </si>
  <si>
    <t>Кол-во позиций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</si>
</sst>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8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thin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Dash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indexed="64"/>
      </right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/>
    <xf numFmtId="0" fontId="0" fillId="3" borderId="5" xfId="0" applyFill="1" applyBorder="1"/>
    <xf numFmtId="0" fontId="0" fillId="0" borderId="12" xfId="0" applyBorder="1"/>
    <xf numFmtId="0" fontId="0" fillId="0" borderId="0" xfId="0" applyBorder="1"/>
    <xf numFmtId="0" fontId="0" fillId="4" borderId="4" xfId="0" applyFill="1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8" borderId="0" xfId="0" applyFill="1" applyBorder="1"/>
    <xf numFmtId="0" fontId="0" fillId="11" borderId="0" xfId="0" applyFill="1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0" fillId="10" borderId="6" xfId="0" applyFill="1" applyBorder="1"/>
    <xf numFmtId="0" fontId="0" fillId="11" borderId="6" xfId="0" applyFill="1" applyBorder="1"/>
    <xf numFmtId="0" fontId="0" fillId="8" borderId="7" xfId="0" applyFill="1" applyBorder="1"/>
    <xf numFmtId="0" fontId="0" fillId="3" borderId="5" xfId="0" applyFill="1" applyBorder="1" applyAlignment="1">
      <alignment horizontal="center"/>
    </xf>
    <xf numFmtId="0" fontId="4" fillId="0" borderId="31" xfId="0" applyFont="1" applyBorder="1" applyAlignment="1"/>
    <xf numFmtId="0" fontId="5" fillId="0" borderId="31" xfId="0" applyFont="1" applyBorder="1" applyAlignment="1">
      <alignment horizontal="center"/>
    </xf>
    <xf numFmtId="0" fontId="8" fillId="0" borderId="31" xfId="0" applyFont="1" applyBorder="1"/>
    <xf numFmtId="0" fontId="0" fillId="0" borderId="0" xfId="0" applyBorder="1" applyAlignment="1"/>
    <xf numFmtId="0" fontId="3" fillId="0" borderId="0" xfId="0" applyFont="1" applyBorder="1" applyAlignment="1"/>
    <xf numFmtId="0" fontId="0" fillId="13" borderId="3" xfId="0" applyFill="1" applyBorder="1"/>
    <xf numFmtId="0" fontId="0" fillId="0" borderId="0" xfId="0" applyFill="1"/>
    <xf numFmtId="0" fontId="0" fillId="10" borderId="12" xfId="0" applyFill="1" applyBorder="1"/>
    <xf numFmtId="0" fontId="0" fillId="0" borderId="0" xfId="0" applyFill="1" applyBorder="1"/>
    <xf numFmtId="0" fontId="0" fillId="0" borderId="0" xfId="0" applyFill="1" applyBorder="1"/>
    <xf numFmtId="0" fontId="6" fillId="12" borderId="4" xfId="0" applyFont="1" applyFill="1" applyBorder="1"/>
    <xf numFmtId="0" fontId="6" fillId="16" borderId="4" xfId="0" applyFont="1" applyFill="1" applyBorder="1"/>
    <xf numFmtId="0" fontId="0" fillId="0" borderId="0" xfId="0" applyBorder="1"/>
    <xf numFmtId="9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 applyFill="1" applyBorder="1" applyAlignment="1"/>
    <xf numFmtId="0" fontId="0" fillId="4" borderId="4" xfId="0" applyFill="1" applyBorder="1" applyAlignment="1">
      <alignment horizontal="center"/>
    </xf>
    <xf numFmtId="0" fontId="0" fillId="0" borderId="32" xfId="0" applyBorder="1" applyAlignment="1" applyProtection="1">
      <alignment horizontal="center"/>
      <protection locked="0" hidden="1"/>
    </xf>
    <xf numFmtId="0" fontId="0" fillId="0" borderId="41" xfId="0" applyBorder="1" applyProtection="1">
      <protection locked="0" hidden="1"/>
    </xf>
    <xf numFmtId="0" fontId="0" fillId="0" borderId="32" xfId="0" applyBorder="1" applyProtection="1">
      <protection locked="0" hidden="1"/>
    </xf>
    <xf numFmtId="0" fontId="0" fillId="7" borderId="8" xfId="0" applyFill="1" applyBorder="1" applyProtection="1">
      <protection locked="0" hidden="1"/>
    </xf>
    <xf numFmtId="0" fontId="0" fillId="7" borderId="9" xfId="0" applyFill="1" applyBorder="1" applyProtection="1">
      <protection locked="0" hidden="1"/>
    </xf>
    <xf numFmtId="0" fontId="0" fillId="0" borderId="13" xfId="0" applyBorder="1" applyProtection="1">
      <protection locked="0" hidden="1"/>
    </xf>
    <xf numFmtId="0" fontId="0" fillId="0" borderId="3" xfId="0" applyBorder="1" applyProtection="1">
      <protection locked="0" hidden="1"/>
    </xf>
    <xf numFmtId="0" fontId="0" fillId="0" borderId="13" xfId="0" applyFill="1" applyBorder="1" applyProtection="1">
      <protection locked="0" hidden="1"/>
    </xf>
    <xf numFmtId="0" fontId="0" fillId="0" borderId="3" xfId="0" applyFill="1" applyBorder="1" applyProtection="1">
      <protection locked="0" hidden="1"/>
    </xf>
    <xf numFmtId="0" fontId="0" fillId="7" borderId="13" xfId="0" applyFill="1" applyBorder="1" applyProtection="1">
      <protection locked="0" hidden="1"/>
    </xf>
    <xf numFmtId="0" fontId="0" fillId="7" borderId="3" xfId="0" applyFill="1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0" fillId="11" borderId="0" xfId="0" applyFill="1" applyProtection="1">
      <protection hidden="1"/>
    </xf>
    <xf numFmtId="0" fontId="0" fillId="10" borderId="0" xfId="0" applyFill="1" applyProtection="1">
      <protection hidden="1"/>
    </xf>
    <xf numFmtId="0" fontId="0" fillId="9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3" fillId="0" borderId="3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0" fillId="15" borderId="12" xfId="0" applyFill="1" applyBorder="1" applyProtection="1">
      <protection hidden="1"/>
    </xf>
    <xf numFmtId="0" fontId="11" fillId="14" borderId="12" xfId="0" applyFont="1" applyFill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54" xfId="0" applyFill="1" applyBorder="1" applyProtection="1">
      <protection hidden="1"/>
    </xf>
    <xf numFmtId="0" fontId="0" fillId="0" borderId="54" xfId="0" applyBorder="1" applyProtection="1">
      <protection hidden="1"/>
    </xf>
    <xf numFmtId="0" fontId="0" fillId="8" borderId="12" xfId="0" applyFill="1" applyBorder="1" applyProtection="1">
      <protection hidden="1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2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10" borderId="31" xfId="0" applyFill="1" applyBorder="1" applyAlignment="1" applyProtection="1">
      <alignment horizontal="center"/>
      <protection hidden="1"/>
    </xf>
    <xf numFmtId="0" fontId="0" fillId="0" borderId="32" xfId="0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Protection="1"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0" fillId="0" borderId="23" xfId="0" applyBorder="1" applyProtection="1">
      <protection hidden="1"/>
    </xf>
    <xf numFmtId="0" fontId="0" fillId="7" borderId="12" xfId="0" applyFill="1" applyBorder="1" applyProtection="1"/>
    <xf numFmtId="0" fontId="0" fillId="7" borderId="15" xfId="0" applyFill="1" applyBorder="1" applyProtection="1"/>
    <xf numFmtId="0" fontId="0" fillId="0" borderId="12" xfId="0" applyBorder="1" applyProtection="1"/>
    <xf numFmtId="0" fontId="0" fillId="0" borderId="15" xfId="0" applyBorder="1" applyProtection="1"/>
    <xf numFmtId="0" fontId="0" fillId="0" borderId="12" xfId="0" applyFill="1" applyBorder="1" applyProtection="1"/>
    <xf numFmtId="0" fontId="0" fillId="0" borderId="15" xfId="0" applyFill="1" applyBorder="1" applyProtection="1"/>
    <xf numFmtId="0" fontId="0" fillId="0" borderId="0" xfId="0" applyProtection="1"/>
    <xf numFmtId="0" fontId="0" fillId="7" borderId="7" xfId="0" applyFill="1" applyBorder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38" xfId="0" applyBorder="1" applyProtection="1"/>
    <xf numFmtId="0" fontId="3" fillId="0" borderId="31" xfId="0" applyFont="1" applyBorder="1"/>
    <xf numFmtId="9" fontId="0" fillId="0" borderId="0" xfId="0" applyNumberFormat="1"/>
    <xf numFmtId="10" fontId="0" fillId="0" borderId="0" xfId="0" applyNumberFormat="1"/>
    <xf numFmtId="9" fontId="0" fillId="0" borderId="0" xfId="0" applyNumberFormat="1" applyProtection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wrapText="1"/>
    </xf>
    <xf numFmtId="9" fontId="6" fillId="5" borderId="3" xfId="0" applyNumberFormat="1" applyFont="1" applyFill="1" applyBorder="1" applyAlignment="1" applyProtection="1">
      <alignment horizontal="center" wrapText="1"/>
      <protection hidden="1"/>
    </xf>
    <xf numFmtId="1" fontId="7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6" xfId="0" applyFill="1" applyBorder="1" applyAlignment="1">
      <alignment wrapText="1"/>
    </xf>
    <xf numFmtId="0" fontId="0" fillId="0" borderId="29" xfId="0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0" fillId="0" borderId="10" xfId="0" applyBorder="1" applyProtection="1">
      <protection locked="0" hidden="1"/>
    </xf>
    <xf numFmtId="0" fontId="0" fillId="10" borderId="18" xfId="0" applyFill="1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left" vertical="top" wrapText="1"/>
      <protection hidden="1"/>
    </xf>
    <xf numFmtId="0" fontId="0" fillId="0" borderId="38" xfId="0" applyBorder="1" applyAlignment="1" applyProtection="1">
      <alignment horizontal="left" vertical="top"/>
      <protection hidden="1"/>
    </xf>
    <xf numFmtId="0" fontId="0" fillId="0" borderId="50" xfId="0" applyBorder="1" applyAlignment="1" applyProtection="1">
      <alignment horizontal="left" vertical="top"/>
      <protection hidden="1"/>
    </xf>
    <xf numFmtId="0" fontId="0" fillId="0" borderId="48" xfId="0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46" xfId="0" applyBorder="1" applyAlignment="1" applyProtection="1">
      <alignment horizontal="left" vertical="top"/>
      <protection hidden="1"/>
    </xf>
    <xf numFmtId="0" fontId="0" fillId="0" borderId="35" xfId="0" applyBorder="1" applyAlignment="1" applyProtection="1">
      <alignment horizontal="left" vertical="top"/>
      <protection hidden="1"/>
    </xf>
    <xf numFmtId="0" fontId="0" fillId="0" borderId="29" xfId="0" applyBorder="1" applyAlignment="1" applyProtection="1">
      <alignment horizontal="left" vertical="top"/>
      <protection hidden="1"/>
    </xf>
    <xf numFmtId="0" fontId="0" fillId="0" borderId="30" xfId="0" applyBorder="1" applyAlignment="1" applyProtection="1">
      <alignment horizontal="left" vertical="top"/>
      <protection hidden="1"/>
    </xf>
    <xf numFmtId="0" fontId="9" fillId="12" borderId="0" xfId="0" applyFont="1" applyFill="1" applyAlignment="1">
      <alignment horizontal="center"/>
    </xf>
    <xf numFmtId="0" fontId="0" fillId="7" borderId="0" xfId="0" applyFill="1" applyAlignment="1" applyProtection="1">
      <alignment horizontal="center"/>
      <protection hidden="1"/>
    </xf>
    <xf numFmtId="0" fontId="16" fillId="0" borderId="49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1" fontId="4" fillId="0" borderId="14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5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0" fillId="0" borderId="57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0" fillId="0" borderId="49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5" xfId="0" applyBorder="1" applyProtection="1">
      <protection hidden="1"/>
    </xf>
    <xf numFmtId="0" fontId="3" fillId="0" borderId="49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left"/>
      <protection hidden="1"/>
    </xf>
    <xf numFmtId="0" fontId="3" fillId="0" borderId="49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18" fillId="0" borderId="49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0" fontId="3" fillId="0" borderId="49" xfId="0" applyFont="1" applyBorder="1" applyAlignment="1" applyProtection="1">
      <alignment horizontal="left" vertical="top" wrapText="1"/>
      <protection hidden="1"/>
    </xf>
    <xf numFmtId="0" fontId="3" fillId="0" borderId="2" xfId="0" applyFont="1" applyBorder="1" applyAlignment="1" applyProtection="1">
      <alignment horizontal="left" vertical="top" wrapText="1"/>
      <protection hidden="1"/>
    </xf>
    <xf numFmtId="0" fontId="3" fillId="0" borderId="15" xfId="0" applyFont="1" applyBorder="1" applyAlignment="1" applyProtection="1">
      <alignment horizontal="left" vertical="top" wrapText="1"/>
      <protection hidden="1"/>
    </xf>
    <xf numFmtId="0" fontId="0" fillId="0" borderId="4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Fill="1" applyBorder="1" applyAlignment="1"/>
    <xf numFmtId="0" fontId="21" fillId="0" borderId="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4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9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16" fillId="0" borderId="5" xfId="0" applyFont="1" applyFill="1" applyBorder="1" applyAlignment="1" applyProtection="1">
      <alignment horizontal="center"/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0" fontId="16" fillId="0" borderId="7" xfId="0" applyFont="1" applyFill="1" applyBorder="1" applyAlignment="1" applyProtection="1">
      <alignment horizontal="center"/>
      <protection hidden="1"/>
    </xf>
    <xf numFmtId="0" fontId="0" fillId="0" borderId="22" xfId="0" applyBorder="1"/>
    <xf numFmtId="0" fontId="0" fillId="0" borderId="23" xfId="0" applyBorder="1"/>
    <xf numFmtId="0" fontId="0" fillId="0" borderId="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5" fillId="0" borderId="0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53" xfId="0" applyFont="1" applyBorder="1" applyAlignment="1" applyProtection="1">
      <alignment horizontal="center"/>
      <protection locked="0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49" fontId="4" fillId="0" borderId="1" xfId="0" applyNumberFormat="1" applyFont="1" applyFill="1" applyBorder="1"/>
    <xf numFmtId="49" fontId="4" fillId="0" borderId="2" xfId="0" applyNumberFormat="1" applyFont="1" applyFill="1" applyBorder="1"/>
    <xf numFmtId="0" fontId="3" fillId="3" borderId="6" xfId="0" applyFont="1" applyFill="1" applyBorder="1" applyAlignment="1">
      <alignment horizontal="left"/>
    </xf>
    <xf numFmtId="49" fontId="4" fillId="7" borderId="18" xfId="0" applyNumberFormat="1" applyFont="1" applyFill="1" applyBorder="1" applyAlignment="1">
      <alignment horizontal="center"/>
    </xf>
    <xf numFmtId="49" fontId="4" fillId="7" borderId="33" xfId="0" applyNumberFormat="1" applyFont="1" applyFill="1" applyBorder="1" applyAlignment="1">
      <alignment horizontal="center"/>
    </xf>
    <xf numFmtId="49" fontId="4" fillId="7" borderId="40" xfId="0" applyNumberFormat="1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49" fontId="4" fillId="7" borderId="1" xfId="0" applyNumberFormat="1" applyFont="1" applyFill="1" applyBorder="1"/>
    <xf numFmtId="49" fontId="4" fillId="7" borderId="2" xfId="0" applyNumberFormat="1" applyFont="1" applyFill="1" applyBorder="1"/>
    <xf numFmtId="0" fontId="0" fillId="0" borderId="28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1" fontId="0" fillId="0" borderId="28" xfId="0" applyNumberFormat="1" applyBorder="1" applyAlignment="1" applyProtection="1">
      <alignment horizontal="center"/>
      <protection hidden="1"/>
    </xf>
    <xf numFmtId="0" fontId="23" fillId="0" borderId="16" xfId="0" applyFont="1" applyBorder="1" applyAlignment="1" applyProtection="1">
      <alignment vertical="top" wrapText="1"/>
      <protection hidden="1"/>
    </xf>
    <xf numFmtId="0" fontId="23" fillId="0" borderId="17" xfId="0" applyFont="1" applyBorder="1" applyAlignment="1" applyProtection="1">
      <alignment vertical="top" wrapText="1"/>
      <protection hidden="1"/>
    </xf>
    <xf numFmtId="0" fontId="23" fillId="0" borderId="51" xfId="0" applyFont="1" applyBorder="1" applyAlignment="1" applyProtection="1">
      <alignment vertical="top" wrapText="1"/>
      <protection hidden="1"/>
    </xf>
    <xf numFmtId="0" fontId="23" fillId="0" borderId="11" xfId="0" applyFont="1" applyBorder="1" applyAlignment="1" applyProtection="1">
      <alignment vertical="top" wrapText="1"/>
      <protection hidden="1"/>
    </xf>
    <xf numFmtId="0" fontId="23" fillId="0" borderId="52" xfId="0" applyFont="1" applyBorder="1" applyAlignment="1" applyProtection="1">
      <alignment vertical="top" wrapText="1"/>
      <protection hidden="1"/>
    </xf>
    <xf numFmtId="0" fontId="0" fillId="0" borderId="3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 wrapText="1"/>
    </xf>
    <xf numFmtId="0" fontId="0" fillId="10" borderId="24" xfId="0" applyFill="1" applyBorder="1" applyAlignment="1" applyProtection="1">
      <alignment horizontal="center" wrapText="1"/>
      <protection hidden="1"/>
    </xf>
    <xf numFmtId="0" fontId="0" fillId="10" borderId="25" xfId="0" applyFill="1" applyBorder="1" applyAlignment="1" applyProtection="1">
      <alignment horizontal="center"/>
      <protection hidden="1"/>
    </xf>
    <xf numFmtId="0" fontId="0" fillId="10" borderId="18" xfId="0" applyFill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16" fillId="0" borderId="3" xfId="0" applyFont="1" applyBorder="1" applyAlignment="1">
      <alignment horizontal="center" wrapText="1"/>
    </xf>
    <xf numFmtId="0" fontId="0" fillId="0" borderId="2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22" fillId="0" borderId="47" xfId="0" applyFont="1" applyBorder="1" applyAlignment="1" applyProtection="1">
      <alignment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11D"/>
      <color rgb="FFFBBA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D21" lockText="1" noThreeD="1"/>
</file>

<file path=xl/ctrlProps/ctrlProp11.xml><?xml version="1.0" encoding="utf-8"?>
<formControlPr xmlns="http://schemas.microsoft.com/office/spreadsheetml/2009/9/main" objectType="CheckBox" fmlaLink="D20" lockText="1" noThreeD="1"/>
</file>

<file path=xl/ctrlProps/ctrlProp12.xml><?xml version="1.0" encoding="utf-8"?>
<formControlPr xmlns="http://schemas.microsoft.com/office/spreadsheetml/2009/9/main" objectType="CheckBox" fmlaLink="D23" lockText="1" noThreeD="1"/>
</file>

<file path=xl/ctrlProps/ctrlProp13.xml><?xml version="1.0" encoding="utf-8"?>
<formControlPr xmlns="http://schemas.microsoft.com/office/spreadsheetml/2009/9/main" objectType="CheckBox" fmlaLink="D22" lockText="1" noThreeD="1"/>
</file>

<file path=xl/ctrlProps/ctrlProp14.xml><?xml version="1.0" encoding="utf-8"?>
<formControlPr xmlns="http://schemas.microsoft.com/office/spreadsheetml/2009/9/main" objectType="CheckBox" fmlaLink="D33" lockText="1" noThreeD="1"/>
</file>

<file path=xl/ctrlProps/ctrlProp15.xml><?xml version="1.0" encoding="utf-8"?>
<formControlPr xmlns="http://schemas.microsoft.com/office/spreadsheetml/2009/9/main" objectType="CheckBox" fmlaLink="D35" lockText="1" noThreeD="1"/>
</file>

<file path=xl/ctrlProps/ctrlProp16.xml><?xml version="1.0" encoding="utf-8"?>
<formControlPr xmlns="http://schemas.microsoft.com/office/spreadsheetml/2009/9/main" objectType="CheckBox" checked="Checked" fmlaLink="D34" lockText="1" noThreeD="1"/>
</file>

<file path=xl/ctrlProps/ctrlProp17.xml><?xml version="1.0" encoding="utf-8"?>
<formControlPr xmlns="http://schemas.microsoft.com/office/spreadsheetml/2009/9/main" objectType="CheckBox" fmlaLink="D37" lockText="1" noThreeD="1"/>
</file>

<file path=xl/ctrlProps/ctrlProp18.xml><?xml version="1.0" encoding="utf-8"?>
<formControlPr xmlns="http://schemas.microsoft.com/office/spreadsheetml/2009/9/main" objectType="CheckBox" fmlaLink="D36" lockText="1" noThreeD="1"/>
</file>

<file path=xl/ctrlProps/ctrlProp19.xml><?xml version="1.0" encoding="utf-8"?>
<formControlPr xmlns="http://schemas.microsoft.com/office/spreadsheetml/2009/9/main" objectType="CheckBox" fmlaLink="D39" lockText="1" noThreeD="1"/>
</file>

<file path=xl/ctrlProps/ctrlProp2.xml><?xml version="1.0" encoding="utf-8"?>
<formControlPr xmlns="http://schemas.microsoft.com/office/spreadsheetml/2009/9/main" objectType="CheckBox" fmlaLink="$D$16" lockText="1" noThreeD="1"/>
</file>

<file path=xl/ctrlProps/ctrlProp20.xml><?xml version="1.0" encoding="utf-8"?>
<formControlPr xmlns="http://schemas.microsoft.com/office/spreadsheetml/2009/9/main" objectType="CheckBox" checked="Checked" fmlaLink="D38" lockText="1" noThreeD="1"/>
</file>

<file path=xl/ctrlProps/ctrlProp21.xml><?xml version="1.0" encoding="utf-8"?>
<formControlPr xmlns="http://schemas.microsoft.com/office/spreadsheetml/2009/9/main" objectType="CheckBox" fmlaLink="D41" lockText="1" noThreeD="1"/>
</file>

<file path=xl/ctrlProps/ctrlProp22.xml><?xml version="1.0" encoding="utf-8"?>
<formControlPr xmlns="http://schemas.microsoft.com/office/spreadsheetml/2009/9/main" objectType="CheckBox" checked="Checked" fmlaLink="D40" lockText="1" noThreeD="1"/>
</file>

<file path=xl/ctrlProps/ctrlProp23.xml><?xml version="1.0" encoding="utf-8"?>
<formControlPr xmlns="http://schemas.microsoft.com/office/spreadsheetml/2009/9/main" objectType="CheckBox" fmlaLink="D43" lockText="1" noThreeD="1"/>
</file>

<file path=xl/ctrlProps/ctrlProp24.xml><?xml version="1.0" encoding="utf-8"?>
<formControlPr xmlns="http://schemas.microsoft.com/office/spreadsheetml/2009/9/main" objectType="CheckBox" fmlaLink="D42" lockText="1" noThreeD="1"/>
</file>

<file path=xl/ctrlProps/ctrlProp25.xml><?xml version="1.0" encoding="utf-8"?>
<formControlPr xmlns="http://schemas.microsoft.com/office/spreadsheetml/2009/9/main" objectType="CheckBox" fmlaLink="D45" lockText="1" noThreeD="1"/>
</file>

<file path=xl/ctrlProps/ctrlProp26.xml><?xml version="1.0" encoding="utf-8"?>
<formControlPr xmlns="http://schemas.microsoft.com/office/spreadsheetml/2009/9/main" objectType="CheckBox" checked="Checked" fmlaLink="D44" lockText="1" noThreeD="1"/>
</file>

<file path=xl/ctrlProps/ctrlProp27.xml><?xml version="1.0" encoding="utf-8"?>
<formControlPr xmlns="http://schemas.microsoft.com/office/spreadsheetml/2009/9/main" objectType="CheckBox" fmlaLink="D47" lockText="1" noThreeD="1"/>
</file>

<file path=xl/ctrlProps/ctrlProp28.xml><?xml version="1.0" encoding="utf-8"?>
<formControlPr xmlns="http://schemas.microsoft.com/office/spreadsheetml/2009/9/main" objectType="CheckBox" checked="Checked" fmlaLink="D46" lockText="1" noThreeD="1"/>
</file>

<file path=xl/ctrlProps/ctrlProp29.xml><?xml version="1.0" encoding="utf-8"?>
<formControlPr xmlns="http://schemas.microsoft.com/office/spreadsheetml/2009/9/main" objectType="CheckBox" checked="Checked" fmlaLink="D49" lockText="1" noThreeD="1"/>
</file>

<file path=xl/ctrlProps/ctrlProp3.xml><?xml version="1.0" encoding="utf-8"?>
<formControlPr xmlns="http://schemas.microsoft.com/office/spreadsheetml/2009/9/main" objectType="CheckBox" checked="Checked" fmlaLink="$D$15" lockText="1" noThreeD="1"/>
</file>

<file path=xl/ctrlProps/ctrlProp30.xml><?xml version="1.0" encoding="utf-8"?>
<formControlPr xmlns="http://schemas.microsoft.com/office/spreadsheetml/2009/9/main" objectType="CheckBox" fmlaLink="D48" lockText="1" noThreeD="1"/>
</file>

<file path=xl/ctrlProps/ctrlProp31.xml><?xml version="1.0" encoding="utf-8"?>
<formControlPr xmlns="http://schemas.microsoft.com/office/spreadsheetml/2009/9/main" objectType="CheckBox" fmlaLink="D66" lockText="1" noThreeD="1"/>
</file>

<file path=xl/ctrlProps/ctrlProp32.xml><?xml version="1.0" encoding="utf-8"?>
<formControlPr xmlns="http://schemas.microsoft.com/office/spreadsheetml/2009/9/main" objectType="CheckBox" checked="Checked" fmlaLink="D67" lockText="1" noThreeD="1"/>
</file>

<file path=xl/ctrlProps/ctrlProp33.xml><?xml version="1.0" encoding="utf-8"?>
<formControlPr xmlns="http://schemas.microsoft.com/office/spreadsheetml/2009/9/main" objectType="CheckBox" checked="Checked" fmlaLink="D69" lockText="1" noThreeD="1"/>
</file>

<file path=xl/ctrlProps/ctrlProp34.xml><?xml version="1.0" encoding="utf-8"?>
<formControlPr xmlns="http://schemas.microsoft.com/office/spreadsheetml/2009/9/main" objectType="CheckBox" fmlaLink="D68" lockText="1" noThreeD="1"/>
</file>

<file path=xl/ctrlProps/ctrlProp35.xml><?xml version="1.0" encoding="utf-8"?>
<formControlPr xmlns="http://schemas.microsoft.com/office/spreadsheetml/2009/9/main" objectType="CheckBox" checked="Checked" fmlaLink="D71" lockText="1" noThreeD="1"/>
</file>

<file path=xl/ctrlProps/ctrlProp36.xml><?xml version="1.0" encoding="utf-8"?>
<formControlPr xmlns="http://schemas.microsoft.com/office/spreadsheetml/2009/9/main" objectType="CheckBox" checked="Checked" fmlaLink="D70" lockText="1" noThreeD="1"/>
</file>

<file path=xl/ctrlProps/ctrlProp37.xml><?xml version="1.0" encoding="utf-8"?>
<formControlPr xmlns="http://schemas.microsoft.com/office/spreadsheetml/2009/9/main" objectType="CheckBox" fmlaLink="D73" lockText="1" noThreeD="1"/>
</file>

<file path=xl/ctrlProps/ctrlProp38.xml><?xml version="1.0" encoding="utf-8"?>
<formControlPr xmlns="http://schemas.microsoft.com/office/spreadsheetml/2009/9/main" objectType="CheckBox" checked="Checked" fmlaLink="D72" lockText="1" noThreeD="1"/>
</file>

<file path=xl/ctrlProps/ctrlProp39.xml><?xml version="1.0" encoding="utf-8"?>
<formControlPr xmlns="http://schemas.microsoft.com/office/spreadsheetml/2009/9/main" objectType="CheckBox" fmlaLink="D75" lockText="1" noThreeD="1"/>
</file>

<file path=xl/ctrlProps/ctrlProp4.xml><?xml version="1.0" encoding="utf-8"?>
<formControlPr xmlns="http://schemas.microsoft.com/office/spreadsheetml/2009/9/main" objectType="CheckBox" fmlaLink="$D$14" lockText="1" noThreeD="1"/>
</file>

<file path=xl/ctrlProps/ctrlProp40.xml><?xml version="1.0" encoding="utf-8"?>
<formControlPr xmlns="http://schemas.microsoft.com/office/spreadsheetml/2009/9/main" objectType="CheckBox" checked="Checked" fmlaLink="D74" lockText="1" noThreeD="1"/>
</file>

<file path=xl/ctrlProps/ctrlProp41.xml><?xml version="1.0" encoding="utf-8"?>
<formControlPr xmlns="http://schemas.microsoft.com/office/spreadsheetml/2009/9/main" objectType="CheckBox" checked="Checked" fmlaLink="D77" lockText="1" noThreeD="1"/>
</file>

<file path=xl/ctrlProps/ctrlProp42.xml><?xml version="1.0" encoding="utf-8"?>
<formControlPr xmlns="http://schemas.microsoft.com/office/spreadsheetml/2009/9/main" objectType="CheckBox" checked="Checked" fmlaLink="D76" lockText="1" noThreeD="1"/>
</file>

<file path=xl/ctrlProps/ctrlProp43.xml><?xml version="1.0" encoding="utf-8"?>
<formControlPr xmlns="http://schemas.microsoft.com/office/spreadsheetml/2009/9/main" objectType="CheckBox" checked="Checked" fmlaLink="D79" lockText="1" noThreeD="1"/>
</file>

<file path=xl/ctrlProps/ctrlProp44.xml><?xml version="1.0" encoding="utf-8"?>
<formControlPr xmlns="http://schemas.microsoft.com/office/spreadsheetml/2009/9/main" objectType="CheckBox" fmlaLink="D78" lockText="1" noThreeD="1"/>
</file>

<file path=xl/ctrlProps/ctrlProp45.xml><?xml version="1.0" encoding="utf-8"?>
<formControlPr xmlns="http://schemas.microsoft.com/office/spreadsheetml/2009/9/main" objectType="CheckBox" checked="Checked" fmlaLink="D81" lockText="1" noThreeD="1"/>
</file>

<file path=xl/ctrlProps/ctrlProp46.xml><?xml version="1.0" encoding="utf-8"?>
<formControlPr xmlns="http://schemas.microsoft.com/office/spreadsheetml/2009/9/main" objectType="CheckBox" checked="Checked" fmlaLink="D80" lockText="1" noThreeD="1"/>
</file>

<file path=xl/ctrlProps/ctrlProp47.xml><?xml version="1.0" encoding="utf-8"?>
<formControlPr xmlns="http://schemas.microsoft.com/office/spreadsheetml/2009/9/main" objectType="CheckBox" fmlaLink="D83" lockText="1" noThreeD="1"/>
</file>

<file path=xl/ctrlProps/ctrlProp48.xml><?xml version="1.0" encoding="utf-8"?>
<formControlPr xmlns="http://schemas.microsoft.com/office/spreadsheetml/2009/9/main" objectType="CheckBox" fmlaLink="D82" lockText="1" noThreeD="1"/>
</file>

<file path=xl/ctrlProps/ctrlProp49.xml><?xml version="1.0" encoding="utf-8"?>
<formControlPr xmlns="http://schemas.microsoft.com/office/spreadsheetml/2009/9/main" objectType="CheckBox" fmlaLink="D85" lockText="1" noThreeD="1"/>
</file>

<file path=xl/ctrlProps/ctrlProp5.xml><?xml version="1.0" encoding="utf-8"?>
<formControlPr xmlns="http://schemas.microsoft.com/office/spreadsheetml/2009/9/main" objectType="CheckBox" fmlaLink="$D$13" lockText="1" noThreeD="1"/>
</file>

<file path=xl/ctrlProps/ctrlProp50.xml><?xml version="1.0" encoding="utf-8"?>
<formControlPr xmlns="http://schemas.microsoft.com/office/spreadsheetml/2009/9/main" objectType="CheckBox" checked="Checked" fmlaLink="D84" lockText="1" noThreeD="1"/>
</file>

<file path=xl/ctrlProps/ctrlProp51.xml><?xml version="1.0" encoding="utf-8"?>
<formControlPr xmlns="http://schemas.microsoft.com/office/spreadsheetml/2009/9/main" objectType="CheckBox" checked="Checked" fmlaLink="D86" lockText="1" noThreeD="1"/>
</file>

<file path=xl/ctrlProps/ctrlProp52.xml><?xml version="1.0" encoding="utf-8"?>
<formControlPr xmlns="http://schemas.microsoft.com/office/spreadsheetml/2009/9/main" objectType="CheckBox" checked="Checked" fmlaLink="D101" lockText="1" noThreeD="1"/>
</file>

<file path=xl/ctrlProps/ctrlProp53.xml><?xml version="1.0" encoding="utf-8"?>
<formControlPr xmlns="http://schemas.microsoft.com/office/spreadsheetml/2009/9/main" objectType="CheckBox" checked="Checked" fmlaLink="D102" lockText="1" noThreeD="1"/>
</file>

<file path=xl/ctrlProps/ctrlProp54.xml><?xml version="1.0" encoding="utf-8"?>
<formControlPr xmlns="http://schemas.microsoft.com/office/spreadsheetml/2009/9/main" objectType="CheckBox" fmlaLink="D103" lockText="1" noThreeD="1"/>
</file>

<file path=xl/ctrlProps/ctrlProp55.xml><?xml version="1.0" encoding="utf-8"?>
<formControlPr xmlns="http://schemas.microsoft.com/office/spreadsheetml/2009/9/main" objectType="CheckBox" fmlaLink="D105" lockText="1" noThreeD="1"/>
</file>

<file path=xl/ctrlProps/ctrlProp56.xml><?xml version="1.0" encoding="utf-8"?>
<formControlPr xmlns="http://schemas.microsoft.com/office/spreadsheetml/2009/9/main" objectType="CheckBox" checked="Checked" fmlaLink="D104" lockText="1" noThreeD="1"/>
</file>

<file path=xl/ctrlProps/ctrlProp57.xml><?xml version="1.0" encoding="utf-8"?>
<formControlPr xmlns="http://schemas.microsoft.com/office/spreadsheetml/2009/9/main" objectType="CheckBox" checked="Checked" fmlaLink="D112" lockText="1" noThreeD="1"/>
</file>

<file path=xl/ctrlProps/ctrlProp58.xml><?xml version="1.0" encoding="utf-8"?>
<formControlPr xmlns="http://schemas.microsoft.com/office/spreadsheetml/2009/9/main" objectType="CheckBox" checked="Checked" fmlaLink="D118" lockText="1" noThreeD="1"/>
</file>

<file path=xl/ctrlProps/ctrlProp59.xml><?xml version="1.0" encoding="utf-8"?>
<formControlPr xmlns="http://schemas.microsoft.com/office/spreadsheetml/2009/9/main" objectType="CheckBox" checked="Checked" fmlaLink="D119" lockText="1" noThreeD="1"/>
</file>

<file path=xl/ctrlProps/ctrlProp6.xml><?xml version="1.0" encoding="utf-8"?>
<formControlPr xmlns="http://schemas.microsoft.com/office/spreadsheetml/2009/9/main" objectType="CheckBox" fmlaLink="$D$12" lockText="1" noThreeD="1"/>
</file>

<file path=xl/ctrlProps/ctrlProp60.xml><?xml version="1.0" encoding="utf-8"?>
<formControlPr xmlns="http://schemas.microsoft.com/office/spreadsheetml/2009/9/main" objectType="CheckBox" checked="Checked" fmlaLink="D12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fmlaLink="$D$11" lockText="1" noThreeD="1"/>
</file>

<file path=xl/ctrlProps/ctrlProp63.xml><?xml version="1.0" encoding="utf-8"?>
<formControlPr xmlns="http://schemas.microsoft.com/office/spreadsheetml/2009/9/main" objectType="CheckBox" checked="Checked" fmlaLink="D24" lockText="1" noThreeD="1"/>
</file>

<file path=xl/ctrlProps/ctrlProp64.xml><?xml version="1.0" encoding="utf-8"?>
<formControlPr xmlns="http://schemas.microsoft.com/office/spreadsheetml/2009/9/main" objectType="CheckBox" fmlaLink="D25" lockText="1" noThreeD="1"/>
</file>

<file path=xl/ctrlProps/ctrlProp65.xml><?xml version="1.0" encoding="utf-8"?>
<formControlPr xmlns="http://schemas.microsoft.com/office/spreadsheetml/2009/9/main" objectType="CheckBox" checked="Checked" fmlaLink="D26" lockText="1" noThreeD="1"/>
</file>

<file path=xl/ctrlProps/ctrlProp66.xml><?xml version="1.0" encoding="utf-8"?>
<formControlPr xmlns="http://schemas.microsoft.com/office/spreadsheetml/2009/9/main" objectType="CheckBox" fmlaLink="D27" lockText="1" noThreeD="1"/>
</file>

<file path=xl/ctrlProps/ctrlProp67.xml><?xml version="1.0" encoding="utf-8"?>
<formControlPr xmlns="http://schemas.microsoft.com/office/spreadsheetml/2009/9/main" objectType="CheckBox" fmlaLink="D28" lockText="1" noThreeD="1"/>
</file>

<file path=xl/ctrlProps/ctrlProp68.xml><?xml version="1.0" encoding="utf-8"?>
<formControlPr xmlns="http://schemas.microsoft.com/office/spreadsheetml/2009/9/main" objectType="CheckBox" checked="Checked" fmlaLink="D29" lockText="1" noThreeD="1"/>
</file>

<file path=xl/ctrlProps/ctrlProp69.xml><?xml version="1.0" encoding="utf-8"?>
<formControlPr xmlns="http://schemas.microsoft.com/office/spreadsheetml/2009/9/main" objectType="CheckBox" fmlaLink="D50" lockText="1" noThreeD="1"/>
</file>

<file path=xl/ctrlProps/ctrlProp7.xml><?xml version="1.0" encoding="utf-8"?>
<formControlPr xmlns="http://schemas.microsoft.com/office/spreadsheetml/2009/9/main" objectType="CheckBox" fmlaLink="$D$17" lockText="1" noThreeD="1"/>
</file>

<file path=xl/ctrlProps/ctrlProp70.xml><?xml version="1.0" encoding="utf-8"?>
<formControlPr xmlns="http://schemas.microsoft.com/office/spreadsheetml/2009/9/main" objectType="CheckBox" fmlaLink="D51" lockText="1" noThreeD="1"/>
</file>

<file path=xl/ctrlProps/ctrlProp71.xml><?xml version="1.0" encoding="utf-8"?>
<formControlPr xmlns="http://schemas.microsoft.com/office/spreadsheetml/2009/9/main" objectType="CheckBox" fmlaLink="D52" lockText="1" noThreeD="1"/>
</file>

<file path=xl/ctrlProps/ctrlProp72.xml><?xml version="1.0" encoding="utf-8"?>
<formControlPr xmlns="http://schemas.microsoft.com/office/spreadsheetml/2009/9/main" objectType="CheckBox" fmlaLink="D53" lockText="1" noThreeD="1"/>
</file>

<file path=xl/ctrlProps/ctrlProp73.xml><?xml version="1.0" encoding="utf-8"?>
<formControlPr xmlns="http://schemas.microsoft.com/office/spreadsheetml/2009/9/main" objectType="CheckBox" fmlaLink="D54" lockText="1" noThreeD="1"/>
</file>

<file path=xl/ctrlProps/ctrlProp74.xml><?xml version="1.0" encoding="utf-8"?>
<formControlPr xmlns="http://schemas.microsoft.com/office/spreadsheetml/2009/9/main" objectType="CheckBox" fmlaLink="D55" lockText="1" noThreeD="1"/>
</file>

<file path=xl/ctrlProps/ctrlProp75.xml><?xml version="1.0" encoding="utf-8"?>
<formControlPr xmlns="http://schemas.microsoft.com/office/spreadsheetml/2009/9/main" objectType="CheckBox" fmlaLink="D56" lockText="1" noThreeD="1"/>
</file>

<file path=xl/ctrlProps/ctrlProp76.xml><?xml version="1.0" encoding="utf-8"?>
<formControlPr xmlns="http://schemas.microsoft.com/office/spreadsheetml/2009/9/main" objectType="CheckBox" fmlaLink="D57" lockText="1" noThreeD="1"/>
</file>

<file path=xl/ctrlProps/ctrlProp77.xml><?xml version="1.0" encoding="utf-8"?>
<formControlPr xmlns="http://schemas.microsoft.com/office/spreadsheetml/2009/9/main" objectType="CheckBox" fmlaLink="D58" lockText="1" noThreeD="1"/>
</file>

<file path=xl/ctrlProps/ctrlProp78.xml><?xml version="1.0" encoding="utf-8"?>
<formControlPr xmlns="http://schemas.microsoft.com/office/spreadsheetml/2009/9/main" objectType="CheckBox" fmlaLink="D87" lockText="1" noThreeD="1"/>
</file>

<file path=xl/ctrlProps/ctrlProp79.xml><?xml version="1.0" encoding="utf-8"?>
<formControlPr xmlns="http://schemas.microsoft.com/office/spreadsheetml/2009/9/main" objectType="CheckBox" fmlaLink="D88" lockText="1" noThreeD="1"/>
</file>

<file path=xl/ctrlProps/ctrlProp8.xml><?xml version="1.0" encoding="utf-8"?>
<formControlPr xmlns="http://schemas.microsoft.com/office/spreadsheetml/2009/9/main" objectType="CheckBox" fmlaLink="D19" lockText="1" noThreeD="1"/>
</file>

<file path=xl/ctrlProps/ctrlProp80.xml><?xml version="1.0" encoding="utf-8"?>
<formControlPr xmlns="http://schemas.microsoft.com/office/spreadsheetml/2009/9/main" objectType="CheckBox" fmlaLink="D89" lockText="1" noThreeD="1"/>
</file>

<file path=xl/ctrlProps/ctrlProp81.xml><?xml version="1.0" encoding="utf-8"?>
<formControlPr xmlns="http://schemas.microsoft.com/office/spreadsheetml/2009/9/main" objectType="CheckBox" fmlaLink="D90" lockText="1" noThreeD="1"/>
</file>

<file path=xl/ctrlProps/ctrlProp82.xml><?xml version="1.0" encoding="utf-8"?>
<formControlPr xmlns="http://schemas.microsoft.com/office/spreadsheetml/2009/9/main" objectType="CheckBox" fmlaLink="D91" lockText="1" noThreeD="1"/>
</file>

<file path=xl/ctrlProps/ctrlProp83.xml><?xml version="1.0" encoding="utf-8"?>
<formControlPr xmlns="http://schemas.microsoft.com/office/spreadsheetml/2009/9/main" objectType="CheckBox" fmlaLink="D92" lockText="1" noThreeD="1"/>
</file>

<file path=xl/ctrlProps/ctrlProp84.xml><?xml version="1.0" encoding="utf-8"?>
<formControlPr xmlns="http://schemas.microsoft.com/office/spreadsheetml/2009/9/main" objectType="CheckBox" fmlaLink="D93" lockText="1" noThreeD="1"/>
</file>

<file path=xl/ctrlProps/ctrlProp85.xml><?xml version="1.0" encoding="utf-8"?>
<formControlPr xmlns="http://schemas.microsoft.com/office/spreadsheetml/2009/9/main" objectType="CheckBox" fmlaLink="D94" lockText="1" noThreeD="1"/>
</file>

<file path=xl/ctrlProps/ctrlProp86.xml><?xml version="1.0" encoding="utf-8"?>
<formControlPr xmlns="http://schemas.microsoft.com/office/spreadsheetml/2009/9/main" objectType="CheckBox" fmlaLink="D95" lockText="1" noThreeD="1"/>
</file>

<file path=xl/ctrlProps/ctrlProp87.xml><?xml version="1.0" encoding="utf-8"?>
<formControlPr xmlns="http://schemas.microsoft.com/office/spreadsheetml/2009/9/main" objectType="CheckBox" fmlaLink="D96" lockText="1" noThreeD="1"/>
</file>

<file path=xl/ctrlProps/ctrlProp88.xml><?xml version="1.0" encoding="utf-8"?>
<formControlPr xmlns="http://schemas.microsoft.com/office/spreadsheetml/2009/9/main" objectType="CheckBox" fmlaLink="D97" lockText="1" noThreeD="1"/>
</file>

<file path=xl/ctrlProps/ctrlProp9.xml><?xml version="1.0" encoding="utf-8"?>
<formControlPr xmlns="http://schemas.microsoft.com/office/spreadsheetml/2009/9/main" objectType="CheckBox" fmlaLink="D18" lockText="1" noThreeD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comments" Target="../comments1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6"/>
  <sheetViews>
    <sheetView tabSelected="1" zoomScale="85" zoomScaleNormal="85" workbookViewId="0">
      <pane ySplit="1" topLeftCell="A2" activePane="bottomLeft" state="frozen"/>
      <selection activeCell="B1" sqref="B1"/>
      <selection pane="bottomLeft" activeCell="M6" sqref="M6"/>
    </sheetView>
  </sheetViews>
  <sheetFormatPr defaultRowHeight="15"/>
  <cols>
    <col min="1" max="1" width="23.42578125" customWidth="1"/>
    <col min="2" max="2" width="3.7109375" customWidth="1"/>
    <col min="3" max="3" width="3.28515625" customWidth="1"/>
    <col min="5" max="5" width="8.140625" customWidth="1"/>
    <col min="6" max="6" width="13.85546875" customWidth="1"/>
    <col min="7" max="7" width="10.5703125" customWidth="1"/>
    <col min="8" max="8" width="9.140625" customWidth="1"/>
    <col min="9" max="9" width="10.85546875" customWidth="1"/>
    <col min="10" max="10" width="15.28515625" customWidth="1"/>
    <col min="11" max="11" width="19.42578125" customWidth="1"/>
    <col min="12" max="12" width="27.140625" customWidth="1"/>
    <col min="13" max="13" width="25.42578125" customWidth="1"/>
    <col min="14" max="14" width="26.5703125" customWidth="1"/>
    <col min="15" max="15" width="27.5703125" customWidth="1"/>
    <col min="16" max="16" width="24" customWidth="1"/>
  </cols>
  <sheetData>
    <row r="1" spans="1:16" ht="15.75" thickBot="1">
      <c r="E1" s="19"/>
      <c r="F1" s="204" t="s">
        <v>5</v>
      </c>
      <c r="G1" s="204"/>
      <c r="H1" s="204"/>
      <c r="I1" s="204"/>
      <c r="J1" s="27" t="s">
        <v>10</v>
      </c>
      <c r="K1" s="8" t="s">
        <v>12</v>
      </c>
      <c r="L1" s="9" t="s">
        <v>11</v>
      </c>
      <c r="M1" s="8" t="s">
        <v>15</v>
      </c>
      <c r="N1" s="7" t="s">
        <v>13</v>
      </c>
      <c r="O1" s="6" t="s">
        <v>14</v>
      </c>
      <c r="P1" s="25" t="s">
        <v>19</v>
      </c>
    </row>
    <row r="3" spans="1:16" ht="15.75">
      <c r="E3" s="209" t="s">
        <v>200</v>
      </c>
      <c r="F3" s="210"/>
      <c r="G3" s="210"/>
      <c r="H3" s="210"/>
      <c r="I3" s="210"/>
      <c r="J3" s="211"/>
      <c r="O3" s="1"/>
      <c r="P3" s="1"/>
    </row>
    <row r="4" spans="1:16" ht="15.75" thickBot="1"/>
    <row r="5" spans="1:16" ht="15.75">
      <c r="A5" s="22" t="s">
        <v>0</v>
      </c>
      <c r="D5" s="20" t="s">
        <v>1</v>
      </c>
      <c r="F5" s="20" t="s">
        <v>2</v>
      </c>
      <c r="G5" s="1"/>
      <c r="H5" s="21" t="s">
        <v>3</v>
      </c>
    </row>
    <row r="6" spans="1:16" ht="15.75" thickBot="1">
      <c r="A6" s="39">
        <v>0</v>
      </c>
      <c r="D6" s="40">
        <v>0</v>
      </c>
      <c r="F6" s="41">
        <v>22</v>
      </c>
      <c r="H6" s="41">
        <v>20</v>
      </c>
      <c r="L6" s="26"/>
    </row>
    <row r="7" spans="1:16">
      <c r="D7" s="109" t="s">
        <v>4</v>
      </c>
    </row>
    <row r="8" spans="1:16" ht="15.75" thickBot="1">
      <c r="D8" s="41">
        <v>0</v>
      </c>
    </row>
    <row r="9" spans="1:16" ht="23.25">
      <c r="D9" s="133" t="s">
        <v>17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6" ht="15.75" thickBot="1"/>
    <row r="11" spans="1:16" ht="15.75" thickBot="1">
      <c r="E11" s="19"/>
      <c r="F11" s="204" t="s">
        <v>199</v>
      </c>
      <c r="G11" s="204"/>
      <c r="H11" s="204"/>
      <c r="I11" s="204"/>
      <c r="J11" s="27" t="s">
        <v>10</v>
      </c>
      <c r="K11" s="8" t="s">
        <v>12</v>
      </c>
      <c r="L11" s="53" t="s">
        <v>11</v>
      </c>
      <c r="M11" s="54" t="s">
        <v>15</v>
      </c>
      <c r="N11" s="55" t="s">
        <v>13</v>
      </c>
      <c r="O11" s="56" t="s">
        <v>14</v>
      </c>
      <c r="P11" s="57" t="s">
        <v>19</v>
      </c>
    </row>
    <row r="12" spans="1:16" ht="16.5" thickBot="1">
      <c r="D12" s="42" t="b">
        <v>0</v>
      </c>
      <c r="E12" s="43"/>
      <c r="F12" s="205" t="s">
        <v>56</v>
      </c>
      <c r="G12" s="206"/>
      <c r="H12" s="206"/>
      <c r="I12" s="207"/>
      <c r="J12" s="98">
        <v>100</v>
      </c>
      <c r="K12" s="99">
        <v>0</v>
      </c>
      <c r="L12" s="58">
        <f>(J12*D12)</f>
        <v>0</v>
      </c>
      <c r="M12" s="58">
        <f>ROUNDUP(IF($F$6&gt;25,IF($F$6&gt;40,K12*3/$H$6,K12*2/$H$6),K12/$H$6),0)</f>
        <v>0</v>
      </c>
      <c r="N12" s="58">
        <f>ROUNDUP(L12*$F$6/$H$6,0)</f>
        <v>0</v>
      </c>
      <c r="O12" s="59">
        <f>(M12*D12)+N12</f>
        <v>0</v>
      </c>
      <c r="P12" s="58">
        <f>D12*20</f>
        <v>0</v>
      </c>
    </row>
    <row r="13" spans="1:16" ht="16.5" thickBot="1">
      <c r="D13" s="44" t="b">
        <v>0</v>
      </c>
      <c r="E13" s="45"/>
      <c r="F13" s="205" t="s">
        <v>57</v>
      </c>
      <c r="G13" s="206"/>
      <c r="H13" s="206"/>
      <c r="I13" s="207"/>
      <c r="J13" s="98">
        <v>100</v>
      </c>
      <c r="K13" s="101"/>
      <c r="L13" s="60">
        <f t="shared" ref="L13:L77" si="0">(J13*D13)</f>
        <v>0</v>
      </c>
      <c r="M13" s="60">
        <f t="shared" ref="M13:M77" si="1">ROUNDUP(IF($F$6&gt;25,IF($F$6&gt;40,K13*3/$H$6,K13*2/$H$6),K13/$H$6),0)</f>
        <v>0</v>
      </c>
      <c r="N13" s="60">
        <f t="shared" ref="N13:N77" si="2">ROUNDUP(L13*$F$6/$H$6,0)</f>
        <v>0</v>
      </c>
      <c r="O13" s="61">
        <f t="shared" ref="O13:O77" si="3">(M13*D13)+N13</f>
        <v>0</v>
      </c>
      <c r="P13" s="60"/>
    </row>
    <row r="14" spans="1:16" ht="16.5" thickBot="1">
      <c r="D14" s="44" t="b">
        <v>0</v>
      </c>
      <c r="E14" s="45"/>
      <c r="F14" s="205" t="s">
        <v>58</v>
      </c>
      <c r="G14" s="206"/>
      <c r="H14" s="206"/>
      <c r="I14" s="207"/>
      <c r="J14" s="98">
        <v>100</v>
      </c>
      <c r="K14" s="101"/>
      <c r="L14" s="60">
        <f t="shared" si="0"/>
        <v>0</v>
      </c>
      <c r="M14" s="60">
        <f t="shared" si="1"/>
        <v>0</v>
      </c>
      <c r="N14" s="60">
        <f t="shared" si="2"/>
        <v>0</v>
      </c>
      <c r="O14" s="61">
        <f t="shared" si="3"/>
        <v>0</v>
      </c>
      <c r="P14" s="60"/>
    </row>
    <row r="15" spans="1:16" ht="16.5" thickBot="1">
      <c r="D15" s="44" t="b">
        <v>0</v>
      </c>
      <c r="E15" s="45"/>
      <c r="F15" s="205" t="s">
        <v>59</v>
      </c>
      <c r="G15" s="206"/>
      <c r="H15" s="206"/>
      <c r="I15" s="207"/>
      <c r="J15" s="98">
        <v>100</v>
      </c>
      <c r="K15" s="101">
        <v>500</v>
      </c>
      <c r="L15" s="60">
        <f t="shared" si="0"/>
        <v>0</v>
      </c>
      <c r="M15" s="60">
        <f>ROUNDUP(IF($F$6&gt;25,IF($F$6&gt;40,K15*3/$H$6,K15*2/$H$6),K15/$H$6),0)</f>
        <v>25</v>
      </c>
      <c r="N15" s="60">
        <f t="shared" si="2"/>
        <v>0</v>
      </c>
      <c r="O15" s="61">
        <f t="shared" si="3"/>
        <v>0</v>
      </c>
      <c r="P15" s="60">
        <f>D15*70</f>
        <v>0</v>
      </c>
    </row>
    <row r="16" spans="1:16" ht="16.5" thickBot="1">
      <c r="D16" s="44" t="b">
        <v>0</v>
      </c>
      <c r="E16" s="45"/>
      <c r="F16" s="205" t="s">
        <v>60</v>
      </c>
      <c r="G16" s="206"/>
      <c r="H16" s="206"/>
      <c r="I16" s="207"/>
      <c r="J16" s="98">
        <v>100</v>
      </c>
      <c r="K16" s="101"/>
      <c r="L16" s="60">
        <f t="shared" si="0"/>
        <v>0</v>
      </c>
      <c r="M16" s="60">
        <f t="shared" si="1"/>
        <v>0</v>
      </c>
      <c r="N16" s="60">
        <f t="shared" si="2"/>
        <v>0</v>
      </c>
      <c r="O16" s="61">
        <f t="shared" si="3"/>
        <v>0</v>
      </c>
      <c r="P16" s="60"/>
    </row>
    <row r="17" spans="4:16" ht="16.5" thickBot="1">
      <c r="D17" s="44" t="b">
        <v>0</v>
      </c>
      <c r="E17" s="45"/>
      <c r="F17" s="205" t="s">
        <v>61</v>
      </c>
      <c r="G17" s="206"/>
      <c r="H17" s="206"/>
      <c r="I17" s="207"/>
      <c r="J17" s="98">
        <v>100</v>
      </c>
      <c r="K17" s="101"/>
      <c r="L17" s="60">
        <f t="shared" si="0"/>
        <v>0</v>
      </c>
      <c r="M17" s="60">
        <f t="shared" si="1"/>
        <v>0</v>
      </c>
      <c r="N17" s="60">
        <f t="shared" si="2"/>
        <v>0</v>
      </c>
      <c r="O17" s="61">
        <f t="shared" si="3"/>
        <v>0</v>
      </c>
      <c r="P17" s="60"/>
    </row>
    <row r="18" spans="4:16" s="26" customFormat="1" ht="16.5" thickBot="1">
      <c r="D18" s="46" t="b">
        <v>0</v>
      </c>
      <c r="E18" s="47"/>
      <c r="F18" s="205" t="s">
        <v>62</v>
      </c>
      <c r="G18" s="206"/>
      <c r="H18" s="206"/>
      <c r="I18" s="207"/>
      <c r="J18" s="98">
        <v>100</v>
      </c>
      <c r="K18" s="103">
        <v>500</v>
      </c>
      <c r="L18" s="62">
        <f t="shared" si="0"/>
        <v>0</v>
      </c>
      <c r="M18" s="62">
        <f>ROUNDUP(IF($F$6&gt;10,IF($F$6&gt;20,IF($F$6&gt;30,IF($F$6&gt;40,K18*5/$H$6,K18*4/$H$6),K18*3/$H$6),K18*2/$H$6),K18/$H$6),-1)</f>
        <v>80</v>
      </c>
      <c r="N18" s="62">
        <f t="shared" si="2"/>
        <v>0</v>
      </c>
      <c r="O18" s="63">
        <f t="shared" si="3"/>
        <v>0</v>
      </c>
      <c r="P18" s="62"/>
    </row>
    <row r="19" spans="4:16" s="26" customFormat="1" ht="16.5" thickBot="1">
      <c r="D19" s="46" t="b">
        <v>0</v>
      </c>
      <c r="E19" s="47"/>
      <c r="F19" s="205" t="s">
        <v>63</v>
      </c>
      <c r="G19" s="206"/>
      <c r="H19" s="206"/>
      <c r="I19" s="207"/>
      <c r="J19" s="98">
        <v>100</v>
      </c>
      <c r="K19" s="103"/>
      <c r="L19" s="60">
        <f t="shared" si="0"/>
        <v>0</v>
      </c>
      <c r="M19" s="60">
        <f t="shared" si="1"/>
        <v>0</v>
      </c>
      <c r="N19" s="60">
        <f t="shared" si="2"/>
        <v>0</v>
      </c>
      <c r="O19" s="61">
        <f t="shared" si="3"/>
        <v>0</v>
      </c>
      <c r="P19" s="62"/>
    </row>
    <row r="20" spans="4:16" s="26" customFormat="1" ht="16.5" thickBot="1">
      <c r="D20" s="46" t="b">
        <v>0</v>
      </c>
      <c r="E20" s="47"/>
      <c r="F20" s="205" t="s">
        <v>64</v>
      </c>
      <c r="G20" s="206"/>
      <c r="H20" s="206"/>
      <c r="I20" s="207"/>
      <c r="J20" s="98">
        <v>100</v>
      </c>
      <c r="K20" s="103"/>
      <c r="L20" s="60">
        <f t="shared" si="0"/>
        <v>0</v>
      </c>
      <c r="M20" s="60">
        <f t="shared" si="1"/>
        <v>0</v>
      </c>
      <c r="N20" s="60">
        <f t="shared" si="2"/>
        <v>0</v>
      </c>
      <c r="O20" s="61">
        <f t="shared" si="3"/>
        <v>0</v>
      </c>
      <c r="P20" s="62"/>
    </row>
    <row r="21" spans="4:16" ht="16.5" thickBot="1">
      <c r="D21" s="44" t="b">
        <v>0</v>
      </c>
      <c r="E21" s="45"/>
      <c r="F21" s="205" t="s">
        <v>65</v>
      </c>
      <c r="G21" s="206"/>
      <c r="H21" s="206"/>
      <c r="I21" s="207"/>
      <c r="J21" s="98">
        <v>100</v>
      </c>
      <c r="K21" s="101">
        <v>800</v>
      </c>
      <c r="L21" s="60">
        <f t="shared" si="0"/>
        <v>0</v>
      </c>
      <c r="M21" s="60">
        <f t="shared" si="1"/>
        <v>40</v>
      </c>
      <c r="N21" s="60">
        <f t="shared" si="2"/>
        <v>0</v>
      </c>
      <c r="O21" s="61">
        <f t="shared" si="3"/>
        <v>0</v>
      </c>
      <c r="P21" s="60">
        <f>D21*100</f>
        <v>0</v>
      </c>
    </row>
    <row r="22" spans="4:16" ht="16.5" thickBot="1">
      <c r="D22" s="44" t="b">
        <v>0</v>
      </c>
      <c r="E22" s="45"/>
      <c r="F22" s="205" t="s">
        <v>66</v>
      </c>
      <c r="G22" s="206"/>
      <c r="H22" s="206"/>
      <c r="I22" s="207"/>
      <c r="J22" s="98">
        <v>100</v>
      </c>
      <c r="K22" s="101">
        <v>400</v>
      </c>
      <c r="L22" s="60">
        <f t="shared" si="0"/>
        <v>0</v>
      </c>
      <c r="M22" s="60">
        <f t="shared" si="1"/>
        <v>20</v>
      </c>
      <c r="N22" s="60">
        <f t="shared" si="2"/>
        <v>0</v>
      </c>
      <c r="O22" s="61">
        <f t="shared" si="3"/>
        <v>0</v>
      </c>
      <c r="P22" s="60">
        <f>D22*80</f>
        <v>0</v>
      </c>
    </row>
    <row r="23" spans="4:16" ht="16.5" thickBot="1">
      <c r="D23" s="44" t="b">
        <v>0</v>
      </c>
      <c r="E23" s="45"/>
      <c r="F23" s="205" t="s">
        <v>67</v>
      </c>
      <c r="G23" s="206"/>
      <c r="H23" s="206"/>
      <c r="I23" s="207"/>
      <c r="J23" s="98">
        <v>100</v>
      </c>
      <c r="K23" s="101"/>
      <c r="L23" s="60">
        <f t="shared" si="0"/>
        <v>0</v>
      </c>
      <c r="M23" s="60">
        <f t="shared" si="1"/>
        <v>0</v>
      </c>
      <c r="N23" s="60">
        <f t="shared" si="2"/>
        <v>0</v>
      </c>
      <c r="O23" s="61">
        <f t="shared" si="3"/>
        <v>0</v>
      </c>
      <c r="P23" s="60"/>
    </row>
    <row r="24" spans="4:16" ht="16.5" thickBot="1">
      <c r="D24" s="44" t="b">
        <v>0</v>
      </c>
      <c r="E24" s="45"/>
      <c r="F24" s="205" t="s">
        <v>68</v>
      </c>
      <c r="G24" s="206"/>
      <c r="H24" s="206"/>
      <c r="I24" s="207"/>
      <c r="J24" s="98">
        <v>100</v>
      </c>
      <c r="K24" s="101">
        <v>700</v>
      </c>
      <c r="L24" s="60">
        <f t="shared" si="0"/>
        <v>0</v>
      </c>
      <c r="M24" s="60">
        <f t="shared" si="1"/>
        <v>35</v>
      </c>
      <c r="N24" s="60">
        <f t="shared" si="2"/>
        <v>0</v>
      </c>
      <c r="O24" s="61">
        <f t="shared" si="3"/>
        <v>0</v>
      </c>
      <c r="P24" s="60">
        <f>D24*70</f>
        <v>0</v>
      </c>
    </row>
    <row r="25" spans="4:16" ht="16.5" thickBot="1">
      <c r="D25" s="44" t="b">
        <v>0</v>
      </c>
      <c r="E25" s="45"/>
      <c r="F25" s="205" t="s">
        <v>69</v>
      </c>
      <c r="G25" s="206"/>
      <c r="H25" s="206"/>
      <c r="I25" s="207"/>
      <c r="J25" s="98">
        <v>100</v>
      </c>
      <c r="K25" s="101">
        <v>500</v>
      </c>
      <c r="L25" s="60">
        <f t="shared" si="0"/>
        <v>0</v>
      </c>
      <c r="M25" s="60">
        <f t="shared" si="1"/>
        <v>25</v>
      </c>
      <c r="N25" s="60">
        <f t="shared" si="2"/>
        <v>0</v>
      </c>
      <c r="O25" s="61">
        <f t="shared" si="3"/>
        <v>0</v>
      </c>
      <c r="P25" s="60">
        <f>D25*20</f>
        <v>0</v>
      </c>
    </row>
    <row r="26" spans="4:16" ht="16.5" thickBot="1">
      <c r="D26" s="44" t="b">
        <v>0</v>
      </c>
      <c r="E26" s="45"/>
      <c r="F26" s="205" t="s">
        <v>70</v>
      </c>
      <c r="G26" s="206"/>
      <c r="H26" s="206"/>
      <c r="I26" s="207"/>
      <c r="J26" s="98">
        <v>100</v>
      </c>
      <c r="K26" s="101">
        <v>120</v>
      </c>
      <c r="L26" s="60">
        <f t="shared" si="0"/>
        <v>0</v>
      </c>
      <c r="M26" s="60">
        <f t="shared" si="1"/>
        <v>6</v>
      </c>
      <c r="N26" s="60">
        <f t="shared" si="2"/>
        <v>0</v>
      </c>
      <c r="O26" s="61">
        <f t="shared" si="3"/>
        <v>0</v>
      </c>
      <c r="P26" s="60">
        <f>D26*80</f>
        <v>0</v>
      </c>
    </row>
    <row r="27" spans="4:16" ht="16.5" thickBot="1">
      <c r="D27" s="44" t="b">
        <v>0</v>
      </c>
      <c r="E27" s="45"/>
      <c r="F27" s="205" t="s">
        <v>71</v>
      </c>
      <c r="G27" s="206"/>
      <c r="H27" s="206"/>
      <c r="I27" s="207"/>
      <c r="J27" s="98">
        <v>100</v>
      </c>
      <c r="K27" s="101"/>
      <c r="L27" s="60">
        <f t="shared" si="0"/>
        <v>0</v>
      </c>
      <c r="M27" s="60">
        <f t="shared" si="1"/>
        <v>0</v>
      </c>
      <c r="N27" s="60">
        <f t="shared" si="2"/>
        <v>0</v>
      </c>
      <c r="O27" s="61">
        <f t="shared" si="3"/>
        <v>0</v>
      </c>
      <c r="P27" s="60"/>
    </row>
    <row r="28" spans="4:16" ht="16.5" thickBot="1">
      <c r="D28" s="44" t="b">
        <v>0</v>
      </c>
      <c r="E28" s="45"/>
      <c r="F28" s="205" t="s">
        <v>72</v>
      </c>
      <c r="G28" s="206"/>
      <c r="H28" s="206"/>
      <c r="I28" s="207"/>
      <c r="J28" s="98">
        <v>100</v>
      </c>
      <c r="K28" s="101">
        <v>400</v>
      </c>
      <c r="L28" s="60">
        <f t="shared" si="0"/>
        <v>0</v>
      </c>
      <c r="M28" s="60">
        <f t="shared" si="1"/>
        <v>20</v>
      </c>
      <c r="N28" s="60">
        <f t="shared" si="2"/>
        <v>0</v>
      </c>
      <c r="O28" s="61">
        <f t="shared" si="3"/>
        <v>0</v>
      </c>
      <c r="P28" s="60">
        <f>D28*50</f>
        <v>0</v>
      </c>
    </row>
    <row r="29" spans="4:16" ht="16.5" thickBot="1">
      <c r="D29" s="44" t="b">
        <v>0</v>
      </c>
      <c r="E29" s="45"/>
      <c r="F29" s="202"/>
      <c r="G29" s="203"/>
      <c r="H29" s="203"/>
      <c r="I29" s="203"/>
      <c r="J29" s="100"/>
      <c r="K29" s="101"/>
      <c r="L29" s="60">
        <f t="shared" si="0"/>
        <v>0</v>
      </c>
      <c r="M29" s="60">
        <f t="shared" si="1"/>
        <v>0</v>
      </c>
      <c r="N29" s="60">
        <f t="shared" si="2"/>
        <v>0</v>
      </c>
      <c r="O29" s="61">
        <f t="shared" si="3"/>
        <v>0</v>
      </c>
      <c r="P29" s="60"/>
    </row>
    <row r="30" spans="4:16" ht="16.5" thickBot="1">
      <c r="D30" s="48" t="b">
        <v>0</v>
      </c>
      <c r="E30" s="49"/>
      <c r="F30" s="212"/>
      <c r="G30" s="213"/>
      <c r="H30" s="213"/>
      <c r="I30" s="213"/>
      <c r="J30" s="98"/>
      <c r="K30" s="99">
        <v>200</v>
      </c>
      <c r="L30" s="58">
        <f t="shared" si="0"/>
        <v>0</v>
      </c>
      <c r="M30" s="58">
        <f>ROUNDUP(K30/$H$6,0)</f>
        <v>10</v>
      </c>
      <c r="N30" s="58">
        <f t="shared" si="2"/>
        <v>0</v>
      </c>
      <c r="O30" s="59">
        <f t="shared" si="3"/>
        <v>0</v>
      </c>
      <c r="P30" s="58"/>
    </row>
    <row r="31" spans="4:16" ht="16.5" thickBot="1">
      <c r="D31" s="44" t="b">
        <v>0</v>
      </c>
      <c r="E31" s="45"/>
      <c r="F31" s="202" t="s">
        <v>73</v>
      </c>
      <c r="G31" s="203"/>
      <c r="H31" s="203"/>
      <c r="I31" s="203"/>
      <c r="J31" s="100">
        <v>100</v>
      </c>
      <c r="K31" s="101">
        <v>1000</v>
      </c>
      <c r="L31" s="60">
        <f t="shared" si="0"/>
        <v>0</v>
      </c>
      <c r="M31" s="60">
        <f>ROUNDUP((K31/$H$6),0)</f>
        <v>50</v>
      </c>
      <c r="N31" s="60">
        <f t="shared" si="2"/>
        <v>0</v>
      </c>
      <c r="O31" s="61">
        <f t="shared" si="3"/>
        <v>0</v>
      </c>
      <c r="P31" s="60"/>
    </row>
    <row r="32" spans="4:16" ht="16.5" thickBot="1">
      <c r="D32" s="44" t="b">
        <v>0</v>
      </c>
      <c r="E32" s="45"/>
      <c r="F32" s="202" t="s">
        <v>74</v>
      </c>
      <c r="G32" s="203"/>
      <c r="H32" s="203"/>
      <c r="I32" s="203"/>
      <c r="J32" s="100">
        <v>100</v>
      </c>
      <c r="K32" s="101">
        <v>3000</v>
      </c>
      <c r="L32" s="60">
        <f t="shared" si="0"/>
        <v>0</v>
      </c>
      <c r="M32" s="60">
        <f>ROUNDUP(K32/$H$6,0)</f>
        <v>150</v>
      </c>
      <c r="N32" s="60">
        <f t="shared" si="2"/>
        <v>0</v>
      </c>
      <c r="O32" s="61">
        <f t="shared" si="3"/>
        <v>0</v>
      </c>
      <c r="P32" s="60"/>
    </row>
    <row r="33" spans="4:16" ht="16.5" thickBot="1">
      <c r="D33" s="44" t="b">
        <v>0</v>
      </c>
      <c r="E33" s="45"/>
      <c r="F33" s="202" t="s">
        <v>75</v>
      </c>
      <c r="G33" s="203"/>
      <c r="H33" s="203"/>
      <c r="I33" s="203"/>
      <c r="J33" s="100">
        <v>100</v>
      </c>
      <c r="K33" s="101">
        <v>300</v>
      </c>
      <c r="L33" s="60">
        <f t="shared" si="0"/>
        <v>0</v>
      </c>
      <c r="M33" s="60">
        <f t="shared" si="1"/>
        <v>15</v>
      </c>
      <c r="N33" s="60">
        <f t="shared" si="2"/>
        <v>0</v>
      </c>
      <c r="O33" s="61">
        <f t="shared" si="3"/>
        <v>0</v>
      </c>
      <c r="P33" s="60">
        <f>D33*30</f>
        <v>0</v>
      </c>
    </row>
    <row r="34" spans="4:16" ht="16.5" thickBot="1">
      <c r="D34" s="44" t="b">
        <v>0</v>
      </c>
      <c r="E34" s="45"/>
      <c r="F34" s="202" t="s">
        <v>76</v>
      </c>
      <c r="G34" s="203"/>
      <c r="H34" s="203"/>
      <c r="I34" s="203"/>
      <c r="J34" s="100">
        <v>100</v>
      </c>
      <c r="K34" s="101">
        <v>800</v>
      </c>
      <c r="L34" s="60">
        <f t="shared" si="0"/>
        <v>0</v>
      </c>
      <c r="M34" s="60">
        <f t="shared" si="1"/>
        <v>40</v>
      </c>
      <c r="N34" s="60">
        <f t="shared" si="2"/>
        <v>0</v>
      </c>
      <c r="O34" s="61">
        <f t="shared" si="3"/>
        <v>0</v>
      </c>
      <c r="P34" s="60">
        <f>D34*70</f>
        <v>0</v>
      </c>
    </row>
    <row r="35" spans="4:16" ht="16.5" thickBot="1">
      <c r="D35" s="44" t="b">
        <v>0</v>
      </c>
      <c r="E35" s="45"/>
      <c r="F35" s="202" t="s">
        <v>77</v>
      </c>
      <c r="G35" s="203"/>
      <c r="H35" s="203"/>
      <c r="I35" s="203"/>
      <c r="J35" s="100">
        <v>100</v>
      </c>
      <c r="K35" s="101"/>
      <c r="L35" s="60">
        <f t="shared" si="0"/>
        <v>0</v>
      </c>
      <c r="M35" s="60">
        <f t="shared" si="1"/>
        <v>0</v>
      </c>
      <c r="N35" s="60">
        <f t="shared" si="2"/>
        <v>0</v>
      </c>
      <c r="O35" s="61">
        <f t="shared" si="3"/>
        <v>0</v>
      </c>
      <c r="P35" s="60">
        <f>D35*70</f>
        <v>0</v>
      </c>
    </row>
    <row r="36" spans="4:16" ht="16.5" thickBot="1">
      <c r="D36" s="44" t="b">
        <v>0</v>
      </c>
      <c r="E36" s="45"/>
      <c r="F36" s="202" t="s">
        <v>78</v>
      </c>
      <c r="G36" s="203"/>
      <c r="H36" s="203"/>
      <c r="I36" s="203"/>
      <c r="J36" s="100">
        <v>100</v>
      </c>
      <c r="K36" s="101"/>
      <c r="L36" s="60">
        <f t="shared" si="0"/>
        <v>0</v>
      </c>
      <c r="M36" s="60">
        <f t="shared" si="1"/>
        <v>0</v>
      </c>
      <c r="N36" s="60">
        <f t="shared" si="2"/>
        <v>0</v>
      </c>
      <c r="O36" s="61">
        <f t="shared" si="3"/>
        <v>0</v>
      </c>
      <c r="P36" s="60"/>
    </row>
    <row r="37" spans="4:16" ht="16.5" thickBot="1">
      <c r="D37" s="44" t="b">
        <v>0</v>
      </c>
      <c r="E37" s="45"/>
      <c r="F37" s="202" t="s">
        <v>79</v>
      </c>
      <c r="G37" s="203"/>
      <c r="H37" s="203"/>
      <c r="I37" s="203"/>
      <c r="J37" s="100">
        <v>100</v>
      </c>
      <c r="K37" s="101"/>
      <c r="L37" s="60">
        <f t="shared" si="0"/>
        <v>0</v>
      </c>
      <c r="M37" s="60">
        <f t="shared" si="1"/>
        <v>0</v>
      </c>
      <c r="N37" s="60">
        <f t="shared" si="2"/>
        <v>0</v>
      </c>
      <c r="O37" s="61">
        <f t="shared" si="3"/>
        <v>0</v>
      </c>
      <c r="P37" s="60">
        <f>D37*50</f>
        <v>0</v>
      </c>
    </row>
    <row r="38" spans="4:16" ht="16.5" thickBot="1">
      <c r="D38" s="44" t="b">
        <v>0</v>
      </c>
      <c r="E38" s="45"/>
      <c r="F38" s="202" t="s">
        <v>80</v>
      </c>
      <c r="G38" s="203"/>
      <c r="H38" s="203"/>
      <c r="I38" s="203"/>
      <c r="J38" s="100">
        <v>100</v>
      </c>
      <c r="K38" s="101"/>
      <c r="L38" s="60">
        <f t="shared" si="0"/>
        <v>0</v>
      </c>
      <c r="M38" s="60">
        <f t="shared" si="1"/>
        <v>0</v>
      </c>
      <c r="N38" s="60">
        <f t="shared" si="2"/>
        <v>0</v>
      </c>
      <c r="O38" s="61">
        <f t="shared" si="3"/>
        <v>0</v>
      </c>
      <c r="P38" s="60">
        <f>D38*30</f>
        <v>0</v>
      </c>
    </row>
    <row r="39" spans="4:16" ht="16.5" thickBot="1">
      <c r="D39" s="44" t="b">
        <v>0</v>
      </c>
      <c r="E39" s="45"/>
      <c r="F39" s="202" t="s">
        <v>81</v>
      </c>
      <c r="G39" s="203"/>
      <c r="H39" s="203"/>
      <c r="I39" s="203"/>
      <c r="J39" s="100">
        <v>100</v>
      </c>
      <c r="K39" s="101"/>
      <c r="L39" s="60">
        <f t="shared" si="0"/>
        <v>0</v>
      </c>
      <c r="M39" s="60">
        <f t="shared" si="1"/>
        <v>0</v>
      </c>
      <c r="N39" s="60">
        <f t="shared" si="2"/>
        <v>0</v>
      </c>
      <c r="O39" s="61">
        <f t="shared" si="3"/>
        <v>0</v>
      </c>
      <c r="P39" s="60">
        <f>D39*50</f>
        <v>0</v>
      </c>
    </row>
    <row r="40" spans="4:16" ht="16.5" thickBot="1">
      <c r="D40" s="44" t="b">
        <v>0</v>
      </c>
      <c r="E40" s="45"/>
      <c r="F40" s="202" t="s">
        <v>82</v>
      </c>
      <c r="G40" s="203"/>
      <c r="H40" s="203"/>
      <c r="I40" s="203"/>
      <c r="J40" s="100">
        <v>100</v>
      </c>
      <c r="K40" s="101"/>
      <c r="L40" s="60">
        <f t="shared" si="0"/>
        <v>0</v>
      </c>
      <c r="M40" s="60">
        <f t="shared" si="1"/>
        <v>0</v>
      </c>
      <c r="N40" s="60">
        <f t="shared" si="2"/>
        <v>0</v>
      </c>
      <c r="O40" s="61">
        <f t="shared" si="3"/>
        <v>0</v>
      </c>
      <c r="P40" s="60">
        <f>D40*100</f>
        <v>0</v>
      </c>
    </row>
    <row r="41" spans="4:16" ht="16.5" thickBot="1">
      <c r="D41" s="44" t="b">
        <v>0</v>
      </c>
      <c r="E41" s="45"/>
      <c r="F41" s="202" t="s">
        <v>83</v>
      </c>
      <c r="G41" s="203"/>
      <c r="H41" s="203"/>
      <c r="I41" s="203"/>
      <c r="J41" s="100">
        <v>100</v>
      </c>
      <c r="K41" s="101"/>
      <c r="L41" s="60">
        <f t="shared" si="0"/>
        <v>0</v>
      </c>
      <c r="M41" s="60">
        <f t="shared" si="1"/>
        <v>0</v>
      </c>
      <c r="N41" s="60">
        <f t="shared" si="2"/>
        <v>0</v>
      </c>
      <c r="O41" s="61">
        <f t="shared" si="3"/>
        <v>0</v>
      </c>
      <c r="P41" s="60"/>
    </row>
    <row r="42" spans="4:16" ht="16.5" thickBot="1">
      <c r="D42" s="44" t="b">
        <v>0</v>
      </c>
      <c r="E42" s="45"/>
      <c r="F42" s="202" t="s">
        <v>84</v>
      </c>
      <c r="G42" s="203"/>
      <c r="H42" s="203"/>
      <c r="I42" s="203"/>
      <c r="J42" s="100">
        <v>100</v>
      </c>
      <c r="K42" s="101"/>
      <c r="L42" s="60">
        <f t="shared" si="0"/>
        <v>0</v>
      </c>
      <c r="M42" s="60">
        <f t="shared" si="1"/>
        <v>0</v>
      </c>
      <c r="N42" s="60">
        <f t="shared" si="2"/>
        <v>0</v>
      </c>
      <c r="O42" s="61">
        <f t="shared" si="3"/>
        <v>0</v>
      </c>
      <c r="P42" s="60">
        <f>D42*100</f>
        <v>0</v>
      </c>
    </row>
    <row r="43" spans="4:16" ht="16.5" thickBot="1">
      <c r="D43" s="44" t="b">
        <v>0</v>
      </c>
      <c r="E43" s="45"/>
      <c r="F43" s="202" t="s">
        <v>85</v>
      </c>
      <c r="G43" s="203"/>
      <c r="H43" s="203"/>
      <c r="I43" s="203"/>
      <c r="J43" s="100">
        <v>100</v>
      </c>
      <c r="K43" s="101"/>
      <c r="L43" s="60">
        <f t="shared" si="0"/>
        <v>0</v>
      </c>
      <c r="M43" s="60">
        <f t="shared" si="1"/>
        <v>0</v>
      </c>
      <c r="N43" s="60">
        <f t="shared" si="2"/>
        <v>0</v>
      </c>
      <c r="O43" s="61">
        <f t="shared" si="3"/>
        <v>0</v>
      </c>
      <c r="P43" s="60"/>
    </row>
    <row r="44" spans="4:16" ht="16.5" thickBot="1">
      <c r="D44" s="44" t="b">
        <v>0</v>
      </c>
      <c r="E44" s="45"/>
      <c r="F44" s="202" t="s">
        <v>86</v>
      </c>
      <c r="G44" s="203"/>
      <c r="H44" s="203"/>
      <c r="I44" s="203"/>
      <c r="J44" s="100">
        <v>100</v>
      </c>
      <c r="K44" s="101"/>
      <c r="L44" s="60">
        <f t="shared" si="0"/>
        <v>0</v>
      </c>
      <c r="M44" s="60">
        <f t="shared" si="1"/>
        <v>0</v>
      </c>
      <c r="N44" s="60">
        <f t="shared" si="2"/>
        <v>0</v>
      </c>
      <c r="O44" s="61">
        <f t="shared" si="3"/>
        <v>0</v>
      </c>
      <c r="P44" s="60">
        <f>D44*70</f>
        <v>0</v>
      </c>
    </row>
    <row r="45" spans="4:16" ht="16.5" thickBot="1">
      <c r="D45" s="44" t="b">
        <v>0</v>
      </c>
      <c r="E45" s="45"/>
      <c r="F45" s="202" t="s">
        <v>87</v>
      </c>
      <c r="G45" s="203"/>
      <c r="H45" s="203"/>
      <c r="I45" s="203"/>
      <c r="J45" s="100">
        <v>100</v>
      </c>
      <c r="K45" s="101">
        <v>400</v>
      </c>
      <c r="L45" s="60">
        <f t="shared" si="0"/>
        <v>0</v>
      </c>
      <c r="M45" s="60">
        <f t="shared" si="1"/>
        <v>20</v>
      </c>
      <c r="N45" s="60">
        <f t="shared" si="2"/>
        <v>0</v>
      </c>
      <c r="O45" s="61">
        <f t="shared" si="3"/>
        <v>0</v>
      </c>
      <c r="P45" s="60">
        <f>D45*100</f>
        <v>0</v>
      </c>
    </row>
    <row r="46" spans="4:16" ht="16.5" thickBot="1">
      <c r="D46" s="44" t="b">
        <v>0</v>
      </c>
      <c r="E46" s="45"/>
      <c r="F46" s="202" t="s">
        <v>88</v>
      </c>
      <c r="G46" s="203"/>
      <c r="H46" s="203"/>
      <c r="I46" s="203"/>
      <c r="J46" s="100">
        <v>100</v>
      </c>
      <c r="K46" s="101"/>
      <c r="L46" s="60">
        <f t="shared" si="0"/>
        <v>0</v>
      </c>
      <c r="M46" s="60">
        <f t="shared" si="1"/>
        <v>0</v>
      </c>
      <c r="N46" s="60">
        <f t="shared" si="2"/>
        <v>0</v>
      </c>
      <c r="O46" s="61">
        <f t="shared" si="3"/>
        <v>0</v>
      </c>
      <c r="P46" s="60">
        <f>D46*100</f>
        <v>0</v>
      </c>
    </row>
    <row r="47" spans="4:16" ht="16.5" thickBot="1">
      <c r="D47" s="44" t="b">
        <v>0</v>
      </c>
      <c r="E47" s="45"/>
      <c r="F47" s="202" t="s">
        <v>89</v>
      </c>
      <c r="G47" s="203"/>
      <c r="H47" s="203"/>
      <c r="I47" s="203"/>
      <c r="J47" s="100">
        <v>100</v>
      </c>
      <c r="K47" s="101">
        <v>800</v>
      </c>
      <c r="L47" s="60">
        <f t="shared" si="0"/>
        <v>0</v>
      </c>
      <c r="M47" s="60">
        <f t="shared" si="1"/>
        <v>40</v>
      </c>
      <c r="N47" s="60">
        <f t="shared" si="2"/>
        <v>0</v>
      </c>
      <c r="O47" s="61">
        <f t="shared" si="3"/>
        <v>0</v>
      </c>
      <c r="P47" s="60">
        <f>D47*70</f>
        <v>0</v>
      </c>
    </row>
    <row r="48" spans="4:16" ht="16.5" thickBot="1">
      <c r="D48" s="44" t="b">
        <v>0</v>
      </c>
      <c r="E48" s="45"/>
      <c r="F48" s="202" t="s">
        <v>90</v>
      </c>
      <c r="G48" s="203"/>
      <c r="H48" s="203"/>
      <c r="I48" s="203"/>
      <c r="J48" s="100">
        <v>100</v>
      </c>
      <c r="K48" s="101">
        <v>500</v>
      </c>
      <c r="L48" s="60">
        <f t="shared" si="0"/>
        <v>0</v>
      </c>
      <c r="M48" s="60">
        <f t="shared" si="1"/>
        <v>25</v>
      </c>
      <c r="N48" s="60">
        <f t="shared" si="2"/>
        <v>0</v>
      </c>
      <c r="O48" s="61">
        <f t="shared" si="3"/>
        <v>0</v>
      </c>
      <c r="P48" s="60">
        <f>D48*30</f>
        <v>0</v>
      </c>
    </row>
    <row r="49" spans="4:16" ht="16.5" thickBot="1">
      <c r="D49" s="44" t="b">
        <v>0</v>
      </c>
      <c r="E49" s="45"/>
      <c r="F49" s="202" t="s">
        <v>91</v>
      </c>
      <c r="G49" s="203"/>
      <c r="H49" s="203"/>
      <c r="I49" s="203"/>
      <c r="J49" s="100">
        <v>100</v>
      </c>
      <c r="K49" s="101">
        <v>300</v>
      </c>
      <c r="L49" s="60">
        <f t="shared" si="0"/>
        <v>0</v>
      </c>
      <c r="M49" s="60">
        <f t="shared" si="1"/>
        <v>15</v>
      </c>
      <c r="N49" s="60">
        <f t="shared" si="2"/>
        <v>0</v>
      </c>
      <c r="O49" s="61">
        <f t="shared" si="3"/>
        <v>0</v>
      </c>
      <c r="P49" s="60"/>
    </row>
    <row r="50" spans="4:16" ht="16.5" thickBot="1">
      <c r="D50" s="44" t="b">
        <v>0</v>
      </c>
      <c r="E50" s="45"/>
      <c r="F50" s="202" t="s">
        <v>92</v>
      </c>
      <c r="G50" s="203"/>
      <c r="H50" s="203"/>
      <c r="I50" s="203"/>
      <c r="J50" s="100">
        <v>100</v>
      </c>
      <c r="K50" s="101"/>
      <c r="L50" s="60">
        <f t="shared" si="0"/>
        <v>0</v>
      </c>
      <c r="M50" s="60">
        <f t="shared" si="1"/>
        <v>0</v>
      </c>
      <c r="N50" s="60">
        <f t="shared" si="2"/>
        <v>0</v>
      </c>
      <c r="O50" s="61">
        <f t="shared" si="3"/>
        <v>0</v>
      </c>
      <c r="P50" s="60"/>
    </row>
    <row r="51" spans="4:16" ht="16.5" thickBot="1">
      <c r="D51" s="44" t="b">
        <v>0</v>
      </c>
      <c r="E51" s="45"/>
      <c r="F51" s="202" t="s">
        <v>93</v>
      </c>
      <c r="G51" s="203"/>
      <c r="H51" s="203"/>
      <c r="I51" s="203"/>
      <c r="J51" s="100">
        <v>100</v>
      </c>
      <c r="K51" s="101"/>
      <c r="L51" s="60">
        <f t="shared" si="0"/>
        <v>0</v>
      </c>
      <c r="M51" s="60">
        <f t="shared" si="1"/>
        <v>0</v>
      </c>
      <c r="N51" s="60">
        <f t="shared" si="2"/>
        <v>0</v>
      </c>
      <c r="O51" s="61">
        <f t="shared" si="3"/>
        <v>0</v>
      </c>
      <c r="P51" s="60"/>
    </row>
    <row r="52" spans="4:16" ht="16.5" thickBot="1">
      <c r="D52" s="44" t="b">
        <v>0</v>
      </c>
      <c r="E52" s="45"/>
      <c r="F52" s="202" t="s">
        <v>94</v>
      </c>
      <c r="G52" s="203"/>
      <c r="H52" s="203"/>
      <c r="I52" s="203"/>
      <c r="J52" s="100">
        <v>100</v>
      </c>
      <c r="K52" s="101"/>
      <c r="L52" s="60">
        <f t="shared" si="0"/>
        <v>0</v>
      </c>
      <c r="M52" s="60">
        <f t="shared" si="1"/>
        <v>0</v>
      </c>
      <c r="N52" s="60">
        <f t="shared" si="2"/>
        <v>0</v>
      </c>
      <c r="O52" s="61">
        <f t="shared" si="3"/>
        <v>0</v>
      </c>
      <c r="P52" s="60">
        <f>D52*100</f>
        <v>0</v>
      </c>
    </row>
    <row r="53" spans="4:16" ht="16.5" thickBot="1">
      <c r="D53" s="44" t="b">
        <v>0</v>
      </c>
      <c r="E53" s="45"/>
      <c r="F53" s="202" t="s">
        <v>95</v>
      </c>
      <c r="G53" s="203"/>
      <c r="H53" s="203"/>
      <c r="I53" s="203"/>
      <c r="J53" s="100">
        <v>100</v>
      </c>
      <c r="K53" s="101"/>
      <c r="L53" s="60">
        <f t="shared" si="0"/>
        <v>0</v>
      </c>
      <c r="M53" s="60">
        <f t="shared" si="1"/>
        <v>0</v>
      </c>
      <c r="N53" s="60">
        <f t="shared" si="2"/>
        <v>0</v>
      </c>
      <c r="O53" s="61">
        <f t="shared" si="3"/>
        <v>0</v>
      </c>
      <c r="P53" s="60"/>
    </row>
    <row r="54" spans="4:16" ht="16.5" thickBot="1">
      <c r="D54" s="44" t="b">
        <v>0</v>
      </c>
      <c r="E54" s="45"/>
      <c r="F54" s="202" t="s">
        <v>96</v>
      </c>
      <c r="G54" s="203"/>
      <c r="H54" s="203"/>
      <c r="I54" s="203"/>
      <c r="J54" s="100">
        <v>100</v>
      </c>
      <c r="K54" s="101"/>
      <c r="L54" s="60">
        <f t="shared" si="0"/>
        <v>0</v>
      </c>
      <c r="M54" s="60">
        <f t="shared" si="1"/>
        <v>0</v>
      </c>
      <c r="N54" s="60">
        <f t="shared" si="2"/>
        <v>0</v>
      </c>
      <c r="O54" s="61">
        <f t="shared" si="3"/>
        <v>0</v>
      </c>
      <c r="P54" s="60"/>
    </row>
    <row r="55" spans="4:16" ht="16.5" thickBot="1">
      <c r="D55" s="44" t="b">
        <v>0</v>
      </c>
      <c r="E55" s="45"/>
      <c r="F55" s="202" t="s">
        <v>97</v>
      </c>
      <c r="G55" s="203"/>
      <c r="H55" s="203"/>
      <c r="I55" s="203"/>
      <c r="J55" s="100">
        <v>100</v>
      </c>
      <c r="K55" s="101"/>
      <c r="L55" s="60">
        <f t="shared" si="0"/>
        <v>0</v>
      </c>
      <c r="M55" s="60">
        <f t="shared" si="1"/>
        <v>0</v>
      </c>
      <c r="N55" s="60">
        <f t="shared" si="2"/>
        <v>0</v>
      </c>
      <c r="O55" s="61">
        <f t="shared" si="3"/>
        <v>0</v>
      </c>
      <c r="P55" s="60">
        <f>D55*50</f>
        <v>0</v>
      </c>
    </row>
    <row r="56" spans="4:16" ht="16.5" thickBot="1">
      <c r="D56" s="44" t="b">
        <v>0</v>
      </c>
      <c r="E56" s="45"/>
      <c r="F56" s="202" t="s">
        <v>98</v>
      </c>
      <c r="G56" s="203"/>
      <c r="H56" s="203"/>
      <c r="I56" s="203"/>
      <c r="J56" s="100">
        <v>100</v>
      </c>
      <c r="K56" s="101"/>
      <c r="L56" s="60">
        <f t="shared" si="0"/>
        <v>0</v>
      </c>
      <c r="M56" s="60">
        <f t="shared" si="1"/>
        <v>0</v>
      </c>
      <c r="N56" s="60">
        <f t="shared" si="2"/>
        <v>0</v>
      </c>
      <c r="O56" s="61">
        <f t="shared" si="3"/>
        <v>0</v>
      </c>
      <c r="P56" s="60">
        <f>D56*100</f>
        <v>0</v>
      </c>
    </row>
    <row r="57" spans="4:16" ht="16.5" thickBot="1">
      <c r="D57" s="48"/>
      <c r="E57" s="49"/>
      <c r="F57" s="202" t="s">
        <v>99</v>
      </c>
      <c r="G57" s="203"/>
      <c r="H57" s="203"/>
      <c r="I57" s="203"/>
      <c r="J57" s="98"/>
      <c r="K57" s="99"/>
      <c r="L57" s="58"/>
      <c r="M57" s="58"/>
      <c r="N57" s="58"/>
      <c r="O57" s="58"/>
      <c r="P57" s="58"/>
    </row>
    <row r="58" spans="4:16" ht="16.5" thickBot="1">
      <c r="D58" s="44" t="b">
        <v>0</v>
      </c>
      <c r="E58" s="45"/>
      <c r="F58" s="202" t="s">
        <v>100</v>
      </c>
      <c r="G58" s="203"/>
      <c r="H58" s="203"/>
      <c r="I58" s="203"/>
      <c r="J58" s="100"/>
      <c r="K58" s="101">
        <v>4000</v>
      </c>
      <c r="L58" s="60">
        <f t="shared" si="0"/>
        <v>0</v>
      </c>
      <c r="M58" s="60">
        <f>ROUNDUP(K58/$H$6,0)</f>
        <v>200</v>
      </c>
      <c r="N58" s="60">
        <f t="shared" si="2"/>
        <v>0</v>
      </c>
      <c r="O58" s="61">
        <f t="shared" si="3"/>
        <v>0</v>
      </c>
      <c r="P58" s="60"/>
    </row>
    <row r="59" spans="4:16" ht="16.5" thickBot="1">
      <c r="D59" s="44" t="b">
        <v>0</v>
      </c>
      <c r="E59" s="45"/>
      <c r="F59" s="202" t="s">
        <v>101</v>
      </c>
      <c r="G59" s="203"/>
      <c r="H59" s="203"/>
      <c r="I59" s="203"/>
      <c r="J59" s="100"/>
      <c r="K59" s="101"/>
      <c r="L59" s="60">
        <f t="shared" si="0"/>
        <v>0</v>
      </c>
      <c r="M59" s="60">
        <f t="shared" si="1"/>
        <v>0</v>
      </c>
      <c r="N59" s="60">
        <f>ROUNDUP(IF($F$6&gt;30,200*$F$6/$H$6*D59,6000/$H$6*D59),0)</f>
        <v>0</v>
      </c>
      <c r="O59" s="61">
        <f t="shared" si="3"/>
        <v>0</v>
      </c>
      <c r="P59" s="60"/>
    </row>
    <row r="60" spans="4:16" ht="16.5" thickBot="1">
      <c r="D60" s="44" t="b">
        <v>0</v>
      </c>
      <c r="E60" s="45"/>
      <c r="F60" s="202" t="s">
        <v>102</v>
      </c>
      <c r="G60" s="203"/>
      <c r="H60" s="203"/>
      <c r="I60" s="203"/>
      <c r="J60" s="100"/>
      <c r="K60" s="101"/>
      <c r="L60" s="60">
        <f t="shared" si="0"/>
        <v>0</v>
      </c>
      <c r="M60" s="60">
        <f t="shared" si="1"/>
        <v>0</v>
      </c>
      <c r="N60" s="60">
        <f>ROUNDUP(IF($F$6&gt;30,250*$F$6/$H$6*D60,8000/$H$6*D60),0)</f>
        <v>0</v>
      </c>
      <c r="O60" s="61">
        <f t="shared" si="3"/>
        <v>0</v>
      </c>
      <c r="P60" s="60"/>
    </row>
    <row r="61" spans="4:16" ht="16.5" thickBot="1">
      <c r="D61" s="48" t="b">
        <v>0</v>
      </c>
      <c r="E61" s="49"/>
      <c r="F61" s="202" t="s">
        <v>103</v>
      </c>
      <c r="G61" s="203"/>
      <c r="H61" s="203"/>
      <c r="I61" s="203"/>
      <c r="J61" s="98"/>
      <c r="K61" s="99"/>
      <c r="L61" s="58"/>
      <c r="M61" s="58"/>
      <c r="N61" s="58"/>
      <c r="O61" s="58"/>
      <c r="P61" s="58"/>
    </row>
    <row r="62" spans="4:16" ht="16.5" thickBot="1">
      <c r="D62" s="44" t="b">
        <v>0</v>
      </c>
      <c r="E62" s="45"/>
      <c r="F62" s="202" t="s">
        <v>104</v>
      </c>
      <c r="G62" s="203"/>
      <c r="H62" s="203"/>
      <c r="I62" s="203"/>
      <c r="J62" s="100">
        <v>100</v>
      </c>
      <c r="K62" s="101"/>
      <c r="L62" s="60">
        <f t="shared" si="0"/>
        <v>0</v>
      </c>
      <c r="M62" s="60">
        <f t="shared" si="1"/>
        <v>0</v>
      </c>
      <c r="N62" s="60">
        <f t="shared" si="2"/>
        <v>0</v>
      </c>
      <c r="O62" s="61">
        <f t="shared" si="3"/>
        <v>0</v>
      </c>
      <c r="P62" s="60"/>
    </row>
    <row r="63" spans="4:16" ht="16.5" thickBot="1">
      <c r="D63" s="44" t="b">
        <v>0</v>
      </c>
      <c r="E63" s="45"/>
      <c r="F63" s="202" t="s">
        <v>105</v>
      </c>
      <c r="G63" s="203"/>
      <c r="H63" s="203"/>
      <c r="I63" s="203"/>
      <c r="J63" s="100">
        <v>100</v>
      </c>
      <c r="K63" s="101">
        <v>300</v>
      </c>
      <c r="L63" s="60">
        <f t="shared" si="0"/>
        <v>0</v>
      </c>
      <c r="M63" s="60">
        <f t="shared" si="1"/>
        <v>15</v>
      </c>
      <c r="N63" s="60">
        <f t="shared" si="2"/>
        <v>0</v>
      </c>
      <c r="O63" s="61">
        <f t="shared" si="3"/>
        <v>0</v>
      </c>
      <c r="P63" s="60">
        <f>D63*50</f>
        <v>0</v>
      </c>
    </row>
    <row r="64" spans="4:16" ht="16.5" thickBot="1">
      <c r="D64" s="44" t="b">
        <v>0</v>
      </c>
      <c r="E64" s="45"/>
      <c r="F64" s="202" t="s">
        <v>106</v>
      </c>
      <c r="G64" s="203"/>
      <c r="H64" s="203"/>
      <c r="I64" s="203"/>
      <c r="J64" s="100">
        <v>100</v>
      </c>
      <c r="K64" s="101"/>
      <c r="L64" s="60">
        <f t="shared" si="0"/>
        <v>0</v>
      </c>
      <c r="M64" s="60">
        <f t="shared" si="1"/>
        <v>0</v>
      </c>
      <c r="N64" s="60">
        <f t="shared" si="2"/>
        <v>0</v>
      </c>
      <c r="O64" s="61">
        <f t="shared" si="3"/>
        <v>0</v>
      </c>
      <c r="P64" s="60"/>
    </row>
    <row r="65" spans="4:16" ht="16.5" thickBot="1">
      <c r="D65" s="44" t="b">
        <v>0</v>
      </c>
      <c r="E65" s="45"/>
      <c r="F65" s="202" t="s">
        <v>107</v>
      </c>
      <c r="G65" s="203"/>
      <c r="H65" s="203"/>
      <c r="I65" s="203"/>
      <c r="J65" s="100">
        <v>100</v>
      </c>
      <c r="K65" s="101"/>
      <c r="L65" s="60">
        <f t="shared" si="0"/>
        <v>0</v>
      </c>
      <c r="M65" s="60">
        <f t="shared" si="1"/>
        <v>0</v>
      </c>
      <c r="N65" s="60">
        <f t="shared" si="2"/>
        <v>0</v>
      </c>
      <c r="O65" s="61">
        <f t="shared" si="3"/>
        <v>0</v>
      </c>
      <c r="P65" s="60"/>
    </row>
    <row r="66" spans="4:16" ht="16.5" thickBot="1">
      <c r="D66" s="44" t="b">
        <v>0</v>
      </c>
      <c r="E66" s="45"/>
      <c r="F66" s="202" t="s">
        <v>108</v>
      </c>
      <c r="G66" s="203"/>
      <c r="H66" s="203"/>
      <c r="I66" s="203"/>
      <c r="J66" s="100">
        <v>100</v>
      </c>
      <c r="K66" s="101">
        <v>500</v>
      </c>
      <c r="L66" s="60">
        <f t="shared" si="0"/>
        <v>0</v>
      </c>
      <c r="M66" s="60">
        <f t="shared" si="1"/>
        <v>25</v>
      </c>
      <c r="N66" s="60">
        <f t="shared" si="2"/>
        <v>0</v>
      </c>
      <c r="O66" s="61">
        <f t="shared" si="3"/>
        <v>0</v>
      </c>
      <c r="P66" s="60">
        <f>D66*100</f>
        <v>0</v>
      </c>
    </row>
    <row r="67" spans="4:16" ht="16.5" thickBot="1">
      <c r="D67" s="44" t="b">
        <v>0</v>
      </c>
      <c r="E67" s="45"/>
      <c r="F67" s="202" t="s">
        <v>109</v>
      </c>
      <c r="G67" s="203"/>
      <c r="H67" s="203"/>
      <c r="I67" s="203"/>
      <c r="J67" s="100">
        <v>100</v>
      </c>
      <c r="K67" s="101"/>
      <c r="L67" s="60">
        <f t="shared" si="0"/>
        <v>0</v>
      </c>
      <c r="M67" s="60">
        <f t="shared" si="1"/>
        <v>0</v>
      </c>
      <c r="N67" s="60">
        <f t="shared" si="2"/>
        <v>0</v>
      </c>
      <c r="O67" s="61">
        <f t="shared" si="3"/>
        <v>0</v>
      </c>
      <c r="P67" s="60"/>
    </row>
    <row r="68" spans="4:16" ht="16.5" thickBot="1">
      <c r="D68" s="44" t="b">
        <v>0</v>
      </c>
      <c r="E68" s="45"/>
      <c r="F68" s="202" t="s">
        <v>110</v>
      </c>
      <c r="G68" s="203"/>
      <c r="H68" s="203"/>
      <c r="I68" s="203"/>
      <c r="J68" s="100">
        <v>100</v>
      </c>
      <c r="K68" s="101"/>
      <c r="L68" s="60">
        <f t="shared" si="0"/>
        <v>0</v>
      </c>
      <c r="M68" s="60">
        <f t="shared" si="1"/>
        <v>0</v>
      </c>
      <c r="N68" s="60">
        <f t="shared" si="2"/>
        <v>0</v>
      </c>
      <c r="O68" s="61">
        <f t="shared" si="3"/>
        <v>0</v>
      </c>
      <c r="P68" s="60"/>
    </row>
    <row r="69" spans="4:16" ht="16.5" thickBot="1">
      <c r="D69" s="44" t="b">
        <v>0</v>
      </c>
      <c r="E69" s="45"/>
      <c r="F69" s="202" t="s">
        <v>111</v>
      </c>
      <c r="G69" s="203"/>
      <c r="H69" s="203"/>
      <c r="I69" s="203"/>
      <c r="J69" s="100">
        <v>100</v>
      </c>
      <c r="K69" s="101"/>
      <c r="L69" s="60">
        <f t="shared" si="0"/>
        <v>0</v>
      </c>
      <c r="M69" s="60">
        <f t="shared" si="1"/>
        <v>0</v>
      </c>
      <c r="N69" s="60">
        <f t="shared" si="2"/>
        <v>0</v>
      </c>
      <c r="O69" s="61">
        <f t="shared" si="3"/>
        <v>0</v>
      </c>
      <c r="P69" s="60">
        <f>D69*500</f>
        <v>0</v>
      </c>
    </row>
    <row r="70" spans="4:16" ht="16.5" thickBot="1">
      <c r="D70" s="44" t="b">
        <v>0</v>
      </c>
      <c r="E70" s="45"/>
      <c r="F70" s="202" t="s">
        <v>112</v>
      </c>
      <c r="G70" s="203"/>
      <c r="H70" s="203"/>
      <c r="I70" s="203"/>
      <c r="J70" s="100">
        <v>100</v>
      </c>
      <c r="K70" s="101"/>
      <c r="L70" s="60">
        <f t="shared" si="0"/>
        <v>0</v>
      </c>
      <c r="M70" s="60">
        <f t="shared" si="1"/>
        <v>0</v>
      </c>
      <c r="N70" s="60">
        <f t="shared" si="2"/>
        <v>0</v>
      </c>
      <c r="O70" s="61">
        <f t="shared" si="3"/>
        <v>0</v>
      </c>
      <c r="P70" s="60"/>
    </row>
    <row r="71" spans="4:16" ht="16.5" thickBot="1">
      <c r="D71" s="44" t="b">
        <v>0</v>
      </c>
      <c r="E71" s="45"/>
      <c r="F71" s="202" t="s">
        <v>113</v>
      </c>
      <c r="G71" s="203"/>
      <c r="H71" s="203"/>
      <c r="I71" s="203"/>
      <c r="J71" s="100">
        <v>100</v>
      </c>
      <c r="K71" s="101"/>
      <c r="L71" s="60">
        <f t="shared" si="0"/>
        <v>0</v>
      </c>
      <c r="M71" s="60"/>
      <c r="N71" s="60">
        <f t="shared" si="2"/>
        <v>0</v>
      </c>
      <c r="O71" s="61">
        <f t="shared" si="3"/>
        <v>0</v>
      </c>
      <c r="P71" s="60">
        <f>200*D71</f>
        <v>0</v>
      </c>
    </row>
    <row r="72" spans="4:16" ht="16.5" thickBot="1">
      <c r="D72" s="44" t="b">
        <v>0</v>
      </c>
      <c r="E72" s="45"/>
      <c r="F72" s="202" t="s">
        <v>114</v>
      </c>
      <c r="G72" s="203"/>
      <c r="H72" s="203"/>
      <c r="I72" s="203"/>
      <c r="J72" s="100">
        <v>100</v>
      </c>
      <c r="K72" s="101"/>
      <c r="L72" s="60">
        <f t="shared" si="0"/>
        <v>0</v>
      </c>
      <c r="M72" s="60">
        <f t="shared" si="1"/>
        <v>0</v>
      </c>
      <c r="N72" s="60">
        <f t="shared" si="2"/>
        <v>0</v>
      </c>
      <c r="O72" s="61">
        <f t="shared" si="3"/>
        <v>0</v>
      </c>
      <c r="P72" s="60"/>
    </row>
    <row r="73" spans="4:16" ht="16.5" thickBot="1">
      <c r="D73" s="44" t="b">
        <v>0</v>
      </c>
      <c r="E73" s="45"/>
      <c r="F73" s="202" t="s">
        <v>115</v>
      </c>
      <c r="G73" s="203"/>
      <c r="H73" s="203"/>
      <c r="I73" s="203"/>
      <c r="J73" s="100">
        <v>100</v>
      </c>
      <c r="K73" s="101"/>
      <c r="L73" s="60">
        <f t="shared" si="0"/>
        <v>0</v>
      </c>
      <c r="M73" s="60">
        <f t="shared" si="1"/>
        <v>0</v>
      </c>
      <c r="N73" s="60">
        <f t="shared" si="2"/>
        <v>0</v>
      </c>
      <c r="O73" s="61">
        <f t="shared" si="3"/>
        <v>0</v>
      </c>
      <c r="P73" s="60">
        <f>100*D73</f>
        <v>0</v>
      </c>
    </row>
    <row r="74" spans="4:16" ht="16.5" thickBot="1">
      <c r="D74" s="44" t="b">
        <v>0</v>
      </c>
      <c r="E74" s="45"/>
      <c r="F74" s="202" t="s">
        <v>116</v>
      </c>
      <c r="G74" s="203"/>
      <c r="H74" s="203"/>
      <c r="I74" s="203"/>
      <c r="J74" s="100">
        <v>100</v>
      </c>
      <c r="K74" s="101"/>
      <c r="L74" s="60">
        <f t="shared" si="0"/>
        <v>0</v>
      </c>
      <c r="M74" s="60">
        <f t="shared" si="1"/>
        <v>0</v>
      </c>
      <c r="N74" s="60">
        <f t="shared" si="2"/>
        <v>0</v>
      </c>
      <c r="O74" s="61">
        <f t="shared" si="3"/>
        <v>0</v>
      </c>
      <c r="P74" s="60"/>
    </row>
    <row r="75" spans="4:16" ht="16.5" thickBot="1">
      <c r="D75" s="48"/>
      <c r="E75" s="49"/>
      <c r="F75" s="202" t="s">
        <v>117</v>
      </c>
      <c r="G75" s="203"/>
      <c r="H75" s="203"/>
      <c r="I75" s="203"/>
      <c r="J75" s="98"/>
      <c r="K75" s="99"/>
      <c r="L75" s="64"/>
      <c r="M75" s="64"/>
      <c r="N75" s="64"/>
      <c r="O75" s="64"/>
      <c r="P75" s="58"/>
    </row>
    <row r="76" spans="4:16" s="26" customFormat="1" ht="16.5" thickBot="1">
      <c r="D76" s="46" t="b">
        <v>0</v>
      </c>
      <c r="E76" s="47"/>
      <c r="F76" s="202" t="s">
        <v>118</v>
      </c>
      <c r="G76" s="203"/>
      <c r="H76" s="203"/>
      <c r="I76" s="203"/>
      <c r="J76" s="102">
        <v>50</v>
      </c>
      <c r="K76" s="103">
        <v>1000</v>
      </c>
      <c r="L76" s="60">
        <f t="shared" si="0"/>
        <v>0</v>
      </c>
      <c r="M76" s="60">
        <f t="shared" si="1"/>
        <v>50</v>
      </c>
      <c r="N76" s="60">
        <f t="shared" si="2"/>
        <v>0</v>
      </c>
      <c r="O76" s="61">
        <f t="shared" si="3"/>
        <v>0</v>
      </c>
      <c r="P76" s="62"/>
    </row>
    <row r="77" spans="4:16" s="26" customFormat="1" ht="16.5" thickBot="1">
      <c r="D77" s="46" t="b">
        <v>0</v>
      </c>
      <c r="E77" s="47"/>
      <c r="F77" s="202" t="s">
        <v>119</v>
      </c>
      <c r="G77" s="203"/>
      <c r="H77" s="203"/>
      <c r="I77" s="203"/>
      <c r="J77" s="102">
        <v>50</v>
      </c>
      <c r="K77" s="103"/>
      <c r="L77" s="60">
        <f t="shared" si="0"/>
        <v>0</v>
      </c>
      <c r="M77" s="60">
        <f t="shared" si="1"/>
        <v>0</v>
      </c>
      <c r="N77" s="60">
        <f t="shared" si="2"/>
        <v>0</v>
      </c>
      <c r="O77" s="61">
        <f t="shared" si="3"/>
        <v>0</v>
      </c>
      <c r="P77" s="62"/>
    </row>
    <row r="78" spans="4:16" ht="16.5" thickBot="1">
      <c r="D78" s="44" t="b">
        <v>0</v>
      </c>
      <c r="E78" s="45"/>
      <c r="F78" s="202" t="s">
        <v>120</v>
      </c>
      <c r="G78" s="203"/>
      <c r="H78" s="203"/>
      <c r="I78" s="203"/>
      <c r="J78" s="102">
        <v>50</v>
      </c>
      <c r="K78" s="101"/>
      <c r="L78" s="60">
        <f t="shared" ref="L78:L149" si="4">(J78*D78)</f>
        <v>0</v>
      </c>
      <c r="M78" s="60">
        <f t="shared" ref="M78:M149" si="5">ROUNDUP(IF($F$6&gt;25,IF($F$6&gt;40,K78*3/$H$6,K78*2/$H$6),K78/$H$6),0)</f>
        <v>0</v>
      </c>
      <c r="N78" s="60">
        <f t="shared" ref="N78:N149" si="6">ROUNDUP(L78*$F$6/$H$6,0)</f>
        <v>0</v>
      </c>
      <c r="O78" s="61">
        <f t="shared" ref="O78:O149" si="7">(M78*D78)+N78</f>
        <v>0</v>
      </c>
      <c r="P78" s="60"/>
    </row>
    <row r="79" spans="4:16" ht="16.5" thickBot="1">
      <c r="D79" s="44" t="b">
        <v>0</v>
      </c>
      <c r="E79" s="45"/>
      <c r="F79" s="202" t="s">
        <v>121</v>
      </c>
      <c r="G79" s="203"/>
      <c r="H79" s="203"/>
      <c r="I79" s="203"/>
      <c r="J79" s="102">
        <v>50</v>
      </c>
      <c r="K79" s="101"/>
      <c r="L79" s="60">
        <f t="shared" si="4"/>
        <v>0</v>
      </c>
      <c r="M79" s="60">
        <f t="shared" si="5"/>
        <v>0</v>
      </c>
      <c r="N79" s="60">
        <f t="shared" si="6"/>
        <v>0</v>
      </c>
      <c r="O79" s="61">
        <f t="shared" si="7"/>
        <v>0</v>
      </c>
      <c r="P79" s="60"/>
    </row>
    <row r="80" spans="4:16" ht="16.5" thickBot="1">
      <c r="D80" s="44" t="b">
        <v>0</v>
      </c>
      <c r="E80" s="45"/>
      <c r="F80" s="202" t="s">
        <v>122</v>
      </c>
      <c r="G80" s="203"/>
      <c r="H80" s="203"/>
      <c r="I80" s="203"/>
      <c r="J80" s="102">
        <v>50</v>
      </c>
      <c r="K80" s="101"/>
      <c r="L80" s="60">
        <f t="shared" si="4"/>
        <v>0</v>
      </c>
      <c r="M80" s="60">
        <f t="shared" si="5"/>
        <v>0</v>
      </c>
      <c r="N80" s="60">
        <f t="shared" si="6"/>
        <v>0</v>
      </c>
      <c r="O80" s="61">
        <f t="shared" si="7"/>
        <v>0</v>
      </c>
      <c r="P80" s="60"/>
    </row>
    <row r="81" spans="4:16" ht="16.5" thickBot="1">
      <c r="D81" s="44" t="b">
        <v>0</v>
      </c>
      <c r="E81" s="45"/>
      <c r="F81" s="202" t="s">
        <v>123</v>
      </c>
      <c r="G81" s="203"/>
      <c r="H81" s="203"/>
      <c r="I81" s="203"/>
      <c r="J81" s="102">
        <v>50</v>
      </c>
      <c r="K81" s="101"/>
      <c r="L81" s="60">
        <f t="shared" si="4"/>
        <v>0</v>
      </c>
      <c r="M81" s="60">
        <f t="shared" si="5"/>
        <v>0</v>
      </c>
      <c r="N81" s="60">
        <f t="shared" si="6"/>
        <v>0</v>
      </c>
      <c r="O81" s="61">
        <f t="shared" si="7"/>
        <v>0</v>
      </c>
      <c r="P81" s="60"/>
    </row>
    <row r="82" spans="4:16" ht="16.5" thickBot="1">
      <c r="D82" s="44" t="b">
        <v>0</v>
      </c>
      <c r="E82" s="45"/>
      <c r="F82" s="202" t="s">
        <v>124</v>
      </c>
      <c r="G82" s="203"/>
      <c r="H82" s="203"/>
      <c r="I82" s="203"/>
      <c r="J82" s="102">
        <v>50</v>
      </c>
      <c r="K82" s="101"/>
      <c r="L82" s="60">
        <f t="shared" si="4"/>
        <v>0</v>
      </c>
      <c r="M82" s="60">
        <f t="shared" si="5"/>
        <v>0</v>
      </c>
      <c r="N82" s="60">
        <f t="shared" si="6"/>
        <v>0</v>
      </c>
      <c r="O82" s="61">
        <f t="shared" si="7"/>
        <v>0</v>
      </c>
      <c r="P82" s="60"/>
    </row>
    <row r="83" spans="4:16" ht="16.5" thickBot="1">
      <c r="D83" s="44" t="b">
        <v>0</v>
      </c>
      <c r="E83" s="45"/>
      <c r="F83" s="202" t="s">
        <v>125</v>
      </c>
      <c r="G83" s="203"/>
      <c r="H83" s="203"/>
      <c r="I83" s="203"/>
      <c r="J83" s="102">
        <v>50</v>
      </c>
      <c r="K83" s="101"/>
      <c r="L83" s="60">
        <f t="shared" si="4"/>
        <v>0</v>
      </c>
      <c r="M83" s="60">
        <f t="shared" si="5"/>
        <v>0</v>
      </c>
      <c r="N83" s="60">
        <f t="shared" si="6"/>
        <v>0</v>
      </c>
      <c r="O83" s="61">
        <f t="shared" si="7"/>
        <v>0</v>
      </c>
      <c r="P83" s="60"/>
    </row>
    <row r="84" spans="4:16" ht="16.5" thickBot="1">
      <c r="D84" s="48"/>
      <c r="E84" s="49"/>
      <c r="F84" s="202" t="s">
        <v>126</v>
      </c>
      <c r="G84" s="203"/>
      <c r="H84" s="203"/>
      <c r="I84" s="203"/>
      <c r="J84" s="98"/>
      <c r="K84" s="99"/>
      <c r="L84" s="58"/>
      <c r="M84" s="58"/>
      <c r="N84" s="58"/>
      <c r="O84" s="58"/>
      <c r="P84" s="58"/>
    </row>
    <row r="85" spans="4:16" ht="16.5" thickBot="1">
      <c r="D85" s="44" t="b">
        <v>0</v>
      </c>
      <c r="E85" s="45"/>
      <c r="F85" s="202" t="s">
        <v>127</v>
      </c>
      <c r="G85" s="203"/>
      <c r="H85" s="203"/>
      <c r="I85" s="203"/>
      <c r="J85" s="100"/>
      <c r="K85" s="101"/>
      <c r="L85" s="60">
        <f t="shared" si="4"/>
        <v>0</v>
      </c>
      <c r="M85" s="60">
        <f>ROUNDUP(IF($F$6&gt;29,IF($F$6&gt;39,5000/$H$6,3000/$H$6),2000/$H$6),0)</f>
        <v>100</v>
      </c>
      <c r="N85" s="60">
        <f t="shared" si="6"/>
        <v>0</v>
      </c>
      <c r="O85" s="61">
        <f t="shared" si="7"/>
        <v>0</v>
      </c>
      <c r="P85" s="60"/>
    </row>
    <row r="86" spans="4:16" ht="16.5" thickBot="1">
      <c r="D86" s="44" t="b">
        <v>0</v>
      </c>
      <c r="E86" s="45"/>
      <c r="F86" s="202" t="s">
        <v>128</v>
      </c>
      <c r="G86" s="203"/>
      <c r="H86" s="203"/>
      <c r="I86" s="203"/>
      <c r="J86" s="100"/>
      <c r="K86" s="104"/>
      <c r="L86" s="60">
        <f t="shared" si="4"/>
        <v>0</v>
      </c>
      <c r="M86" s="60">
        <f>ROUNDUP(IF($F$6&gt;19,150*$F$6/$H$6,150*$F$6/$H$6),0)</f>
        <v>165</v>
      </c>
      <c r="N86" s="60">
        <f t="shared" si="6"/>
        <v>0</v>
      </c>
      <c r="O86" s="61">
        <f t="shared" si="7"/>
        <v>0</v>
      </c>
      <c r="P86" s="60">
        <f>D86*150</f>
        <v>0</v>
      </c>
    </row>
    <row r="87" spans="4:16" ht="16.5" thickBot="1">
      <c r="D87" s="48"/>
      <c r="E87" s="49"/>
      <c r="F87" s="202" t="s">
        <v>129</v>
      </c>
      <c r="G87" s="203"/>
      <c r="H87" s="203"/>
      <c r="I87" s="203"/>
      <c r="J87" s="98"/>
      <c r="K87" s="99"/>
      <c r="L87" s="58"/>
      <c r="M87" s="58"/>
      <c r="N87" s="58"/>
      <c r="O87" s="58"/>
      <c r="P87" s="58"/>
    </row>
    <row r="88" spans="4:16" ht="16.5" thickBot="1">
      <c r="D88" s="44" t="b">
        <v>0</v>
      </c>
      <c r="E88" s="45"/>
      <c r="F88" s="202" t="s">
        <v>130</v>
      </c>
      <c r="G88" s="203"/>
      <c r="H88" s="203"/>
      <c r="I88" s="203"/>
      <c r="J88" s="100">
        <v>80</v>
      </c>
      <c r="K88" s="101">
        <v>200</v>
      </c>
      <c r="L88" s="60">
        <f t="shared" si="4"/>
        <v>0</v>
      </c>
      <c r="M88" s="60">
        <f>ROUNDUP(K88/$H$6,0)</f>
        <v>10</v>
      </c>
      <c r="N88" s="60">
        <f t="shared" si="6"/>
        <v>0</v>
      </c>
      <c r="O88" s="61">
        <f t="shared" si="7"/>
        <v>0</v>
      </c>
      <c r="P88" s="60"/>
    </row>
    <row r="89" spans="4:16" ht="16.5" thickBot="1">
      <c r="D89" s="44" t="b">
        <v>0</v>
      </c>
      <c r="E89" s="45"/>
      <c r="F89" s="202" t="s">
        <v>131</v>
      </c>
      <c r="G89" s="203"/>
      <c r="H89" s="203"/>
      <c r="I89" s="203"/>
      <c r="J89" s="100">
        <v>80</v>
      </c>
      <c r="K89" s="101"/>
      <c r="L89" s="60">
        <f t="shared" si="4"/>
        <v>0</v>
      </c>
      <c r="M89" s="60">
        <f t="shared" si="5"/>
        <v>0</v>
      </c>
      <c r="N89" s="60">
        <f t="shared" si="6"/>
        <v>0</v>
      </c>
      <c r="O89" s="61">
        <f t="shared" si="7"/>
        <v>0</v>
      </c>
      <c r="P89" s="60">
        <f>D89*80</f>
        <v>0</v>
      </c>
    </row>
    <row r="90" spans="4:16" ht="16.5" thickBot="1">
      <c r="D90" s="44" t="b">
        <v>0</v>
      </c>
      <c r="E90" s="45"/>
      <c r="F90" s="202" t="s">
        <v>132</v>
      </c>
      <c r="G90" s="203"/>
      <c r="H90" s="203"/>
      <c r="I90" s="203"/>
      <c r="J90" s="100">
        <v>80</v>
      </c>
      <c r="K90" s="101"/>
      <c r="L90" s="60">
        <f t="shared" si="4"/>
        <v>0</v>
      </c>
      <c r="M90" s="60">
        <f t="shared" si="5"/>
        <v>0</v>
      </c>
      <c r="N90" s="60">
        <f t="shared" si="6"/>
        <v>0</v>
      </c>
      <c r="O90" s="61">
        <f t="shared" si="7"/>
        <v>0</v>
      </c>
      <c r="P90" s="60">
        <f>D90*30</f>
        <v>0</v>
      </c>
    </row>
    <row r="91" spans="4:16" ht="16.5" thickBot="1">
      <c r="D91" s="44" t="b">
        <v>0</v>
      </c>
      <c r="E91" s="45"/>
      <c r="F91" s="202" t="s">
        <v>133</v>
      </c>
      <c r="G91" s="203"/>
      <c r="H91" s="203"/>
      <c r="I91" s="203"/>
      <c r="J91" s="100">
        <v>80</v>
      </c>
      <c r="K91" s="101"/>
      <c r="L91" s="60">
        <f t="shared" si="4"/>
        <v>0</v>
      </c>
      <c r="M91" s="60">
        <f t="shared" si="5"/>
        <v>0</v>
      </c>
      <c r="N91" s="60">
        <f t="shared" si="6"/>
        <v>0</v>
      </c>
      <c r="O91" s="61">
        <f t="shared" si="7"/>
        <v>0</v>
      </c>
      <c r="P91" s="60">
        <f>D91*20</f>
        <v>0</v>
      </c>
    </row>
    <row r="92" spans="4:16" ht="16.5" thickBot="1">
      <c r="D92" s="44" t="b">
        <v>0</v>
      </c>
      <c r="E92" s="45"/>
      <c r="F92" s="202" t="s">
        <v>134</v>
      </c>
      <c r="G92" s="203"/>
      <c r="H92" s="203"/>
      <c r="I92" s="203"/>
      <c r="J92" s="100">
        <v>80</v>
      </c>
      <c r="K92" s="101"/>
      <c r="L92" s="60">
        <f t="shared" si="4"/>
        <v>0</v>
      </c>
      <c r="M92" s="60">
        <f t="shared" si="5"/>
        <v>0</v>
      </c>
      <c r="N92" s="60">
        <f t="shared" si="6"/>
        <v>0</v>
      </c>
      <c r="O92" s="61">
        <f t="shared" si="7"/>
        <v>0</v>
      </c>
      <c r="P92" s="60">
        <f>D92*40</f>
        <v>0</v>
      </c>
    </row>
    <row r="93" spans="4:16" ht="16.5" thickBot="1">
      <c r="D93" s="44" t="b">
        <v>0</v>
      </c>
      <c r="E93" s="45"/>
      <c r="F93" s="202" t="s">
        <v>135</v>
      </c>
      <c r="G93" s="203"/>
      <c r="H93" s="203"/>
      <c r="I93" s="203"/>
      <c r="J93" s="100">
        <v>80</v>
      </c>
      <c r="K93" s="101"/>
      <c r="L93" s="60">
        <f t="shared" si="4"/>
        <v>0</v>
      </c>
      <c r="M93" s="60">
        <f t="shared" si="5"/>
        <v>0</v>
      </c>
      <c r="N93" s="60">
        <f t="shared" si="6"/>
        <v>0</v>
      </c>
      <c r="O93" s="61">
        <f t="shared" si="7"/>
        <v>0</v>
      </c>
      <c r="P93" s="60"/>
    </row>
    <row r="94" spans="4:16" ht="16.5" thickBot="1">
      <c r="D94" s="44" t="b">
        <v>0</v>
      </c>
      <c r="E94" s="45"/>
      <c r="F94" s="202" t="s">
        <v>136</v>
      </c>
      <c r="G94" s="203"/>
      <c r="H94" s="203"/>
      <c r="I94" s="203"/>
      <c r="J94" s="100">
        <v>80</v>
      </c>
      <c r="K94" s="101"/>
      <c r="L94" s="60">
        <f t="shared" si="4"/>
        <v>0</v>
      </c>
      <c r="M94" s="60"/>
      <c r="N94" s="60"/>
      <c r="O94" s="61">
        <f>ROUNDUP(IF($A$6&gt;0,J94*($F$6+$A$6+1)/$H$6*D94,J94*($F$6+2)/$H$6*D94),0)</f>
        <v>0</v>
      </c>
      <c r="P94" s="60"/>
    </row>
    <row r="95" spans="4:16" ht="16.5" thickBot="1">
      <c r="D95" s="44" t="b">
        <v>0</v>
      </c>
      <c r="E95" s="45"/>
      <c r="F95" s="202" t="s">
        <v>137</v>
      </c>
      <c r="G95" s="203"/>
      <c r="H95" s="203"/>
      <c r="I95" s="203"/>
      <c r="J95" s="100">
        <v>80</v>
      </c>
      <c r="K95" s="101"/>
      <c r="L95" s="60">
        <f t="shared" si="4"/>
        <v>0</v>
      </c>
      <c r="M95" s="60">
        <f t="shared" si="5"/>
        <v>0</v>
      </c>
      <c r="N95" s="60">
        <f t="shared" si="6"/>
        <v>0</v>
      </c>
      <c r="O95" s="61">
        <f t="shared" si="7"/>
        <v>0</v>
      </c>
      <c r="P95" s="60">
        <f>D95*100</f>
        <v>0</v>
      </c>
    </row>
    <row r="96" spans="4:16" ht="16.5" thickBot="1">
      <c r="D96" s="44" t="b">
        <v>0</v>
      </c>
      <c r="E96" s="45"/>
      <c r="F96" s="202" t="s">
        <v>138</v>
      </c>
      <c r="G96" s="203"/>
      <c r="H96" s="203"/>
      <c r="I96" s="203"/>
      <c r="J96" s="100">
        <v>80</v>
      </c>
      <c r="K96" s="101"/>
      <c r="L96" s="60">
        <f t="shared" si="4"/>
        <v>0</v>
      </c>
      <c r="M96" s="60">
        <f t="shared" si="5"/>
        <v>0</v>
      </c>
      <c r="N96" s="60">
        <f t="shared" si="6"/>
        <v>0</v>
      </c>
      <c r="O96" s="61">
        <f t="shared" si="7"/>
        <v>0</v>
      </c>
      <c r="P96" s="60">
        <f>D96*50</f>
        <v>0</v>
      </c>
    </row>
    <row r="97" spans="4:21" ht="16.5" thickBot="1">
      <c r="D97" s="44" t="b">
        <v>0</v>
      </c>
      <c r="E97" s="45"/>
      <c r="F97" s="202" t="s">
        <v>139</v>
      </c>
      <c r="G97" s="203"/>
      <c r="H97" s="203"/>
      <c r="I97" s="203"/>
      <c r="J97" s="100">
        <v>80</v>
      </c>
      <c r="K97" s="101"/>
      <c r="L97" s="60">
        <f t="shared" si="4"/>
        <v>0</v>
      </c>
      <c r="M97" s="60">
        <f t="shared" si="5"/>
        <v>0</v>
      </c>
      <c r="N97" s="60">
        <f t="shared" si="6"/>
        <v>0</v>
      </c>
      <c r="O97" s="61">
        <f t="shared" si="7"/>
        <v>0</v>
      </c>
      <c r="P97" s="60"/>
    </row>
    <row r="98" spans="4:21" ht="16.5" thickBot="1">
      <c r="D98" s="44" t="b">
        <v>0</v>
      </c>
      <c r="E98" s="45"/>
      <c r="F98" s="202" t="s">
        <v>140</v>
      </c>
      <c r="G98" s="203"/>
      <c r="H98" s="203"/>
      <c r="I98" s="203"/>
      <c r="J98" s="100">
        <v>80</v>
      </c>
      <c r="K98" s="101"/>
      <c r="L98" s="60">
        <f t="shared" si="4"/>
        <v>0</v>
      </c>
      <c r="M98" s="60">
        <f t="shared" si="5"/>
        <v>0</v>
      </c>
      <c r="N98" s="60">
        <f t="shared" si="6"/>
        <v>0</v>
      </c>
      <c r="O98" s="61">
        <f t="shared" si="7"/>
        <v>0</v>
      </c>
      <c r="P98" s="60">
        <f>D98*120</f>
        <v>0</v>
      </c>
    </row>
    <row r="99" spans="4:21" ht="16.5" thickBot="1">
      <c r="D99" s="44" t="b">
        <v>0</v>
      </c>
      <c r="E99" s="45"/>
      <c r="F99" s="202" t="s">
        <v>141</v>
      </c>
      <c r="G99" s="203"/>
      <c r="H99" s="203"/>
      <c r="I99" s="203"/>
      <c r="J99" s="100">
        <v>80</v>
      </c>
      <c r="K99" s="101"/>
      <c r="L99" s="60">
        <f t="shared" si="4"/>
        <v>0</v>
      </c>
      <c r="M99" s="60">
        <f t="shared" si="5"/>
        <v>0</v>
      </c>
      <c r="N99" s="60">
        <f t="shared" si="6"/>
        <v>0</v>
      </c>
      <c r="O99" s="61">
        <f t="shared" si="7"/>
        <v>0</v>
      </c>
      <c r="P99" s="60"/>
    </row>
    <row r="100" spans="4:21" ht="16.5" thickBot="1">
      <c r="D100" s="44" t="b">
        <v>0</v>
      </c>
      <c r="E100" s="45"/>
      <c r="F100" s="202" t="s">
        <v>142</v>
      </c>
      <c r="G100" s="203"/>
      <c r="H100" s="203"/>
      <c r="I100" s="203"/>
      <c r="J100" s="100">
        <v>80</v>
      </c>
      <c r="K100" s="101"/>
      <c r="L100" s="60">
        <f t="shared" si="4"/>
        <v>0</v>
      </c>
      <c r="M100" s="60">
        <f t="shared" si="5"/>
        <v>0</v>
      </c>
      <c r="N100" s="60">
        <f t="shared" si="6"/>
        <v>0</v>
      </c>
      <c r="O100" s="61">
        <f>ROUNDUP(IF($A$6&gt;0,J100*($F$6+$A$6+1)/$H$6*D100,J100*($F$6+2)/$H$6*D100),0)</f>
        <v>0</v>
      </c>
      <c r="P100" s="60"/>
    </row>
    <row r="101" spans="4:21" ht="16.5" thickBot="1">
      <c r="D101" s="44" t="b">
        <v>0</v>
      </c>
      <c r="E101" s="45"/>
      <c r="F101" s="202" t="s">
        <v>143</v>
      </c>
      <c r="G101" s="203"/>
      <c r="H101" s="203"/>
      <c r="I101" s="203"/>
      <c r="J101" s="100">
        <v>80</v>
      </c>
      <c r="K101" s="101"/>
      <c r="L101" s="60">
        <f t="shared" si="4"/>
        <v>0</v>
      </c>
      <c r="M101" s="60">
        <f t="shared" si="5"/>
        <v>0</v>
      </c>
      <c r="N101" s="60">
        <f t="shared" si="6"/>
        <v>0</v>
      </c>
      <c r="O101" s="61">
        <f t="shared" si="7"/>
        <v>0</v>
      </c>
      <c r="P101" s="60">
        <f>D101*50</f>
        <v>0</v>
      </c>
    </row>
    <row r="102" spans="4:21" ht="16.5" customHeight="1" thickBot="1">
      <c r="D102" s="44" t="b">
        <v>0</v>
      </c>
      <c r="E102" s="45"/>
      <c r="F102" s="202" t="s">
        <v>144</v>
      </c>
      <c r="G102" s="203"/>
      <c r="H102" s="203"/>
      <c r="I102" s="203"/>
      <c r="J102" s="100">
        <v>80</v>
      </c>
      <c r="K102" s="101">
        <v>2500</v>
      </c>
      <c r="L102" s="60">
        <f t="shared" si="4"/>
        <v>0</v>
      </c>
      <c r="M102" s="60">
        <f>ROUNDUP(K102/$H$6,0)</f>
        <v>125</v>
      </c>
      <c r="N102" s="60">
        <f t="shared" si="6"/>
        <v>0</v>
      </c>
      <c r="O102" s="61">
        <f t="shared" si="7"/>
        <v>0</v>
      </c>
      <c r="P102" s="60"/>
    </row>
    <row r="103" spans="4:21" ht="16.5" thickBot="1">
      <c r="D103" s="44" t="b">
        <v>0</v>
      </c>
      <c r="E103" s="45"/>
      <c r="F103" s="202" t="s">
        <v>145</v>
      </c>
      <c r="G103" s="203"/>
      <c r="H103" s="203"/>
      <c r="I103" s="203"/>
      <c r="J103" s="100">
        <v>80</v>
      </c>
      <c r="K103" s="101"/>
      <c r="L103" s="60">
        <f t="shared" si="4"/>
        <v>0</v>
      </c>
      <c r="M103" s="60">
        <f t="shared" si="5"/>
        <v>0</v>
      </c>
      <c r="N103" s="60">
        <f t="shared" si="6"/>
        <v>0</v>
      </c>
      <c r="O103" s="61">
        <f t="shared" si="7"/>
        <v>0</v>
      </c>
      <c r="P103" s="60"/>
    </row>
    <row r="104" spans="4:21" ht="16.5" thickBot="1">
      <c r="D104" s="44" t="b">
        <v>0</v>
      </c>
      <c r="E104" s="45"/>
      <c r="F104" s="202" t="s">
        <v>146</v>
      </c>
      <c r="G104" s="203"/>
      <c r="H104" s="203"/>
      <c r="I104" s="203"/>
      <c r="J104" s="100">
        <v>80</v>
      </c>
      <c r="K104" s="101"/>
      <c r="L104" s="60">
        <f t="shared" si="4"/>
        <v>0</v>
      </c>
      <c r="M104" s="60">
        <f t="shared" si="5"/>
        <v>0</v>
      </c>
      <c r="N104" s="60">
        <f t="shared" si="6"/>
        <v>0</v>
      </c>
      <c r="O104" s="61">
        <f t="shared" si="7"/>
        <v>0</v>
      </c>
      <c r="P104" s="60"/>
    </row>
    <row r="105" spans="4:21" ht="16.5" thickBot="1">
      <c r="D105" s="44" t="b">
        <v>0</v>
      </c>
      <c r="E105" s="45"/>
      <c r="F105" s="202" t="s">
        <v>147</v>
      </c>
      <c r="G105" s="203"/>
      <c r="H105" s="203"/>
      <c r="I105" s="203"/>
      <c r="J105" s="100">
        <v>80</v>
      </c>
      <c r="K105" s="101"/>
      <c r="L105" s="60">
        <f t="shared" si="4"/>
        <v>0</v>
      </c>
      <c r="M105" s="60">
        <f t="shared" si="5"/>
        <v>0</v>
      </c>
      <c r="N105" s="60">
        <f t="shared" si="6"/>
        <v>0</v>
      </c>
      <c r="O105" s="61">
        <f t="shared" si="7"/>
        <v>0</v>
      </c>
      <c r="P105" s="60"/>
    </row>
    <row r="106" spans="4:21" ht="16.5" thickBot="1">
      <c r="D106" s="44" t="b">
        <v>0</v>
      </c>
      <c r="E106" s="45"/>
      <c r="F106" s="202" t="s">
        <v>148</v>
      </c>
      <c r="G106" s="203"/>
      <c r="H106" s="203"/>
      <c r="I106" s="203"/>
      <c r="J106" s="100">
        <v>80</v>
      </c>
      <c r="K106" s="101"/>
      <c r="L106" s="60">
        <f t="shared" si="4"/>
        <v>0</v>
      </c>
      <c r="M106" s="60">
        <f t="shared" si="5"/>
        <v>0</v>
      </c>
      <c r="N106" s="60">
        <f t="shared" si="6"/>
        <v>0</v>
      </c>
      <c r="O106" s="61">
        <f t="shared" si="7"/>
        <v>0</v>
      </c>
      <c r="P106" s="60"/>
    </row>
    <row r="107" spans="4:21" ht="16.5" thickBot="1">
      <c r="D107" s="44" t="b">
        <v>0</v>
      </c>
      <c r="E107" s="45"/>
      <c r="F107" s="202" t="s">
        <v>149</v>
      </c>
      <c r="G107" s="203"/>
      <c r="H107" s="203"/>
      <c r="I107" s="203"/>
      <c r="J107" s="100">
        <v>80</v>
      </c>
      <c r="K107" s="101"/>
      <c r="L107" s="60">
        <f t="shared" si="4"/>
        <v>0</v>
      </c>
      <c r="M107" s="60"/>
      <c r="N107" s="60"/>
      <c r="O107" s="61">
        <f>ROUNDUP(IF($A$6&gt;0,J107*($F$6+$A$6+1)/$H$6*D107,J107*($F$6+2)/$H$6*D107),0)</f>
        <v>0</v>
      </c>
      <c r="P107" s="60"/>
    </row>
    <row r="108" spans="4:21" ht="16.5" thickBot="1">
      <c r="D108" s="44" t="b">
        <v>0</v>
      </c>
      <c r="E108" s="45"/>
      <c r="F108" s="202" t="s">
        <v>150</v>
      </c>
      <c r="G108" s="203"/>
      <c r="H108" s="203"/>
      <c r="I108" s="203"/>
      <c r="J108" s="100">
        <v>80</v>
      </c>
      <c r="K108" s="101"/>
      <c r="L108" s="60">
        <f t="shared" si="4"/>
        <v>0</v>
      </c>
      <c r="M108" s="60">
        <f t="shared" si="5"/>
        <v>0</v>
      </c>
      <c r="N108" s="60">
        <f t="shared" si="6"/>
        <v>0</v>
      </c>
      <c r="O108" s="61">
        <f t="shared" si="7"/>
        <v>0</v>
      </c>
      <c r="P108" s="60">
        <f>D108*50</f>
        <v>0</v>
      </c>
    </row>
    <row r="109" spans="4:21" ht="16.5" thickBot="1">
      <c r="D109" s="44" t="b">
        <v>0</v>
      </c>
      <c r="E109" s="45"/>
      <c r="F109" s="202" t="s">
        <v>151</v>
      </c>
      <c r="G109" s="203"/>
      <c r="H109" s="203"/>
      <c r="I109" s="203"/>
      <c r="J109" s="100">
        <v>80</v>
      </c>
      <c r="K109" s="101">
        <v>2000</v>
      </c>
      <c r="L109" s="60">
        <f t="shared" si="4"/>
        <v>0</v>
      </c>
      <c r="M109" s="60">
        <f>ROUNDUP(K109/$H$6,0)</f>
        <v>100</v>
      </c>
      <c r="N109" s="60">
        <f t="shared" si="6"/>
        <v>0</v>
      </c>
      <c r="O109" s="61">
        <f t="shared" si="7"/>
        <v>0</v>
      </c>
      <c r="P109" s="60">
        <f>D109*150</f>
        <v>0</v>
      </c>
    </row>
    <row r="110" spans="4:21" ht="16.5" thickBot="1">
      <c r="D110" s="44" t="b">
        <v>0</v>
      </c>
      <c r="E110" s="45"/>
      <c r="F110" s="202" t="s">
        <v>152</v>
      </c>
      <c r="G110" s="203"/>
      <c r="H110" s="203"/>
      <c r="I110" s="203"/>
      <c r="J110" s="100">
        <v>80</v>
      </c>
      <c r="K110" s="101"/>
      <c r="L110" s="60">
        <f t="shared" si="4"/>
        <v>0</v>
      </c>
      <c r="M110" s="60">
        <f t="shared" si="5"/>
        <v>0</v>
      </c>
      <c r="N110" s="60">
        <f t="shared" si="6"/>
        <v>0</v>
      </c>
      <c r="O110" s="61">
        <f t="shared" si="7"/>
        <v>0</v>
      </c>
      <c r="P110" s="60">
        <f>D110*50</f>
        <v>0</v>
      </c>
    </row>
    <row r="111" spans="4:21" ht="16.5" thickBot="1">
      <c r="D111" s="44" t="b">
        <v>0</v>
      </c>
      <c r="E111" s="45"/>
      <c r="F111" s="202" t="s">
        <v>153</v>
      </c>
      <c r="G111" s="203"/>
      <c r="H111" s="203"/>
      <c r="I111" s="203"/>
      <c r="J111" s="100">
        <v>80</v>
      </c>
      <c r="K111" s="101"/>
      <c r="L111" s="60">
        <f t="shared" si="4"/>
        <v>0</v>
      </c>
      <c r="M111" s="60">
        <f t="shared" si="5"/>
        <v>0</v>
      </c>
      <c r="N111" s="60">
        <f t="shared" si="6"/>
        <v>0</v>
      </c>
      <c r="O111" s="61">
        <f t="shared" si="7"/>
        <v>0</v>
      </c>
      <c r="P111" s="60">
        <f>D111*100</f>
        <v>0</v>
      </c>
    </row>
    <row r="112" spans="4:21" ht="16.5" thickBot="1">
      <c r="D112" s="44" t="b">
        <v>0</v>
      </c>
      <c r="E112" s="45"/>
      <c r="F112" s="202" t="s">
        <v>154</v>
      </c>
      <c r="G112" s="203"/>
      <c r="H112" s="203"/>
      <c r="I112" s="203"/>
      <c r="J112" s="100">
        <v>80</v>
      </c>
      <c r="K112" s="101"/>
      <c r="L112" s="60">
        <f t="shared" si="4"/>
        <v>0</v>
      </c>
      <c r="M112" s="60">
        <f t="shared" si="5"/>
        <v>0</v>
      </c>
      <c r="N112" s="60">
        <f t="shared" si="6"/>
        <v>0</v>
      </c>
      <c r="O112" s="61">
        <f t="shared" si="7"/>
        <v>0</v>
      </c>
      <c r="P112" s="65">
        <f>D112*100</f>
        <v>0</v>
      </c>
      <c r="Q112" s="24"/>
      <c r="R112" s="24"/>
      <c r="S112" s="24"/>
      <c r="T112" s="4"/>
      <c r="U112" s="4"/>
    </row>
    <row r="113" spans="4:19" ht="16.5" thickBot="1">
      <c r="D113" s="44" t="b">
        <v>0</v>
      </c>
      <c r="E113" s="50"/>
      <c r="F113" s="202" t="s">
        <v>155</v>
      </c>
      <c r="G113" s="203"/>
      <c r="H113" s="203"/>
      <c r="I113" s="203"/>
      <c r="J113" s="100">
        <v>80</v>
      </c>
      <c r="K113" s="101"/>
      <c r="L113" s="60"/>
      <c r="M113" s="60">
        <f t="shared" si="5"/>
        <v>0</v>
      </c>
      <c r="N113" s="60"/>
      <c r="O113" s="61">
        <f>ROUNDUP(IF($A$6&gt;0,J113*($F$6+$A$6+1)/$H$6*D113,J113*($F$6+2)/$H$6*D113),0)</f>
        <v>0</v>
      </c>
      <c r="P113" s="60"/>
    </row>
    <row r="114" spans="4:19" ht="16.5" thickBot="1">
      <c r="D114" s="44"/>
      <c r="E114" s="50"/>
      <c r="F114" s="202" t="s">
        <v>156</v>
      </c>
      <c r="G114" s="203"/>
      <c r="H114" s="203"/>
      <c r="I114" s="203"/>
      <c r="J114" s="100">
        <v>80</v>
      </c>
      <c r="K114" s="101"/>
      <c r="L114" s="60"/>
      <c r="M114" s="60"/>
      <c r="N114" s="60"/>
      <c r="O114" s="61"/>
      <c r="P114" s="60"/>
    </row>
    <row r="115" spans="4:19" ht="15.75" customHeight="1" thickBot="1">
      <c r="D115" s="44" t="b">
        <v>0</v>
      </c>
      <c r="E115" s="50"/>
      <c r="F115" s="202" t="s">
        <v>157</v>
      </c>
      <c r="G115" s="203"/>
      <c r="H115" s="203"/>
      <c r="I115" s="203"/>
      <c r="J115" s="100">
        <v>80</v>
      </c>
      <c r="K115" s="101">
        <v>3800</v>
      </c>
      <c r="L115" s="60">
        <f t="shared" ref="L115:L122" si="8">ROUNDUP(J115*D115*$F$6/$H$6,0)</f>
        <v>0</v>
      </c>
      <c r="M115" s="60">
        <f>ROUNDUP(K115/$H$6*D115,0)</f>
        <v>0</v>
      </c>
      <c r="N115" s="60">
        <f>ROUNDUP(J115*$F$6/$H$6*D115,0)</f>
        <v>0</v>
      </c>
      <c r="O115" s="61">
        <f>ROUNDUP(IF($F$6&gt;20,N115,M115),0)</f>
        <v>0</v>
      </c>
      <c r="P115" s="60"/>
    </row>
    <row r="116" spans="4:19" ht="15.75" customHeight="1" thickBot="1">
      <c r="D116" s="44" t="b">
        <v>0</v>
      </c>
      <c r="E116" s="122"/>
      <c r="F116" s="202" t="s">
        <v>158</v>
      </c>
      <c r="G116" s="203"/>
      <c r="H116" s="203"/>
      <c r="I116" s="203"/>
      <c r="J116" s="100">
        <v>80</v>
      </c>
      <c r="K116" s="101">
        <v>3850</v>
      </c>
      <c r="L116" s="60">
        <f t="shared" si="8"/>
        <v>0</v>
      </c>
      <c r="M116" s="60">
        <f>ROUNDUP(K116/$H$6,0)</f>
        <v>193</v>
      </c>
      <c r="N116" s="60"/>
      <c r="O116" s="61">
        <f t="shared" ref="O116:O122" si="9">ROUNDUP(M116*D116,0)</f>
        <v>0</v>
      </c>
      <c r="P116" s="60"/>
    </row>
    <row r="117" spans="4:19" ht="15.75" customHeight="1" thickBot="1">
      <c r="D117" s="44" t="b">
        <v>0</v>
      </c>
      <c r="E117" s="122"/>
      <c r="F117" s="202" t="s">
        <v>159</v>
      </c>
      <c r="G117" s="203"/>
      <c r="H117" s="203"/>
      <c r="I117" s="203"/>
      <c r="J117" s="100">
        <v>80</v>
      </c>
      <c r="K117" s="101"/>
      <c r="L117" s="60">
        <f t="shared" si="8"/>
        <v>0</v>
      </c>
      <c r="M117" s="60">
        <f>ROUNDUP(IF($F$6&gt;20,K117/$H$6+L117,K117*2/$H$6),0)</f>
        <v>0</v>
      </c>
      <c r="N117" s="60">
        <f t="shared" ref="N117:N118" si="10">ROUNDUP(J117*$F$6/$H$6*D117,0)</f>
        <v>0</v>
      </c>
      <c r="O117" s="61">
        <f>ROUNDUP(N117*D117,0)</f>
        <v>0</v>
      </c>
      <c r="P117" s="60"/>
    </row>
    <row r="118" spans="4:19" ht="15.75" customHeight="1" thickBot="1">
      <c r="D118" s="44" t="b">
        <v>0</v>
      </c>
      <c r="E118" s="122"/>
      <c r="F118" s="202" t="s">
        <v>160</v>
      </c>
      <c r="G118" s="203"/>
      <c r="H118" s="203"/>
      <c r="I118" s="203"/>
      <c r="J118" s="100">
        <v>80</v>
      </c>
      <c r="K118" s="101"/>
      <c r="L118" s="60">
        <f t="shared" si="8"/>
        <v>0</v>
      </c>
      <c r="M118" s="60">
        <f>ROUNDUP(IF($F$6&gt;20,K118/$H$6+L118,K118*2/$H$6),0)</f>
        <v>0</v>
      </c>
      <c r="N118" s="60">
        <f t="shared" si="10"/>
        <v>0</v>
      </c>
      <c r="O118" s="61">
        <f>ROUNDUP(N118*D118,0)</f>
        <v>0</v>
      </c>
      <c r="P118" s="60">
        <f>D118*20</f>
        <v>0</v>
      </c>
    </row>
    <row r="119" spans="4:19" ht="15.75" customHeight="1" thickBot="1">
      <c r="D119" s="44" t="b">
        <v>0</v>
      </c>
      <c r="E119" s="122"/>
      <c r="F119" s="202" t="s">
        <v>161</v>
      </c>
      <c r="G119" s="203"/>
      <c r="H119" s="203"/>
      <c r="I119" s="203"/>
      <c r="J119" s="100">
        <v>80</v>
      </c>
      <c r="K119" s="101">
        <v>11800</v>
      </c>
      <c r="L119" s="60">
        <f t="shared" ref="L119" si="11">ROUNDUP(J119*D119*$F$6/$H$6,0)</f>
        <v>0</v>
      </c>
      <c r="M119" s="60">
        <f>ROUNDUP(K119/$H$6*D119,0)</f>
        <v>0</v>
      </c>
      <c r="N119" s="60">
        <f>ROUNDUP(J119*$F$6/$H$6*D119,0)</f>
        <v>0</v>
      </c>
      <c r="O119" s="61">
        <f>ROUNDUP(IF($F$6&gt;15,N119,M119),0)</f>
        <v>0</v>
      </c>
      <c r="P119" s="60"/>
    </row>
    <row r="120" spans="4:19" ht="15.75" customHeight="1" thickBot="1">
      <c r="D120" s="44" t="b">
        <v>0</v>
      </c>
      <c r="E120" s="122"/>
      <c r="F120" s="202" t="s">
        <v>162</v>
      </c>
      <c r="G120" s="203"/>
      <c r="H120" s="203"/>
      <c r="I120" s="203"/>
      <c r="J120" s="100">
        <v>80</v>
      </c>
      <c r="K120" s="101"/>
      <c r="L120" s="60">
        <f t="shared" si="8"/>
        <v>0</v>
      </c>
      <c r="M120" s="60">
        <f t="shared" ref="M120:M122" si="12">ROUNDUP(IF(F12&gt;20,K120/$H$6+L120,K120*2/$H$6),0)</f>
        <v>0</v>
      </c>
      <c r="N120" s="60">
        <f>ROUNDUP(J120*$F$6/$H$6*D120,0)</f>
        <v>0</v>
      </c>
      <c r="O120" s="61">
        <f>ROUNDUP(J120*($F$6+1+IF($A$6&gt;0,$A$6,1))/$H$6*D120,0)</f>
        <v>0</v>
      </c>
      <c r="P120" s="60"/>
    </row>
    <row r="121" spans="4:19" ht="15.75" customHeight="1" thickBot="1">
      <c r="D121" s="44" t="b">
        <v>0</v>
      </c>
      <c r="E121" s="122"/>
      <c r="F121" s="202" t="s">
        <v>163</v>
      </c>
      <c r="G121" s="203"/>
      <c r="H121" s="203"/>
      <c r="I121" s="203"/>
      <c r="J121" s="100">
        <v>80</v>
      </c>
      <c r="K121" s="101"/>
      <c r="L121" s="60">
        <f t="shared" si="8"/>
        <v>0</v>
      </c>
      <c r="M121" s="60">
        <f t="shared" si="12"/>
        <v>0</v>
      </c>
      <c r="N121" s="60">
        <f>ROUNDUP(J121*$F$6/$H$6*D121,0)</f>
        <v>0</v>
      </c>
      <c r="O121" s="61">
        <f>ROUNDUP(J121*($F$6+1+IF($A$6&gt;0,$A$6,1))/$H$6*D121,0)</f>
        <v>0</v>
      </c>
      <c r="P121" s="60"/>
    </row>
    <row r="122" spans="4:19" ht="15.75" customHeight="1" thickBot="1">
      <c r="D122" s="44" t="b">
        <v>0</v>
      </c>
      <c r="E122" s="122"/>
      <c r="F122" s="202" t="s">
        <v>164</v>
      </c>
      <c r="G122" s="203"/>
      <c r="H122" s="203"/>
      <c r="I122" s="203"/>
      <c r="J122" s="100">
        <v>80</v>
      </c>
      <c r="K122" s="101"/>
      <c r="L122" s="60">
        <f t="shared" si="8"/>
        <v>0</v>
      </c>
      <c r="M122" s="60">
        <f t="shared" si="12"/>
        <v>0</v>
      </c>
      <c r="N122" s="60"/>
      <c r="O122" s="61">
        <f t="shared" si="9"/>
        <v>0</v>
      </c>
      <c r="P122" s="60"/>
    </row>
    <row r="123" spans="4:19" ht="16.5" thickBot="1">
      <c r="D123" s="44"/>
      <c r="E123" s="45"/>
      <c r="F123" s="202" t="s">
        <v>165</v>
      </c>
      <c r="G123" s="203"/>
      <c r="H123" s="203"/>
      <c r="I123" s="203"/>
      <c r="J123" s="100">
        <v>80</v>
      </c>
      <c r="K123" s="101"/>
      <c r="L123" s="60"/>
      <c r="M123" s="60"/>
      <c r="N123" s="60"/>
      <c r="O123" s="61"/>
      <c r="P123" s="66"/>
      <c r="Q123" s="23"/>
      <c r="R123" s="23"/>
      <c r="S123" s="23"/>
    </row>
    <row r="124" spans="4:19" ht="16.5" thickBot="1">
      <c r="D124" s="44" t="b">
        <v>0</v>
      </c>
      <c r="E124" s="45"/>
      <c r="F124" s="202" t="s">
        <v>166</v>
      </c>
      <c r="G124" s="203"/>
      <c r="H124" s="203"/>
      <c r="I124" s="203"/>
      <c r="J124" s="100">
        <v>80</v>
      </c>
      <c r="K124" s="101">
        <v>350</v>
      </c>
      <c r="L124" s="60">
        <v>100</v>
      </c>
      <c r="M124" s="60">
        <f>ROUNDUP(K124*($F$6+1+IF($A$6&gt;0,$A$6,1))/$H$6,0)</f>
        <v>420</v>
      </c>
      <c r="N124" s="60">
        <f>ROUNDUP(L124*$F$6/$H$6,0)</f>
        <v>110</v>
      </c>
      <c r="O124" s="61">
        <f>ROUNDUP((J124+M124+N124)*D124,0)</f>
        <v>0</v>
      </c>
      <c r="P124" s="66"/>
      <c r="Q124" s="23"/>
      <c r="R124" s="23"/>
      <c r="S124" s="23"/>
    </row>
    <row r="125" spans="4:19" ht="16.5" thickBot="1">
      <c r="D125" s="44" t="b">
        <v>0</v>
      </c>
      <c r="E125" s="45"/>
      <c r="F125" s="202" t="s">
        <v>167</v>
      </c>
      <c r="G125" s="203"/>
      <c r="H125" s="203"/>
      <c r="I125" s="203"/>
      <c r="J125" s="100">
        <v>80</v>
      </c>
      <c r="K125" s="101">
        <v>350</v>
      </c>
      <c r="L125" s="60">
        <f>ROUNDUP(K125*IF($A$6&gt;0,$A$6,2)/$H$6,0)</f>
        <v>35</v>
      </c>
      <c r="M125" s="60"/>
      <c r="N125" s="60">
        <f>ROUNDUP(J125*$F$6/$H$6,0)</f>
        <v>88</v>
      </c>
      <c r="O125" s="61">
        <f>(N125+L125)*D125</f>
        <v>0</v>
      </c>
      <c r="P125" s="66"/>
      <c r="Q125" s="23"/>
      <c r="R125" s="23"/>
      <c r="S125" s="23"/>
    </row>
    <row r="126" spans="4:19" ht="16.5" thickBot="1">
      <c r="D126" s="44" t="b">
        <v>0</v>
      </c>
      <c r="E126" s="45"/>
      <c r="F126" s="202" t="s">
        <v>168</v>
      </c>
      <c r="G126" s="203"/>
      <c r="H126" s="203"/>
      <c r="I126" s="203"/>
      <c r="J126" s="100">
        <v>80</v>
      </c>
      <c r="K126" s="101"/>
      <c r="L126" s="60"/>
      <c r="M126" s="60"/>
      <c r="N126" s="60"/>
      <c r="O126" s="61">
        <f>ROUNDUP((J126/$H$6)*D126,0)</f>
        <v>0</v>
      </c>
      <c r="P126" s="66"/>
      <c r="Q126" s="23"/>
      <c r="R126" s="23"/>
      <c r="S126" s="23"/>
    </row>
    <row r="127" spans="4:19" ht="16.5" thickBot="1">
      <c r="D127" s="44" t="b">
        <v>0</v>
      </c>
      <c r="E127" s="45"/>
      <c r="F127" s="202" t="s">
        <v>169</v>
      </c>
      <c r="G127" s="203"/>
      <c r="H127" s="203"/>
      <c r="I127" s="203"/>
      <c r="J127" s="100">
        <v>80</v>
      </c>
      <c r="K127" s="101"/>
      <c r="L127" s="60">
        <f t="shared" si="4"/>
        <v>0</v>
      </c>
      <c r="M127" s="60">
        <f t="shared" si="5"/>
        <v>0</v>
      </c>
      <c r="N127" s="60">
        <f t="shared" si="6"/>
        <v>0</v>
      </c>
      <c r="O127" s="61">
        <f t="shared" si="7"/>
        <v>0</v>
      </c>
      <c r="P127" s="66"/>
      <c r="Q127" s="23"/>
      <c r="R127" s="23"/>
      <c r="S127" s="23"/>
    </row>
    <row r="128" spans="4:19" ht="16.5" thickBot="1">
      <c r="D128" s="44"/>
      <c r="E128" s="45"/>
      <c r="F128" s="202" t="s">
        <v>170</v>
      </c>
      <c r="G128" s="203"/>
      <c r="H128" s="203"/>
      <c r="I128" s="203"/>
      <c r="J128" s="100">
        <v>80</v>
      </c>
      <c r="K128" s="101"/>
      <c r="L128" s="60"/>
      <c r="M128" s="60"/>
      <c r="N128" s="60"/>
      <c r="O128" s="61"/>
      <c r="P128" s="66"/>
      <c r="Q128" s="23"/>
      <c r="R128" s="23"/>
      <c r="S128" s="23"/>
    </row>
    <row r="129" spans="4:16" ht="16.5" thickBot="1">
      <c r="D129" s="44" t="b">
        <v>0</v>
      </c>
      <c r="E129" s="45"/>
      <c r="F129" s="202" t="s">
        <v>171</v>
      </c>
      <c r="G129" s="203"/>
      <c r="H129" s="203"/>
      <c r="I129" s="203"/>
      <c r="J129" s="100">
        <v>80</v>
      </c>
      <c r="K129" s="101">
        <v>400</v>
      </c>
      <c r="L129" s="60">
        <f t="shared" ref="L129" si="13">ROUNDUP(J129*D129*$F$6/$H$6,0)</f>
        <v>0</v>
      </c>
      <c r="M129" s="60">
        <f>ROUNDUP(K129/$H$6,0)</f>
        <v>20</v>
      </c>
      <c r="N129" s="60">
        <f>ROUNDUP((J129*$F$6/$H$6+M129)*D129,0)</f>
        <v>0</v>
      </c>
      <c r="O129" s="61">
        <f>ROUNDUP(N129*D129,0)</f>
        <v>0</v>
      </c>
      <c r="P129" s="60">
        <f>D129*30</f>
        <v>0</v>
      </c>
    </row>
    <row r="130" spans="4:16" ht="16.5" thickBot="1">
      <c r="D130" s="44" t="b">
        <v>0</v>
      </c>
      <c r="E130" s="45"/>
      <c r="F130" s="202" t="s">
        <v>172</v>
      </c>
      <c r="G130" s="203"/>
      <c r="H130" s="203"/>
      <c r="I130" s="203"/>
      <c r="J130" s="100">
        <v>80</v>
      </c>
      <c r="K130" s="101">
        <v>1000</v>
      </c>
      <c r="L130" s="60"/>
      <c r="M130" s="60">
        <f>ROUNDUP(K130/$H$6*D130,0)</f>
        <v>0</v>
      </c>
      <c r="N130" s="60"/>
      <c r="O130" s="61">
        <f>ROUNDUP(M130*D130,0)</f>
        <v>0</v>
      </c>
      <c r="P130" s="60"/>
    </row>
    <row r="131" spans="4:16" ht="16.5" thickBot="1">
      <c r="D131" s="44" t="b">
        <v>0</v>
      </c>
      <c r="E131" s="45"/>
      <c r="F131" s="202" t="s">
        <v>173</v>
      </c>
      <c r="G131" s="203"/>
      <c r="H131" s="203"/>
      <c r="I131" s="203"/>
      <c r="J131" s="100">
        <v>80</v>
      </c>
      <c r="K131" s="101"/>
      <c r="L131" s="60">
        <f t="shared" ref="L131:L132" si="14">ROUNDUP(J131*D131*$F$6/$H$6,0)</f>
        <v>0</v>
      </c>
      <c r="M131" s="60">
        <f>ROUNDUP(K131/$H$6,0)</f>
        <v>0</v>
      </c>
      <c r="N131" s="60">
        <f>ROUNDUP((J131*$F$6/$H$6+M131)*D131,0)</f>
        <v>0</v>
      </c>
      <c r="O131" s="61">
        <f>ROUNDUP(N131*D131,0)</f>
        <v>0</v>
      </c>
      <c r="P131" s="60"/>
    </row>
    <row r="132" spans="4:16" ht="16.5" thickBot="1">
      <c r="D132" s="44" t="b">
        <v>0</v>
      </c>
      <c r="E132" s="45"/>
      <c r="F132" s="202" t="s">
        <v>174</v>
      </c>
      <c r="G132" s="203"/>
      <c r="H132" s="203"/>
      <c r="I132" s="203"/>
      <c r="J132" s="100">
        <v>80</v>
      </c>
      <c r="K132" s="101">
        <v>6500</v>
      </c>
      <c r="L132" s="60">
        <f t="shared" si="14"/>
        <v>0</v>
      </c>
      <c r="M132" s="60">
        <f>ROUNDUP(K132/$H$6,0)</f>
        <v>325</v>
      </c>
      <c r="N132" s="60">
        <f>ROUNDUP((J132*$F$6/$H$6+M132)*D132,0)</f>
        <v>0</v>
      </c>
      <c r="O132" s="61">
        <f>ROUNDUP(N132*D132,0)</f>
        <v>0</v>
      </c>
      <c r="P132" s="60"/>
    </row>
    <row r="133" spans="4:16" ht="16.5" thickBot="1">
      <c r="D133" s="44" t="b">
        <v>0</v>
      </c>
      <c r="E133" s="45"/>
      <c r="F133" s="202" t="s">
        <v>175</v>
      </c>
      <c r="G133" s="203"/>
      <c r="H133" s="203"/>
      <c r="I133" s="203"/>
      <c r="J133" s="100">
        <v>80</v>
      </c>
      <c r="K133" s="101"/>
      <c r="L133" s="60"/>
      <c r="M133" s="60"/>
      <c r="N133" s="60"/>
      <c r="O133" s="61"/>
      <c r="P133" s="60"/>
    </row>
    <row r="134" spans="4:16" ht="16.5" thickBot="1">
      <c r="D134" s="44"/>
      <c r="E134" s="45"/>
      <c r="F134" s="202" t="s">
        <v>176</v>
      </c>
      <c r="G134" s="203"/>
      <c r="H134" s="203"/>
      <c r="I134" s="203"/>
      <c r="J134" s="100">
        <v>80</v>
      </c>
      <c r="K134" s="101"/>
      <c r="L134" s="60"/>
      <c r="M134" s="60"/>
      <c r="N134" s="60"/>
      <c r="O134" s="61"/>
      <c r="P134" s="60"/>
    </row>
    <row r="135" spans="4:16" ht="16.5" thickBot="1">
      <c r="D135" s="44" t="b">
        <v>0</v>
      </c>
      <c r="E135" s="45"/>
      <c r="F135" s="202" t="s">
        <v>177</v>
      </c>
      <c r="G135" s="203"/>
      <c r="H135" s="203"/>
      <c r="I135" s="203"/>
      <c r="J135" s="100">
        <v>80</v>
      </c>
      <c r="K135" s="101">
        <v>2000</v>
      </c>
      <c r="L135" s="60"/>
      <c r="M135" s="60">
        <f>ROUNDUP(K135/$H$6*D135,0)</f>
        <v>0</v>
      </c>
      <c r="N135" s="60"/>
      <c r="O135" s="61">
        <f>ROUNDUP(M135*D135,0)</f>
        <v>0</v>
      </c>
      <c r="P135" s="60"/>
    </row>
    <row r="136" spans="4:16" ht="16.5" thickBot="1">
      <c r="D136" s="44" t="b">
        <v>0</v>
      </c>
      <c r="E136" s="45"/>
      <c r="F136" s="202" t="s">
        <v>178</v>
      </c>
      <c r="G136" s="203"/>
      <c r="H136" s="203"/>
      <c r="I136" s="203"/>
      <c r="J136" s="100">
        <v>80</v>
      </c>
      <c r="K136" s="101">
        <v>500</v>
      </c>
      <c r="L136" s="60">
        <f t="shared" ref="L136" si="15">ROUNDUP(J136*D136*$F$6/$H$6,0)</f>
        <v>0</v>
      </c>
      <c r="M136" s="60">
        <f>ROUNDUP(K136/$H$6,0)</f>
        <v>25</v>
      </c>
      <c r="N136" s="60">
        <f>ROUNDUP(IF($F$6&lt;11,(J136*$F$6/$H$6+M136)*D136,100*$F$6/$H$6*D136),0)</f>
        <v>0</v>
      </c>
      <c r="O136" s="61">
        <f>ROUNDUP(N136*D136,0)</f>
        <v>0</v>
      </c>
      <c r="P136" s="60">
        <f>D136*50</f>
        <v>0</v>
      </c>
    </row>
    <row r="137" spans="4:16" ht="16.5" thickBot="1">
      <c r="D137" s="44" t="b">
        <v>0</v>
      </c>
      <c r="E137" s="45"/>
      <c r="F137" s="202" t="s">
        <v>179</v>
      </c>
      <c r="G137" s="203"/>
      <c r="H137" s="203"/>
      <c r="I137" s="203"/>
      <c r="J137" s="100">
        <v>80</v>
      </c>
      <c r="K137" s="101">
        <v>500</v>
      </c>
      <c r="L137" s="60">
        <f t="shared" ref="L137" si="16">ROUNDUP(J137*D137*$F$6/$H$6,0)</f>
        <v>0</v>
      </c>
      <c r="M137" s="60">
        <f>ROUNDUP(K137/$H$6,0)</f>
        <v>25</v>
      </c>
      <c r="N137" s="60">
        <f>ROUNDUP(IF($F$6&lt;11,(J137*$F$6/$H$6+M137)*D137,100*$F$6/$H$6*D137),0)</f>
        <v>0</v>
      </c>
      <c r="O137" s="61">
        <f>ROUNDUP(N137*D137,0)</f>
        <v>0</v>
      </c>
      <c r="P137" s="60">
        <f>D137*50</f>
        <v>0</v>
      </c>
    </row>
    <row r="138" spans="4:16" ht="16.5" thickBot="1">
      <c r="D138" s="44" t="b">
        <v>0</v>
      </c>
      <c r="E138" s="45"/>
      <c r="F138" s="202" t="s">
        <v>180</v>
      </c>
      <c r="G138" s="203"/>
      <c r="H138" s="203"/>
      <c r="I138" s="203"/>
      <c r="J138" s="100">
        <v>80</v>
      </c>
      <c r="K138" s="101"/>
      <c r="L138" s="60">
        <f t="shared" si="4"/>
        <v>0</v>
      </c>
      <c r="M138" s="60"/>
      <c r="N138" s="60">
        <f t="shared" si="6"/>
        <v>0</v>
      </c>
      <c r="O138" s="61">
        <f>ROUNDUP(IF($A$6&gt;0,J138*($F$6+$A$6+1)/$H$6*D138,J138*($F$6+2)/$H$6*D138),0)</f>
        <v>0</v>
      </c>
      <c r="P138" s="60"/>
    </row>
    <row r="139" spans="4:16" ht="16.5" thickBot="1">
      <c r="D139" s="44"/>
      <c r="E139" s="45"/>
      <c r="F139" s="202" t="s">
        <v>181</v>
      </c>
      <c r="G139" s="203"/>
      <c r="H139" s="203"/>
      <c r="I139" s="203"/>
      <c r="J139" s="100">
        <v>80</v>
      </c>
      <c r="K139" s="101"/>
      <c r="L139" s="60"/>
      <c r="M139" s="60"/>
      <c r="N139" s="60"/>
      <c r="O139" s="61"/>
      <c r="P139" s="60"/>
    </row>
    <row r="140" spans="4:16" ht="16.5" thickBot="1">
      <c r="D140" s="44" t="b">
        <v>0</v>
      </c>
      <c r="E140" s="45"/>
      <c r="F140" s="202" t="s">
        <v>182</v>
      </c>
      <c r="G140" s="203"/>
      <c r="H140" s="203"/>
      <c r="I140" s="203"/>
      <c r="J140" s="100">
        <v>80</v>
      </c>
      <c r="K140" s="101"/>
      <c r="L140" s="60"/>
      <c r="M140" s="60"/>
      <c r="N140" s="60"/>
      <c r="O140" s="61">
        <f>D140*J140*$F$6/$H$6</f>
        <v>0</v>
      </c>
      <c r="P140" s="60">
        <f>D140*70</f>
        <v>0</v>
      </c>
    </row>
    <row r="141" spans="4:16" ht="16.5" thickBot="1">
      <c r="D141" s="44" t="b">
        <v>0</v>
      </c>
      <c r="E141" s="45"/>
      <c r="F141" s="202" t="s">
        <v>183</v>
      </c>
      <c r="G141" s="203"/>
      <c r="H141" s="203"/>
      <c r="I141" s="203"/>
      <c r="J141" s="100">
        <v>80</v>
      </c>
      <c r="K141" s="101"/>
      <c r="L141" s="60"/>
      <c r="M141" s="60"/>
      <c r="N141" s="60"/>
      <c r="O141" s="61"/>
      <c r="P141" s="60"/>
    </row>
    <row r="142" spans="4:16" ht="16.5" thickBot="1">
      <c r="D142" s="44"/>
      <c r="E142" s="45"/>
      <c r="F142" s="202" t="s">
        <v>184</v>
      </c>
      <c r="G142" s="203"/>
      <c r="H142" s="203"/>
      <c r="I142" s="203"/>
      <c r="J142" s="100">
        <v>80</v>
      </c>
      <c r="K142" s="101"/>
      <c r="L142" s="60"/>
      <c r="M142" s="60"/>
      <c r="N142" s="60"/>
      <c r="O142" s="61"/>
      <c r="P142" s="60"/>
    </row>
    <row r="143" spans="4:16" ht="16.5" thickBot="1">
      <c r="D143" s="44" t="b">
        <v>0</v>
      </c>
      <c r="E143" s="45"/>
      <c r="F143" s="202" t="s">
        <v>185</v>
      </c>
      <c r="G143" s="203"/>
      <c r="H143" s="203"/>
      <c r="I143" s="203"/>
      <c r="J143" s="100">
        <v>80</v>
      </c>
      <c r="K143" s="101"/>
      <c r="L143" s="60">
        <f t="shared" ref="L143:L145" si="17">(J143*D143)</f>
        <v>0</v>
      </c>
      <c r="M143" s="60">
        <f t="shared" ref="M143:M144" si="18">ROUNDUP(IF($F$6&gt;25,IF($F$6&gt;40,K143*3/$H$6,K143*2/$H$6),K143/$H$6),0)</f>
        <v>0</v>
      </c>
      <c r="N143" s="60">
        <f t="shared" ref="N143:N145" si="19">ROUNDUP(L143*$F$6/$H$6,0)</f>
        <v>0</v>
      </c>
      <c r="O143" s="61">
        <f t="shared" ref="O143:O144" si="20">(M143*D143)+N143</f>
        <v>0</v>
      </c>
      <c r="P143" s="60"/>
    </row>
    <row r="144" spans="4:16" ht="16.5" thickBot="1">
      <c r="D144" s="44" t="b">
        <v>0</v>
      </c>
      <c r="E144" s="45"/>
      <c r="F144" s="202" t="s">
        <v>186</v>
      </c>
      <c r="G144" s="203"/>
      <c r="H144" s="203"/>
      <c r="I144" s="203"/>
      <c r="J144" s="100">
        <v>80</v>
      </c>
      <c r="K144" s="101"/>
      <c r="L144" s="60">
        <f t="shared" si="17"/>
        <v>0</v>
      </c>
      <c r="M144" s="60">
        <f t="shared" si="18"/>
        <v>0</v>
      </c>
      <c r="N144" s="60">
        <f t="shared" si="19"/>
        <v>0</v>
      </c>
      <c r="O144" s="61">
        <f t="shared" si="20"/>
        <v>0</v>
      </c>
      <c r="P144" s="60"/>
    </row>
    <row r="145" spans="1:19" ht="16.5" thickBot="1">
      <c r="D145" s="44" t="b">
        <v>0</v>
      </c>
      <c r="E145" s="45"/>
      <c r="F145" s="202" t="s">
        <v>187</v>
      </c>
      <c r="G145" s="203"/>
      <c r="H145" s="203"/>
      <c r="I145" s="203"/>
      <c r="J145" s="100">
        <v>80</v>
      </c>
      <c r="K145" s="101"/>
      <c r="L145" s="60">
        <f t="shared" si="17"/>
        <v>0</v>
      </c>
      <c r="M145" s="60"/>
      <c r="N145" s="60">
        <f t="shared" si="19"/>
        <v>0</v>
      </c>
      <c r="O145" s="61">
        <f>ROUNDUP(IF($A$6&gt;0,J145*($F$6+$A$6+1)/$H$6*D145,J145*($F$6+2)/$H$6*D145),0)</f>
        <v>0</v>
      </c>
      <c r="P145" s="60"/>
    </row>
    <row r="146" spans="1:19" ht="16.5" thickBot="1">
      <c r="D146" s="44"/>
      <c r="E146" s="45"/>
      <c r="F146" s="202" t="s">
        <v>188</v>
      </c>
      <c r="G146" s="203"/>
      <c r="H146" s="203"/>
      <c r="I146" s="203"/>
      <c r="J146" s="100">
        <v>80</v>
      </c>
      <c r="K146" s="101"/>
      <c r="L146" s="60"/>
      <c r="M146" s="60"/>
      <c r="N146" s="60"/>
      <c r="O146" s="61"/>
      <c r="P146" s="60"/>
    </row>
    <row r="147" spans="1:19" ht="16.5" thickBot="1">
      <c r="D147" s="48"/>
      <c r="E147" s="49"/>
      <c r="F147" s="202" t="s">
        <v>189</v>
      </c>
      <c r="G147" s="203"/>
      <c r="H147" s="203"/>
      <c r="I147" s="203"/>
      <c r="J147" s="105"/>
      <c r="K147" s="99"/>
      <c r="L147" s="58"/>
      <c r="M147" s="58"/>
      <c r="N147" s="58"/>
      <c r="O147" s="58"/>
      <c r="P147" s="58"/>
    </row>
    <row r="148" spans="1:19" ht="16.5" thickBot="1">
      <c r="D148" s="44" t="b">
        <v>0</v>
      </c>
      <c r="E148" s="45"/>
      <c r="F148" s="202" t="s">
        <v>190</v>
      </c>
      <c r="G148" s="203"/>
      <c r="H148" s="203"/>
      <c r="I148" s="203"/>
      <c r="J148" s="100">
        <v>650</v>
      </c>
      <c r="K148" s="101"/>
      <c r="L148" s="60">
        <f t="shared" si="4"/>
        <v>0</v>
      </c>
      <c r="M148" s="60">
        <f t="shared" si="5"/>
        <v>0</v>
      </c>
      <c r="N148" s="60">
        <f>ROUNDUP(L148*($F$6+1)/$H$6,0)</f>
        <v>0</v>
      </c>
      <c r="O148" s="61">
        <f t="shared" si="7"/>
        <v>0</v>
      </c>
      <c r="P148" s="60"/>
    </row>
    <row r="149" spans="1:19" ht="16.5" thickBot="1">
      <c r="D149" s="44" t="b">
        <v>0</v>
      </c>
      <c r="E149" s="45"/>
      <c r="F149" s="202" t="s">
        <v>191</v>
      </c>
      <c r="G149" s="203"/>
      <c r="H149" s="203"/>
      <c r="I149" s="203"/>
      <c r="J149" s="100"/>
      <c r="K149" s="101"/>
      <c r="L149" s="60">
        <f t="shared" si="4"/>
        <v>0</v>
      </c>
      <c r="M149" s="60">
        <f t="shared" si="5"/>
        <v>0</v>
      </c>
      <c r="N149" s="60">
        <f t="shared" si="6"/>
        <v>0</v>
      </c>
      <c r="O149" s="61">
        <f t="shared" si="7"/>
        <v>0</v>
      </c>
      <c r="P149" s="60"/>
    </row>
    <row r="150" spans="1:19" ht="15.75" thickBot="1">
      <c r="K150" s="69" t="s">
        <v>38</v>
      </c>
      <c r="L150" s="69">
        <f>O150</f>
        <v>0</v>
      </c>
      <c r="M150" s="68"/>
      <c r="N150" s="68"/>
      <c r="O150" s="69">
        <f>SUM(O12:O149)</f>
        <v>0</v>
      </c>
      <c r="P150" s="70">
        <f>SUM(P12:P149)</f>
        <v>0</v>
      </c>
      <c r="Q150" s="4"/>
      <c r="R150" s="4"/>
      <c r="S150" s="4"/>
    </row>
    <row r="151" spans="1:19">
      <c r="M151" s="4"/>
      <c r="N151" s="4"/>
      <c r="O151" s="4"/>
      <c r="P151" s="4"/>
      <c r="Q151" s="4"/>
      <c r="R151" s="4"/>
      <c r="S151" s="4"/>
    </row>
    <row r="152" spans="1:19">
      <c r="M152" s="4"/>
      <c r="N152" s="4"/>
      <c r="O152" s="4"/>
      <c r="P152" s="4"/>
      <c r="Q152" s="4"/>
      <c r="R152" s="4"/>
      <c r="S152" s="4"/>
    </row>
    <row r="153" spans="1:19">
      <c r="M153" s="4"/>
      <c r="N153" s="4"/>
      <c r="O153" s="4"/>
      <c r="P153" s="4"/>
      <c r="Q153" s="4"/>
      <c r="R153" s="4"/>
      <c r="S153" s="4"/>
    </row>
    <row r="154" spans="1:19">
      <c r="M154" s="4"/>
      <c r="N154" s="4"/>
      <c r="O154" s="4"/>
      <c r="P154" s="4"/>
      <c r="Q154" s="4"/>
      <c r="R154" s="4"/>
      <c r="S154" s="4"/>
    </row>
    <row r="155" spans="1:19" ht="21">
      <c r="A155" s="208" t="s">
        <v>18</v>
      </c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4"/>
      <c r="O155" s="4"/>
      <c r="P155" s="4"/>
      <c r="Q155" s="4"/>
      <c r="R155" s="4"/>
      <c r="S155" s="4"/>
    </row>
    <row r="156" spans="1:19" ht="15.75" thickBot="1"/>
    <row r="157" spans="1:19" ht="19.5" thickBot="1">
      <c r="E157" s="2"/>
      <c r="F157" s="199" t="s">
        <v>199</v>
      </c>
      <c r="G157" s="200"/>
      <c r="H157" s="201"/>
      <c r="I157" s="5" t="s">
        <v>2</v>
      </c>
      <c r="J157" s="16" t="s">
        <v>10</v>
      </c>
      <c r="K157" s="17" t="s">
        <v>11</v>
      </c>
      <c r="L157" s="18" t="s">
        <v>14</v>
      </c>
    </row>
    <row r="158" spans="1:19" ht="15.75" thickBot="1">
      <c r="D158" s="77" t="b">
        <v>0</v>
      </c>
      <c r="E158" s="78"/>
      <c r="F158" s="224" t="s">
        <v>192</v>
      </c>
      <c r="G158" s="224"/>
      <c r="H158" s="225"/>
      <c r="I158" s="51">
        <v>0</v>
      </c>
      <c r="J158" s="106">
        <v>200</v>
      </c>
      <c r="K158" s="71">
        <f t="shared" ref="K158:K168" si="21">I158*J158*D158</f>
        <v>0</v>
      </c>
      <c r="L158" s="72">
        <f t="shared" ref="L158:L168" si="22">ROUNDUP(K158*($F$6+1+IF($A$6&gt;0,$A$6,1))/$H$6,-1)</f>
        <v>0</v>
      </c>
    </row>
    <row r="159" spans="1:19" ht="15.75" thickBot="1">
      <c r="D159" s="79" t="b">
        <v>0</v>
      </c>
      <c r="E159" s="80"/>
      <c r="F159" s="224" t="s">
        <v>193</v>
      </c>
      <c r="G159" s="224"/>
      <c r="H159" s="225"/>
      <c r="I159" s="51">
        <v>0</v>
      </c>
      <c r="J159" s="107">
        <v>220</v>
      </c>
      <c r="K159" s="73">
        <f t="shared" si="21"/>
        <v>0</v>
      </c>
      <c r="L159" s="60">
        <f t="shared" si="22"/>
        <v>0</v>
      </c>
    </row>
    <row r="160" spans="1:19" ht="15.75" thickBot="1">
      <c r="D160" s="79" t="b">
        <v>0</v>
      </c>
      <c r="E160" s="80"/>
      <c r="F160" s="224" t="s">
        <v>194</v>
      </c>
      <c r="G160" s="224"/>
      <c r="H160" s="225"/>
      <c r="I160" s="51">
        <v>0</v>
      </c>
      <c r="J160" s="107">
        <v>250</v>
      </c>
      <c r="K160" s="73">
        <f t="shared" si="21"/>
        <v>0</v>
      </c>
      <c r="L160" s="60">
        <f t="shared" si="22"/>
        <v>0</v>
      </c>
    </row>
    <row r="161" spans="4:12" ht="15.75" thickBot="1">
      <c r="D161" s="79" t="b">
        <v>0</v>
      </c>
      <c r="E161" s="80"/>
      <c r="F161" s="224" t="s">
        <v>195</v>
      </c>
      <c r="G161" s="224"/>
      <c r="H161" s="225"/>
      <c r="I161" s="51">
        <v>0</v>
      </c>
      <c r="J161" s="107">
        <v>285</v>
      </c>
      <c r="K161" s="73">
        <f t="shared" si="21"/>
        <v>0</v>
      </c>
      <c r="L161" s="60">
        <f t="shared" si="22"/>
        <v>0</v>
      </c>
    </row>
    <row r="162" spans="4:12" ht="15.75" thickBot="1">
      <c r="D162" s="79" t="b">
        <v>0</v>
      </c>
      <c r="E162" s="80"/>
      <c r="F162" s="224" t="s">
        <v>196</v>
      </c>
      <c r="G162" s="224"/>
      <c r="H162" s="225"/>
      <c r="I162" s="51">
        <v>0</v>
      </c>
      <c r="J162" s="107">
        <v>350</v>
      </c>
      <c r="K162" s="73">
        <f t="shared" si="21"/>
        <v>0</v>
      </c>
      <c r="L162" s="60">
        <f t="shared" si="22"/>
        <v>0</v>
      </c>
    </row>
    <row r="163" spans="4:12" ht="15.75" thickBot="1">
      <c r="D163" s="79" t="b">
        <v>0</v>
      </c>
      <c r="E163" s="80"/>
      <c r="F163" s="224" t="s">
        <v>197</v>
      </c>
      <c r="G163" s="224"/>
      <c r="H163" s="225"/>
      <c r="I163" s="51">
        <v>0</v>
      </c>
      <c r="J163" s="107">
        <v>2000</v>
      </c>
      <c r="K163" s="74">
        <f>J163*D163*I163</f>
        <v>0</v>
      </c>
      <c r="L163" s="60">
        <f>ROUNDUP(K163/$H$6,-1)</f>
        <v>0</v>
      </c>
    </row>
    <row r="164" spans="4:12" ht="15.75" thickBot="1">
      <c r="D164" s="81" t="b">
        <v>0</v>
      </c>
      <c r="E164" s="78"/>
      <c r="F164" s="224" t="s">
        <v>198</v>
      </c>
      <c r="G164" s="224"/>
      <c r="H164" s="225"/>
      <c r="I164" s="51">
        <v>0</v>
      </c>
      <c r="J164" s="106">
        <v>350</v>
      </c>
      <c r="K164" s="75">
        <f t="shared" si="21"/>
        <v>0</v>
      </c>
      <c r="L164" s="72">
        <f t="shared" si="22"/>
        <v>0</v>
      </c>
    </row>
    <row r="165" spans="4:12" ht="15.75" thickBot="1">
      <c r="D165" s="82" t="b">
        <v>0</v>
      </c>
      <c r="E165" s="83"/>
      <c r="F165" s="222"/>
      <c r="G165" s="222"/>
      <c r="H165" s="223"/>
      <c r="I165" s="51"/>
      <c r="J165" s="108"/>
      <c r="K165" s="73">
        <f t="shared" si="21"/>
        <v>0</v>
      </c>
      <c r="L165" s="60">
        <f t="shared" si="22"/>
        <v>0</v>
      </c>
    </row>
    <row r="166" spans="4:12" ht="15.75" thickBot="1">
      <c r="D166" s="81" t="b">
        <v>0</v>
      </c>
      <c r="E166" s="78"/>
      <c r="F166" s="222"/>
      <c r="G166" s="222"/>
      <c r="H166" s="223"/>
      <c r="I166" s="51"/>
      <c r="J166" s="106"/>
      <c r="K166" s="73">
        <f t="shared" si="21"/>
        <v>0</v>
      </c>
      <c r="L166" s="60">
        <f t="shared" si="22"/>
        <v>0</v>
      </c>
    </row>
    <row r="167" spans="4:12" ht="15.75" thickBot="1">
      <c r="D167" s="79" t="b">
        <v>0</v>
      </c>
      <c r="E167" s="80"/>
      <c r="F167" s="222"/>
      <c r="G167" s="222"/>
      <c r="H167" s="223"/>
      <c r="I167" s="51"/>
      <c r="J167" s="107"/>
      <c r="K167" s="73">
        <f t="shared" si="21"/>
        <v>0</v>
      </c>
      <c r="L167" s="60">
        <f t="shared" si="22"/>
        <v>0</v>
      </c>
    </row>
    <row r="168" spans="4:12" ht="15.75" thickBot="1">
      <c r="D168" s="79" t="b">
        <v>0</v>
      </c>
      <c r="E168" s="80"/>
      <c r="F168" s="222"/>
      <c r="G168" s="222"/>
      <c r="H168" s="223"/>
      <c r="I168" s="51"/>
      <c r="J168" s="107"/>
      <c r="K168" s="73">
        <f t="shared" si="21"/>
        <v>0</v>
      </c>
      <c r="L168" s="60">
        <f t="shared" si="22"/>
        <v>0</v>
      </c>
    </row>
    <row r="169" spans="4:12" ht="15.75" thickBot="1">
      <c r="D169" s="12"/>
      <c r="E169" s="12"/>
      <c r="F169" s="12"/>
      <c r="G169" s="12"/>
      <c r="I169" s="12"/>
      <c r="J169" s="12"/>
      <c r="K169" s="68"/>
      <c r="L169" s="76">
        <f>SUM(L158:L168)</f>
        <v>0</v>
      </c>
    </row>
    <row r="170" spans="4:12">
      <c r="D170" s="12"/>
      <c r="E170" s="12"/>
      <c r="F170" s="12"/>
      <c r="G170" s="12"/>
      <c r="H170" s="12"/>
      <c r="I170" s="12"/>
      <c r="J170" s="12"/>
      <c r="K170" s="12"/>
    </row>
    <row r="171" spans="4:12">
      <c r="D171" s="12"/>
      <c r="E171" s="12"/>
      <c r="F171" s="12"/>
      <c r="G171" s="12"/>
      <c r="H171" s="12"/>
      <c r="I171" s="12"/>
      <c r="J171" s="12"/>
      <c r="K171" s="12"/>
    </row>
    <row r="172" spans="4:12" ht="15.75" thickBot="1">
      <c r="D172" s="12"/>
      <c r="E172" s="12"/>
      <c r="F172" s="12"/>
      <c r="G172" s="12"/>
      <c r="H172" s="12"/>
      <c r="I172" s="12"/>
      <c r="J172" s="12"/>
      <c r="K172" s="12"/>
    </row>
    <row r="173" spans="4:12" ht="19.5" thickBot="1">
      <c r="E173" s="199" t="s">
        <v>199</v>
      </c>
      <c r="F173" s="200"/>
      <c r="G173" s="201"/>
      <c r="H173" s="5" t="s">
        <v>6</v>
      </c>
      <c r="I173" s="8" t="s">
        <v>10</v>
      </c>
      <c r="J173" s="11" t="s">
        <v>11</v>
      </c>
      <c r="K173" s="10" t="s">
        <v>14</v>
      </c>
    </row>
    <row r="174" spans="4:12" ht="16.5" thickTop="1" thickBot="1">
      <c r="D174" s="90" t="b">
        <v>0</v>
      </c>
      <c r="E174" s="91"/>
      <c r="F174" s="190" t="s">
        <v>37</v>
      </c>
      <c r="G174" s="191"/>
      <c r="H174" s="84">
        <v>0</v>
      </c>
      <c r="I174" s="85">
        <v>550</v>
      </c>
      <c r="J174" s="73">
        <f>H174*I174*D174</f>
        <v>0</v>
      </c>
      <c r="K174" s="60">
        <f>ROUNDUP(J174/H6,0)</f>
        <v>0</v>
      </c>
    </row>
    <row r="175" spans="4:12" ht="16.5" thickTop="1" thickBot="1">
      <c r="D175" s="90" t="b">
        <v>0</v>
      </c>
      <c r="E175" s="91"/>
      <c r="F175" s="190" t="s">
        <v>37</v>
      </c>
      <c r="G175" s="191"/>
      <c r="H175" s="84">
        <v>0</v>
      </c>
      <c r="I175" s="85">
        <v>350</v>
      </c>
      <c r="J175" s="86">
        <f>H175*I175*D175</f>
        <v>0</v>
      </c>
      <c r="K175" s="87">
        <f>ROUNDUP(J175/H6,0)</f>
        <v>0</v>
      </c>
    </row>
    <row r="176" spans="4:12" ht="16.5" thickTop="1" thickBot="1">
      <c r="D176" s="90" t="b">
        <v>0</v>
      </c>
      <c r="E176" s="91"/>
      <c r="F176" s="190" t="s">
        <v>37</v>
      </c>
      <c r="G176" s="191"/>
      <c r="H176" s="84">
        <v>0</v>
      </c>
      <c r="I176" s="85">
        <v>500</v>
      </c>
      <c r="J176" s="86">
        <f>ROUNDUP(H176*I176/H6*D176,0)</f>
        <v>0</v>
      </c>
      <c r="K176" s="87">
        <f>ROUNDUP(J176,0)</f>
        <v>0</v>
      </c>
    </row>
    <row r="177" spans="4:15" ht="15.75" thickBot="1">
      <c r="J177" s="88"/>
      <c r="K177" s="76">
        <f>SUM(K174:K176)</f>
        <v>0</v>
      </c>
    </row>
    <row r="178" spans="4:15">
      <c r="J178" s="15"/>
      <c r="K178" s="28"/>
    </row>
    <row r="179" spans="4:15">
      <c r="J179" s="15"/>
      <c r="K179" s="28"/>
    </row>
    <row r="180" spans="4:15" ht="15.75" thickBot="1">
      <c r="J180" s="15"/>
      <c r="K180" s="28"/>
    </row>
    <row r="181" spans="4:15" ht="19.5" thickBot="1">
      <c r="E181" s="199" t="s">
        <v>199</v>
      </c>
      <c r="F181" s="200"/>
      <c r="G181" s="201"/>
      <c r="H181" s="5" t="s">
        <v>6</v>
      </c>
      <c r="I181" s="8" t="s">
        <v>10</v>
      </c>
      <c r="J181" s="11" t="s">
        <v>11</v>
      </c>
      <c r="K181" s="10" t="s">
        <v>14</v>
      </c>
    </row>
    <row r="182" spans="4:15" ht="16.5" thickTop="1" thickBot="1">
      <c r="D182" s="90" t="b">
        <v>0</v>
      </c>
      <c r="E182" s="91"/>
      <c r="F182" s="190"/>
      <c r="G182" s="191"/>
      <c r="H182" s="84">
        <v>0</v>
      </c>
      <c r="I182" s="97">
        <v>1600</v>
      </c>
      <c r="J182" s="73">
        <f t="shared" ref="J182" si="23">H182*I182*D182</f>
        <v>0</v>
      </c>
      <c r="K182" s="60">
        <f>ROUNDUP(J182/$H$6,0)</f>
        <v>0</v>
      </c>
    </row>
    <row r="183" spans="4:15" ht="16.5" thickTop="1" thickBot="1">
      <c r="D183" s="90" t="b">
        <v>0</v>
      </c>
      <c r="E183" s="91"/>
      <c r="F183" s="190"/>
      <c r="G183" s="191"/>
      <c r="H183" s="84"/>
      <c r="I183" s="85"/>
      <c r="J183" s="73"/>
      <c r="K183" s="67"/>
    </row>
    <row r="184" spans="4:15" ht="15.75" thickBot="1">
      <c r="J184" s="89"/>
      <c r="K184" s="76">
        <f>SUM(K182:K183)</f>
        <v>0</v>
      </c>
    </row>
    <row r="185" spans="4:15">
      <c r="K185" s="28"/>
    </row>
    <row r="186" spans="4:15">
      <c r="K186" s="28"/>
    </row>
    <row r="187" spans="4:15" ht="15.75" thickBot="1"/>
    <row r="188" spans="4:15" ht="15.75" customHeight="1" thickBot="1">
      <c r="E188" s="199" t="s">
        <v>199</v>
      </c>
      <c r="F188" s="200"/>
      <c r="G188" s="201"/>
      <c r="H188" s="38" t="s">
        <v>16</v>
      </c>
      <c r="I188" s="8" t="s">
        <v>10</v>
      </c>
      <c r="J188" s="11" t="s">
        <v>11</v>
      </c>
      <c r="K188" s="10" t="s">
        <v>14</v>
      </c>
    </row>
    <row r="189" spans="4:15" ht="16.5" thickTop="1" thickBot="1">
      <c r="D189" s="90" t="b">
        <v>0</v>
      </c>
      <c r="E189" s="91"/>
      <c r="F189" s="13"/>
      <c r="G189" s="14"/>
      <c r="H189" s="84">
        <v>0</v>
      </c>
      <c r="I189" s="97">
        <v>999999</v>
      </c>
      <c r="J189" s="73">
        <f>H189*I189*D189</f>
        <v>0</v>
      </c>
      <c r="K189" s="60">
        <f>ROUNDUP(J189/H6,0)</f>
        <v>0</v>
      </c>
    </row>
    <row r="190" spans="4:15" ht="16.5" thickTop="1" thickBot="1">
      <c r="D190" s="90" t="b">
        <v>0</v>
      </c>
      <c r="E190" s="91"/>
      <c r="F190" s="197" t="s">
        <v>36</v>
      </c>
      <c r="G190" s="198"/>
      <c r="H190" s="84">
        <v>0</v>
      </c>
      <c r="I190" s="85">
        <v>800</v>
      </c>
      <c r="J190" s="73"/>
      <c r="K190" s="67">
        <f>I190*D190</f>
        <v>0</v>
      </c>
    </row>
    <row r="191" spans="4:15" ht="15.75" thickBot="1">
      <c r="J191" s="89"/>
      <c r="K191" s="76">
        <f>SUM(K189:K190)</f>
        <v>0</v>
      </c>
      <c r="L191" s="196"/>
      <c r="M191" s="196"/>
      <c r="N191" s="196"/>
      <c r="O191" s="196"/>
    </row>
    <row r="193" spans="3:15" ht="15.75" thickBot="1"/>
    <row r="194" spans="3:15" ht="16.5" thickBot="1">
      <c r="J194" s="30" t="s">
        <v>20</v>
      </c>
      <c r="K194" s="31" t="s">
        <v>19</v>
      </c>
      <c r="L194" s="28"/>
      <c r="M194" s="28"/>
      <c r="N194" s="28"/>
      <c r="O194" s="28"/>
    </row>
    <row r="195" spans="3:15" ht="15.75" customHeight="1" thickBot="1">
      <c r="H195" s="194" t="s">
        <v>21</v>
      </c>
      <c r="I195" s="195"/>
      <c r="J195" s="3">
        <f>ROUNDUP(SUM(O150+L169+K177+K184+K191),-1)</f>
        <v>0</v>
      </c>
      <c r="K195" s="3">
        <f>P150</f>
        <v>0</v>
      </c>
    </row>
    <row r="197" spans="3:15" ht="15.75" thickBot="1"/>
    <row r="198" spans="3:15" ht="21.75" thickBot="1">
      <c r="H198" s="184"/>
      <c r="I198" s="184"/>
      <c r="J198" s="30" t="s">
        <v>20</v>
      </c>
      <c r="K198" s="31" t="s">
        <v>19</v>
      </c>
    </row>
    <row r="199" spans="3:15" ht="19.5" thickBot="1">
      <c r="H199" s="185" t="s">
        <v>219</v>
      </c>
      <c r="I199" s="186"/>
      <c r="J199" s="36">
        <f>ROUNDUP(J195/L227,-1)</f>
        <v>0</v>
      </c>
      <c r="K199" s="36">
        <f>ROUNDUP($K$195/L227,-1)</f>
        <v>0</v>
      </c>
    </row>
    <row r="201" spans="3:15" ht="15.75" thickBot="1"/>
    <row r="202" spans="3:15" ht="21.75" thickBot="1">
      <c r="H202" s="184"/>
      <c r="I202" s="184"/>
      <c r="J202" s="30" t="s">
        <v>20</v>
      </c>
      <c r="K202" s="31" t="s">
        <v>19</v>
      </c>
    </row>
    <row r="203" spans="3:15" ht="19.5" thickBot="1">
      <c r="H203" s="185" t="s">
        <v>221</v>
      </c>
      <c r="I203" s="186"/>
      <c r="J203" s="36">
        <f>ROUNDUP(J195/L226,-1)</f>
        <v>0</v>
      </c>
      <c r="K203" s="36">
        <f>ROUNDUP(K195/L226,-1)</f>
        <v>0</v>
      </c>
    </row>
    <row r="205" spans="3:15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3:15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3:15" ht="15.75" thickBot="1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3:15" ht="18.75" customHeight="1" thickBot="1">
      <c r="C208" s="28"/>
      <c r="D208" s="187" t="s">
        <v>218</v>
      </c>
      <c r="E208" s="188"/>
      <c r="F208" s="188"/>
      <c r="G208" s="188"/>
      <c r="H208" s="188"/>
      <c r="I208" s="188"/>
      <c r="J208" s="188"/>
      <c r="K208" s="189"/>
      <c r="L208" s="28"/>
      <c r="M208" s="28"/>
    </row>
    <row r="209" spans="1:14" ht="30.75" customHeight="1">
      <c r="C209" s="28"/>
      <c r="D209" s="227" t="s">
        <v>222</v>
      </c>
      <c r="E209" s="228"/>
      <c r="F209" s="229" t="s">
        <v>223</v>
      </c>
      <c r="G209" s="228"/>
      <c r="H209" s="229" t="s">
        <v>224</v>
      </c>
      <c r="I209" s="228"/>
      <c r="J209" s="123" t="s">
        <v>225</v>
      </c>
      <c r="K209" s="92"/>
      <c r="L209" s="35"/>
      <c r="M209" s="29"/>
      <c r="N209" s="29"/>
    </row>
    <row r="210" spans="1:14" ht="15.75" thickBot="1">
      <c r="C210" s="28"/>
      <c r="D210" s="230"/>
      <c r="E210" s="215"/>
      <c r="F210" s="214"/>
      <c r="G210" s="215"/>
      <c r="H210" s="216"/>
      <c r="I210" s="215"/>
      <c r="J210" s="120"/>
      <c r="K210" s="93"/>
      <c r="L210" s="35"/>
      <c r="M210" s="29"/>
      <c r="N210" s="29"/>
    </row>
    <row r="211" spans="1:14">
      <c r="C211" s="28"/>
    </row>
    <row r="212" spans="1:14" ht="15.75">
      <c r="A212" s="116" t="s">
        <v>7</v>
      </c>
      <c r="B212" s="226" t="s">
        <v>8</v>
      </c>
      <c r="C212" s="226"/>
      <c r="D212" s="226"/>
      <c r="E212" s="226"/>
      <c r="F212" s="226"/>
      <c r="G212" s="192" t="s">
        <v>9</v>
      </c>
      <c r="H212" s="193"/>
      <c r="I212" s="117" t="s">
        <v>21</v>
      </c>
      <c r="J212" s="117" t="s">
        <v>219</v>
      </c>
      <c r="K212" s="117" t="s">
        <v>220</v>
      </c>
      <c r="L212" s="33"/>
    </row>
    <row r="213" spans="1:14" ht="15.75" customHeight="1">
      <c r="A213" s="114">
        <v>1</v>
      </c>
      <c r="B213" s="148" t="s">
        <v>44</v>
      </c>
      <c r="C213" s="149"/>
      <c r="D213" s="149"/>
      <c r="E213" s="149"/>
      <c r="F213" s="149"/>
      <c r="G213" s="174">
        <v>650</v>
      </c>
      <c r="H213" s="175"/>
      <c r="I213" s="118">
        <f t="shared" ref="I213:I226" si="24">($D$210*G213*$D$8/$H$6)+$J$195</f>
        <v>0</v>
      </c>
      <c r="J213" s="118">
        <f t="shared" ref="J213:J226" si="25">ROUNDUP((($D$210*G213*$D$8/$H$6)/$L$227)+IF($L$228&gt;1,$J$199+$K$199,$J$199),-1)</f>
        <v>0</v>
      </c>
      <c r="K213" s="118">
        <f t="shared" ref="K213:K226" si="26">ROUNDUP((($D$210*G213*$D$8/$H$6)/$L$226)+IF($L$228&gt;1,$J$203+$K$203,$J$203),-1)</f>
        <v>0</v>
      </c>
      <c r="L213" s="34"/>
    </row>
    <row r="214" spans="1:14" ht="15.75" customHeight="1">
      <c r="A214" s="114">
        <v>2</v>
      </c>
      <c r="B214" s="148" t="s">
        <v>45</v>
      </c>
      <c r="C214" s="149"/>
      <c r="D214" s="149"/>
      <c r="E214" s="149"/>
      <c r="F214" s="149"/>
      <c r="G214" s="174">
        <v>800</v>
      </c>
      <c r="H214" s="175"/>
      <c r="I214" s="118">
        <f t="shared" si="24"/>
        <v>0</v>
      </c>
      <c r="J214" s="118">
        <f t="shared" si="25"/>
        <v>0</v>
      </c>
      <c r="K214" s="118">
        <f t="shared" si="26"/>
        <v>0</v>
      </c>
      <c r="L214" s="34"/>
    </row>
    <row r="215" spans="1:14" ht="15.75" customHeight="1">
      <c r="A215" s="114">
        <v>3</v>
      </c>
      <c r="B215" s="148" t="s">
        <v>41</v>
      </c>
      <c r="C215" s="149"/>
      <c r="D215" s="149"/>
      <c r="E215" s="149"/>
      <c r="F215" s="149"/>
      <c r="G215" s="174">
        <v>1050</v>
      </c>
      <c r="H215" s="175"/>
      <c r="I215" s="118">
        <f t="shared" si="24"/>
        <v>0</v>
      </c>
      <c r="J215" s="118">
        <f t="shared" si="25"/>
        <v>0</v>
      </c>
      <c r="K215" s="118">
        <f t="shared" si="26"/>
        <v>0</v>
      </c>
      <c r="L215" s="34"/>
    </row>
    <row r="216" spans="1:14" ht="16.5" customHeight="1">
      <c r="A216" s="114">
        <v>4</v>
      </c>
      <c r="B216" s="170" t="s">
        <v>53</v>
      </c>
      <c r="C216" s="232"/>
      <c r="D216" s="232"/>
      <c r="E216" s="232"/>
      <c r="F216" s="233"/>
      <c r="G216" s="174">
        <v>1100</v>
      </c>
      <c r="H216" s="175"/>
      <c r="I216" s="118">
        <f t="shared" si="24"/>
        <v>0</v>
      </c>
      <c r="J216" s="118">
        <f t="shared" si="25"/>
        <v>0</v>
      </c>
      <c r="K216" s="118">
        <f t="shared" si="26"/>
        <v>0</v>
      </c>
      <c r="L216" s="34"/>
    </row>
    <row r="217" spans="1:14" ht="84" customHeight="1">
      <c r="A217" s="113">
        <v>5</v>
      </c>
      <c r="B217" s="167" t="s">
        <v>54</v>
      </c>
      <c r="C217" s="168"/>
      <c r="D217" s="168"/>
      <c r="E217" s="168"/>
      <c r="F217" s="169"/>
      <c r="G217" s="176">
        <v>1200</v>
      </c>
      <c r="H217" s="175"/>
      <c r="I217" s="118">
        <f t="shared" si="24"/>
        <v>0</v>
      </c>
      <c r="J217" s="118">
        <f t="shared" si="25"/>
        <v>0</v>
      </c>
      <c r="K217" s="118">
        <f t="shared" si="26"/>
        <v>0</v>
      </c>
      <c r="L217" s="34"/>
    </row>
    <row r="218" spans="1:14" ht="51.75" customHeight="1">
      <c r="A218" s="114">
        <v>6</v>
      </c>
      <c r="B218" s="170" t="s">
        <v>55</v>
      </c>
      <c r="C218" s="171"/>
      <c r="D218" s="171"/>
      <c r="E218" s="171"/>
      <c r="F218" s="172"/>
      <c r="G218" s="176">
        <v>1300</v>
      </c>
      <c r="H218" s="175"/>
      <c r="I218" s="118">
        <f t="shared" si="24"/>
        <v>0</v>
      </c>
      <c r="J218" s="118">
        <f t="shared" si="25"/>
        <v>0</v>
      </c>
      <c r="K218" s="118">
        <f t="shared" si="26"/>
        <v>0</v>
      </c>
      <c r="L218" s="34"/>
      <c r="M218" s="173"/>
      <c r="N218" s="173"/>
    </row>
    <row r="219" spans="1:14" ht="20.25" customHeight="1">
      <c r="A219" s="113">
        <v>7</v>
      </c>
      <c r="B219" s="170" t="s">
        <v>50</v>
      </c>
      <c r="C219" s="171"/>
      <c r="D219" s="171"/>
      <c r="E219" s="171"/>
      <c r="F219" s="172"/>
      <c r="G219" s="176">
        <v>1350</v>
      </c>
      <c r="H219" s="175"/>
      <c r="I219" s="118">
        <f t="shared" si="24"/>
        <v>0</v>
      </c>
      <c r="J219" s="118">
        <f t="shared" si="25"/>
        <v>0</v>
      </c>
      <c r="K219" s="118">
        <f t="shared" si="26"/>
        <v>0</v>
      </c>
      <c r="L219" s="34"/>
      <c r="M219" s="173"/>
      <c r="N219" s="173"/>
    </row>
    <row r="220" spans="1:14" ht="48" customHeight="1">
      <c r="A220" s="114">
        <v>8</v>
      </c>
      <c r="B220" s="170" t="s">
        <v>51</v>
      </c>
      <c r="C220" s="171"/>
      <c r="D220" s="171"/>
      <c r="E220" s="171"/>
      <c r="F220" s="172"/>
      <c r="G220" s="174">
        <v>1400</v>
      </c>
      <c r="H220" s="175"/>
      <c r="I220" s="118">
        <f t="shared" si="24"/>
        <v>0</v>
      </c>
      <c r="J220" s="118">
        <f t="shared" si="25"/>
        <v>0</v>
      </c>
      <c r="K220" s="118">
        <f t="shared" si="26"/>
        <v>0</v>
      </c>
      <c r="L220" s="34"/>
      <c r="M220" s="173"/>
      <c r="N220" s="173"/>
    </row>
    <row r="221" spans="1:14" ht="48.75" customHeight="1">
      <c r="A221" s="114">
        <v>9</v>
      </c>
      <c r="B221" s="167" t="s">
        <v>49</v>
      </c>
      <c r="C221" s="168"/>
      <c r="D221" s="168"/>
      <c r="E221" s="168"/>
      <c r="F221" s="169"/>
      <c r="G221" s="174">
        <v>1550</v>
      </c>
      <c r="H221" s="175"/>
      <c r="I221" s="118">
        <f t="shared" si="24"/>
        <v>0</v>
      </c>
      <c r="J221" s="118">
        <f t="shared" si="25"/>
        <v>0</v>
      </c>
      <c r="K221" s="118">
        <f t="shared" si="26"/>
        <v>0</v>
      </c>
      <c r="L221" s="34"/>
      <c r="M221" s="173"/>
      <c r="N221" s="173"/>
    </row>
    <row r="222" spans="1:14" ht="15.75" customHeight="1">
      <c r="A222" s="113">
        <v>10</v>
      </c>
      <c r="B222" s="167" t="s">
        <v>43</v>
      </c>
      <c r="C222" s="168"/>
      <c r="D222" s="168"/>
      <c r="E222" s="168"/>
      <c r="F222" s="169"/>
      <c r="G222" s="176">
        <v>1700</v>
      </c>
      <c r="H222" s="175"/>
      <c r="I222" s="118">
        <f t="shared" si="24"/>
        <v>0</v>
      </c>
      <c r="J222" s="118">
        <f t="shared" si="25"/>
        <v>0</v>
      </c>
      <c r="K222" s="118">
        <f t="shared" si="26"/>
        <v>0</v>
      </c>
      <c r="L222" s="34"/>
      <c r="M222" s="173"/>
      <c r="N222" s="173"/>
    </row>
    <row r="223" spans="1:14" ht="16.5" customHeight="1">
      <c r="A223" s="113">
        <v>12</v>
      </c>
      <c r="B223" s="181" t="s">
        <v>46</v>
      </c>
      <c r="C223" s="182"/>
      <c r="D223" s="182"/>
      <c r="E223" s="182"/>
      <c r="F223" s="183"/>
      <c r="G223" s="177">
        <v>2150</v>
      </c>
      <c r="H223" s="177"/>
      <c r="I223" s="118">
        <f t="shared" si="24"/>
        <v>0</v>
      </c>
      <c r="J223" s="118">
        <f t="shared" si="25"/>
        <v>0</v>
      </c>
      <c r="K223" s="118">
        <f t="shared" si="26"/>
        <v>0</v>
      </c>
      <c r="L223" s="34"/>
      <c r="M223" s="37"/>
      <c r="N223" s="37"/>
    </row>
    <row r="224" spans="1:14" ht="15.75" customHeight="1">
      <c r="A224" s="114">
        <v>13</v>
      </c>
      <c r="B224" s="178" t="s">
        <v>42</v>
      </c>
      <c r="C224" s="179"/>
      <c r="D224" s="179"/>
      <c r="E224" s="179"/>
      <c r="F224" s="180"/>
      <c r="G224" s="177">
        <v>2600</v>
      </c>
      <c r="H224" s="177"/>
      <c r="I224" s="118">
        <f t="shared" si="24"/>
        <v>0</v>
      </c>
      <c r="J224" s="118">
        <f t="shared" si="25"/>
        <v>0</v>
      </c>
      <c r="K224" s="118">
        <f t="shared" si="26"/>
        <v>0</v>
      </c>
      <c r="L224" s="34"/>
      <c r="M224" s="37"/>
      <c r="N224" s="37"/>
    </row>
    <row r="225" spans="1:14" ht="15.75" customHeight="1">
      <c r="A225" s="114">
        <v>14</v>
      </c>
      <c r="B225" s="178" t="s">
        <v>40</v>
      </c>
      <c r="C225" s="179"/>
      <c r="D225" s="179"/>
      <c r="E225" s="179"/>
      <c r="F225" s="180"/>
      <c r="G225" s="176">
        <v>2900</v>
      </c>
      <c r="H225" s="175"/>
      <c r="I225" s="118">
        <f t="shared" si="24"/>
        <v>0</v>
      </c>
      <c r="J225" s="118">
        <f t="shared" si="25"/>
        <v>0</v>
      </c>
      <c r="K225" s="118">
        <f t="shared" si="26"/>
        <v>0</v>
      </c>
      <c r="M225" s="173"/>
      <c r="N225" s="173"/>
    </row>
    <row r="226" spans="1:14" ht="15.75" customHeight="1">
      <c r="A226" s="119">
        <v>15</v>
      </c>
      <c r="B226" s="148" t="s">
        <v>39</v>
      </c>
      <c r="C226" s="149"/>
      <c r="D226" s="149"/>
      <c r="E226" s="149"/>
      <c r="F226" s="149"/>
      <c r="G226" s="175">
        <v>3150</v>
      </c>
      <c r="H226" s="176"/>
      <c r="I226" s="118">
        <f t="shared" si="24"/>
        <v>0</v>
      </c>
      <c r="J226" s="118">
        <f t="shared" si="25"/>
        <v>0</v>
      </c>
      <c r="K226" s="118">
        <f t="shared" si="26"/>
        <v>0</v>
      </c>
      <c r="L226" s="112">
        <v>0.88</v>
      </c>
    </row>
    <row r="227" spans="1:14">
      <c r="L227" s="110">
        <v>0.89</v>
      </c>
    </row>
    <row r="228" spans="1:14">
      <c r="J228" s="134" t="s">
        <v>33</v>
      </c>
      <c r="K228" s="134"/>
      <c r="L228" s="52">
        <v>1</v>
      </c>
    </row>
    <row r="229" spans="1:14">
      <c r="J229" s="94" t="s">
        <v>34</v>
      </c>
      <c r="K229" s="94" t="s">
        <v>35</v>
      </c>
      <c r="L229" s="111">
        <f>IF(F6&gt;15,L226,L227)</f>
        <v>0.88</v>
      </c>
    </row>
    <row r="230" spans="1:14">
      <c r="J230" s="95"/>
      <c r="K230" s="95"/>
    </row>
    <row r="231" spans="1:14">
      <c r="J231" s="32"/>
      <c r="K231" s="32"/>
    </row>
    <row r="232" spans="1:14" ht="15" customHeight="1">
      <c r="J232" s="32"/>
      <c r="K232" s="32"/>
    </row>
    <row r="233" spans="1:14" ht="4.5" hidden="1" customHeight="1" thickBot="1">
      <c r="J233" s="32"/>
      <c r="K233" s="32"/>
    </row>
    <row r="234" spans="1:14" ht="30" customHeight="1"/>
    <row r="235" spans="1:14" ht="33" customHeight="1" thickBot="1"/>
    <row r="236" spans="1:14" ht="27" customHeight="1">
      <c r="D236" s="234" t="s">
        <v>217</v>
      </c>
      <c r="E236" s="217"/>
      <c r="F236" s="217"/>
      <c r="G236" s="217"/>
      <c r="H236" s="217"/>
      <c r="I236" s="217"/>
      <c r="J236" s="217"/>
      <c r="K236" s="218"/>
    </row>
    <row r="237" spans="1:14" ht="73.5" customHeight="1">
      <c r="D237" s="219"/>
      <c r="E237" s="220"/>
      <c r="F237" s="220"/>
      <c r="G237" s="220"/>
      <c r="H237" s="220"/>
      <c r="I237" s="220"/>
      <c r="J237" s="220"/>
      <c r="K237" s="221"/>
    </row>
    <row r="238" spans="1:14">
      <c r="D238" s="158" t="s">
        <v>31</v>
      </c>
      <c r="E238" s="159"/>
      <c r="F238" s="159"/>
      <c r="G238" s="160"/>
      <c r="H238" s="142" t="str">
        <f>$D$6&amp;" дня / "&amp;$D$8&amp;" ночи"</f>
        <v>0 дня / 0 ночи</v>
      </c>
      <c r="I238" s="143"/>
      <c r="J238" s="143"/>
      <c r="K238" s="144"/>
    </row>
    <row r="239" spans="1:14">
      <c r="D239" s="158" t="s">
        <v>22</v>
      </c>
      <c r="E239" s="159"/>
      <c r="F239" s="159"/>
      <c r="G239" s="160"/>
      <c r="H239" s="142">
        <f>$D$8</f>
        <v>0</v>
      </c>
      <c r="I239" s="143"/>
      <c r="J239" s="143"/>
      <c r="K239" s="144"/>
    </row>
    <row r="240" spans="1:14">
      <c r="D240" s="158" t="s">
        <v>23</v>
      </c>
      <c r="E240" s="159"/>
      <c r="F240" s="159"/>
      <c r="G240" s="160"/>
      <c r="H240" s="142" t="str">
        <f>IF(D182*1&gt;0,"да","нет")</f>
        <v>нет</v>
      </c>
      <c r="I240" s="143"/>
      <c r="J240" s="143"/>
      <c r="K240" s="144"/>
    </row>
    <row r="241" spans="1:11">
      <c r="D241" s="155" t="s">
        <v>24</v>
      </c>
      <c r="E241" s="156"/>
      <c r="F241" s="156"/>
      <c r="G241" s="157"/>
      <c r="H241" s="142"/>
      <c r="I241" s="143"/>
      <c r="J241" s="143"/>
      <c r="K241" s="144"/>
    </row>
    <row r="242" spans="1:11">
      <c r="D242" s="152" t="s">
        <v>26</v>
      </c>
      <c r="E242" s="153"/>
      <c r="F242" s="153"/>
      <c r="G242" s="154"/>
      <c r="H242" s="142">
        <f>IF(D158*1&gt;0,I158+$D$8,$D$8)</f>
        <v>0</v>
      </c>
      <c r="I242" s="143"/>
      <c r="J242" s="143"/>
      <c r="K242" s="144"/>
    </row>
    <row r="243" spans="1:11">
      <c r="D243" s="152" t="s">
        <v>25</v>
      </c>
      <c r="E243" s="153"/>
      <c r="F243" s="153"/>
      <c r="G243" s="154"/>
      <c r="H243" s="142">
        <f>SUM(IF(D159*1&gt;0,I159,0)+IF(D160*1&gt;0,I160,0)+IF(D161*1&gt;0,I161,0)+IF(D162*1&gt;0,I162,0)+IF(D94*1&gt;0,1,0)+IF(D100*1&gt;0,1,0)+IF(D107*1&gt;0,1,0)+IF(D113*1&gt;0,1,0)+IF(D120*1&gt;0,1,0)+IF(D121*1&gt;0,1,0)+IF(D124*1&gt;0,1,0)+IF(D138*1&gt;0,1,0)+IF(D124*1&gt;0,1,0)+IF(D125*1&gt;0,1,0)+IF(D145*1&gt;0,1,0))</f>
        <v>0</v>
      </c>
      <c r="I243" s="143"/>
      <c r="J243" s="143"/>
      <c r="K243" s="144"/>
    </row>
    <row r="244" spans="1:11">
      <c r="D244" s="152" t="s">
        <v>27</v>
      </c>
      <c r="E244" s="153"/>
      <c r="F244" s="153"/>
      <c r="G244" s="154"/>
      <c r="H244" s="142" t="str">
        <f>IF(D164*1&gt;0,I164,"нет")</f>
        <v>нет</v>
      </c>
      <c r="I244" s="143"/>
      <c r="J244" s="143"/>
      <c r="K244" s="144"/>
    </row>
    <row r="245" spans="1:11">
      <c r="D245" s="152" t="str">
        <f>IF(D163*1&gt;0,"Мастер класс нац кухни","")</f>
        <v/>
      </c>
      <c r="E245" s="153"/>
      <c r="F245" s="153"/>
      <c r="G245" s="154"/>
      <c r="H245" s="145" t="str">
        <f>IF(D163*1&gt;0,"да","")</f>
        <v/>
      </c>
      <c r="I245" s="146"/>
      <c r="J245" s="146"/>
      <c r="K245" s="147"/>
    </row>
    <row r="246" spans="1:11">
      <c r="D246" s="155" t="s">
        <v>28</v>
      </c>
      <c r="E246" s="156"/>
      <c r="F246" s="156"/>
      <c r="G246" s="157"/>
      <c r="H246" s="142" t="str">
        <f>IF(D174*1&gt;0,H174+H175&amp;" ч","нет")</f>
        <v>нет</v>
      </c>
      <c r="I246" s="143"/>
      <c r="J246" s="143"/>
      <c r="K246" s="144"/>
    </row>
    <row r="247" spans="1:11" ht="18" customHeight="1">
      <c r="D247" s="158" t="s">
        <v>29</v>
      </c>
      <c r="E247" s="159"/>
      <c r="F247" s="159"/>
      <c r="G247" s="160"/>
      <c r="H247" s="142" t="s">
        <v>30</v>
      </c>
      <c r="I247" s="143"/>
      <c r="J247" s="143"/>
      <c r="K247" s="144"/>
    </row>
    <row r="248" spans="1:11" ht="18.75">
      <c r="D248" s="161" t="s">
        <v>52</v>
      </c>
      <c r="E248" s="162"/>
      <c r="F248" s="162"/>
      <c r="G248" s="162"/>
      <c r="H248" s="162"/>
      <c r="I248" s="162"/>
      <c r="J248" s="162"/>
      <c r="K248" s="163"/>
    </row>
    <row r="249" spans="1:11" ht="66" customHeight="1">
      <c r="D249" s="164" t="s">
        <v>216</v>
      </c>
      <c r="E249" s="165"/>
      <c r="F249" s="165"/>
      <c r="G249" s="165"/>
      <c r="H249" s="166"/>
      <c r="I249" s="121" t="s">
        <v>32</v>
      </c>
      <c r="J249" s="150" t="str">
        <f>IF($A$6&gt;0,"Группа " &amp;$H$6&amp; " + " &amp;$F$6-$H$6&amp; " сопр+ " &amp;$A$6&amp; " вод","Группа " &amp;$H$6&amp; " + " &amp;$F$6-$H$6&amp; " сопр")</f>
        <v>Группа 20 + 2 сопр</v>
      </c>
      <c r="K249" s="151"/>
    </row>
    <row r="250" spans="1:11" ht="32.25" customHeight="1">
      <c r="D250" s="148" t="s">
        <v>202</v>
      </c>
      <c r="E250" s="149"/>
      <c r="F250" s="149"/>
      <c r="G250" s="149"/>
      <c r="H250" s="149"/>
      <c r="I250" s="96">
        <v>100</v>
      </c>
      <c r="J250" s="140">
        <f t="shared" ref="J250:J262" si="27">K213</f>
        <v>0</v>
      </c>
      <c r="K250" s="141"/>
    </row>
    <row r="251" spans="1:11" ht="15.75" customHeight="1">
      <c r="D251" s="148" t="s">
        <v>203</v>
      </c>
      <c r="E251" s="149"/>
      <c r="F251" s="149"/>
      <c r="G251" s="149"/>
      <c r="H251" s="149"/>
      <c r="I251" s="96">
        <v>100</v>
      </c>
      <c r="J251" s="140">
        <f t="shared" si="27"/>
        <v>0</v>
      </c>
      <c r="K251" s="141"/>
    </row>
    <row r="252" spans="1:11" ht="17.25" customHeight="1">
      <c r="D252" s="148" t="s">
        <v>204</v>
      </c>
      <c r="E252" s="149"/>
      <c r="F252" s="149"/>
      <c r="G252" s="149"/>
      <c r="H252" s="149"/>
      <c r="I252" s="96">
        <v>100</v>
      </c>
      <c r="J252" s="140">
        <f t="shared" si="27"/>
        <v>0</v>
      </c>
      <c r="K252" s="141"/>
    </row>
    <row r="253" spans="1:11" ht="19.5" customHeight="1">
      <c r="D253" s="148" t="s">
        <v>205</v>
      </c>
      <c r="E253" s="149"/>
      <c r="F253" s="149"/>
      <c r="G253" s="149"/>
      <c r="H253" s="149"/>
      <c r="I253" s="96">
        <v>100</v>
      </c>
      <c r="J253" s="140">
        <f t="shared" si="27"/>
        <v>0</v>
      </c>
      <c r="K253" s="141"/>
    </row>
    <row r="254" spans="1:11" ht="67.5" customHeight="1">
      <c r="A254" s="115"/>
      <c r="D254" s="148" t="s">
        <v>206</v>
      </c>
      <c r="E254" s="149"/>
      <c r="F254" s="149"/>
      <c r="G254" s="149"/>
      <c r="H254" s="149"/>
      <c r="I254" s="96">
        <v>100</v>
      </c>
      <c r="J254" s="140">
        <f t="shared" si="27"/>
        <v>0</v>
      </c>
      <c r="K254" s="141"/>
    </row>
    <row r="255" spans="1:11" ht="36.75" customHeight="1">
      <c r="D255" s="148" t="s">
        <v>207</v>
      </c>
      <c r="E255" s="149"/>
      <c r="F255" s="149"/>
      <c r="G255" s="149"/>
      <c r="H255" s="149"/>
      <c r="I255" s="96">
        <v>100</v>
      </c>
      <c r="J255" s="140">
        <f t="shared" si="27"/>
        <v>0</v>
      </c>
      <c r="K255" s="141"/>
    </row>
    <row r="256" spans="1:11" ht="16.5" customHeight="1">
      <c r="D256" s="148" t="s">
        <v>208</v>
      </c>
      <c r="E256" s="149"/>
      <c r="F256" s="149"/>
      <c r="G256" s="149"/>
      <c r="H256" s="149"/>
      <c r="I256" s="96">
        <v>100</v>
      </c>
      <c r="J256" s="140">
        <f t="shared" si="27"/>
        <v>0</v>
      </c>
      <c r="K256" s="141"/>
    </row>
    <row r="257" spans="4:11" ht="20.25" customHeight="1">
      <c r="D257" s="148" t="s">
        <v>209</v>
      </c>
      <c r="E257" s="149"/>
      <c r="F257" s="149"/>
      <c r="G257" s="149"/>
      <c r="H257" s="149"/>
      <c r="I257" s="96">
        <v>100</v>
      </c>
      <c r="J257" s="140">
        <f t="shared" si="27"/>
        <v>0</v>
      </c>
      <c r="K257" s="141"/>
    </row>
    <row r="258" spans="4:11" ht="66" customHeight="1">
      <c r="D258" s="148" t="s">
        <v>210</v>
      </c>
      <c r="E258" s="149"/>
      <c r="F258" s="149"/>
      <c r="G258" s="149"/>
      <c r="H258" s="149"/>
      <c r="I258" s="96">
        <v>100</v>
      </c>
      <c r="J258" s="140">
        <f t="shared" si="27"/>
        <v>0</v>
      </c>
      <c r="K258" s="141"/>
    </row>
    <row r="259" spans="4:11" ht="15.75" customHeight="1">
      <c r="D259" s="148" t="s">
        <v>211</v>
      </c>
      <c r="E259" s="149"/>
      <c r="F259" s="149"/>
      <c r="G259" s="149"/>
      <c r="H259" s="149"/>
      <c r="I259" s="96">
        <v>100</v>
      </c>
      <c r="J259" s="140">
        <f t="shared" si="27"/>
        <v>0</v>
      </c>
      <c r="K259" s="141"/>
    </row>
    <row r="260" spans="4:11" ht="30" customHeight="1">
      <c r="D260" s="148" t="s">
        <v>212</v>
      </c>
      <c r="E260" s="149"/>
      <c r="F260" s="149"/>
      <c r="G260" s="149"/>
      <c r="H260" s="149"/>
      <c r="I260" s="96">
        <v>100</v>
      </c>
      <c r="J260" s="140">
        <f t="shared" si="27"/>
        <v>0</v>
      </c>
      <c r="K260" s="141"/>
    </row>
    <row r="261" spans="4:11" ht="15.75" customHeight="1">
      <c r="D261" s="148" t="s">
        <v>213</v>
      </c>
      <c r="E261" s="149"/>
      <c r="F261" s="149"/>
      <c r="G261" s="149"/>
      <c r="H261" s="149"/>
      <c r="I261" s="96">
        <v>100</v>
      </c>
      <c r="J261" s="140">
        <f t="shared" si="27"/>
        <v>0</v>
      </c>
      <c r="K261" s="141"/>
    </row>
    <row r="262" spans="4:11" ht="15.75" customHeight="1">
      <c r="D262" s="148" t="s">
        <v>214</v>
      </c>
      <c r="E262" s="149"/>
      <c r="F262" s="149"/>
      <c r="G262" s="149"/>
      <c r="H262" s="149"/>
      <c r="I262" s="96">
        <v>100</v>
      </c>
      <c r="J262" s="140">
        <f t="shared" si="27"/>
        <v>0</v>
      </c>
      <c r="K262" s="141"/>
    </row>
    <row r="263" spans="4:11" ht="15.75" customHeight="1">
      <c r="D263" s="148" t="s">
        <v>215</v>
      </c>
      <c r="E263" s="149"/>
      <c r="F263" s="149"/>
      <c r="G263" s="149"/>
      <c r="H263" s="149"/>
      <c r="I263" s="96">
        <v>100</v>
      </c>
      <c r="J263" s="140">
        <f>K226</f>
        <v>0</v>
      </c>
      <c r="K263" s="141"/>
    </row>
    <row r="264" spans="4:11" ht="15.75" customHeight="1">
      <c r="D264" s="148" t="s">
        <v>47</v>
      </c>
      <c r="E264" s="149"/>
      <c r="F264" s="149"/>
      <c r="G264" s="149"/>
      <c r="H264" s="149"/>
      <c r="I264" s="149"/>
      <c r="J264" s="231" t="s">
        <v>48</v>
      </c>
      <c r="K264" s="231"/>
    </row>
    <row r="265" spans="4:11" ht="18.75">
      <c r="D265" s="135" t="s">
        <v>201</v>
      </c>
      <c r="E265" s="136"/>
      <c r="F265" s="136"/>
      <c r="G265" s="136"/>
      <c r="H265" s="136"/>
      <c r="I265" s="137"/>
      <c r="J265" s="138" t="str">
        <f>K203&amp;" рублей"</f>
        <v>0 рублей</v>
      </c>
      <c r="K265" s="139"/>
    </row>
    <row r="266" spans="4:11">
      <c r="D266" s="124"/>
      <c r="E266" s="125"/>
      <c r="F266" s="125"/>
      <c r="G266" s="125"/>
      <c r="H266" s="125"/>
      <c r="I266" s="125"/>
      <c r="J266" s="125"/>
      <c r="K266" s="126"/>
    </row>
    <row r="267" spans="4:11">
      <c r="D267" s="127"/>
      <c r="E267" s="128"/>
      <c r="F267" s="128"/>
      <c r="G267" s="128"/>
      <c r="H267" s="128"/>
      <c r="I267" s="128"/>
      <c r="J267" s="128"/>
      <c r="K267" s="129"/>
    </row>
    <row r="268" spans="4:11">
      <c r="D268" s="127"/>
      <c r="E268" s="128"/>
      <c r="F268" s="128"/>
      <c r="G268" s="128"/>
      <c r="H268" s="128"/>
      <c r="I268" s="128"/>
      <c r="J268" s="128"/>
      <c r="K268" s="129"/>
    </row>
    <row r="269" spans="4:11">
      <c r="D269" s="127"/>
      <c r="E269" s="128"/>
      <c r="F269" s="128"/>
      <c r="G269" s="128"/>
      <c r="H269" s="128"/>
      <c r="I269" s="128"/>
      <c r="J269" s="128"/>
      <c r="K269" s="129"/>
    </row>
    <row r="270" spans="4:11">
      <c r="D270" s="127"/>
      <c r="E270" s="128"/>
      <c r="F270" s="128"/>
      <c r="G270" s="128"/>
      <c r="H270" s="128"/>
      <c r="I270" s="128"/>
      <c r="J270" s="128"/>
      <c r="K270" s="129"/>
    </row>
    <row r="271" spans="4:11">
      <c r="D271" s="127"/>
      <c r="E271" s="128"/>
      <c r="F271" s="128"/>
      <c r="G271" s="128"/>
      <c r="H271" s="128"/>
      <c r="I271" s="128"/>
      <c r="J271" s="128"/>
      <c r="K271" s="129"/>
    </row>
    <row r="272" spans="4:11">
      <c r="D272" s="127"/>
      <c r="E272" s="128"/>
      <c r="F272" s="128"/>
      <c r="G272" s="128"/>
      <c r="H272" s="128"/>
      <c r="I272" s="128"/>
      <c r="J272" s="128"/>
      <c r="K272" s="129"/>
    </row>
    <row r="273" spans="4:11">
      <c r="D273" s="127"/>
      <c r="E273" s="128"/>
      <c r="F273" s="128"/>
      <c r="G273" s="128"/>
      <c r="H273" s="128"/>
      <c r="I273" s="128"/>
      <c r="J273" s="128"/>
      <c r="K273" s="129"/>
    </row>
    <row r="274" spans="4:11">
      <c r="D274" s="127"/>
      <c r="E274" s="128"/>
      <c r="F274" s="128"/>
      <c r="G274" s="128"/>
      <c r="H274" s="128"/>
      <c r="I274" s="128"/>
      <c r="J274" s="128"/>
      <c r="K274" s="129"/>
    </row>
    <row r="275" spans="4:11">
      <c r="D275" s="127"/>
      <c r="E275" s="128"/>
      <c r="F275" s="128"/>
      <c r="G275" s="128"/>
      <c r="H275" s="128"/>
      <c r="I275" s="128"/>
      <c r="J275" s="128"/>
      <c r="K275" s="129"/>
    </row>
    <row r="276" spans="4:11" ht="249.75" customHeight="1" thickBot="1">
      <c r="D276" s="130"/>
      <c r="E276" s="131"/>
      <c r="F276" s="131"/>
      <c r="G276" s="131"/>
      <c r="H276" s="131"/>
      <c r="I276" s="131"/>
      <c r="J276" s="131"/>
      <c r="K276" s="132"/>
    </row>
  </sheetData>
  <mergeCells count="271">
    <mergeCell ref="F126:I126"/>
    <mergeCell ref="D264:I264"/>
    <mergeCell ref="J264:K264"/>
    <mergeCell ref="F163:H163"/>
    <mergeCell ref="F164:H164"/>
    <mergeCell ref="J257:K257"/>
    <mergeCell ref="G214:H214"/>
    <mergeCell ref="G215:H215"/>
    <mergeCell ref="B216:F216"/>
    <mergeCell ref="B218:F218"/>
    <mergeCell ref="B217:F217"/>
    <mergeCell ref="G217:H217"/>
    <mergeCell ref="F168:H168"/>
    <mergeCell ref="F165:H165"/>
    <mergeCell ref="F166:H166"/>
    <mergeCell ref="F159:H159"/>
    <mergeCell ref="F161:H161"/>
    <mergeCell ref="B212:F212"/>
    <mergeCell ref="D209:E209"/>
    <mergeCell ref="F209:G209"/>
    <mergeCell ref="H209:I209"/>
    <mergeCell ref="D210:E210"/>
    <mergeCell ref="F135:I135"/>
    <mergeCell ref="F136:I136"/>
    <mergeCell ref="D238:G238"/>
    <mergeCell ref="D239:G239"/>
    <mergeCell ref="D240:G240"/>
    <mergeCell ref="D241:G241"/>
    <mergeCell ref="D236:K237"/>
    <mergeCell ref="D261:H261"/>
    <mergeCell ref="D262:H262"/>
    <mergeCell ref="D260:H260"/>
    <mergeCell ref="F162:H162"/>
    <mergeCell ref="F167:H167"/>
    <mergeCell ref="F101:I101"/>
    <mergeCell ref="F210:G210"/>
    <mergeCell ref="H210:I210"/>
    <mergeCell ref="B221:F221"/>
    <mergeCell ref="F85:I85"/>
    <mergeCell ref="F86:I86"/>
    <mergeCell ref="F87:I87"/>
    <mergeCell ref="F157:H157"/>
    <mergeCell ref="F128:I128"/>
    <mergeCell ref="F129:I129"/>
    <mergeCell ref="F133:I133"/>
    <mergeCell ref="F148:I148"/>
    <mergeCell ref="F113:I113"/>
    <mergeCell ref="F123:I123"/>
    <mergeCell ref="F127:I127"/>
    <mergeCell ref="F134:I134"/>
    <mergeCell ref="F137:I137"/>
    <mergeCell ref="F147:I147"/>
    <mergeCell ref="F149:I149"/>
    <mergeCell ref="F90:I90"/>
    <mergeCell ref="F108:I108"/>
    <mergeCell ref="F107:I107"/>
    <mergeCell ref="F160:H160"/>
    <mergeCell ref="F158:H158"/>
    <mergeCell ref="F79:I79"/>
    <mergeCell ref="F110:I110"/>
    <mergeCell ref="F112:I112"/>
    <mergeCell ref="F130:I130"/>
    <mergeCell ref="F70:I70"/>
    <mergeCell ref="F71:I71"/>
    <mergeCell ref="F48:I48"/>
    <mergeCell ref="F49:I49"/>
    <mergeCell ref="F96:I96"/>
    <mergeCell ref="F103:I103"/>
    <mergeCell ref="F105:I105"/>
    <mergeCell ref="F106:I106"/>
    <mergeCell ref="F93:I93"/>
    <mergeCell ref="F88:I88"/>
    <mergeCell ref="F89:I89"/>
    <mergeCell ref="F83:I83"/>
    <mergeCell ref="F74:I74"/>
    <mergeCell ref="F104:I104"/>
    <mergeCell ref="F77:I77"/>
    <mergeCell ref="F67:I67"/>
    <mergeCell ref="F68:I68"/>
    <mergeCell ref="F69:I69"/>
    <mergeCell ref="F98:I98"/>
    <mergeCell ref="F99:I99"/>
    <mergeCell ref="F43:I43"/>
    <mergeCell ref="F95:I95"/>
    <mergeCell ref="F84:I84"/>
    <mergeCell ref="F75:I75"/>
    <mergeCell ref="F19:I19"/>
    <mergeCell ref="F30:I30"/>
    <mergeCell ref="F27:I27"/>
    <mergeCell ref="F28:I28"/>
    <mergeCell ref="F29:I29"/>
    <mergeCell ref="F65:I65"/>
    <mergeCell ref="F66:I66"/>
    <mergeCell ref="F37:I37"/>
    <mergeCell ref="F38:I38"/>
    <mergeCell ref="F39:I39"/>
    <mergeCell ref="F40:I40"/>
    <mergeCell ref="F41:I41"/>
    <mergeCell ref="F55:I55"/>
    <mergeCell ref="F26:I26"/>
    <mergeCell ref="F57:I57"/>
    <mergeCell ref="F58:I58"/>
    <mergeCell ref="F59:I59"/>
    <mergeCell ref="F60:I60"/>
    <mergeCell ref="F62:I62"/>
    <mergeCell ref="F78:I78"/>
    <mergeCell ref="F76:I76"/>
    <mergeCell ref="F1:I1"/>
    <mergeCell ref="F182:G182"/>
    <mergeCell ref="F183:G183"/>
    <mergeCell ref="E181:G181"/>
    <mergeCell ref="F50:I50"/>
    <mergeCell ref="F51:I51"/>
    <mergeCell ref="F52:I52"/>
    <mergeCell ref="F53:I53"/>
    <mergeCell ref="F54:I54"/>
    <mergeCell ref="F56:I56"/>
    <mergeCell ref="F61:I61"/>
    <mergeCell ref="F102:I102"/>
    <mergeCell ref="A155:M155"/>
    <mergeCell ref="F17:I17"/>
    <mergeCell ref="F18:I18"/>
    <mergeCell ref="F20:I20"/>
    <mergeCell ref="F21:I21"/>
    <mergeCell ref="F22:I22"/>
    <mergeCell ref="F23:I23"/>
    <mergeCell ref="F36:I36"/>
    <mergeCell ref="E3:J3"/>
    <mergeCell ref="F44:I44"/>
    <mergeCell ref="F42:I42"/>
    <mergeCell ref="F144:I144"/>
    <mergeCell ref="F11:I11"/>
    <mergeCell ref="F12:I12"/>
    <mergeCell ref="F13:I13"/>
    <mergeCell ref="F14:I14"/>
    <mergeCell ref="F80:I80"/>
    <mergeCell ref="F81:I81"/>
    <mergeCell ref="F82:I82"/>
    <mergeCell ref="F45:I45"/>
    <mergeCell ref="F63:I63"/>
    <mergeCell ref="F64:I64"/>
    <mergeCell ref="F31:I31"/>
    <mergeCell ref="F33:I33"/>
    <mergeCell ref="F34:I34"/>
    <mergeCell ref="F32:I32"/>
    <mergeCell ref="F35:I35"/>
    <mergeCell ref="F72:I72"/>
    <mergeCell ref="F73:I73"/>
    <mergeCell ref="F46:I46"/>
    <mergeCell ref="F47:I47"/>
    <mergeCell ref="F15:I15"/>
    <mergeCell ref="F16:I16"/>
    <mergeCell ref="F24:I24"/>
    <mergeCell ref="F25:I25"/>
    <mergeCell ref="E173:G173"/>
    <mergeCell ref="E188:G188"/>
    <mergeCell ref="F138:I138"/>
    <mergeCell ref="F91:I91"/>
    <mergeCell ref="F92:I92"/>
    <mergeCell ref="F94:I94"/>
    <mergeCell ref="F97:I97"/>
    <mergeCell ref="F100:I100"/>
    <mergeCell ref="F109:I109"/>
    <mergeCell ref="F114:I114"/>
    <mergeCell ref="F115:I115"/>
    <mergeCell ref="F111:I111"/>
    <mergeCell ref="F124:I124"/>
    <mergeCell ref="F125:I125"/>
    <mergeCell ref="F116:I116"/>
    <mergeCell ref="F117:I117"/>
    <mergeCell ref="F118:I118"/>
    <mergeCell ref="F119:I119"/>
    <mergeCell ref="F120:I120"/>
    <mergeCell ref="F121:I121"/>
    <mergeCell ref="F122:I122"/>
    <mergeCell ref="F131:I131"/>
    <mergeCell ref="F132:I132"/>
    <mergeCell ref="F143:I143"/>
    <mergeCell ref="M218:N218"/>
    <mergeCell ref="M219:N219"/>
    <mergeCell ref="M220:N220"/>
    <mergeCell ref="G218:H218"/>
    <mergeCell ref="H202:I202"/>
    <mergeCell ref="H203:I203"/>
    <mergeCell ref="D208:K208"/>
    <mergeCell ref="F176:G176"/>
    <mergeCell ref="F174:G174"/>
    <mergeCell ref="F175:G175"/>
    <mergeCell ref="B213:F213"/>
    <mergeCell ref="B214:F214"/>
    <mergeCell ref="B215:F215"/>
    <mergeCell ref="G213:H213"/>
    <mergeCell ref="G216:H216"/>
    <mergeCell ref="G212:H212"/>
    <mergeCell ref="H195:I195"/>
    <mergeCell ref="L191:O191"/>
    <mergeCell ref="F190:G190"/>
    <mergeCell ref="H198:I198"/>
    <mergeCell ref="H199:I199"/>
    <mergeCell ref="M221:N221"/>
    <mergeCell ref="M222:N222"/>
    <mergeCell ref="M225:N225"/>
    <mergeCell ref="B226:F226"/>
    <mergeCell ref="G220:H220"/>
    <mergeCell ref="G221:H221"/>
    <mergeCell ref="G219:H219"/>
    <mergeCell ref="G224:H224"/>
    <mergeCell ref="G226:H226"/>
    <mergeCell ref="G223:H223"/>
    <mergeCell ref="B224:F224"/>
    <mergeCell ref="B222:F222"/>
    <mergeCell ref="G222:H222"/>
    <mergeCell ref="B223:F223"/>
    <mergeCell ref="B220:F220"/>
    <mergeCell ref="G225:H225"/>
    <mergeCell ref="B225:F225"/>
    <mergeCell ref="B219:F219"/>
    <mergeCell ref="D242:G242"/>
    <mergeCell ref="D243:G243"/>
    <mergeCell ref="D246:G246"/>
    <mergeCell ref="D245:G245"/>
    <mergeCell ref="D247:G247"/>
    <mergeCell ref="D248:K248"/>
    <mergeCell ref="D249:H249"/>
    <mergeCell ref="D250:H250"/>
    <mergeCell ref="D251:H251"/>
    <mergeCell ref="J251:K251"/>
    <mergeCell ref="J252:K252"/>
    <mergeCell ref="J253:K253"/>
    <mergeCell ref="J254:K254"/>
    <mergeCell ref="J255:K255"/>
    <mergeCell ref="J256:K256"/>
    <mergeCell ref="D263:H263"/>
    <mergeCell ref="J249:K249"/>
    <mergeCell ref="D244:G244"/>
    <mergeCell ref="D252:H252"/>
    <mergeCell ref="D253:H253"/>
    <mergeCell ref="D254:H254"/>
    <mergeCell ref="D255:H255"/>
    <mergeCell ref="D256:H256"/>
    <mergeCell ref="D257:H257"/>
    <mergeCell ref="D259:H259"/>
    <mergeCell ref="J259:K259"/>
    <mergeCell ref="D258:H258"/>
    <mergeCell ref="J258:K258"/>
    <mergeCell ref="J260:K260"/>
    <mergeCell ref="J261:K261"/>
    <mergeCell ref="F145:I145"/>
    <mergeCell ref="F146:I146"/>
    <mergeCell ref="F139:I139"/>
    <mergeCell ref="F140:I140"/>
    <mergeCell ref="F141:I141"/>
    <mergeCell ref="F142:I142"/>
    <mergeCell ref="D266:K276"/>
    <mergeCell ref="D9:N9"/>
    <mergeCell ref="J228:K228"/>
    <mergeCell ref="D265:I265"/>
    <mergeCell ref="J265:K265"/>
    <mergeCell ref="J262:K262"/>
    <mergeCell ref="J263:K263"/>
    <mergeCell ref="H238:K238"/>
    <mergeCell ref="H239:K239"/>
    <mergeCell ref="H240:K240"/>
    <mergeCell ref="H241:K241"/>
    <mergeCell ref="H242:K242"/>
    <mergeCell ref="H243:K243"/>
    <mergeCell ref="H244:K244"/>
    <mergeCell ref="H245:K245"/>
    <mergeCell ref="H246:K246"/>
    <mergeCell ref="H247:K247"/>
    <mergeCell ref="J250:K250"/>
  </mergeCells>
  <pageMargins left="0.7" right="0.7" top="0.75" bottom="0.75" header="0.3" footer="0.3"/>
  <pageSetup paperSize="9" orientation="portrait" verticalDpi="0" r:id="rId1"/>
  <ignoredErrors>
    <ignoredError sqref="M18 M32 M30 M58 L163 M109 M11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to-kazan.ru</dc:creator>
  <cp:lastModifiedBy>Михаил Томин</cp:lastModifiedBy>
  <cp:lastPrinted>2016-01-20T11:05:25Z</cp:lastPrinted>
  <dcterms:created xsi:type="dcterms:W3CDTF">2006-09-16T00:00:00Z</dcterms:created>
  <dcterms:modified xsi:type="dcterms:W3CDTF">2016-03-05T12:30:45Z</dcterms:modified>
</cp:coreProperties>
</file>