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always" codeName="ЭтаКнига"/>
  <bookViews>
    <workbookView xWindow="0" yWindow="465" windowWidth="19320" windowHeight="11760" tabRatio="827"/>
  </bookViews>
  <sheets>
    <sheet name="БДМ№1" sheetId="21" r:id="rId1"/>
    <sheet name="Общий табель" sheetId="6" r:id="rId2"/>
    <sheet name="Список" sheetId="12" state="hidden" r:id="rId3"/>
  </sheets>
  <definedNames>
    <definedName name="_xlnm._FilterDatabase" localSheetId="0" hidden="1">БДМ№1!$G$4:$G$47</definedName>
    <definedName name="_xlnm._FilterDatabase" localSheetId="1" hidden="1">'Общий табель'!#REF!</definedName>
    <definedName name="_xlnm._FilterDatabase" localSheetId="2" hidden="1">Список!#REF!</definedName>
    <definedName name="Z_1957AC80_412C_4030_B807_A599A7F9C8EF_.wvu.FilterData" localSheetId="2" hidden="1">Список!#REF!</definedName>
    <definedName name="Z_1957AC80_412C_4030_B807_A599A7F9C8EF_.wvu.PrintArea" localSheetId="0" hidden="1">БДМ№1!$A$1:$AJ$47</definedName>
    <definedName name="замена">ISNUMBER(SEARCH("%",БДМ№1!$D1))*SUMPRODUCT(('Общий табель'!$D$6:$D$22=SUBSTITUTE(БДМ№1!$D1," %",""))*ISERR(--SUBSTITUTE('Общий табель'!A$6:A$22,"'","")))*SUMPRODUCT(('Общий табель'!$C$6:$C$22=БДМ№1!$C1)*ISNUMBER(--SUBSTITUTE('Общий табель'!A$6:A$22,"'","")))</definedName>
    <definedName name="замена2">SUM(('Общий табель'!$C$6:$C$120=БДМ№1!$C1)*(('Общий табель'!$D$6:$D$120=БДМ№1!$D1))*('Общий табель'!A$6:A$120&lt;"А")*('Общий табель'!A$6:A$120&lt;&gt;""))*(БДМ№1!A1="")</definedName>
    <definedName name="замена3">(RIGHT(БДМ№1!$D1,1)="%")*OR((COUNTIF('Общий табель'!$D$6:$D$55,REPLACE(БДМ№1!$D1,SEARCH(" %",БДМ№1!$D1),1000,""))&lt;1),(COUNTIF('Общий табель'!$D$6:$D$55,"Разм. ПО 3 р.")&lt;2),(COUNTIF('Общий табель'!$D$6:$D$55,"Ап.пр.хим.р-в 3 р.")&lt;2),(COUNTIF('Общий табель'!$D$6:$D$55,"Маш.уп. маш. 2 р.")&lt;2))*(SUM(('Общий табель'!$C$6:$C$55=БДМ№1!$C1)*('Общий табель'!A$6:A$55&lt;"А")*('Общий табель'!A$6:A$55&lt;&gt;"")))*(SUMIF(БДМ№1!$D$5:$D$120,БДМ№1!$D1,БДМ№1!A$5:A$120)&lt;100)</definedName>
    <definedName name="СуммОбщТаб_БДМ1">SUM(('Общий табель'!$C$6:$C$18=БДМ№1!$C1)*(('Общий табель'!$D$6:$D$18=БДМ№1!$D1)+(RIGHT(БДМ№1!$D1)="%"))*('Общий табель'!A$6:A$18&lt;"А")*('Общий табель'!A$6:A$18&lt;&gt;""))*(БДМ№1!XFA$4=TODAY())</definedName>
    <definedName name="СуммОбщТаб_БДМ2">SUM(('Общий табель'!$C$6:$C$18=#REF!)*('Общий табель'!$D$6:$D$18=#REF!)*('Общий табель'!A$6:A$18&lt;"А")*('Общий табель'!A$6:A$18&lt;&gt;""))*(#REF!=TODAY())</definedName>
    <definedName name="ФИО">INDEX(Список!$B:$B,2):INDEX(Список!$B:$B,COUNTA(Список!$B:$B)+1)</definedName>
  </definedNames>
  <calcPr calcId="145621" concurrentCalc="0"/>
  <customWorkbookViews>
    <customWorkbookView name="1" guid="{1957AC80-412C-4030-B807-A599A7F9C8EF}" maximized="1" xWindow="1" yWindow="1" windowWidth="1276" windowHeight="808" tabRatio="698" activeSheetId="6" showFormulaBar="0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21" l="1"/>
  <c r="D8" i="6"/>
  <c r="D9" i="6"/>
  <c r="D10" i="6"/>
  <c r="D11" i="6"/>
  <c r="D12" i="6"/>
  <c r="D13" i="6"/>
  <c r="D14" i="6"/>
  <c r="D15" i="6"/>
  <c r="D16" i="6"/>
  <c r="C8" i="6"/>
  <c r="C9" i="6"/>
  <c r="C10" i="6"/>
  <c r="C11" i="6"/>
  <c r="C12" i="6"/>
  <c r="C13" i="6"/>
  <c r="C14" i="6"/>
  <c r="C15" i="6"/>
  <c r="C16" i="6"/>
  <c r="C30" i="12"/>
  <c r="B31" i="21"/>
  <c r="C45" i="12"/>
  <c r="C93" i="12"/>
  <c r="C97" i="12"/>
  <c r="C108" i="12"/>
  <c r="C107" i="12"/>
  <c r="C106" i="12"/>
  <c r="C105" i="12"/>
  <c r="C104" i="12"/>
  <c r="C103" i="12"/>
  <c r="C101" i="12"/>
  <c r="C100" i="12"/>
  <c r="C99" i="12"/>
  <c r="C98" i="12"/>
  <c r="C96" i="12"/>
  <c r="C95" i="12"/>
  <c r="C94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5" i="12"/>
  <c r="C4" i="12"/>
  <c r="C3" i="12"/>
  <c r="C2" i="12"/>
  <c r="AK18" i="6"/>
  <c r="AJ18" i="6"/>
  <c r="AK17" i="6"/>
  <c r="AJ17" i="6"/>
  <c r="AK16" i="6"/>
  <c r="AJ16" i="6"/>
  <c r="AK15" i="6"/>
  <c r="AJ15" i="6"/>
  <c r="AK14" i="6"/>
  <c r="AJ14" i="6"/>
  <c r="AK13" i="6"/>
  <c r="AJ13" i="6"/>
  <c r="AK12" i="6"/>
  <c r="AJ12" i="6"/>
  <c r="AK11" i="6"/>
  <c r="AJ11" i="6"/>
  <c r="AK10" i="6"/>
  <c r="AJ10" i="6"/>
  <c r="AK9" i="6"/>
  <c r="AJ9" i="6"/>
  <c r="AK8" i="6"/>
  <c r="AJ8" i="6"/>
  <c r="AK7" i="6"/>
  <c r="AJ7" i="6"/>
  <c r="AK6" i="6"/>
  <c r="AJ6" i="6"/>
  <c r="J1" i="6"/>
  <c r="F4" i="6"/>
  <c r="AJ47" i="21" a="1"/>
  <c r="AJ47" i="21"/>
  <c r="B47" i="21"/>
  <c r="AJ46" i="21" a="1"/>
  <c r="AJ46" i="21"/>
  <c r="B46" i="21"/>
  <c r="AJ45" i="21" a="1"/>
  <c r="AJ45" i="21"/>
  <c r="B45" i="21"/>
  <c r="AJ44" i="21" a="1"/>
  <c r="AJ44" i="21"/>
  <c r="B44" i="21"/>
  <c r="AJ43" i="21" a="1"/>
  <c r="AJ43" i="21"/>
  <c r="B43" i="21"/>
  <c r="AJ42" i="21" a="1"/>
  <c r="AJ42" i="21"/>
  <c r="B42" i="21"/>
  <c r="AJ41" i="21" a="1"/>
  <c r="AJ41" i="21"/>
  <c r="B41" i="21"/>
  <c r="AJ40" i="21" a="1"/>
  <c r="AJ40" i="21"/>
  <c r="B40" i="21"/>
  <c r="AJ39" i="21" a="1"/>
  <c r="AJ39" i="21"/>
  <c r="AJ38" i="21" a="1"/>
  <c r="AJ38" i="21"/>
  <c r="B38" i="21"/>
  <c r="AJ37" i="21" a="1"/>
  <c r="AJ37" i="21"/>
  <c r="B37" i="21"/>
  <c r="AJ36" i="21" a="1"/>
  <c r="AJ36" i="21"/>
  <c r="B36" i="21"/>
  <c r="AJ35" i="21" a="1"/>
  <c r="AJ35" i="21"/>
  <c r="B35" i="21"/>
  <c r="AJ34" i="21" a="1"/>
  <c r="AJ34" i="21"/>
  <c r="B34" i="21"/>
  <c r="AJ33" i="21" a="1"/>
  <c r="AJ33" i="21"/>
  <c r="B33" i="21"/>
  <c r="AJ32" i="21" a="1"/>
  <c r="AJ32" i="21"/>
  <c r="B32" i="21"/>
  <c r="AJ31" i="21" a="1"/>
  <c r="AJ31" i="21"/>
  <c r="AJ30" i="21" a="1"/>
  <c r="AJ30" i="21"/>
  <c r="B30" i="21"/>
  <c r="AJ29" i="21" a="1"/>
  <c r="AJ29" i="21"/>
  <c r="B29" i="21"/>
  <c r="AJ28" i="21" a="1"/>
  <c r="AJ28" i="21"/>
  <c r="B28" i="21"/>
  <c r="AJ27" i="21" a="1"/>
  <c r="AJ27" i="21"/>
  <c r="B27" i="21"/>
  <c r="AJ26" i="21" a="1"/>
  <c r="AJ26" i="21"/>
  <c r="B26" i="21"/>
  <c r="AJ25" i="21" a="1"/>
  <c r="AJ25" i="21"/>
  <c r="B25" i="21"/>
  <c r="AJ24" i="21" a="1"/>
  <c r="AJ24" i="21"/>
  <c r="B24" i="21"/>
  <c r="AJ23" i="21" a="1"/>
  <c r="AJ23" i="21"/>
  <c r="B23" i="21"/>
  <c r="AJ22" i="21" a="1"/>
  <c r="AJ22" i="21"/>
  <c r="B22" i="21"/>
  <c r="AJ21" i="21" a="1"/>
  <c r="AJ21" i="21"/>
  <c r="B21" i="21"/>
  <c r="AJ20" i="21" a="1"/>
  <c r="AJ20" i="21"/>
  <c r="B20" i="21"/>
  <c r="AJ19" i="21" a="1"/>
  <c r="AJ19" i="21"/>
  <c r="B19" i="21"/>
  <c r="AJ18" i="21" a="1"/>
  <c r="AJ18" i="21"/>
  <c r="B18" i="21"/>
  <c r="AJ17" i="21" a="1"/>
  <c r="AJ17" i="21"/>
  <c r="B17" i="21"/>
  <c r="AJ16" i="21" a="1"/>
  <c r="AJ16" i="21"/>
  <c r="B16" i="21"/>
  <c r="AJ15" i="21" a="1"/>
  <c r="AJ15" i="21"/>
  <c r="B15" i="21"/>
  <c r="AJ14" i="21" a="1"/>
  <c r="AJ14" i="21"/>
  <c r="B14" i="21"/>
  <c r="AJ13" i="21" a="1"/>
  <c r="AJ13" i="21"/>
  <c r="B13" i="21"/>
  <c r="AJ12" i="21" a="1"/>
  <c r="AJ12" i="21"/>
  <c r="B12" i="21"/>
  <c r="AJ11" i="21" a="1"/>
  <c r="AJ11" i="21"/>
  <c r="B11" i="21"/>
  <c r="AJ10" i="21" a="1"/>
  <c r="AJ10" i="21"/>
  <c r="B10" i="21"/>
  <c r="AJ9" i="21" a="1"/>
  <c r="AJ9" i="21"/>
  <c r="B9" i="21"/>
  <c r="AJ8" i="21" a="1"/>
  <c r="AJ8" i="21"/>
  <c r="B8" i="21"/>
  <c r="AJ7" i="21" a="1"/>
  <c r="AJ7" i="21"/>
  <c r="B7" i="21"/>
  <c r="AJ6" i="21" a="1"/>
  <c r="AJ6" i="21"/>
  <c r="B6" i="21"/>
  <c r="AJ5" i="21" a="1"/>
  <c r="AJ5" i="21"/>
  <c r="B5" i="21"/>
  <c r="AG1" i="21"/>
  <c r="A15" i="6"/>
  <c r="A9" i="6"/>
  <c r="A7" i="6"/>
  <c r="A10" i="6"/>
  <c r="A11" i="6"/>
  <c r="A16" i="6"/>
  <c r="A8" i="6"/>
  <c r="A14" i="6"/>
  <c r="A12" i="6"/>
  <c r="A13" i="6"/>
  <c r="H4" i="6"/>
  <c r="E4" i="6"/>
  <c r="G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</calcChain>
</file>

<file path=xl/sharedStrings.xml><?xml version="1.0" encoding="utf-8"?>
<sst xmlns="http://schemas.openxmlformats.org/spreadsheetml/2006/main" count="271" uniqueCount="168">
  <si>
    <t>Для бригадного расчёта</t>
  </si>
  <si>
    <t>Отработано часов по числам месяца</t>
  </si>
  <si>
    <t>Таб№</t>
  </si>
  <si>
    <t>Часы</t>
  </si>
  <si>
    <t>Фамилия, Имя, Отчество</t>
  </si>
  <si>
    <t>№</t>
  </si>
  <si>
    <t>Должность</t>
  </si>
  <si>
    <t>Таб.№</t>
  </si>
  <si>
    <t>числа    месяца</t>
  </si>
  <si>
    <t>Рудницкий С.Н.</t>
  </si>
  <si>
    <t>Залан А.В.</t>
  </si>
  <si>
    <t>Орловский А.М.</t>
  </si>
  <si>
    <t>Буракова Т.А.</t>
  </si>
  <si>
    <t>Мишук А.В.</t>
  </si>
  <si>
    <t>А</t>
  </si>
  <si>
    <t>Ковалёв Д.А.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</si>
  <si>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</si>
  <si>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</si>
  <si>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</si>
  <si>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</si>
  <si>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</si>
  <si>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</si>
  <si>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</si>
  <si>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</si>
  <si>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</si>
  <si>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</si>
  <si>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</si>
  <si>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Комадей Д.В.</t>
  </si>
  <si>
    <t>Машинист 6 р.</t>
  </si>
  <si>
    <t>Сушильщик 4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</si>
  <si>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</si>
  <si>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</si>
  <si>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</si>
  <si>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</si>
  <si>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</si>
  <si>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</si>
  <si>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Мишук Р.В.</t>
  </si>
  <si>
    <t>Макрицкий Ю.В.</t>
  </si>
  <si>
    <t>Бушкин В.Д.</t>
  </si>
  <si>
    <t>Романчук В.В.</t>
  </si>
  <si>
    <t>Накатчик 3 р. %</t>
  </si>
  <si>
    <t>Разм. РПО 3 р. %</t>
  </si>
  <si>
    <t>Перссовщик 3 р.</t>
  </si>
  <si>
    <t>В</t>
  </si>
  <si>
    <t>О</t>
  </si>
  <si>
    <t>Разм. ПО 3 р.</t>
  </si>
  <si>
    <t>Мороз А.П.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</si>
  <si>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</si>
  <si>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</si>
  <si>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</si>
  <si>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</si>
  <si>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</si>
  <si>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</si>
  <si>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</si>
  <si>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</si>
  <si>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</si>
  <si>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</si>
  <si>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</si>
  <si>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</si>
  <si>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</si>
  <si>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</si>
  <si>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</si>
  <si>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</si>
  <si>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</si>
  <si>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</si>
  <si>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</si>
  <si>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</si>
  <si>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</si>
  <si>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</si>
  <si>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</si>
  <si>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</si>
  <si>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</si>
  <si>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</si>
  <si>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</si>
  <si>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</si>
  <si>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</si>
  <si>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Каляпина К.А.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</si>
  <si>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</si>
  <si>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</si>
  <si>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</si>
  <si>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</si>
  <si>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</si>
  <si>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</si>
  <si>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</si>
  <si>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</si>
  <si>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БДМ № 1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</si>
  <si>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</si>
  <si>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</si>
  <si>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</si>
  <si>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</si>
  <si>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</si>
  <si>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</si>
  <si>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</si>
  <si>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Романов В.В.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</si>
  <si>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</si>
  <si>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</si>
  <si>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</si>
  <si>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</si>
  <si>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</si>
  <si>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</si>
  <si>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</si>
  <si>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</si>
  <si>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</si>
  <si>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</si>
  <si>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</si>
  <si>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</si>
  <si>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</si>
  <si>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</si>
  <si>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</si>
  <si>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</si>
  <si>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</si>
  <si>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</si>
  <si>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</si>
  <si>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</si>
  <si>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</si>
  <si>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</si>
  <si>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</si>
  <si>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</si>
  <si>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</si>
  <si>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</si>
  <si>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</si>
  <si>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</si>
  <si>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Дни</t>
  </si>
  <si>
    <t>Болезнь</t>
  </si>
  <si>
    <t>Отпуск</t>
  </si>
  <si>
    <t>Неявки разр. администр.</t>
  </si>
  <si>
    <t>Вых.дни</t>
  </si>
  <si>
    <t>Неявки разр. законом</t>
  </si>
  <si>
    <t>Адамюк Е.В.</t>
  </si>
  <si>
    <t>Агеева Е.В.</t>
  </si>
  <si>
    <t>Ефремов С.А.</t>
  </si>
  <si>
    <t>Игнатов К.И.</t>
  </si>
  <si>
    <t>Кирилуша Е.Г.</t>
  </si>
  <si>
    <t>Мурашко В.Г.</t>
  </si>
  <si>
    <t>Федотов С.В.</t>
  </si>
  <si>
    <t>Дней в месяце</t>
  </si>
  <si>
    <t>Смещение столбца</t>
  </si>
  <si>
    <t>Губич Ю.В.</t>
  </si>
  <si>
    <t>Ф.И.O.</t>
  </si>
  <si>
    <t/>
  </si>
  <si>
    <t>Курак С.В.</t>
  </si>
  <si>
    <t>Климович С.К.</t>
  </si>
  <si>
    <t>Ноч. Часы</t>
  </si>
  <si>
    <t>Антипов Д.С.</t>
  </si>
  <si>
    <t>Сушкевич А.А.</t>
  </si>
  <si>
    <t>Праздн. часы</t>
  </si>
  <si>
    <t>12'</t>
  </si>
  <si>
    <t>Головкин Г.Г.</t>
  </si>
  <si>
    <t>Ковалёв С.</t>
  </si>
  <si>
    <t>Накатчик 3 р.</t>
  </si>
  <si>
    <t>В смене:</t>
  </si>
  <si>
    <t>Ап.пр.хим.р-в 3 р.- 2 человека</t>
  </si>
  <si>
    <t>Маш.уп. маш. 2 р.- 2 человека</t>
  </si>
  <si>
    <t>все остальные профессии по 1 человеку</t>
  </si>
  <si>
    <t>Разм. ПО 3 р.- 2 человека</t>
  </si>
  <si>
    <t>Машинист 6 р.- 2 человека</t>
  </si>
  <si>
    <t>Ап.пр.хим.р-в 3 р. %</t>
  </si>
  <si>
    <t>необходимо, чтобы ячейки оранжевого цвета подсвечивались.</t>
  </si>
  <si>
    <t>О-очередной отпуск</t>
  </si>
  <si>
    <t>12-работа днём</t>
  </si>
  <si>
    <t>12-работа ночью</t>
  </si>
  <si>
    <t>В-выходной</t>
  </si>
  <si>
    <t>обозначения:</t>
  </si>
  <si>
    <t>А-админ отпуск</t>
  </si>
  <si>
    <t xml:space="preserve">если в "общем табеле" "А,О,В" (значит работник отсутствует), а в "БДМ№1" у другого работника по профессии отсутствующего стоит знак "%" - то ячейка подсвечивается </t>
  </si>
  <si>
    <t>Резчик ПРС 3 р. %</t>
  </si>
  <si>
    <t>здесь не должно подсвечиваться</t>
  </si>
  <si>
    <t>т к есть этот работник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</si>
</sst>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d;@"/>
    <numFmt numFmtId="166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2" borderId="0">
      <alignment horizontal="left"/>
    </xf>
    <xf numFmtId="0" fontId="4" fillId="2" borderId="0" applyFont="0" applyBorder="0" applyAlignment="0" applyProtection="0">
      <alignment horizontal="left"/>
    </xf>
    <xf numFmtId="0" fontId="3" fillId="0" borderId="0"/>
    <xf numFmtId="0" fontId="5" fillId="0" borderId="0"/>
    <xf numFmtId="0" fontId="13" fillId="0" borderId="0"/>
    <xf numFmtId="0" fontId="1" fillId="0" borderId="0"/>
  </cellStyleXfs>
  <cellXfs count="135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3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9" fontId="9" fillId="0" borderId="6" xfId="0" applyNumberFormat="1" applyFont="1" applyFill="1" applyBorder="1" applyAlignment="1" applyProtection="1">
      <alignment horizontal="center" vertical="center"/>
      <protection hidden="1"/>
    </xf>
    <xf numFmtId="166" fontId="9" fillId="0" borderId="14" xfId="0" applyNumberFormat="1" applyFont="1" applyFill="1" applyBorder="1" applyAlignment="1" applyProtection="1">
      <alignment vertical="center"/>
      <protection hidden="1"/>
    </xf>
    <xf numFmtId="0" fontId="9" fillId="0" borderId="15" xfId="0" applyNumberFormat="1" applyFont="1" applyFill="1" applyBorder="1" applyAlignment="1" applyProtection="1">
      <alignment vertical="center"/>
      <protection hidden="1"/>
    </xf>
    <xf numFmtId="1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64" fontId="10" fillId="0" borderId="18" xfId="1" applyNumberFormat="1" applyFont="1" applyFill="1" applyBorder="1" applyAlignment="1" applyProtection="1">
      <alignment horizontal="center" vertical="center" textRotation="90"/>
      <protection hidden="1"/>
    </xf>
    <xf numFmtId="1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" fontId="8" fillId="0" borderId="17" xfId="0" applyNumberFormat="1" applyFont="1" applyFill="1" applyBorder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/>
      <protection hidden="1"/>
    </xf>
    <xf numFmtId="1" fontId="7" fillId="0" borderId="27" xfId="0" applyNumberFormat="1" applyFont="1" applyFill="1" applyBorder="1" applyAlignment="1" applyProtection="1">
      <alignment horizontal="center" vertical="center"/>
      <protection hidden="1"/>
    </xf>
    <xf numFmtId="0" fontId="7" fillId="0" borderId="20" xfId="0" applyNumberFormat="1" applyFont="1" applyFill="1" applyBorder="1" applyAlignment="1" applyProtection="1">
      <alignment horizontal="center" vertical="center"/>
      <protection hidden="1"/>
    </xf>
    <xf numFmtId="49" fontId="9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NumberFormat="1" applyFont="1" applyFill="1" applyBorder="1" applyAlignment="1" applyProtection="1">
      <alignment vertical="center"/>
      <protection hidden="1"/>
    </xf>
    <xf numFmtId="0" fontId="9" fillId="0" borderId="25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1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locked="0"/>
    </xf>
    <xf numFmtId="0" fontId="11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NumberFormat="1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49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49" fontId="8" fillId="0" borderId="0" xfId="0" applyNumberFormat="1" applyFont="1" applyFill="1" applyProtection="1">
      <protection hidden="1"/>
    </xf>
    <xf numFmtId="165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166" fontId="9" fillId="0" borderId="24" xfId="0" applyNumberFormat="1" applyFont="1" applyFill="1" applyBorder="1" applyAlignment="1" applyProtection="1">
      <alignment vertical="center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19" xfId="0" applyFont="1" applyFill="1" applyBorder="1" applyAlignment="1" applyProtection="1">
      <alignment horizontal="left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Protection="1">
      <protection hidden="1"/>
    </xf>
    <xf numFmtId="0" fontId="7" fillId="0" borderId="21" xfId="1" applyFont="1" applyFill="1" applyBorder="1" applyAlignment="1" applyProtection="1">
      <alignment horizontal="center" vertical="center"/>
      <protection locked="0"/>
    </xf>
    <xf numFmtId="0" fontId="7" fillId="0" borderId="27" xfId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6" xfId="0" quotePrefix="1" applyNumberFormat="1" applyFont="1" applyFill="1" applyBorder="1" applyAlignment="1" applyProtection="1">
      <alignment horizontal="center" vertical="center"/>
    </xf>
    <xf numFmtId="0" fontId="7" fillId="0" borderId="2" xfId="0" quotePrefix="1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left" vertical="center"/>
    </xf>
    <xf numFmtId="0" fontId="7" fillId="0" borderId="16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protection hidden="1"/>
    </xf>
    <xf numFmtId="0" fontId="12" fillId="0" borderId="0" xfId="0" applyFont="1" applyFill="1" applyProtection="1">
      <protection hidden="1"/>
    </xf>
    <xf numFmtId="166" fontId="11" fillId="0" borderId="0" xfId="0" applyNumberFormat="1" applyFont="1" applyFill="1" applyAlignment="1" applyProtection="1">
      <alignment horizontal="left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7" fillId="4" borderId="31" xfId="1" applyFont="1" applyFill="1" applyBorder="1" applyAlignment="1" applyProtection="1">
      <alignment horizontal="left" vertical="center"/>
      <protection locked="0"/>
    </xf>
    <xf numFmtId="0" fontId="7" fillId="4" borderId="23" xfId="1" applyFont="1" applyFill="1" applyBorder="1" applyAlignment="1" applyProtection="1">
      <alignment horizontal="left" vertical="center"/>
      <protection locked="0"/>
    </xf>
    <xf numFmtId="0" fontId="7" fillId="4" borderId="32" xfId="1" applyFont="1" applyFill="1" applyBorder="1" applyAlignment="1" applyProtection="1">
      <alignment horizontal="left" vertical="center"/>
      <protection locked="0"/>
    </xf>
    <xf numFmtId="0" fontId="7" fillId="4" borderId="33" xfId="1" applyFont="1" applyFill="1" applyBorder="1" applyAlignment="1" applyProtection="1">
      <alignment horizontal="left" vertical="center"/>
      <protection locked="0"/>
    </xf>
    <xf numFmtId="0" fontId="7" fillId="4" borderId="34" xfId="1" applyFont="1" applyFill="1" applyBorder="1" applyAlignment="1" applyProtection="1">
      <alignment horizontal="left" vertical="center"/>
      <protection locked="0"/>
    </xf>
    <xf numFmtId="0" fontId="7" fillId="4" borderId="35" xfId="1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textRotation="90"/>
      <protection hidden="1"/>
    </xf>
    <xf numFmtId="0" fontId="7" fillId="0" borderId="7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Fill="1" applyBorder="1" applyAlignment="1" applyProtection="1">
      <alignment horizontal="center" vertical="center" textRotation="90" wrapText="1"/>
      <protection hidden="1"/>
    </xf>
    <xf numFmtId="0" fontId="7" fillId="0" borderId="6" xfId="0" applyFont="1" applyFill="1" applyBorder="1" applyAlignment="1" applyProtection="1">
      <alignment horizontal="center" vertical="center" textRotation="90" wrapText="1"/>
      <protection hidden="1"/>
    </xf>
    <xf numFmtId="0" fontId="7" fillId="0" borderId="7" xfId="0" applyFont="1" applyFill="1" applyBorder="1" applyAlignment="1" applyProtection="1">
      <alignment horizontal="center" vertical="center" textRotation="90" wrapText="1"/>
      <protection hidden="1"/>
    </xf>
    <xf numFmtId="0" fontId="7" fillId="0" borderId="10" xfId="0" applyFont="1" applyFill="1" applyBorder="1" applyAlignment="1" applyProtection="1">
      <alignment horizontal="center" vertical="center" textRotation="90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16" fontId="7" fillId="0" borderId="10" xfId="0" applyNumberFormat="1" applyFont="1" applyFill="1" applyBorder="1" applyAlignment="1" applyProtection="1">
      <alignment horizontal="center" vertical="center" textRotation="90"/>
      <protection hidden="1"/>
    </xf>
    <xf numFmtId="0" fontId="7" fillId="4" borderId="28" xfId="1" applyFont="1" applyFill="1" applyBorder="1" applyAlignment="1" applyProtection="1">
      <alignment horizontal="center" vertical="center"/>
      <protection locked="0"/>
    </xf>
    <xf numFmtId="0" fontId="7" fillId="4" borderId="29" xfId="1" applyFont="1" applyFill="1" applyBorder="1" applyAlignment="1" applyProtection="1">
      <alignment horizontal="center" vertical="center"/>
      <protection locked="0"/>
    </xf>
    <xf numFmtId="0" fontId="7" fillId="4" borderId="30" xfId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</cellXfs>
  <cellStyles count="8">
    <cellStyle name="Обычный" xfId="0" builtinId="0"/>
    <cellStyle name="Обычный 2" xfId="4"/>
    <cellStyle name="Обычный 2 2" xfId="6"/>
    <cellStyle name="Обычный 3" xfId="5"/>
    <cellStyle name="Обычный 4" xfId="7"/>
    <cellStyle name="Обычный_График работы ПРЦ 2010" xfId="1"/>
    <cellStyle name="Стиль 1" xfId="2"/>
    <cellStyle name="Стиль 2" xfId="3"/>
  </cellStyles>
  <dxfs count="7">
    <dxf>
      <fill>
        <patternFill>
          <bgColor rgb="FFFFC00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1" defaultTableStyle="TableStyleMedium9" defaultPivotStyle="PivotStyleLight16">
    <tableStyle name="Стиль таблицы 1" pivot="0" count="0"/>
  </tableStyles>
  <colors>
    <mruColors>
      <color rgb="FF006421"/>
      <color rgb="FFA9DA74"/>
      <color rgb="FFD0EBB3"/>
      <color rgb="FFC00000"/>
      <color rgb="FF8E0000"/>
      <color rgb="FF8E0062"/>
      <color rgb="FFFFABFF"/>
      <color rgb="FF66FF99"/>
      <color rgb="FFA80074"/>
      <color rgb="FF008A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pageSetUpPr autoPageBreaks="0"/>
  </sheetPr>
  <dimension ref="A1:AJ47"/>
  <sheetViews>
    <sheetView showZeros="0" tabSelected="1" zoomScale="86" zoomScaleNormal="86" zoomScalePageLayoutView="86" workbookViewId="0">
      <pane ySplit="4" topLeftCell="A26" activePane="bottomLeft" state="frozen"/>
      <selection pane="bottomLeft" activeCell="J39" sqref="J39"/>
    </sheetView>
  </sheetViews>
  <sheetFormatPr defaultColWidth="8.85546875" defaultRowHeight="15" x14ac:dyDescent="0.25"/>
  <cols>
    <col min="1" max="1" width="5.28515625" style="44" customWidth="1"/>
    <col min="2" max="2" width="6.7109375" style="44" customWidth="1"/>
    <col min="3" max="3" width="18" style="44" customWidth="1"/>
    <col min="4" max="4" width="22" style="44" customWidth="1"/>
    <col min="5" max="5" width="5.42578125" style="44" customWidth="1"/>
    <col min="6" max="6" width="5.85546875" style="44" customWidth="1"/>
    <col min="7" max="35" width="5.42578125" style="44" customWidth="1"/>
    <col min="36" max="36" width="10.7109375" style="44" customWidth="1"/>
    <col min="37" max="16384" width="8.85546875" style="44"/>
  </cols>
  <sheetData>
    <row r="1" spans="1:36" ht="22.5" x14ac:dyDescent="0.3">
      <c r="A1" s="37"/>
      <c r="B1" s="98"/>
      <c r="C1" s="98"/>
      <c r="D1" s="38"/>
      <c r="E1" s="39"/>
      <c r="F1" s="39"/>
      <c r="G1" s="40"/>
      <c r="H1" s="40"/>
      <c r="I1" s="96" t="s">
        <v>85</v>
      </c>
      <c r="J1" s="96"/>
      <c r="K1" s="96"/>
      <c r="L1" s="96"/>
      <c r="M1" s="96"/>
      <c r="N1" s="96"/>
      <c r="O1" s="97" t="s">
        <v>0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41"/>
      <c r="AG1" s="42" t="e">
        <f>#REF!</f>
        <v>#REF!</v>
      </c>
      <c r="AH1" s="43"/>
      <c r="AI1" s="43"/>
      <c r="AJ1" s="43"/>
    </row>
    <row r="2" spans="1:36" x14ac:dyDescent="0.25">
      <c r="A2" s="37"/>
      <c r="B2" s="41"/>
      <c r="C2" s="41"/>
      <c r="D2" s="4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6" ht="15.75" x14ac:dyDescent="0.25">
      <c r="A3" s="37"/>
      <c r="B3" s="99" t="s">
        <v>2</v>
      </c>
      <c r="C3" s="101" t="s">
        <v>4</v>
      </c>
      <c r="D3" s="102"/>
      <c r="E3" s="105" t="s">
        <v>1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6"/>
      <c r="AJ3" s="94" t="s">
        <v>3</v>
      </c>
    </row>
    <row r="4" spans="1:36" ht="20.100000000000001" customHeight="1" x14ac:dyDescent="0.25">
      <c r="A4" s="37"/>
      <c r="B4" s="100"/>
      <c r="C4" s="103"/>
      <c r="D4" s="104"/>
      <c r="E4" s="46">
        <v>42370</v>
      </c>
      <c r="F4" s="46">
        <v>42371</v>
      </c>
      <c r="G4" s="46">
        <v>42372</v>
      </c>
      <c r="H4" s="46">
        <v>42373</v>
      </c>
      <c r="I4" s="46">
        <v>42374</v>
      </c>
      <c r="J4" s="46">
        <v>42375</v>
      </c>
      <c r="K4" s="46">
        <v>42376</v>
      </c>
      <c r="L4" s="46">
        <v>42377</v>
      </c>
      <c r="M4" s="46">
        <v>42378</v>
      </c>
      <c r="N4" s="46">
        <v>42379</v>
      </c>
      <c r="O4" s="46">
        <v>42380</v>
      </c>
      <c r="P4" s="46">
        <v>42381</v>
      </c>
      <c r="Q4" s="46">
        <v>42382</v>
      </c>
      <c r="R4" s="46">
        <v>42383</v>
      </c>
      <c r="S4" s="46">
        <v>42384</v>
      </c>
      <c r="T4" s="46">
        <v>42385</v>
      </c>
      <c r="U4" s="46">
        <v>42386</v>
      </c>
      <c r="V4" s="46">
        <v>42387</v>
      </c>
      <c r="W4" s="46">
        <v>42388</v>
      </c>
      <c r="X4" s="46">
        <v>42389</v>
      </c>
      <c r="Y4" s="46">
        <v>42390</v>
      </c>
      <c r="Z4" s="46">
        <v>42391</v>
      </c>
      <c r="AA4" s="46">
        <v>42392</v>
      </c>
      <c r="AB4" s="46">
        <v>42393</v>
      </c>
      <c r="AC4" s="46">
        <v>42394</v>
      </c>
      <c r="AD4" s="46">
        <v>42395</v>
      </c>
      <c r="AE4" s="46">
        <v>42396</v>
      </c>
      <c r="AF4" s="46">
        <v>42397</v>
      </c>
      <c r="AG4" s="46">
        <v>42398</v>
      </c>
      <c r="AH4" s="46">
        <v>42399</v>
      </c>
      <c r="AI4" s="46">
        <v>42400</v>
      </c>
      <c r="AJ4" s="95"/>
    </row>
    <row r="5" spans="1:36" ht="20.100000000000001" customHeight="1" x14ac:dyDescent="0.25">
      <c r="A5" s="47">
        <v>1</v>
      </c>
      <c r="B5" s="48">
        <f>IFERROR(VLOOKUP(C5,Список!$B$2:$C$108,2,0),"")</f>
        <v>465</v>
      </c>
      <c r="C5" s="49" t="s">
        <v>9</v>
      </c>
      <c r="D5" s="50" t="s">
        <v>28</v>
      </c>
      <c r="E5" s="78"/>
      <c r="F5" s="78"/>
      <c r="G5" s="78"/>
      <c r="H5" s="78"/>
      <c r="I5" s="78"/>
      <c r="J5" s="78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2">
        <f t="array" ref="AJ5">IF(ISNA(SUM(IF(RIGHTB(D5)="%",TEXT(INDEX(E$5:AI5,MATCH(LEFTB(C5,SEARCH("%",D5)),(C$5:C5),),),"0;0;12")*E5:AI5%,E5:AI5))),"",SUM(IF(RIGHTB(D5)="%",TEXT(INDEX(E$5:AI5,MATCH(LEFTB(C5,SEARCH("%",D5)),(C$5:C5),),),"0,0;0;12")*E5:AI5%,E5:AI5)))</f>
        <v>0</v>
      </c>
    </row>
    <row r="6" spans="1:36" ht="20.100000000000001" customHeight="1" x14ac:dyDescent="0.25">
      <c r="A6" s="47"/>
      <c r="B6" s="48" t="str">
        <f>IFERROR(VLOOKUP(C6,Список!$B$2:$C$108,2,0),"")</f>
        <v/>
      </c>
      <c r="C6" s="53"/>
      <c r="D6" s="54"/>
      <c r="E6" s="78"/>
      <c r="F6" s="81"/>
      <c r="G6" s="81"/>
      <c r="H6" s="81"/>
      <c r="I6" s="81"/>
      <c r="J6" s="84"/>
      <c r="K6" s="88" t="s">
        <v>164</v>
      </c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90"/>
      <c r="AD6" s="55"/>
      <c r="AE6" s="56"/>
      <c r="AF6" s="55"/>
      <c r="AG6" s="56"/>
      <c r="AH6" s="55"/>
      <c r="AI6" s="57"/>
      <c r="AJ6" s="52">
        <f t="array" ref="AJ6">IF(ISNA(SUM(IF(RIGHTB(D6)="%",TEXT(INDEX(E$5:AI6,MATCH(LEFTB(C6,SEARCH("%",D6)),(C$5:C6),),),"0;0;12")*E6:AI6%,E6:AI6))),"",SUM(IF(RIGHTB(D6)="%",TEXT(INDEX(E$5:AI6,MATCH(LEFTB(C6,SEARCH("%",D6)),(C$5:C6),),),"0,0;0;12")*E6:AI6%,E6:AI6)))</f>
        <v>0</v>
      </c>
    </row>
    <row r="7" spans="1:36" ht="20.100000000000001" customHeight="1" x14ac:dyDescent="0.25">
      <c r="A7" s="47"/>
      <c r="B7" s="48" t="str">
        <f>IFERROR(VLOOKUP(C7,Список!$B$2:$C$108,2,0),"")</f>
        <v/>
      </c>
      <c r="C7" s="53"/>
      <c r="D7" s="54"/>
      <c r="E7" s="78"/>
      <c r="F7" s="78"/>
      <c r="G7" s="79"/>
      <c r="H7" s="78"/>
      <c r="I7" s="79"/>
      <c r="J7" s="78"/>
      <c r="K7" s="91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3"/>
      <c r="AD7" s="51"/>
      <c r="AE7" s="58"/>
      <c r="AF7" s="51"/>
      <c r="AG7" s="58"/>
      <c r="AH7" s="51"/>
      <c r="AI7" s="59"/>
      <c r="AJ7" s="52">
        <f t="array" ref="AJ7">IF(ISNA(SUM(IF(RIGHTB(D7)="%",TEXT(INDEX(E$5:AI7,MATCH(LEFTB(C7,SEARCH("%",D7)),(C$5:C7),),),"0;0;12")*E7:AI7%,E7:AI7))),"",SUM(IF(RIGHTB(D7)="%",TEXT(INDEX(E$5:AI7,MATCH(LEFTB(C7,SEARCH("%",D7)),(C$5:C7),),),"0,0;0;12")*E7:AI7%,E7:AI7)))</f>
        <v>0</v>
      </c>
    </row>
    <row r="8" spans="1:36" ht="20.100000000000001" customHeight="1" x14ac:dyDescent="0.25">
      <c r="A8" s="47"/>
      <c r="B8" s="48" t="str">
        <f>IFERROR(VLOOKUP(C8,Список!$B$2:$C$108,2,0),"")</f>
        <v/>
      </c>
      <c r="C8" s="53"/>
      <c r="D8" s="54"/>
      <c r="E8" s="78"/>
      <c r="F8" s="78"/>
      <c r="G8" s="80"/>
      <c r="H8" s="80"/>
      <c r="I8" s="80"/>
      <c r="J8" s="80"/>
      <c r="K8" s="72"/>
      <c r="L8" s="60"/>
      <c r="M8" s="60"/>
      <c r="N8" s="60"/>
      <c r="O8" s="51"/>
      <c r="P8" s="60"/>
      <c r="Q8" s="60"/>
      <c r="R8" s="60"/>
      <c r="S8" s="60"/>
      <c r="T8" s="60"/>
      <c r="U8" s="61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52">
        <f t="array" ref="AJ8">IF(ISNA(SUM(IF(RIGHTB(D8)="%",TEXT(INDEX(E$5:AI8,MATCH(LEFTB(C8,SEARCH("%",D8)),(C$5:C8),),),"0;0;12")*E8:AI8%,E8:AI8))),"",SUM(IF(RIGHTB(D8)="%",TEXT(INDEX(E$5:AI8,MATCH(LEFTB(C8,SEARCH("%",D8)),(C$5:C8),),),"0,0;0;12")*E8:AI8%,E8:AI8)))</f>
        <v>0</v>
      </c>
    </row>
    <row r="9" spans="1:36" ht="20.100000000000001" customHeight="1" x14ac:dyDescent="0.25">
      <c r="A9" s="47">
        <v>2</v>
      </c>
      <c r="B9" s="48">
        <f>IFERROR(VLOOKUP(C9,Список!$B$2:$C$108,2,0),"")</f>
        <v>761</v>
      </c>
      <c r="C9" s="53" t="s">
        <v>17</v>
      </c>
      <c r="D9" s="54" t="s">
        <v>28</v>
      </c>
      <c r="E9" s="78"/>
      <c r="F9" s="78"/>
      <c r="G9" s="78"/>
      <c r="H9" s="78"/>
      <c r="I9" s="78"/>
      <c r="J9" s="78"/>
      <c r="K9" s="66" t="s">
        <v>157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2">
        <f t="array" ref="AJ9">IF(ISNA(SUM(IF(RIGHTB(D9)="%",TEXT(INDEX(E$5:AI9,MATCH(LEFTB(C9,SEARCH("%",D9)),(C$5:C9),),),"0;0;12")*E9:AI9%,E9:AI9))),"",SUM(IF(RIGHTB(D9)="%",TEXT(INDEX(E$5:AI9,MATCH(LEFTB(C9,SEARCH("%",D9)),(C$5:C9),),),"0,0;0;12")*E9:AI9%,E9:AI9)))</f>
        <v>0</v>
      </c>
    </row>
    <row r="10" spans="1:36" ht="20.100000000000001" customHeight="1" x14ac:dyDescent="0.25">
      <c r="A10" s="47"/>
      <c r="B10" s="48">
        <f>IFERROR(VLOOKUP(C10,Список!$B$2:$C$108,2,0),"")</f>
        <v>761</v>
      </c>
      <c r="C10" s="53" t="s">
        <v>17</v>
      </c>
      <c r="D10" s="54" t="s">
        <v>40</v>
      </c>
      <c r="E10" s="78"/>
      <c r="F10" s="78"/>
      <c r="G10" s="78"/>
      <c r="H10" s="78"/>
      <c r="I10" s="78"/>
      <c r="J10" s="78"/>
      <c r="K10" s="51"/>
      <c r="L10" s="51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51"/>
      <c r="Y10" s="51"/>
      <c r="Z10" s="51"/>
      <c r="AA10" s="58"/>
      <c r="AB10" s="51"/>
      <c r="AC10" s="58"/>
      <c r="AD10" s="51"/>
      <c r="AE10" s="58"/>
      <c r="AF10" s="51"/>
      <c r="AG10" s="58"/>
      <c r="AH10" s="51"/>
      <c r="AI10" s="59"/>
      <c r="AJ10" s="52" t="e">
        <f t="array" ref="AJ10">IF(ISNA(SUM(IF(RIGHTB(D10)="%",TEXT(INDEX(E$5:AI10,MATCH(LEFTB(C10,SEARCH("%",D10)),(C$5:C10),),),"0;0;12")*E10:AI10%,E10:AI10))),"",SUM(IF(RIGHTB(D10)="%",TEXT(INDEX(E$5:AI10,MATCH(LEFTB(C10,SEARCH("%",D10)),(C$5:C10),),),"0,0;0;12")*E10:AI10%,E10:AI10)))</f>
        <v>#VALUE!</v>
      </c>
    </row>
    <row r="11" spans="1:36" ht="20.100000000000001" customHeight="1" x14ac:dyDescent="0.25">
      <c r="A11" s="47"/>
      <c r="B11" s="48" t="str">
        <f>IFERROR(VLOOKUP(C11,Список!$B$2:$C$108,2,0),"")</f>
        <v/>
      </c>
      <c r="C11" s="53"/>
      <c r="D11" s="50"/>
      <c r="E11" s="81"/>
      <c r="F11" s="78"/>
      <c r="G11" s="82"/>
      <c r="H11" s="81"/>
      <c r="I11" s="82"/>
      <c r="J11" s="81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55"/>
      <c r="Y11" s="55"/>
      <c r="Z11" s="55"/>
      <c r="AA11" s="56"/>
      <c r="AB11" s="55"/>
      <c r="AC11" s="56"/>
      <c r="AD11" s="55"/>
      <c r="AE11" s="56"/>
      <c r="AF11" s="55"/>
      <c r="AG11" s="56"/>
      <c r="AH11" s="55"/>
      <c r="AI11" s="57"/>
      <c r="AJ11" s="52">
        <f t="array" ref="AJ11">IF(ISNA(SUM(IF(RIGHTB(D11)="%",TEXT(INDEX(E$5:AI11,MATCH(LEFTB(C11,SEARCH("%",D11)),(C$5:C11),),),"0;0;12")*E11:AI11%,E11:AI11))),"",SUM(IF(RIGHTB(D11)="%",TEXT(INDEX(E$5:AI11,MATCH(LEFTB(C11,SEARCH("%",D11)),(C$5:C11),),),"0,0;0;12")*E11:AI11%,E11:AI11)))</f>
        <v>0</v>
      </c>
    </row>
    <row r="12" spans="1:36" ht="20.100000000000001" customHeight="1" x14ac:dyDescent="0.25">
      <c r="A12" s="47"/>
      <c r="B12" s="48" t="str">
        <f>IFERROR(VLOOKUP(C12,Список!$B$2:$C$108,2,0),"")</f>
        <v/>
      </c>
      <c r="C12" s="53"/>
      <c r="D12" s="54"/>
      <c r="E12" s="78"/>
      <c r="F12" s="78"/>
      <c r="G12" s="79"/>
      <c r="H12" s="78"/>
      <c r="I12" s="79"/>
      <c r="J12" s="78"/>
      <c r="K12" s="66" t="s">
        <v>150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51"/>
      <c r="Y12" s="51"/>
      <c r="Z12" s="51"/>
      <c r="AA12" s="58"/>
      <c r="AB12" s="51"/>
      <c r="AC12" s="58"/>
      <c r="AD12" s="51"/>
      <c r="AE12" s="58"/>
      <c r="AF12" s="51"/>
      <c r="AG12" s="51"/>
      <c r="AH12" s="51"/>
      <c r="AI12" s="59"/>
      <c r="AJ12" s="52">
        <f t="array" ref="AJ12">IF(ISNA(SUM(IF(RIGHTB(D12)="%",TEXT(INDEX(E$5:AI12,MATCH(LEFTB(C12,SEARCH("%",D12)),(C$5:C12),),),"0;0;12")*E12:AI12%,E12:AI12))),"",SUM(IF(RIGHTB(D12)="%",TEXT(INDEX(E$5:AI12,MATCH(LEFTB(C12,SEARCH("%",D12)),(C$5:C12),),),"0,0;0;12")*E12:AI12%,E12:AI12)))</f>
        <v>0</v>
      </c>
    </row>
    <row r="13" spans="1:36" ht="20.100000000000001" customHeight="1" x14ac:dyDescent="0.25">
      <c r="A13" s="47"/>
      <c r="B13" s="48" t="str">
        <f>IFERROR(VLOOKUP(C13,Список!$B$2:$C$108,2,0),"")</f>
        <v/>
      </c>
      <c r="C13" s="53"/>
      <c r="D13" s="54"/>
      <c r="E13" s="83"/>
      <c r="F13" s="78"/>
      <c r="G13" s="82"/>
      <c r="H13" s="81"/>
      <c r="I13" s="82"/>
      <c r="J13" s="81"/>
      <c r="K13" s="66" t="s">
        <v>154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55"/>
      <c r="Y13" s="55"/>
      <c r="Z13" s="55"/>
      <c r="AA13" s="56"/>
      <c r="AB13" s="55"/>
      <c r="AC13" s="56"/>
      <c r="AD13" s="55"/>
      <c r="AE13" s="56"/>
      <c r="AF13" s="55"/>
      <c r="AG13" s="56"/>
      <c r="AH13" s="55"/>
      <c r="AI13" s="57"/>
      <c r="AJ13" s="52">
        <f t="array" ref="AJ13">IF(ISNA(SUM(IF(RIGHTB(D13)="%",TEXT(INDEX(E$5:AI13,MATCH(LEFTB(C13,SEARCH("%",D13)),(C$5:C13),),),"0;0;12")*E13:AI13%,E13:AI13))),"",SUM(IF(RIGHTB(D13)="%",TEXT(INDEX(E$5:AI13,MATCH(LEFTB(C13,SEARCH("%",D13)),(C$5:C13),),),"0,0;0;12")*E13:AI13%,E13:AI13)))</f>
        <v>0</v>
      </c>
    </row>
    <row r="14" spans="1:36" ht="20.100000000000001" customHeight="1" x14ac:dyDescent="0.25">
      <c r="A14" s="47">
        <v>3</v>
      </c>
      <c r="B14" s="48">
        <f>IFERROR(VLOOKUP(C14,Список!$B$2:$C$108,2,0),"")</f>
        <v>1674</v>
      </c>
      <c r="C14" s="53" t="s">
        <v>11</v>
      </c>
      <c r="D14" s="54" t="s">
        <v>42</v>
      </c>
      <c r="E14" s="83"/>
      <c r="F14" s="78"/>
      <c r="G14" s="79"/>
      <c r="H14" s="78"/>
      <c r="I14" s="79"/>
      <c r="J14" s="78"/>
      <c r="K14" s="66" t="s">
        <v>151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51"/>
      <c r="Y14" s="51"/>
      <c r="Z14" s="51"/>
      <c r="AA14" s="58"/>
      <c r="AB14" s="51"/>
      <c r="AC14" s="58"/>
      <c r="AD14" s="51"/>
      <c r="AE14" s="58"/>
      <c r="AF14" s="51"/>
      <c r="AG14" s="58"/>
      <c r="AH14" s="51"/>
      <c r="AI14" s="59"/>
      <c r="AJ14" s="52">
        <f t="array" ref="AJ14">IF(ISNA(SUM(IF(RIGHTB(D14)="%",TEXT(INDEX(E$5:AI14,MATCH(LEFTB(C14,SEARCH("%",D14)),(C$5:C14),),),"0;0;12")*E14:AI14%,E14:AI14))),"",SUM(IF(RIGHTB(D14)="%",TEXT(INDEX(E$5:AI14,MATCH(LEFTB(C14,SEARCH("%",D14)),(C$5:C14),),),"0,0;0;12")*E14:AI14%,E14:AI14)))</f>
        <v>0</v>
      </c>
    </row>
    <row r="15" spans="1:36" ht="20.100000000000001" customHeight="1" x14ac:dyDescent="0.25">
      <c r="A15" s="47"/>
      <c r="B15" s="48" t="str">
        <f>IFERROR(VLOOKUP(C15,Список!$B$2:$C$108,2,0),"")</f>
        <v/>
      </c>
      <c r="C15" s="53"/>
      <c r="D15" s="54"/>
      <c r="E15" s="83"/>
      <c r="F15" s="78"/>
      <c r="G15" s="79"/>
      <c r="H15" s="78"/>
      <c r="I15" s="79"/>
      <c r="J15" s="78"/>
      <c r="K15" s="66" t="s">
        <v>152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51"/>
      <c r="Y15" s="58"/>
      <c r="Z15" s="51"/>
      <c r="AA15" s="58"/>
      <c r="AB15" s="51"/>
      <c r="AC15" s="58"/>
      <c r="AD15" s="51"/>
      <c r="AE15" s="58"/>
      <c r="AF15" s="51"/>
      <c r="AG15" s="58"/>
      <c r="AH15" s="51"/>
      <c r="AI15" s="59"/>
      <c r="AJ15" s="52">
        <f t="array" ref="AJ15">IF(ISNA(SUM(IF(RIGHTB(D15)="%",TEXT(INDEX(E$5:AI15,MATCH(LEFTB(C15,SEARCH("%",D15)),(C$5:C15),),),"0;0;12")*E15:AI15%,E15:AI15))),"",SUM(IF(RIGHTB(D15)="%",TEXT(INDEX(E$5:AI15,MATCH(LEFTB(C15,SEARCH("%",D15)),(C$5:C15),),),"0,0;0;12")*E15:AI15%,E15:AI15)))</f>
        <v>0</v>
      </c>
    </row>
    <row r="16" spans="1:36" ht="20.100000000000001" customHeight="1" x14ac:dyDescent="0.25">
      <c r="A16" s="47"/>
      <c r="B16" s="48" t="str">
        <f>IFERROR(VLOOKUP(C16,Список!$B$2:$C$108,2,0),"")</f>
        <v/>
      </c>
      <c r="C16" s="53"/>
      <c r="D16" s="50"/>
      <c r="E16" s="83"/>
      <c r="F16" s="78"/>
      <c r="G16" s="79"/>
      <c r="H16" s="78"/>
      <c r="I16" s="79"/>
      <c r="J16" s="78"/>
      <c r="K16" s="66" t="s">
        <v>155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51"/>
      <c r="Y16" s="58"/>
      <c r="Z16" s="51"/>
      <c r="AA16" s="58"/>
      <c r="AB16" s="51"/>
      <c r="AC16" s="58"/>
      <c r="AD16" s="51"/>
      <c r="AE16" s="58"/>
      <c r="AF16" s="51"/>
      <c r="AG16" s="58"/>
      <c r="AH16" s="51"/>
      <c r="AI16" s="59"/>
      <c r="AJ16" s="52">
        <f t="array" ref="AJ16">IF(ISNA(SUM(IF(RIGHTB(D16)="%",TEXT(INDEX(E$5:AI16,MATCH(LEFTB(C16,SEARCH("%",D16)),(C$5:C16),),),"0;0;12")*E16:AI16%,E16:AI16))),"",SUM(IF(RIGHTB(D16)="%",TEXT(INDEX(E$5:AI16,MATCH(LEFTB(C16,SEARCH("%",D16)),(C$5:C16),),),"0,0;0;12")*E16:AI16%,E16:AI16)))</f>
        <v>0</v>
      </c>
    </row>
    <row r="17" spans="1:36" ht="20.100000000000001" customHeight="1" x14ac:dyDescent="0.25">
      <c r="A17" s="47">
        <v>4</v>
      </c>
      <c r="B17" s="48">
        <f>IFERROR(VLOOKUP(C17,Список!$B$2:$C$108,2,0),"")</f>
        <v>1179</v>
      </c>
      <c r="C17" s="53" t="s">
        <v>18</v>
      </c>
      <c r="D17" s="54" t="s">
        <v>29</v>
      </c>
      <c r="E17" s="83"/>
      <c r="F17" s="78"/>
      <c r="G17" s="82"/>
      <c r="H17" s="81"/>
      <c r="I17" s="82"/>
      <c r="J17" s="81"/>
      <c r="K17" s="66" t="s">
        <v>153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55"/>
      <c r="Y17" s="56"/>
      <c r="Z17" s="55"/>
      <c r="AA17" s="56"/>
      <c r="AB17" s="55"/>
      <c r="AC17" s="56"/>
      <c r="AD17" s="55"/>
      <c r="AE17" s="56"/>
      <c r="AF17" s="55"/>
      <c r="AG17" s="56"/>
      <c r="AH17" s="55"/>
      <c r="AI17" s="57"/>
      <c r="AJ17" s="52">
        <f t="array" ref="AJ17">IF(ISNA(SUM(IF(RIGHTB(D17)="%",TEXT(INDEX(E$5:AI17,MATCH(LEFTB(C17,SEARCH("%",D17)),(C$5:C17),),),"0;0;12")*E17:AI17%,E17:AI17))),"",SUM(IF(RIGHTB(D17)="%",TEXT(INDEX(E$5:AI17,MATCH(LEFTB(C17,SEARCH("%",D17)),(C$5:C17),),),"0,0;0;12")*E17:AI17%,E17:AI17)))</f>
        <v>0</v>
      </c>
    </row>
    <row r="18" spans="1:36" ht="20.100000000000001" customHeight="1" x14ac:dyDescent="0.25">
      <c r="A18" s="47"/>
      <c r="B18" s="48">
        <f>IFERROR(VLOOKUP(C18,Список!$B$2:$C$108,2,0),"")</f>
        <v>1179</v>
      </c>
      <c r="C18" s="53" t="s">
        <v>18</v>
      </c>
      <c r="D18" s="54" t="s">
        <v>40</v>
      </c>
      <c r="E18" s="83"/>
      <c r="F18" s="78"/>
      <c r="G18" s="79"/>
      <c r="H18" s="78"/>
      <c r="I18" s="79"/>
      <c r="J18" s="78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51"/>
      <c r="Y18" s="58"/>
      <c r="Z18" s="51"/>
      <c r="AA18" s="58"/>
      <c r="AB18" s="51"/>
      <c r="AC18" s="58"/>
      <c r="AD18" s="51"/>
      <c r="AE18" s="58"/>
      <c r="AF18" s="51"/>
      <c r="AG18" s="58"/>
      <c r="AH18" s="51"/>
      <c r="AI18" s="59"/>
      <c r="AJ18" s="52" t="e">
        <f t="array" ref="AJ18">IF(ISNA(SUM(IF(RIGHTB(D18)="%",TEXT(INDEX(E$5:AI18,MATCH(LEFTB(C18,SEARCH("%",D18)),(C$5:C18),),),"0;0;12")*E18:AI18%,E18:AI18))),"",SUM(IF(RIGHTB(D18)="%",TEXT(INDEX(E$5:AI18,MATCH(LEFTB(C18,SEARCH("%",D18)),(C$5:C18),),),"0,0;0;12")*E18:AI18%,E18:AI18)))</f>
        <v>#VALUE!</v>
      </c>
    </row>
    <row r="19" spans="1:36" ht="20.100000000000001" customHeight="1" x14ac:dyDescent="0.25">
      <c r="A19" s="47"/>
      <c r="B19" s="48" t="str">
        <f>IFERROR(VLOOKUP(C19,Список!$B$2:$C$108,2,0),"")</f>
        <v/>
      </c>
      <c r="C19" s="53"/>
      <c r="D19" s="54"/>
      <c r="E19" s="83"/>
      <c r="F19" s="78"/>
      <c r="G19" s="82"/>
      <c r="H19" s="81"/>
      <c r="I19" s="82"/>
      <c r="J19" s="81"/>
      <c r="K19" s="66"/>
      <c r="L19" s="66"/>
      <c r="M19" s="66"/>
      <c r="N19" s="66"/>
      <c r="O19" s="66"/>
      <c r="P19" s="66"/>
      <c r="Q19" s="66"/>
      <c r="R19" s="66"/>
      <c r="S19" s="66"/>
      <c r="T19" s="55"/>
      <c r="U19" s="56"/>
      <c r="V19" s="55"/>
      <c r="W19" s="56"/>
      <c r="X19" s="55"/>
      <c r="Y19" s="56"/>
      <c r="Z19" s="55"/>
      <c r="AA19" s="56"/>
      <c r="AB19" s="55"/>
      <c r="AC19" s="56"/>
      <c r="AD19" s="55"/>
      <c r="AE19" s="56"/>
      <c r="AF19" s="55"/>
      <c r="AG19" s="56"/>
      <c r="AH19" s="55"/>
      <c r="AI19" s="57"/>
      <c r="AJ19" s="52">
        <f t="array" ref="AJ19">IF(ISNA(SUM(IF(RIGHTB(D19)="%",TEXT(INDEX(E$5:AI19,MATCH(LEFTB(C19,SEARCH("%",D19)),(C$5:C19),),),"0;0;12")*E19:AI19%,E19:AI19))),"",SUM(IF(RIGHTB(D19)="%",TEXT(INDEX(E$5:AI19,MATCH(LEFTB(C19,SEARCH("%",D19)),(C$5:C19),),),"0,0;0;12")*E19:AI19%,E19:AI19)))</f>
        <v>0</v>
      </c>
    </row>
    <row r="20" spans="1:36" ht="20.100000000000001" customHeight="1" x14ac:dyDescent="0.25">
      <c r="A20" s="47"/>
      <c r="B20" s="48" t="str">
        <f>IFERROR(VLOOKUP(C20,Список!$B$2:$C$108,2,0),"")</f>
        <v/>
      </c>
      <c r="C20" s="85"/>
      <c r="D20" s="54"/>
      <c r="E20" s="78"/>
      <c r="F20" s="78"/>
      <c r="G20" s="79"/>
      <c r="H20" s="78"/>
      <c r="I20" s="79"/>
      <c r="J20" s="78"/>
      <c r="K20" s="66"/>
      <c r="L20" s="66"/>
      <c r="M20" s="66"/>
      <c r="N20" s="66"/>
      <c r="O20" s="66"/>
      <c r="P20" s="66"/>
      <c r="Q20" s="66"/>
      <c r="R20" s="66"/>
      <c r="S20" s="66"/>
      <c r="T20" s="51"/>
      <c r="U20" s="58"/>
      <c r="V20" s="51"/>
      <c r="W20" s="58"/>
      <c r="X20" s="51"/>
      <c r="Y20" s="58"/>
      <c r="Z20" s="51"/>
      <c r="AA20" s="58"/>
      <c r="AB20" s="51"/>
      <c r="AC20" s="58"/>
      <c r="AD20" s="51"/>
      <c r="AE20" s="58"/>
      <c r="AF20" s="51"/>
      <c r="AG20" s="58"/>
      <c r="AH20" s="51"/>
      <c r="AI20" s="59"/>
      <c r="AJ20" s="52">
        <f t="array" ref="AJ20">IF(ISNA(SUM(IF(RIGHTB(D20)="%",TEXT(INDEX(E$5:AI20,MATCH(LEFTB(C20,SEARCH("%",D20)),(C$5:C20),),),"0;0;12")*E20:AI20%,E20:AI20))),"",SUM(IF(RIGHTB(D20)="%",TEXT(INDEX(E$5:AI20,MATCH(LEFTB(C20,SEARCH("%",D20)),(C$5:C20),),),"0,0;0;12")*E20:AI20%,E20:AI20)))</f>
        <v>0</v>
      </c>
    </row>
    <row r="21" spans="1:36" ht="20.100000000000001" customHeight="1" x14ac:dyDescent="0.25">
      <c r="A21" s="47">
        <v>5</v>
      </c>
      <c r="B21" s="48">
        <f>IFERROR(VLOOKUP(C21,Список!$B$2:$C$108,2,0),"")</f>
        <v>491</v>
      </c>
      <c r="C21" s="53" t="s">
        <v>86</v>
      </c>
      <c r="D21" s="54" t="s">
        <v>30</v>
      </c>
      <c r="E21" s="81"/>
      <c r="F21" s="78"/>
      <c r="G21" s="82"/>
      <c r="H21" s="81"/>
      <c r="I21" s="78"/>
      <c r="J21" s="78"/>
      <c r="K21" s="66"/>
      <c r="L21" s="66"/>
      <c r="M21" s="66"/>
      <c r="N21" s="66"/>
      <c r="O21" s="66"/>
      <c r="P21" s="66"/>
      <c r="Q21" s="66"/>
      <c r="R21" s="66"/>
      <c r="S21" s="66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6"/>
      <c r="AF21" s="55"/>
      <c r="AG21" s="56"/>
      <c r="AH21" s="55"/>
      <c r="AI21" s="57"/>
      <c r="AJ21" s="52">
        <f t="array" ref="AJ21">IF(ISNA(SUM(IF(RIGHTB(D21)="%",TEXT(INDEX(E$5:AI21,MATCH(LEFTB(C21,SEARCH("%",D21)),(C$5:C21),),),"0;0;12")*E21:AI21%,E21:AI21))),"",SUM(IF(RIGHTB(D21)="%",TEXT(INDEX(E$5:AI21,MATCH(LEFTB(C21,SEARCH("%",D21)),(C$5:C21),),),"0,0;0;12")*E21:AI21%,E21:AI21)))</f>
        <v>0</v>
      </c>
    </row>
    <row r="22" spans="1:36" ht="20.100000000000001" customHeight="1" x14ac:dyDescent="0.25">
      <c r="A22" s="47"/>
      <c r="B22" s="48" t="str">
        <f>IFERROR(VLOOKUP(C22,Список!$B$2:$C$108,2,0),"")</f>
        <v/>
      </c>
      <c r="C22" s="53"/>
      <c r="D22" s="54"/>
      <c r="E22" s="78"/>
      <c r="F22" s="78"/>
      <c r="G22" s="79"/>
      <c r="H22" s="78"/>
      <c r="I22" s="79"/>
      <c r="J22" s="78"/>
      <c r="K22" s="66"/>
      <c r="L22" s="66"/>
      <c r="M22" s="66"/>
      <c r="N22" s="66"/>
      <c r="O22" s="66"/>
      <c r="P22" s="66"/>
      <c r="Q22" s="66"/>
      <c r="R22" s="66"/>
      <c r="S22" s="66"/>
      <c r="T22" s="51"/>
      <c r="U22" s="58"/>
      <c r="V22" s="51"/>
      <c r="W22" s="58"/>
      <c r="X22" s="51"/>
      <c r="Y22" s="58"/>
      <c r="Z22" s="51"/>
      <c r="AA22" s="58"/>
      <c r="AB22" s="51"/>
      <c r="AC22" s="58"/>
      <c r="AD22" s="51"/>
      <c r="AE22" s="58"/>
      <c r="AF22" s="51"/>
      <c r="AG22" s="58"/>
      <c r="AH22" s="51"/>
      <c r="AI22" s="59"/>
      <c r="AJ22" s="52">
        <f t="array" ref="AJ22">IF(ISNA(SUM(IF(RIGHTB(D22)="%",TEXT(INDEX(E$5:AI22,MATCH(LEFTB(C22,SEARCH("%",D22)),(C$5:C22),),),"0;0;12")*E22:AI22%,E22:AI22))),"",SUM(IF(RIGHTB(D22)="%",TEXT(INDEX(E$5:AI22,MATCH(LEFTB(C22,SEARCH("%",D22)),(C$5:C22),),),"0,0;0;12")*E22:AI22%,E22:AI22)))</f>
        <v>0</v>
      </c>
    </row>
    <row r="23" spans="1:36" ht="20.100000000000001" customHeight="1" x14ac:dyDescent="0.25">
      <c r="A23" s="47"/>
      <c r="B23" s="48">
        <f>IFERROR(VLOOKUP(C23,Список!$B$2:$C$108,2,0),"")</f>
        <v>1291</v>
      </c>
      <c r="C23" s="53" t="s">
        <v>19</v>
      </c>
      <c r="D23" s="54" t="s">
        <v>149</v>
      </c>
      <c r="E23" s="81"/>
      <c r="F23" s="81"/>
      <c r="G23" s="82"/>
      <c r="H23" s="81"/>
      <c r="I23" s="82"/>
      <c r="J23" s="81"/>
      <c r="K23" s="66"/>
      <c r="L23" s="66"/>
      <c r="M23" s="66"/>
      <c r="N23" s="66"/>
      <c r="O23" s="66"/>
      <c r="P23" s="66"/>
      <c r="Q23" s="66"/>
      <c r="R23" s="66"/>
      <c r="S23" s="66"/>
      <c r="T23" s="55"/>
      <c r="U23" s="56"/>
      <c r="V23" s="55"/>
      <c r="W23" s="56"/>
      <c r="X23" s="55"/>
      <c r="Y23" s="56"/>
      <c r="Z23" s="55"/>
      <c r="AA23" s="56"/>
      <c r="AB23" s="55"/>
      <c r="AC23" s="56"/>
      <c r="AD23" s="55"/>
      <c r="AE23" s="56"/>
      <c r="AF23" s="55"/>
      <c r="AG23" s="56"/>
      <c r="AH23" s="55"/>
      <c r="AI23" s="57"/>
      <c r="AJ23" s="52">
        <f t="array" ref="AJ23">IF(ISNA(SUM(IF(RIGHTB(D23)="%",TEXT(INDEX(E$5:AI23,MATCH(LEFTB(C23,SEARCH("%",D23)),(C$5:C23),),),"0;0;12")*E23:AI23%,E23:AI23))),"",SUM(IF(RIGHTB(D23)="%",TEXT(INDEX(E$5:AI23,MATCH(LEFTB(C23,SEARCH("%",D23)),(C$5:C23),),),"0,0;0;12")*E23:AI23%,E23:AI23)))</f>
        <v>0</v>
      </c>
    </row>
    <row r="24" spans="1:36" ht="20.100000000000001" customHeight="1" x14ac:dyDescent="0.25">
      <c r="A24" s="47"/>
      <c r="B24" s="48" t="str">
        <f>IFERROR(VLOOKUP(C24,Список!$B$2:$C$108,2,0),"")</f>
        <v/>
      </c>
      <c r="C24" s="53"/>
      <c r="D24" s="54"/>
      <c r="E24" s="78"/>
      <c r="F24" s="78"/>
      <c r="G24" s="79"/>
      <c r="H24" s="78"/>
      <c r="I24" s="79"/>
      <c r="J24" s="78"/>
      <c r="K24" s="66"/>
      <c r="L24" s="66"/>
      <c r="M24" s="66"/>
      <c r="N24" s="66"/>
      <c r="O24" s="66"/>
      <c r="P24" s="66"/>
      <c r="Q24" s="66"/>
      <c r="R24" s="66"/>
      <c r="S24" s="66"/>
      <c r="T24" s="51"/>
      <c r="U24" s="58"/>
      <c r="V24" s="51"/>
      <c r="W24" s="58"/>
      <c r="X24" s="51"/>
      <c r="Y24" s="58"/>
      <c r="Z24" s="51"/>
      <c r="AA24" s="58"/>
      <c r="AB24" s="51"/>
      <c r="AC24" s="58"/>
      <c r="AD24" s="51"/>
      <c r="AE24" s="58"/>
      <c r="AF24" s="51"/>
      <c r="AG24" s="58"/>
      <c r="AH24" s="51"/>
      <c r="AI24" s="59"/>
      <c r="AJ24" s="52">
        <f t="array" ref="AJ24">IF(ISNA(SUM(IF(RIGHTB(D24)="%",TEXT(INDEX(E$5:AI24,MATCH(LEFTB(C24,SEARCH("%",D24)),(C$5:C24),),),"0;0;12")*E24:AI24%,E24:AI24))),"",SUM(IF(RIGHTB(D24)="%",TEXT(INDEX(E$5:AI24,MATCH(LEFTB(C24,SEARCH("%",D24)),(C$5:C24),),),"0,0;0;12")*E24:AI24%,E24:AI24)))</f>
        <v>0</v>
      </c>
    </row>
    <row r="25" spans="1:36" ht="20.100000000000001" customHeight="1" x14ac:dyDescent="0.25">
      <c r="A25" s="47">
        <v>18</v>
      </c>
      <c r="B25" s="48">
        <f>IFERROR(VLOOKUP(C25,Список!$B$2:$C$108,2,0),"")</f>
        <v>856</v>
      </c>
      <c r="C25" s="53" t="s">
        <v>10</v>
      </c>
      <c r="D25" s="54" t="s">
        <v>30</v>
      </c>
      <c r="E25" s="81"/>
      <c r="F25" s="81"/>
      <c r="G25" s="81"/>
      <c r="H25" s="81"/>
      <c r="I25" s="78"/>
      <c r="J25" s="78"/>
      <c r="K25" s="66"/>
      <c r="L25" s="66"/>
      <c r="M25" s="66"/>
      <c r="N25" s="66"/>
      <c r="O25" s="66"/>
      <c r="P25" s="66"/>
      <c r="Q25" s="66"/>
      <c r="R25" s="66"/>
      <c r="S25" s="66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6"/>
      <c r="AF25" s="55"/>
      <c r="AG25" s="56"/>
      <c r="AH25" s="55"/>
      <c r="AI25" s="57"/>
      <c r="AJ25" s="52">
        <f t="array" ref="AJ25">IF(ISNA(SUM(IF(RIGHTB(D25)="%",TEXT(INDEX(E$5:AI25,MATCH(LEFTB(C25,SEARCH("%",D25)),(C$5:C25),),),"0;0;12")*E25:AI25%,E25:AI25))),"",SUM(IF(RIGHTB(D25)="%",TEXT(INDEX(E$5:AI25,MATCH(LEFTB(C25,SEARCH("%",D25)),(C$5:C25),),),"0,0;0;12")*E25:AI25%,E25:AI25)))</f>
        <v>0</v>
      </c>
    </row>
    <row r="26" spans="1:36" ht="20.100000000000001" customHeight="1" x14ac:dyDescent="0.25">
      <c r="A26" s="47">
        <v>6</v>
      </c>
      <c r="B26" s="48">
        <f>IFERROR(VLOOKUP(C26,Список!$B$2:$C$108,2,0),"")</f>
        <v>856</v>
      </c>
      <c r="C26" s="63" t="s">
        <v>10</v>
      </c>
      <c r="D26" s="50" t="s">
        <v>31</v>
      </c>
      <c r="E26" s="78"/>
      <c r="F26" s="78"/>
      <c r="G26" s="78"/>
      <c r="H26" s="78"/>
      <c r="I26" s="79"/>
      <c r="J26" s="78"/>
      <c r="K26" s="58"/>
      <c r="L26" s="51"/>
      <c r="M26" s="58"/>
      <c r="N26" s="51"/>
      <c r="O26" s="51"/>
      <c r="P26" s="51"/>
      <c r="Q26" s="58"/>
      <c r="R26" s="51"/>
      <c r="S26" s="58"/>
      <c r="T26" s="51"/>
      <c r="U26" s="58"/>
      <c r="V26" s="51"/>
      <c r="W26" s="58"/>
      <c r="X26" s="51"/>
      <c r="Y26" s="51"/>
      <c r="Z26" s="51"/>
      <c r="AA26" s="58"/>
      <c r="AB26" s="51"/>
      <c r="AC26" s="58"/>
      <c r="AD26" s="51"/>
      <c r="AE26" s="58"/>
      <c r="AF26" s="51"/>
      <c r="AG26" s="58"/>
      <c r="AH26" s="51"/>
      <c r="AI26" s="59"/>
      <c r="AJ26" s="52">
        <f t="array" ref="AJ26">IF(ISNA(SUM(IF(RIGHTB(D26)="%",TEXT(INDEX(E$5:AI26,MATCH(LEFTB(C26,SEARCH("%",D26)),(C$5:C26),),),"0;0;12")*E26:AI26%,E26:AI26))),"",SUM(IF(RIGHTB(D26)="%",TEXT(INDEX(E$5:AI26,MATCH(LEFTB(C26,SEARCH("%",D26)),(C$5:C26),),),"0,0;0;12")*E26:AI26%,E26:AI26)))</f>
        <v>0</v>
      </c>
    </row>
    <row r="27" spans="1:36" ht="20.100000000000001" customHeight="1" x14ac:dyDescent="0.25">
      <c r="A27" s="47"/>
      <c r="B27" s="48">
        <f>IFERROR(VLOOKUP(C27,Список!$B$2:$C$108,2,0),"")</f>
        <v>856</v>
      </c>
      <c r="C27" s="53" t="s">
        <v>10</v>
      </c>
      <c r="D27" s="54" t="s">
        <v>41</v>
      </c>
      <c r="E27" s="78"/>
      <c r="F27" s="78"/>
      <c r="G27" s="78"/>
      <c r="H27" s="78"/>
      <c r="I27" s="78"/>
      <c r="J27" s="78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>
        <f t="array" ref="AJ27">IF(ISNA(SUM(IF(RIGHTB(D27)="%",TEXT(INDEX(E$5:AI27,MATCH(LEFTB(C27,SEARCH("%",D27)),(C$5:C27),),),"0;0;12")*E27:AI27%,E27:AI27))),"",SUM(IF(RIGHTB(D27)="%",TEXT(INDEX(E$5:AI27,MATCH(LEFTB(C27,SEARCH("%",D27)),(C$5:C27),),),"0,0;0;12")*E27:AI27%,E27:AI27)))</f>
        <v>0</v>
      </c>
    </row>
    <row r="28" spans="1:36" ht="20.100000000000001" customHeight="1" x14ac:dyDescent="0.25">
      <c r="A28" s="47"/>
      <c r="B28" s="48" t="str">
        <f>IFERROR(VLOOKUP(C28,Список!$B$2:$C$108,2,0),"")</f>
        <v/>
      </c>
      <c r="C28" s="53"/>
      <c r="D28" s="64"/>
      <c r="E28" s="78"/>
      <c r="F28" s="78"/>
      <c r="G28" s="79"/>
      <c r="H28" s="78"/>
      <c r="I28" s="78"/>
      <c r="J28" s="78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8"/>
      <c r="AF28" s="51"/>
      <c r="AG28" s="58"/>
      <c r="AH28" s="51"/>
      <c r="AI28" s="59"/>
      <c r="AJ28" s="52">
        <f t="array" ref="AJ28">IF(ISNA(SUM(IF(RIGHTB(D28)="%",TEXT(INDEX(E$5:AI28,MATCH(LEFTB(C28,SEARCH("%",D28)),(C$5:C28),),),"0;0;12")*E28:AI28%,E28:AI28))),"",SUM(IF(RIGHTB(D28)="%",TEXT(INDEX(E$5:AI28,MATCH(LEFTB(C28,SEARCH("%",D28)),(C$5:C28),),),"0,0;0;12")*E28:AI28%,E28:AI28)))</f>
        <v>0</v>
      </c>
    </row>
    <row r="29" spans="1:36" ht="20.100000000000001" customHeight="1" x14ac:dyDescent="0.25">
      <c r="A29" s="47"/>
      <c r="B29" s="48" t="str">
        <f>IFERROR(VLOOKUP(C29,Список!$B$2:$C$108,2,0),"")</f>
        <v/>
      </c>
      <c r="C29" s="53"/>
      <c r="D29" s="64"/>
      <c r="E29" s="81"/>
      <c r="F29" s="81"/>
      <c r="G29" s="82"/>
      <c r="H29" s="81"/>
      <c r="I29" s="82"/>
      <c r="J29" s="81"/>
      <c r="K29" s="56"/>
      <c r="L29" s="55"/>
      <c r="M29" s="56"/>
      <c r="N29" s="55"/>
      <c r="O29" s="51"/>
      <c r="P29" s="55"/>
      <c r="Q29" s="56"/>
      <c r="R29" s="55"/>
      <c r="S29" s="56"/>
      <c r="T29" s="55"/>
      <c r="U29" s="56"/>
      <c r="V29" s="51"/>
      <c r="W29" s="51"/>
      <c r="X29" s="51"/>
      <c r="Y29" s="51"/>
      <c r="Z29" s="51"/>
      <c r="AA29" s="51"/>
      <c r="AB29" s="51"/>
      <c r="AC29" s="51"/>
      <c r="AD29" s="51"/>
      <c r="AE29" s="56"/>
      <c r="AF29" s="55"/>
      <c r="AG29" s="56"/>
      <c r="AH29" s="55"/>
      <c r="AI29" s="57"/>
      <c r="AJ29" s="52">
        <f t="array" ref="AJ29">IF(ISNA(SUM(IF(RIGHTB(D29)="%",TEXT(INDEX(E$5:AI29,MATCH(LEFTB(C29,SEARCH("%",D29)),(C$5:C29),),),"0;0;12")*E29:AI29%,E29:AI29))),"",SUM(IF(RIGHTB(D29)="%",TEXT(INDEX(E$5:AI29,MATCH(LEFTB(C29,SEARCH("%",D29)),(C$5:C29),),),"0,0;0;12")*E29:AI29%,E29:AI29)))</f>
        <v>0</v>
      </c>
    </row>
    <row r="30" spans="1:36" ht="20.100000000000001" customHeight="1" x14ac:dyDescent="0.25">
      <c r="A30" s="47">
        <v>7</v>
      </c>
      <c r="B30" s="48">
        <f>IFERROR(VLOOKUP(C30,Список!$B$2:$C$108,2,0),"")</f>
        <v>1311</v>
      </c>
      <c r="C30" s="53" t="s">
        <v>20</v>
      </c>
      <c r="D30" s="54" t="s">
        <v>32</v>
      </c>
      <c r="E30" s="78"/>
      <c r="F30" s="78"/>
      <c r="G30" s="79"/>
      <c r="H30" s="78"/>
      <c r="I30" s="79"/>
      <c r="J30" s="78"/>
      <c r="K30" s="58"/>
      <c r="L30" s="51"/>
      <c r="M30" s="58"/>
      <c r="N30" s="51"/>
      <c r="O30" s="51"/>
      <c r="P30" s="51"/>
      <c r="Q30" s="58"/>
      <c r="R30" s="51"/>
      <c r="S30" s="58"/>
      <c r="T30" s="51"/>
      <c r="U30" s="58"/>
      <c r="V30" s="51"/>
      <c r="W30" s="58"/>
      <c r="X30" s="51"/>
      <c r="Y30" s="51"/>
      <c r="Z30" s="51"/>
      <c r="AA30" s="58"/>
      <c r="AB30" s="51"/>
      <c r="AC30" s="58"/>
      <c r="AD30" s="51"/>
      <c r="AE30" s="58"/>
      <c r="AF30" s="51"/>
      <c r="AG30" s="58"/>
      <c r="AH30" s="51"/>
      <c r="AI30" s="59"/>
      <c r="AJ30" s="52">
        <f t="array" ref="AJ30">IF(ISNA(SUM(IF(RIGHTB(D30)="%",TEXT(INDEX(E$5:AI30,MATCH(LEFTB(C30,SEARCH("%",D30)),(C$5:C30),),),"0;0;12")*E30:AI30%,E30:AI30))),"",SUM(IF(RIGHTB(D30)="%",TEXT(INDEX(E$5:AI30,MATCH(LEFTB(C30,SEARCH("%",D30)),(C$5:C30),),),"0,0;0;12")*E30:AI30%,E30:AI30)))</f>
        <v>0</v>
      </c>
    </row>
    <row r="31" spans="1:36" ht="20.100000000000001" customHeight="1" x14ac:dyDescent="0.25">
      <c r="A31" s="47"/>
      <c r="B31" s="65">
        <f>IFERROR(VLOOKUP(C31,Список!$B$2:$C$108,2,0),"")</f>
        <v>1311</v>
      </c>
      <c r="C31" s="53" t="s">
        <v>20</v>
      </c>
      <c r="D31" s="54" t="s">
        <v>156</v>
      </c>
      <c r="E31" s="78"/>
      <c r="F31" s="78"/>
      <c r="G31" s="79"/>
      <c r="H31" s="78"/>
      <c r="I31" s="78"/>
      <c r="J31" s="78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8"/>
      <c r="AF31" s="51"/>
      <c r="AG31" s="58"/>
      <c r="AH31" s="51"/>
      <c r="AI31" s="59"/>
      <c r="AJ31" s="52">
        <f t="array" ref="AJ31">IF(ISNA(SUM(IF(RIGHTB(D31)="%",TEXT(INDEX(E$5:AI31,MATCH(LEFTB(C31,SEARCH("%",D31)),(C$5:C31),),),"0;0;12")*E31:AI31%,E31:AI31))),"",SUM(IF(RIGHTB(D31)="%",TEXT(INDEX(E$5:AI31,MATCH(LEFTB(C31,SEARCH("%",D31)),(C$5:C31),),),"0,0;0;12")*E31:AI31%,E31:AI31)))</f>
        <v>0</v>
      </c>
    </row>
    <row r="32" spans="1:36" ht="20.100000000000001" customHeight="1" x14ac:dyDescent="0.25">
      <c r="A32" s="47"/>
      <c r="B32" s="48" t="str">
        <f>IFERROR(VLOOKUP(C32,Список!$B$2:$C$108,2,0),"")</f>
        <v/>
      </c>
      <c r="C32" s="53"/>
      <c r="D32" s="64"/>
      <c r="E32" s="78"/>
      <c r="F32" s="78"/>
      <c r="G32" s="79"/>
      <c r="H32" s="78"/>
      <c r="I32" s="79"/>
      <c r="J32" s="78"/>
      <c r="K32" s="58"/>
      <c r="L32" s="51"/>
      <c r="M32" s="58"/>
      <c r="N32" s="51"/>
      <c r="O32" s="51"/>
      <c r="P32" s="51"/>
      <c r="Q32" s="58"/>
      <c r="R32" s="51"/>
      <c r="S32" s="58"/>
      <c r="T32" s="51"/>
      <c r="U32" s="58"/>
      <c r="V32" s="51"/>
      <c r="W32" s="58"/>
      <c r="X32" s="51"/>
      <c r="Y32" s="51"/>
      <c r="Z32" s="51"/>
      <c r="AA32" s="58"/>
      <c r="AB32" s="51"/>
      <c r="AC32" s="58"/>
      <c r="AD32" s="51"/>
      <c r="AE32" s="58"/>
      <c r="AF32" s="51"/>
      <c r="AG32" s="58"/>
      <c r="AH32" s="51"/>
      <c r="AI32" s="59"/>
      <c r="AJ32" s="52">
        <f t="array" ref="AJ32">IF(ISNA(SUM(IF(RIGHTB(D32)="%",TEXT(INDEX(E$5:AI32,MATCH(LEFTB(C32,SEARCH("%",D32)),(C$5:C32),),),"0;0;12")*E32:AI32%,E32:AI32))),"",SUM(IF(RIGHTB(D32)="%",TEXT(INDEX(E$5:AI32,MATCH(LEFTB(C32,SEARCH("%",D32)),(C$5:C32),),),"0,0;0;12")*E32:AI32%,E32:AI32)))</f>
        <v>0</v>
      </c>
    </row>
    <row r="33" spans="1:36" ht="20.100000000000001" customHeight="1" x14ac:dyDescent="0.25">
      <c r="A33" s="47"/>
      <c r="B33" s="48" t="str">
        <f>IFERROR(VLOOKUP(C33,Список!$B$2:$C$108,2,0),"")</f>
        <v/>
      </c>
      <c r="C33" s="53"/>
      <c r="D33" s="64"/>
      <c r="E33" s="81"/>
      <c r="F33" s="81"/>
      <c r="G33" s="81"/>
      <c r="H33" s="81"/>
      <c r="I33" s="78"/>
      <c r="J33" s="78"/>
      <c r="K33" s="51"/>
      <c r="L33" s="51"/>
      <c r="M33" s="51"/>
      <c r="N33" s="51"/>
      <c r="O33" s="51"/>
      <c r="P33" s="55"/>
      <c r="Q33" s="56"/>
      <c r="R33" s="55"/>
      <c r="S33" s="56"/>
      <c r="T33" s="55"/>
      <c r="U33" s="56"/>
      <c r="V33" s="55"/>
      <c r="W33" s="56"/>
      <c r="X33" s="55"/>
      <c r="Y33" s="55"/>
      <c r="Z33" s="55"/>
      <c r="AA33" s="56"/>
      <c r="AB33" s="55"/>
      <c r="AC33" s="56"/>
      <c r="AD33" s="55"/>
      <c r="AE33" s="56"/>
      <c r="AF33" s="55"/>
      <c r="AG33" s="56"/>
      <c r="AH33" s="55"/>
      <c r="AI33" s="57"/>
      <c r="AJ33" s="52">
        <f t="array" ref="AJ33">IF(ISNA(SUM(IF(RIGHTB(D33)="%",TEXT(INDEX(E$5:AI33,MATCH(LEFTB(C33,SEARCH("%",D33)),(C$5:C33),),),"0;0;12")*E33:AI33%,E33:AI33))),"",SUM(IF(RIGHTB(D33)="%",TEXT(INDEX(E$5:AI33,MATCH(LEFTB(C33,SEARCH("%",D33)),(C$5:C33),),),"0,0;0;12")*E33:AI33%,E33:AI33)))</f>
        <v>0</v>
      </c>
    </row>
    <row r="34" spans="1:36" ht="20.100000000000001" customHeight="1" x14ac:dyDescent="0.25">
      <c r="A34" s="47">
        <v>8</v>
      </c>
      <c r="B34" s="48">
        <f>IFERROR(VLOOKUP(C34,Список!$B$2:$C$108,2,0),"")</f>
        <v>170</v>
      </c>
      <c r="C34" s="53" t="s">
        <v>21</v>
      </c>
      <c r="D34" s="54" t="s">
        <v>32</v>
      </c>
      <c r="E34" s="78"/>
      <c r="F34" s="78"/>
      <c r="G34" s="79"/>
      <c r="H34" s="78"/>
      <c r="I34" s="78"/>
      <c r="J34" s="78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8"/>
      <c r="AF34" s="51"/>
      <c r="AG34" s="58"/>
      <c r="AH34" s="51"/>
      <c r="AI34" s="59"/>
      <c r="AJ34" s="52">
        <f t="array" ref="AJ34">IF(ISNA(SUM(IF(RIGHTB(D34)="%",TEXT(INDEX(E$5:AI34,MATCH(LEFTB(C34,SEARCH("%",D34)),(C$5:C34),),),"0;0;12")*E34:AI34%,E34:AI34))),"",SUM(IF(RIGHTB(D34)="%",TEXT(INDEX(E$5:AI34,MATCH(LEFTB(C34,SEARCH("%",D34)),(C$5:C34),),),"0,0;0;12")*E34:AI34%,E34:AI34)))</f>
        <v>0</v>
      </c>
    </row>
    <row r="35" spans="1:36" ht="20.100000000000001" customHeight="1" x14ac:dyDescent="0.25">
      <c r="A35" s="47"/>
      <c r="B35" s="48" t="str">
        <f>IFERROR(VLOOKUP(C35,Список!$B$2:$C$108,2,0),"")</f>
        <v/>
      </c>
      <c r="C35" s="53"/>
      <c r="D35" s="54"/>
      <c r="E35" s="81"/>
      <c r="F35" s="81"/>
      <c r="G35" s="82"/>
      <c r="H35" s="81"/>
      <c r="I35" s="82"/>
      <c r="J35" s="81"/>
      <c r="K35" s="56"/>
      <c r="L35" s="55"/>
      <c r="M35" s="56"/>
      <c r="N35" s="55"/>
      <c r="O35" s="51"/>
      <c r="P35" s="55"/>
      <c r="Q35" s="56"/>
      <c r="R35" s="55"/>
      <c r="S35" s="56"/>
      <c r="T35" s="55"/>
      <c r="U35" s="56"/>
      <c r="V35" s="55"/>
      <c r="W35" s="56"/>
      <c r="X35" s="55"/>
      <c r="Y35" s="55"/>
      <c r="Z35" s="55"/>
      <c r="AA35" s="56"/>
      <c r="AB35" s="55"/>
      <c r="AC35" s="56"/>
      <c r="AD35" s="55"/>
      <c r="AE35" s="56"/>
      <c r="AF35" s="55"/>
      <c r="AG35" s="56"/>
      <c r="AH35" s="55"/>
      <c r="AI35" s="57"/>
      <c r="AJ35" s="52">
        <f t="array" ref="AJ35">IF(ISNA(SUM(IF(RIGHTB(D35)="%",TEXT(INDEX(E$5:AI35,MATCH(LEFTB(C35,SEARCH("%",D35)),(C$5:C35),),),"0;0;12")*E35:AI35%,E35:AI35))),"",SUM(IF(RIGHTB(D35)="%",TEXT(INDEX(E$5:AI35,MATCH(LEFTB(C35,SEARCH("%",D35)),(C$5:C35),),),"0,0;0;12")*E35:AI35%,E35:AI35)))</f>
        <v>0</v>
      </c>
    </row>
    <row r="36" spans="1:36" ht="20.100000000000001" customHeight="1" x14ac:dyDescent="0.25">
      <c r="A36" s="47"/>
      <c r="B36" s="48" t="str">
        <f>IFERROR(VLOOKUP(C36,Список!$B$2:$C$108,2,0),"")</f>
        <v/>
      </c>
      <c r="C36" s="53"/>
      <c r="D36" s="54"/>
      <c r="E36" s="78"/>
      <c r="F36" s="78"/>
      <c r="G36" s="79"/>
      <c r="H36" s="78"/>
      <c r="I36" s="79"/>
      <c r="J36" s="78"/>
      <c r="K36" s="58"/>
      <c r="L36" s="51"/>
      <c r="M36" s="58"/>
      <c r="N36" s="51"/>
      <c r="O36" s="51"/>
      <c r="P36" s="51"/>
      <c r="Q36" s="58"/>
      <c r="R36" s="51"/>
      <c r="S36" s="58"/>
      <c r="T36" s="51"/>
      <c r="U36" s="58"/>
      <c r="V36" s="51"/>
      <c r="W36" s="58"/>
      <c r="X36" s="51"/>
      <c r="Y36" s="51"/>
      <c r="Z36" s="51"/>
      <c r="AA36" s="58"/>
      <c r="AB36" s="51"/>
      <c r="AC36" s="58"/>
      <c r="AD36" s="51"/>
      <c r="AE36" s="58"/>
      <c r="AF36" s="51"/>
      <c r="AG36" s="58"/>
      <c r="AH36" s="51"/>
      <c r="AI36" s="59"/>
      <c r="AJ36" s="52">
        <f t="array" ref="AJ36">IF(ISNA(SUM(IF(RIGHTB(D36)="%",TEXT(INDEX(E$5:AI36,MATCH(LEFTB(C36,SEARCH("%",D36)),(C$5:C36),),),"0;0;12")*E36:AI36%,E36:AI36))),"",SUM(IF(RIGHTB(D36)="%",TEXT(INDEX(E$5:AI36,MATCH(LEFTB(C36,SEARCH("%",D36)),(C$5:C36),),),"0,0;0;12")*E36:AI36%,E36:AI36)))</f>
        <v>0</v>
      </c>
    </row>
    <row r="37" spans="1:36" ht="20.100000000000001" customHeight="1" x14ac:dyDescent="0.25">
      <c r="A37" s="47"/>
      <c r="B37" s="48" t="str">
        <f>IFERROR(VLOOKUP(C37,Список!$B$2:$C$108,2,0),"")</f>
        <v/>
      </c>
      <c r="C37" s="53"/>
      <c r="D37" s="54"/>
      <c r="E37" s="78"/>
      <c r="F37" s="81"/>
      <c r="G37" s="81"/>
      <c r="H37" s="81"/>
      <c r="I37" s="78"/>
      <c r="J37" s="78"/>
      <c r="K37" s="51"/>
      <c r="L37" s="51"/>
      <c r="M37" s="51"/>
      <c r="N37" s="51"/>
      <c r="O37" s="51"/>
      <c r="P37" s="51"/>
      <c r="Q37" s="51"/>
      <c r="R37" s="55"/>
      <c r="S37" s="56"/>
      <c r="T37" s="55"/>
      <c r="U37" s="56"/>
      <c r="V37" s="51"/>
      <c r="W37" s="51"/>
      <c r="X37" s="51"/>
      <c r="Y37" s="51"/>
      <c r="Z37" s="51"/>
      <c r="AA37" s="51"/>
      <c r="AB37" s="51"/>
      <c r="AC37" s="51"/>
      <c r="AD37" s="51"/>
      <c r="AE37" s="56"/>
      <c r="AF37" s="55"/>
      <c r="AG37" s="56"/>
      <c r="AH37" s="55"/>
      <c r="AI37" s="59"/>
      <c r="AJ37" s="52">
        <f t="array" ref="AJ37">IF(ISNA(SUM(IF(RIGHTB(D37)="%",TEXT(INDEX(E$5:AI37,MATCH(LEFTB(C37,SEARCH("%",D37)),(C$5:C37),),),"0;0;12")*E37:AI37%,E37:AI37))),"",SUM(IF(RIGHTB(D37)="%",TEXT(INDEX(E$5:AI37,MATCH(LEFTB(C37,SEARCH("%",D37)),(C$5:C37),),),"0,0;0;12")*E37:AI37%,E37:AI37)))</f>
        <v>0</v>
      </c>
    </row>
    <row r="38" spans="1:36" ht="20.100000000000001" customHeight="1" x14ac:dyDescent="0.25">
      <c r="A38" s="47">
        <v>9</v>
      </c>
      <c r="B38" s="48">
        <f>IFERROR(VLOOKUP(C38,Список!$B$2:$C$108,2,0),"")</f>
        <v>509</v>
      </c>
      <c r="C38" s="53" t="s">
        <v>22</v>
      </c>
      <c r="D38" s="54" t="s">
        <v>33</v>
      </c>
      <c r="E38" s="78"/>
      <c r="F38" s="78"/>
      <c r="G38" s="79"/>
      <c r="H38" s="78"/>
      <c r="I38" s="79"/>
      <c r="J38" s="78"/>
      <c r="K38" s="58"/>
      <c r="L38" s="51"/>
      <c r="M38" s="58"/>
      <c r="N38" s="51"/>
      <c r="O38" s="51"/>
      <c r="P38" s="51"/>
      <c r="Q38" s="58"/>
      <c r="R38" s="51"/>
      <c r="S38" s="58"/>
      <c r="T38" s="51"/>
      <c r="U38" s="58"/>
      <c r="V38" s="51"/>
      <c r="W38" s="58"/>
      <c r="X38" s="51"/>
      <c r="Y38" s="51"/>
      <c r="Z38" s="51"/>
      <c r="AA38" s="58"/>
      <c r="AB38" s="51"/>
      <c r="AC38" s="58"/>
      <c r="AD38" s="51"/>
      <c r="AE38" s="58"/>
      <c r="AF38" s="51"/>
      <c r="AG38" s="58"/>
      <c r="AH38" s="51"/>
      <c r="AI38" s="59"/>
      <c r="AJ38" s="52">
        <f t="array" ref="AJ38">IF(ISNA(SUM(IF(RIGHTB(D38)="%",TEXT(INDEX(E$5:AI38,MATCH(LEFTB(C38,SEARCH("%",D38)),(C$5:C38),),),"0;0;12")*E38:AI38%,E38:AI38))),"",SUM(IF(RIGHTB(D38)="%",TEXT(INDEX(E$5:AI38,MATCH(LEFTB(C38,SEARCH("%",D38)),(C$5:C38),),),"0,0;0;12")*E38:AI38%,E38:AI38)))</f>
        <v>0</v>
      </c>
    </row>
    <row r="39" spans="1:36" ht="20.100000000000001" customHeight="1" x14ac:dyDescent="0.25">
      <c r="A39" s="47"/>
      <c r="B39" s="65">
        <f>IFERROR(VLOOKUP(C39,Список!$B$2:$C$108,2,0),"")</f>
        <v>509</v>
      </c>
      <c r="C39" s="53" t="s">
        <v>22</v>
      </c>
      <c r="D39" s="54" t="s">
        <v>165</v>
      </c>
      <c r="E39" s="81"/>
      <c r="F39" s="81"/>
      <c r="G39" s="82"/>
      <c r="H39" s="81"/>
      <c r="I39" s="82"/>
      <c r="J39" s="86" t="s">
        <v>166</v>
      </c>
      <c r="K39" s="56"/>
      <c r="L39" s="55"/>
      <c r="M39" s="56"/>
      <c r="N39" s="55"/>
      <c r="O39" s="51"/>
      <c r="P39" s="55"/>
      <c r="Q39" s="56"/>
      <c r="R39" s="55"/>
      <c r="S39" s="56"/>
      <c r="T39" s="55"/>
      <c r="U39" s="56"/>
      <c r="V39" s="55"/>
      <c r="W39" s="56"/>
      <c r="X39" s="55"/>
      <c r="Y39" s="55"/>
      <c r="Z39" s="55"/>
      <c r="AA39" s="56"/>
      <c r="AB39" s="55"/>
      <c r="AC39" s="56"/>
      <c r="AD39" s="55"/>
      <c r="AE39" s="56"/>
      <c r="AF39" s="55"/>
      <c r="AG39" s="56"/>
      <c r="AH39" s="55"/>
      <c r="AI39" s="56"/>
      <c r="AJ39" s="52" t="e">
        <f t="array" ref="AJ39">IF(ISNA(SUM(IF(RIGHTB(D39)="%",TEXT(INDEX(E$5:AI39,MATCH(LEFTB(C39,SEARCH("%",D39)),(C$5:C39),),),"0;0;12")*E39:AI39%,E39:AI39))),"",SUM(IF(RIGHTB(D39)="%",TEXT(INDEX(E$5:AI39,MATCH(LEFTB(C39,SEARCH("%",D39)),(C$5:C39),),),"0,0;0;12")*E39:AI39%,E39:AI39)))</f>
        <v>#VALUE!</v>
      </c>
    </row>
    <row r="40" spans="1:36" ht="20.100000000000001" customHeight="1" x14ac:dyDescent="0.25">
      <c r="A40" s="47"/>
      <c r="B40" s="48" t="str">
        <f>IFERROR(VLOOKUP(C40,Список!$B$2:$C$108,2,0),"")</f>
        <v/>
      </c>
      <c r="C40" s="53"/>
      <c r="D40" s="54"/>
      <c r="E40" s="78"/>
      <c r="F40" s="78"/>
      <c r="G40" s="79"/>
      <c r="H40" s="78"/>
      <c r="I40" s="79"/>
      <c r="J40" s="78"/>
      <c r="K40" s="58"/>
      <c r="L40" s="51"/>
      <c r="M40" s="58"/>
      <c r="N40" s="51"/>
      <c r="O40" s="51"/>
      <c r="P40" s="51"/>
      <c r="Q40" s="58"/>
      <c r="R40" s="51"/>
      <c r="S40" s="58"/>
      <c r="T40" s="51"/>
      <c r="U40" s="58"/>
      <c r="V40" s="51"/>
      <c r="W40" s="58"/>
      <c r="X40" s="51"/>
      <c r="Y40" s="51"/>
      <c r="Z40" s="51"/>
      <c r="AA40" s="58"/>
      <c r="AB40" s="51"/>
      <c r="AC40" s="58"/>
      <c r="AD40" s="51"/>
      <c r="AE40" s="51"/>
      <c r="AF40" s="51"/>
      <c r="AG40" s="51"/>
      <c r="AH40" s="51"/>
      <c r="AI40" s="59"/>
      <c r="AJ40" s="52">
        <f t="array" ref="AJ40">IF(ISNA(SUM(IF(RIGHTB(D40)="%",TEXT(INDEX(E$5:AI40,MATCH(LEFTB(C40,SEARCH("%",D40)),(C$5:C40),),),"0;0;12")*E40:AI40%,E40:AI40))),"",SUM(IF(RIGHTB(D40)="%",TEXT(INDEX(E$5:AI40,MATCH(LEFTB(C40,SEARCH("%",D40)),(C$5:C40),),),"0,0;0;12")*E40:AI40%,E40:AI40)))</f>
        <v>0</v>
      </c>
    </row>
    <row r="41" spans="1:36" ht="20.100000000000001" customHeight="1" x14ac:dyDescent="0.25">
      <c r="A41" s="47"/>
      <c r="B41" s="48" t="str">
        <f>IFERROR(VLOOKUP(C41,Список!$B$2:$C$108,2,0),"")</f>
        <v/>
      </c>
      <c r="C41" s="53"/>
      <c r="D41" s="54"/>
      <c r="E41" s="78"/>
      <c r="F41" s="78"/>
      <c r="G41" s="78"/>
      <c r="H41" s="78"/>
      <c r="I41" s="78"/>
      <c r="J41" s="78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9"/>
      <c r="AJ41" s="52">
        <f t="array" ref="AJ41">IF(ISNA(SUM(IF(RIGHTB(D41)="%",TEXT(INDEX(E$5:AI41,MATCH(LEFTB(C41,SEARCH("%",D41)),(C$5:C41),),),"0;0;12")*E41:AI41%,E41:AI41))),"",SUM(IF(RIGHTB(D41)="%",TEXT(INDEX(E$5:AI41,MATCH(LEFTB(C41,SEARCH("%",D41)),(C$5:C41),),),"0,0;0;12")*E41:AI41%,E41:AI41)))</f>
        <v>0</v>
      </c>
    </row>
    <row r="42" spans="1:36" ht="20.100000000000001" customHeight="1" x14ac:dyDescent="0.25">
      <c r="A42" s="47">
        <v>10</v>
      </c>
      <c r="B42" s="48">
        <f>IFERROR(VLOOKUP(C42,Список!$B$2:$C$108,2,0),"")</f>
        <v>1379</v>
      </c>
      <c r="C42" s="53" t="s">
        <v>23</v>
      </c>
      <c r="D42" s="54" t="s">
        <v>34</v>
      </c>
      <c r="E42" s="83"/>
      <c r="F42" s="83"/>
      <c r="G42" s="83"/>
      <c r="H42" s="83"/>
      <c r="I42" s="83"/>
      <c r="J42" s="87" t="s">
        <v>167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52">
        <f t="array" ref="AJ42">IF(ISNA(SUM(IF(RIGHTB(D42)="%",TEXT(INDEX(E$5:AI42,MATCH(LEFTB(C42,SEARCH("%",D42)),(C$5:C42),),),"0;0;12")*E42:AI42%,E42:AI42))),"",SUM(IF(RIGHTB(D42)="%",TEXT(INDEX(E$5:AI42,MATCH(LEFTB(C42,SEARCH("%",D42)),(C$5:C42),),),"0,0;0;12")*E42:AI42%,E42:AI42)))</f>
        <v>0</v>
      </c>
    </row>
    <row r="43" spans="1:36" ht="20.100000000000001" customHeight="1" x14ac:dyDescent="0.25">
      <c r="A43" s="47"/>
      <c r="B43" s="48" t="str">
        <f>IFERROR(VLOOKUP(C43,Список!$B$2:$C$108,2,0),"")</f>
        <v/>
      </c>
      <c r="C43" s="53"/>
      <c r="D43" s="54"/>
      <c r="E43" s="83"/>
      <c r="F43" s="83"/>
      <c r="G43" s="83"/>
      <c r="H43" s="83"/>
      <c r="I43" s="83"/>
      <c r="J43" s="83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52">
        <f t="array" ref="AJ43">IF(ISNA(SUM(IF(RIGHTB(D43)="%",TEXT(INDEX(E$5:AI43,MATCH(LEFTB(C43,SEARCH("%",D43)),(C$5:C43),),),"0;0;12")*E43:AI43%,E43:AI43))),"",SUM(IF(RIGHTB(D43)="%",TEXT(INDEX(E$5:AI43,MATCH(LEFTB(C43,SEARCH("%",D43)),(C$5:C43),),),"0,0;0;12")*E43:AI43%,E43:AI43)))</f>
        <v>0</v>
      </c>
    </row>
    <row r="44" spans="1:36" ht="20.100000000000001" customHeight="1" x14ac:dyDescent="0.25">
      <c r="A44" s="47"/>
      <c r="B44" s="48" t="str">
        <f>IFERROR(VLOOKUP(C44,Список!$B$2:$C$108,2,0),"")</f>
        <v/>
      </c>
      <c r="C44" s="53"/>
      <c r="D44" s="54"/>
      <c r="E44" s="83"/>
      <c r="F44" s="83"/>
      <c r="G44" s="83"/>
      <c r="H44" s="83"/>
      <c r="I44" s="83"/>
      <c r="J44" s="83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52">
        <f t="array" ref="AJ44">IF(ISNA(SUM(IF(RIGHTB(D44)="%",TEXT(INDEX(E$5:AI44,MATCH(LEFTB(C44,SEARCH("%",D44)),(C$5:C44),),),"0;0;12")*E44:AI44%,E44:AI44))),"",SUM(IF(RIGHTB(D44)="%",TEXT(INDEX(E$5:AI44,MATCH(LEFTB(C44,SEARCH("%",D44)),(C$5:C44),),),"0,0;0;12")*E44:AI44%,E44:AI44)))</f>
        <v>0</v>
      </c>
    </row>
    <row r="45" spans="1:36" ht="20.100000000000001" customHeight="1" x14ac:dyDescent="0.25">
      <c r="A45" s="47"/>
      <c r="B45" s="48" t="str">
        <f>IFERROR(VLOOKUP(C45,Список!$B$2:$C$108,2,0),"")</f>
        <v/>
      </c>
      <c r="C45" s="53"/>
      <c r="D45" s="54"/>
      <c r="E45" s="83"/>
      <c r="F45" s="83"/>
      <c r="G45" s="83"/>
      <c r="H45" s="83"/>
      <c r="I45" s="83"/>
      <c r="J45" s="83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52">
        <f t="array" ref="AJ45">IF(ISNA(SUM(IF(RIGHTB(D45)="%",TEXT(INDEX(E$5:AI45,MATCH(LEFTB(C45,SEARCH("%",D45)),(C$5:C45),),),"0;0;12")*E45:AI45%,E45:AI45))),"",SUM(IF(RIGHTB(D45)="%",TEXT(INDEX(E$5:AI45,MATCH(LEFTB(C45,SEARCH("%",D45)),(C$5:C45),),),"0,0;0;12")*E45:AI45%,E45:AI45)))</f>
        <v>0</v>
      </c>
    </row>
    <row r="46" spans="1:36" ht="20.100000000000001" customHeight="1" x14ac:dyDescent="0.25">
      <c r="A46" s="47">
        <v>11</v>
      </c>
      <c r="B46" s="48">
        <f>IFERROR(VLOOKUP(C46,Список!$B$2:$C$108,2,0),"")</f>
        <v>342</v>
      </c>
      <c r="C46" s="53" t="s">
        <v>24</v>
      </c>
      <c r="D46" s="54" t="s">
        <v>35</v>
      </c>
      <c r="E46" s="83"/>
      <c r="F46" s="83"/>
      <c r="G46" s="83"/>
      <c r="H46" s="83"/>
      <c r="I46" s="83"/>
      <c r="J46" s="83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52">
        <f t="array" ref="AJ46">IF(ISNA(SUM(IF(RIGHTB(D46)="%",TEXT(INDEX(E$5:AI46,MATCH(LEFTB(C46,SEARCH("%",D46)),(C$5:C46),),),"0;0;12")*E46:AI46%,E46:AI46))),"",SUM(IF(RIGHTB(D46)="%",TEXT(INDEX(E$5:AI46,MATCH(LEFTB(C46,SEARCH("%",D46)),(C$5:C46),),),"0,0;0;12")*E46:AI46%,E46:AI46)))</f>
        <v>0</v>
      </c>
    </row>
    <row r="47" spans="1:36" ht="20.100000000000001" customHeight="1" x14ac:dyDescent="0.25">
      <c r="A47" s="47"/>
      <c r="B47" s="48" t="str">
        <f>IFERROR(VLOOKUP(C47,Список!$B$2:$C$108,2,0),"")</f>
        <v/>
      </c>
      <c r="C47" s="53"/>
      <c r="D47" s="54"/>
      <c r="E47" s="83"/>
      <c r="F47" s="83"/>
      <c r="G47" s="83"/>
      <c r="H47" s="83"/>
      <c r="I47" s="83"/>
      <c r="J47" s="83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52">
        <f t="array" ref="AJ47">IF(ISNA(SUM(IF(RIGHTB(D47)="%",TEXT(INDEX(E$5:AI47,MATCH(LEFTB(C47,SEARCH("%",D47)),(C$5:C47),),),"0;0;12")*E47:AI47%,E47:AI47))),"",SUM(IF(RIGHTB(D47)="%",TEXT(INDEX(E$5:AI47,MATCH(LEFTB(C47,SEARCH("%",D47)),(C$5:C47),),),"0,0;0;12")*E47:AI47%,E47:AI47)))</f>
        <v>0</v>
      </c>
    </row>
  </sheetData>
  <mergeCells count="8">
    <mergeCell ref="K6:AC7"/>
    <mergeCell ref="AJ3:AJ4"/>
    <mergeCell ref="I1:N1"/>
    <mergeCell ref="O1:AE1"/>
    <mergeCell ref="B1:C1"/>
    <mergeCell ref="B3:B4"/>
    <mergeCell ref="C3:D4"/>
    <mergeCell ref="E3:AI3"/>
  </mergeCells>
  <conditionalFormatting sqref="E6:K6 E7:J7 AD6:AI7 E26:AI47 E19:K19 E20:J25 T19:AI25 E5:E9 E5:AI5 E8:AI18">
    <cfRule type="expression" dxfId="5" priority="27">
      <formula>(СуммОбщТаб_БДМ1)*(E5="")</formula>
    </cfRule>
  </conditionalFormatting>
  <conditionalFormatting sqref="B5:D47">
    <cfRule type="expression" dxfId="4" priority="28">
      <formula>($C5&lt;&gt;"")*(COUNTIFS($C$5:$C$47,$C5,$D$5:$D$47,$D5)&gt;1)</formula>
    </cfRule>
  </conditionalFormatting>
  <conditionalFormatting sqref="E5:J47">
    <cfRule type="expression" dxfId="3" priority="1">
      <formula>OR(замена,замена2,замена3)</formula>
    </cfRule>
  </conditionalFormatting>
  <dataValidations count="3">
    <dataValidation type="list" allowBlank="1" showInputMessage="1" showErrorMessage="1" sqref="I1">
      <formula1>Прочее</formula1>
    </dataValidation>
    <dataValidation type="list" allowBlank="1" showInputMessage="1" showErrorMessage="1" sqref="D5:D47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7">
      <formula1>ФИО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82" fitToHeight="2" orientation="landscape" blackAndWhite="1" horizontalDpi="300" verticalDpi="300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/>
  <dimension ref="A1:AT22"/>
  <sheetViews>
    <sheetView showGridLines="0" showZeros="0" zoomScale="107" zoomScaleNormal="88" zoomScalePageLayoutView="88" workbookViewId="0">
      <pane xSplit="4" ySplit="5" topLeftCell="E6" activePane="bottomRight" state="frozen"/>
      <selection pane="topRight" activeCell="F1" sqref="F1"/>
      <selection pane="bottomLeft" activeCell="A3" sqref="A3"/>
      <selection pane="bottomRight" activeCell="F15" sqref="F15"/>
    </sheetView>
  </sheetViews>
  <sheetFormatPr defaultColWidth="8.85546875" defaultRowHeight="21" customHeight="1" x14ac:dyDescent="0.25"/>
  <cols>
    <col min="1" max="1" width="4" style="9" customWidth="1"/>
    <col min="2" max="2" width="7.42578125" style="10" customWidth="1"/>
    <col min="3" max="3" width="21.140625" style="10" customWidth="1"/>
    <col min="4" max="4" width="19.85546875" style="9" customWidth="1"/>
    <col min="5" max="5" width="4" style="9" customWidth="1"/>
    <col min="6" max="6" width="12.42578125" style="9" customWidth="1"/>
    <col min="7" max="10" width="4" style="9" customWidth="1"/>
    <col min="11" max="11" width="9" style="9" customWidth="1"/>
    <col min="12" max="29" width="4" style="9" customWidth="1"/>
    <col min="30" max="30" width="3.7109375" style="9" customWidth="1"/>
    <col min="31" max="32" width="4" style="9" customWidth="1"/>
    <col min="33" max="33" width="4.42578125" style="9" customWidth="1"/>
    <col min="34" max="34" width="4.85546875" style="9" customWidth="1"/>
    <col min="35" max="35" width="5" style="9" customWidth="1"/>
    <col min="36" max="44" width="5.42578125" style="9" customWidth="1"/>
    <col min="45" max="45" width="5.42578125" style="10" customWidth="1"/>
    <col min="46" max="46" width="5.7109375" style="9" customWidth="1"/>
    <col min="47" max="259" width="8.85546875" style="9"/>
    <col min="260" max="260" width="3.42578125" style="9" customWidth="1"/>
    <col min="261" max="261" width="19.140625" style="9" customWidth="1"/>
    <col min="262" max="262" width="18.85546875" style="9" customWidth="1"/>
    <col min="263" max="263" width="6" style="9" customWidth="1"/>
    <col min="264" max="288" width="4" style="9" customWidth="1"/>
    <col min="289" max="289" width="3.7109375" style="9" customWidth="1"/>
    <col min="290" max="294" width="4" style="9" customWidth="1"/>
    <col min="295" max="295" width="10.42578125" style="9" customWidth="1"/>
    <col min="296" max="296" width="7.85546875" style="9" customWidth="1"/>
    <col min="297" max="297" width="5.42578125" style="9" customWidth="1"/>
    <col min="298" max="298" width="4.42578125" style="9" customWidth="1"/>
    <col min="299" max="299" width="10.140625" style="9" customWidth="1"/>
    <col min="300" max="300" width="7.85546875" style="9" customWidth="1"/>
    <col min="301" max="301" width="3.42578125" style="9" customWidth="1"/>
    <col min="302" max="515" width="8.85546875" style="9"/>
    <col min="516" max="516" width="3.42578125" style="9" customWidth="1"/>
    <col min="517" max="517" width="19.140625" style="9" customWidth="1"/>
    <col min="518" max="518" width="18.85546875" style="9" customWidth="1"/>
    <col min="519" max="519" width="6" style="9" customWidth="1"/>
    <col min="520" max="544" width="4" style="9" customWidth="1"/>
    <col min="545" max="545" width="3.7109375" style="9" customWidth="1"/>
    <col min="546" max="550" width="4" style="9" customWidth="1"/>
    <col min="551" max="551" width="10.42578125" style="9" customWidth="1"/>
    <col min="552" max="552" width="7.85546875" style="9" customWidth="1"/>
    <col min="553" max="553" width="5.42578125" style="9" customWidth="1"/>
    <col min="554" max="554" width="4.42578125" style="9" customWidth="1"/>
    <col min="555" max="555" width="10.140625" style="9" customWidth="1"/>
    <col min="556" max="556" width="7.85546875" style="9" customWidth="1"/>
    <col min="557" max="557" width="3.42578125" style="9" customWidth="1"/>
    <col min="558" max="771" width="8.85546875" style="9"/>
    <col min="772" max="772" width="3.42578125" style="9" customWidth="1"/>
    <col min="773" max="773" width="19.140625" style="9" customWidth="1"/>
    <col min="774" max="774" width="18.85546875" style="9" customWidth="1"/>
    <col min="775" max="775" width="6" style="9" customWidth="1"/>
    <col min="776" max="800" width="4" style="9" customWidth="1"/>
    <col min="801" max="801" width="3.7109375" style="9" customWidth="1"/>
    <col min="802" max="806" width="4" style="9" customWidth="1"/>
    <col min="807" max="807" width="10.42578125" style="9" customWidth="1"/>
    <col min="808" max="808" width="7.85546875" style="9" customWidth="1"/>
    <col min="809" max="809" width="5.42578125" style="9" customWidth="1"/>
    <col min="810" max="810" width="4.42578125" style="9" customWidth="1"/>
    <col min="811" max="811" width="10.140625" style="9" customWidth="1"/>
    <col min="812" max="812" width="7.85546875" style="9" customWidth="1"/>
    <col min="813" max="813" width="3.42578125" style="9" customWidth="1"/>
    <col min="814" max="1027" width="8.85546875" style="9"/>
    <col min="1028" max="1028" width="3.42578125" style="9" customWidth="1"/>
    <col min="1029" max="1029" width="19.140625" style="9" customWidth="1"/>
    <col min="1030" max="1030" width="18.85546875" style="9" customWidth="1"/>
    <col min="1031" max="1031" width="6" style="9" customWidth="1"/>
    <col min="1032" max="1056" width="4" style="9" customWidth="1"/>
    <col min="1057" max="1057" width="3.7109375" style="9" customWidth="1"/>
    <col min="1058" max="1062" width="4" style="9" customWidth="1"/>
    <col min="1063" max="1063" width="10.42578125" style="9" customWidth="1"/>
    <col min="1064" max="1064" width="7.85546875" style="9" customWidth="1"/>
    <col min="1065" max="1065" width="5.42578125" style="9" customWidth="1"/>
    <col min="1066" max="1066" width="4.42578125" style="9" customWidth="1"/>
    <col min="1067" max="1067" width="10.140625" style="9" customWidth="1"/>
    <col min="1068" max="1068" width="7.85546875" style="9" customWidth="1"/>
    <col min="1069" max="1069" width="3.42578125" style="9" customWidth="1"/>
    <col min="1070" max="1283" width="8.85546875" style="9"/>
    <col min="1284" max="1284" width="3.42578125" style="9" customWidth="1"/>
    <col min="1285" max="1285" width="19.140625" style="9" customWidth="1"/>
    <col min="1286" max="1286" width="18.85546875" style="9" customWidth="1"/>
    <col min="1287" max="1287" width="6" style="9" customWidth="1"/>
    <col min="1288" max="1312" width="4" style="9" customWidth="1"/>
    <col min="1313" max="1313" width="3.7109375" style="9" customWidth="1"/>
    <col min="1314" max="1318" width="4" style="9" customWidth="1"/>
    <col min="1319" max="1319" width="10.42578125" style="9" customWidth="1"/>
    <col min="1320" max="1320" width="7.85546875" style="9" customWidth="1"/>
    <col min="1321" max="1321" width="5.42578125" style="9" customWidth="1"/>
    <col min="1322" max="1322" width="4.42578125" style="9" customWidth="1"/>
    <col min="1323" max="1323" width="10.140625" style="9" customWidth="1"/>
    <col min="1324" max="1324" width="7.85546875" style="9" customWidth="1"/>
    <col min="1325" max="1325" width="3.42578125" style="9" customWidth="1"/>
    <col min="1326" max="1539" width="8.85546875" style="9"/>
    <col min="1540" max="1540" width="3.42578125" style="9" customWidth="1"/>
    <col min="1541" max="1541" width="19.140625" style="9" customWidth="1"/>
    <col min="1542" max="1542" width="18.85546875" style="9" customWidth="1"/>
    <col min="1543" max="1543" width="6" style="9" customWidth="1"/>
    <col min="1544" max="1568" width="4" style="9" customWidth="1"/>
    <col min="1569" max="1569" width="3.7109375" style="9" customWidth="1"/>
    <col min="1570" max="1574" width="4" style="9" customWidth="1"/>
    <col min="1575" max="1575" width="10.42578125" style="9" customWidth="1"/>
    <col min="1576" max="1576" width="7.85546875" style="9" customWidth="1"/>
    <col min="1577" max="1577" width="5.42578125" style="9" customWidth="1"/>
    <col min="1578" max="1578" width="4.42578125" style="9" customWidth="1"/>
    <col min="1579" max="1579" width="10.140625" style="9" customWidth="1"/>
    <col min="1580" max="1580" width="7.85546875" style="9" customWidth="1"/>
    <col min="1581" max="1581" width="3.42578125" style="9" customWidth="1"/>
    <col min="1582" max="1795" width="8.85546875" style="9"/>
    <col min="1796" max="1796" width="3.42578125" style="9" customWidth="1"/>
    <col min="1797" max="1797" width="19.140625" style="9" customWidth="1"/>
    <col min="1798" max="1798" width="18.85546875" style="9" customWidth="1"/>
    <col min="1799" max="1799" width="6" style="9" customWidth="1"/>
    <col min="1800" max="1824" width="4" style="9" customWidth="1"/>
    <col min="1825" max="1825" width="3.7109375" style="9" customWidth="1"/>
    <col min="1826" max="1830" width="4" style="9" customWidth="1"/>
    <col min="1831" max="1831" width="10.42578125" style="9" customWidth="1"/>
    <col min="1832" max="1832" width="7.85546875" style="9" customWidth="1"/>
    <col min="1833" max="1833" width="5.42578125" style="9" customWidth="1"/>
    <col min="1834" max="1834" width="4.42578125" style="9" customWidth="1"/>
    <col min="1835" max="1835" width="10.140625" style="9" customWidth="1"/>
    <col min="1836" max="1836" width="7.85546875" style="9" customWidth="1"/>
    <col min="1837" max="1837" width="3.42578125" style="9" customWidth="1"/>
    <col min="1838" max="2051" width="8.85546875" style="9"/>
    <col min="2052" max="2052" width="3.42578125" style="9" customWidth="1"/>
    <col min="2053" max="2053" width="19.140625" style="9" customWidth="1"/>
    <col min="2054" max="2054" width="18.85546875" style="9" customWidth="1"/>
    <col min="2055" max="2055" width="6" style="9" customWidth="1"/>
    <col min="2056" max="2080" width="4" style="9" customWidth="1"/>
    <col min="2081" max="2081" width="3.7109375" style="9" customWidth="1"/>
    <col min="2082" max="2086" width="4" style="9" customWidth="1"/>
    <col min="2087" max="2087" width="10.42578125" style="9" customWidth="1"/>
    <col min="2088" max="2088" width="7.85546875" style="9" customWidth="1"/>
    <col min="2089" max="2089" width="5.42578125" style="9" customWidth="1"/>
    <col min="2090" max="2090" width="4.42578125" style="9" customWidth="1"/>
    <col min="2091" max="2091" width="10.140625" style="9" customWidth="1"/>
    <col min="2092" max="2092" width="7.85546875" style="9" customWidth="1"/>
    <col min="2093" max="2093" width="3.42578125" style="9" customWidth="1"/>
    <col min="2094" max="2307" width="8.85546875" style="9"/>
    <col min="2308" max="2308" width="3.42578125" style="9" customWidth="1"/>
    <col min="2309" max="2309" width="19.140625" style="9" customWidth="1"/>
    <col min="2310" max="2310" width="18.85546875" style="9" customWidth="1"/>
    <col min="2311" max="2311" width="6" style="9" customWidth="1"/>
    <col min="2312" max="2336" width="4" style="9" customWidth="1"/>
    <col min="2337" max="2337" width="3.7109375" style="9" customWidth="1"/>
    <col min="2338" max="2342" width="4" style="9" customWidth="1"/>
    <col min="2343" max="2343" width="10.42578125" style="9" customWidth="1"/>
    <col min="2344" max="2344" width="7.85546875" style="9" customWidth="1"/>
    <col min="2345" max="2345" width="5.42578125" style="9" customWidth="1"/>
    <col min="2346" max="2346" width="4.42578125" style="9" customWidth="1"/>
    <col min="2347" max="2347" width="10.140625" style="9" customWidth="1"/>
    <col min="2348" max="2348" width="7.85546875" style="9" customWidth="1"/>
    <col min="2349" max="2349" width="3.42578125" style="9" customWidth="1"/>
    <col min="2350" max="2563" width="8.85546875" style="9"/>
    <col min="2564" max="2564" width="3.42578125" style="9" customWidth="1"/>
    <col min="2565" max="2565" width="19.140625" style="9" customWidth="1"/>
    <col min="2566" max="2566" width="18.85546875" style="9" customWidth="1"/>
    <col min="2567" max="2567" width="6" style="9" customWidth="1"/>
    <col min="2568" max="2592" width="4" style="9" customWidth="1"/>
    <col min="2593" max="2593" width="3.7109375" style="9" customWidth="1"/>
    <col min="2594" max="2598" width="4" style="9" customWidth="1"/>
    <col min="2599" max="2599" width="10.42578125" style="9" customWidth="1"/>
    <col min="2600" max="2600" width="7.85546875" style="9" customWidth="1"/>
    <col min="2601" max="2601" width="5.42578125" style="9" customWidth="1"/>
    <col min="2602" max="2602" width="4.42578125" style="9" customWidth="1"/>
    <col min="2603" max="2603" width="10.140625" style="9" customWidth="1"/>
    <col min="2604" max="2604" width="7.85546875" style="9" customWidth="1"/>
    <col min="2605" max="2605" width="3.42578125" style="9" customWidth="1"/>
    <col min="2606" max="2819" width="8.85546875" style="9"/>
    <col min="2820" max="2820" width="3.42578125" style="9" customWidth="1"/>
    <col min="2821" max="2821" width="19.140625" style="9" customWidth="1"/>
    <col min="2822" max="2822" width="18.85546875" style="9" customWidth="1"/>
    <col min="2823" max="2823" width="6" style="9" customWidth="1"/>
    <col min="2824" max="2848" width="4" style="9" customWidth="1"/>
    <col min="2849" max="2849" width="3.7109375" style="9" customWidth="1"/>
    <col min="2850" max="2854" width="4" style="9" customWidth="1"/>
    <col min="2855" max="2855" width="10.42578125" style="9" customWidth="1"/>
    <col min="2856" max="2856" width="7.85546875" style="9" customWidth="1"/>
    <col min="2857" max="2857" width="5.42578125" style="9" customWidth="1"/>
    <col min="2858" max="2858" width="4.42578125" style="9" customWidth="1"/>
    <col min="2859" max="2859" width="10.140625" style="9" customWidth="1"/>
    <col min="2860" max="2860" width="7.85546875" style="9" customWidth="1"/>
    <col min="2861" max="2861" width="3.42578125" style="9" customWidth="1"/>
    <col min="2862" max="3075" width="8.85546875" style="9"/>
    <col min="3076" max="3076" width="3.42578125" style="9" customWidth="1"/>
    <col min="3077" max="3077" width="19.140625" style="9" customWidth="1"/>
    <col min="3078" max="3078" width="18.85546875" style="9" customWidth="1"/>
    <col min="3079" max="3079" width="6" style="9" customWidth="1"/>
    <col min="3080" max="3104" width="4" style="9" customWidth="1"/>
    <col min="3105" max="3105" width="3.7109375" style="9" customWidth="1"/>
    <col min="3106" max="3110" width="4" style="9" customWidth="1"/>
    <col min="3111" max="3111" width="10.42578125" style="9" customWidth="1"/>
    <col min="3112" max="3112" width="7.85546875" style="9" customWidth="1"/>
    <col min="3113" max="3113" width="5.42578125" style="9" customWidth="1"/>
    <col min="3114" max="3114" width="4.42578125" style="9" customWidth="1"/>
    <col min="3115" max="3115" width="10.140625" style="9" customWidth="1"/>
    <col min="3116" max="3116" width="7.85546875" style="9" customWidth="1"/>
    <col min="3117" max="3117" width="3.42578125" style="9" customWidth="1"/>
    <col min="3118" max="3331" width="8.85546875" style="9"/>
    <col min="3332" max="3332" width="3.42578125" style="9" customWidth="1"/>
    <col min="3333" max="3333" width="19.140625" style="9" customWidth="1"/>
    <col min="3334" max="3334" width="18.85546875" style="9" customWidth="1"/>
    <col min="3335" max="3335" width="6" style="9" customWidth="1"/>
    <col min="3336" max="3360" width="4" style="9" customWidth="1"/>
    <col min="3361" max="3361" width="3.7109375" style="9" customWidth="1"/>
    <col min="3362" max="3366" width="4" style="9" customWidth="1"/>
    <col min="3367" max="3367" width="10.42578125" style="9" customWidth="1"/>
    <col min="3368" max="3368" width="7.85546875" style="9" customWidth="1"/>
    <col min="3369" max="3369" width="5.42578125" style="9" customWidth="1"/>
    <col min="3370" max="3370" width="4.42578125" style="9" customWidth="1"/>
    <col min="3371" max="3371" width="10.140625" style="9" customWidth="1"/>
    <col min="3372" max="3372" width="7.85546875" style="9" customWidth="1"/>
    <col min="3373" max="3373" width="3.42578125" style="9" customWidth="1"/>
    <col min="3374" max="3587" width="8.85546875" style="9"/>
    <col min="3588" max="3588" width="3.42578125" style="9" customWidth="1"/>
    <col min="3589" max="3589" width="19.140625" style="9" customWidth="1"/>
    <col min="3590" max="3590" width="18.85546875" style="9" customWidth="1"/>
    <col min="3591" max="3591" width="6" style="9" customWidth="1"/>
    <col min="3592" max="3616" width="4" style="9" customWidth="1"/>
    <col min="3617" max="3617" width="3.7109375" style="9" customWidth="1"/>
    <col min="3618" max="3622" width="4" style="9" customWidth="1"/>
    <col min="3623" max="3623" width="10.42578125" style="9" customWidth="1"/>
    <col min="3624" max="3624" width="7.85546875" style="9" customWidth="1"/>
    <col min="3625" max="3625" width="5.42578125" style="9" customWidth="1"/>
    <col min="3626" max="3626" width="4.42578125" style="9" customWidth="1"/>
    <col min="3627" max="3627" width="10.140625" style="9" customWidth="1"/>
    <col min="3628" max="3628" width="7.85546875" style="9" customWidth="1"/>
    <col min="3629" max="3629" width="3.42578125" style="9" customWidth="1"/>
    <col min="3630" max="3843" width="8.85546875" style="9"/>
    <col min="3844" max="3844" width="3.42578125" style="9" customWidth="1"/>
    <col min="3845" max="3845" width="19.140625" style="9" customWidth="1"/>
    <col min="3846" max="3846" width="18.85546875" style="9" customWidth="1"/>
    <col min="3847" max="3847" width="6" style="9" customWidth="1"/>
    <col min="3848" max="3872" width="4" style="9" customWidth="1"/>
    <col min="3873" max="3873" width="3.7109375" style="9" customWidth="1"/>
    <col min="3874" max="3878" width="4" style="9" customWidth="1"/>
    <col min="3879" max="3879" width="10.42578125" style="9" customWidth="1"/>
    <col min="3880" max="3880" width="7.85546875" style="9" customWidth="1"/>
    <col min="3881" max="3881" width="5.42578125" style="9" customWidth="1"/>
    <col min="3882" max="3882" width="4.42578125" style="9" customWidth="1"/>
    <col min="3883" max="3883" width="10.140625" style="9" customWidth="1"/>
    <col min="3884" max="3884" width="7.85546875" style="9" customWidth="1"/>
    <col min="3885" max="3885" width="3.42578125" style="9" customWidth="1"/>
    <col min="3886" max="4099" width="8.85546875" style="9"/>
    <col min="4100" max="4100" width="3.42578125" style="9" customWidth="1"/>
    <col min="4101" max="4101" width="19.140625" style="9" customWidth="1"/>
    <col min="4102" max="4102" width="18.85546875" style="9" customWidth="1"/>
    <col min="4103" max="4103" width="6" style="9" customWidth="1"/>
    <col min="4104" max="4128" width="4" style="9" customWidth="1"/>
    <col min="4129" max="4129" width="3.7109375" style="9" customWidth="1"/>
    <col min="4130" max="4134" width="4" style="9" customWidth="1"/>
    <col min="4135" max="4135" width="10.42578125" style="9" customWidth="1"/>
    <col min="4136" max="4136" width="7.85546875" style="9" customWidth="1"/>
    <col min="4137" max="4137" width="5.42578125" style="9" customWidth="1"/>
    <col min="4138" max="4138" width="4.42578125" style="9" customWidth="1"/>
    <col min="4139" max="4139" width="10.140625" style="9" customWidth="1"/>
    <col min="4140" max="4140" width="7.85546875" style="9" customWidth="1"/>
    <col min="4141" max="4141" width="3.42578125" style="9" customWidth="1"/>
    <col min="4142" max="4355" width="8.85546875" style="9"/>
    <col min="4356" max="4356" width="3.42578125" style="9" customWidth="1"/>
    <col min="4357" max="4357" width="19.140625" style="9" customWidth="1"/>
    <col min="4358" max="4358" width="18.85546875" style="9" customWidth="1"/>
    <col min="4359" max="4359" width="6" style="9" customWidth="1"/>
    <col min="4360" max="4384" width="4" style="9" customWidth="1"/>
    <col min="4385" max="4385" width="3.7109375" style="9" customWidth="1"/>
    <col min="4386" max="4390" width="4" style="9" customWidth="1"/>
    <col min="4391" max="4391" width="10.42578125" style="9" customWidth="1"/>
    <col min="4392" max="4392" width="7.85546875" style="9" customWidth="1"/>
    <col min="4393" max="4393" width="5.42578125" style="9" customWidth="1"/>
    <col min="4394" max="4394" width="4.42578125" style="9" customWidth="1"/>
    <col min="4395" max="4395" width="10.140625" style="9" customWidth="1"/>
    <col min="4396" max="4396" width="7.85546875" style="9" customWidth="1"/>
    <col min="4397" max="4397" width="3.42578125" style="9" customWidth="1"/>
    <col min="4398" max="4611" width="8.85546875" style="9"/>
    <col min="4612" max="4612" width="3.42578125" style="9" customWidth="1"/>
    <col min="4613" max="4613" width="19.140625" style="9" customWidth="1"/>
    <col min="4614" max="4614" width="18.85546875" style="9" customWidth="1"/>
    <col min="4615" max="4615" width="6" style="9" customWidth="1"/>
    <col min="4616" max="4640" width="4" style="9" customWidth="1"/>
    <col min="4641" max="4641" width="3.7109375" style="9" customWidth="1"/>
    <col min="4642" max="4646" width="4" style="9" customWidth="1"/>
    <col min="4647" max="4647" width="10.42578125" style="9" customWidth="1"/>
    <col min="4648" max="4648" width="7.85546875" style="9" customWidth="1"/>
    <col min="4649" max="4649" width="5.42578125" style="9" customWidth="1"/>
    <col min="4650" max="4650" width="4.42578125" style="9" customWidth="1"/>
    <col min="4651" max="4651" width="10.140625" style="9" customWidth="1"/>
    <col min="4652" max="4652" width="7.85546875" style="9" customWidth="1"/>
    <col min="4653" max="4653" width="3.42578125" style="9" customWidth="1"/>
    <col min="4654" max="4867" width="8.85546875" style="9"/>
    <col min="4868" max="4868" width="3.42578125" style="9" customWidth="1"/>
    <col min="4869" max="4869" width="19.140625" style="9" customWidth="1"/>
    <col min="4870" max="4870" width="18.85546875" style="9" customWidth="1"/>
    <col min="4871" max="4871" width="6" style="9" customWidth="1"/>
    <col min="4872" max="4896" width="4" style="9" customWidth="1"/>
    <col min="4897" max="4897" width="3.7109375" style="9" customWidth="1"/>
    <col min="4898" max="4902" width="4" style="9" customWidth="1"/>
    <col min="4903" max="4903" width="10.42578125" style="9" customWidth="1"/>
    <col min="4904" max="4904" width="7.85546875" style="9" customWidth="1"/>
    <col min="4905" max="4905" width="5.42578125" style="9" customWidth="1"/>
    <col min="4906" max="4906" width="4.42578125" style="9" customWidth="1"/>
    <col min="4907" max="4907" width="10.140625" style="9" customWidth="1"/>
    <col min="4908" max="4908" width="7.85546875" style="9" customWidth="1"/>
    <col min="4909" max="4909" width="3.42578125" style="9" customWidth="1"/>
    <col min="4910" max="5123" width="8.85546875" style="9"/>
    <col min="5124" max="5124" width="3.42578125" style="9" customWidth="1"/>
    <col min="5125" max="5125" width="19.140625" style="9" customWidth="1"/>
    <col min="5126" max="5126" width="18.85546875" style="9" customWidth="1"/>
    <col min="5127" max="5127" width="6" style="9" customWidth="1"/>
    <col min="5128" max="5152" width="4" style="9" customWidth="1"/>
    <col min="5153" max="5153" width="3.7109375" style="9" customWidth="1"/>
    <col min="5154" max="5158" width="4" style="9" customWidth="1"/>
    <col min="5159" max="5159" width="10.42578125" style="9" customWidth="1"/>
    <col min="5160" max="5160" width="7.85546875" style="9" customWidth="1"/>
    <col min="5161" max="5161" width="5.42578125" style="9" customWidth="1"/>
    <col min="5162" max="5162" width="4.42578125" style="9" customWidth="1"/>
    <col min="5163" max="5163" width="10.140625" style="9" customWidth="1"/>
    <col min="5164" max="5164" width="7.85546875" style="9" customWidth="1"/>
    <col min="5165" max="5165" width="3.42578125" style="9" customWidth="1"/>
    <col min="5166" max="5379" width="8.85546875" style="9"/>
    <col min="5380" max="5380" width="3.42578125" style="9" customWidth="1"/>
    <col min="5381" max="5381" width="19.140625" style="9" customWidth="1"/>
    <col min="5382" max="5382" width="18.85546875" style="9" customWidth="1"/>
    <col min="5383" max="5383" width="6" style="9" customWidth="1"/>
    <col min="5384" max="5408" width="4" style="9" customWidth="1"/>
    <col min="5409" max="5409" width="3.7109375" style="9" customWidth="1"/>
    <col min="5410" max="5414" width="4" style="9" customWidth="1"/>
    <col min="5415" max="5415" width="10.42578125" style="9" customWidth="1"/>
    <col min="5416" max="5416" width="7.85546875" style="9" customWidth="1"/>
    <col min="5417" max="5417" width="5.42578125" style="9" customWidth="1"/>
    <col min="5418" max="5418" width="4.42578125" style="9" customWidth="1"/>
    <col min="5419" max="5419" width="10.140625" style="9" customWidth="1"/>
    <col min="5420" max="5420" width="7.85546875" style="9" customWidth="1"/>
    <col min="5421" max="5421" width="3.42578125" style="9" customWidth="1"/>
    <col min="5422" max="5635" width="8.85546875" style="9"/>
    <col min="5636" max="5636" width="3.42578125" style="9" customWidth="1"/>
    <col min="5637" max="5637" width="19.140625" style="9" customWidth="1"/>
    <col min="5638" max="5638" width="18.85546875" style="9" customWidth="1"/>
    <col min="5639" max="5639" width="6" style="9" customWidth="1"/>
    <col min="5640" max="5664" width="4" style="9" customWidth="1"/>
    <col min="5665" max="5665" width="3.7109375" style="9" customWidth="1"/>
    <col min="5666" max="5670" width="4" style="9" customWidth="1"/>
    <col min="5671" max="5671" width="10.42578125" style="9" customWidth="1"/>
    <col min="5672" max="5672" width="7.85546875" style="9" customWidth="1"/>
    <col min="5673" max="5673" width="5.42578125" style="9" customWidth="1"/>
    <col min="5674" max="5674" width="4.42578125" style="9" customWidth="1"/>
    <col min="5675" max="5675" width="10.140625" style="9" customWidth="1"/>
    <col min="5676" max="5676" width="7.85546875" style="9" customWidth="1"/>
    <col min="5677" max="5677" width="3.42578125" style="9" customWidth="1"/>
    <col min="5678" max="5891" width="8.85546875" style="9"/>
    <col min="5892" max="5892" width="3.42578125" style="9" customWidth="1"/>
    <col min="5893" max="5893" width="19.140625" style="9" customWidth="1"/>
    <col min="5894" max="5894" width="18.85546875" style="9" customWidth="1"/>
    <col min="5895" max="5895" width="6" style="9" customWidth="1"/>
    <col min="5896" max="5920" width="4" style="9" customWidth="1"/>
    <col min="5921" max="5921" width="3.7109375" style="9" customWidth="1"/>
    <col min="5922" max="5926" width="4" style="9" customWidth="1"/>
    <col min="5927" max="5927" width="10.42578125" style="9" customWidth="1"/>
    <col min="5928" max="5928" width="7.85546875" style="9" customWidth="1"/>
    <col min="5929" max="5929" width="5.42578125" style="9" customWidth="1"/>
    <col min="5930" max="5930" width="4.42578125" style="9" customWidth="1"/>
    <col min="5931" max="5931" width="10.140625" style="9" customWidth="1"/>
    <col min="5932" max="5932" width="7.85546875" style="9" customWidth="1"/>
    <col min="5933" max="5933" width="3.42578125" style="9" customWidth="1"/>
    <col min="5934" max="6147" width="8.85546875" style="9"/>
    <col min="6148" max="6148" width="3.42578125" style="9" customWidth="1"/>
    <col min="6149" max="6149" width="19.140625" style="9" customWidth="1"/>
    <col min="6150" max="6150" width="18.85546875" style="9" customWidth="1"/>
    <col min="6151" max="6151" width="6" style="9" customWidth="1"/>
    <col min="6152" max="6176" width="4" style="9" customWidth="1"/>
    <col min="6177" max="6177" width="3.7109375" style="9" customWidth="1"/>
    <col min="6178" max="6182" width="4" style="9" customWidth="1"/>
    <col min="6183" max="6183" width="10.42578125" style="9" customWidth="1"/>
    <col min="6184" max="6184" width="7.85546875" style="9" customWidth="1"/>
    <col min="6185" max="6185" width="5.42578125" style="9" customWidth="1"/>
    <col min="6186" max="6186" width="4.42578125" style="9" customWidth="1"/>
    <col min="6187" max="6187" width="10.140625" style="9" customWidth="1"/>
    <col min="6188" max="6188" width="7.85546875" style="9" customWidth="1"/>
    <col min="6189" max="6189" width="3.42578125" style="9" customWidth="1"/>
    <col min="6190" max="6403" width="8.85546875" style="9"/>
    <col min="6404" max="6404" width="3.42578125" style="9" customWidth="1"/>
    <col min="6405" max="6405" width="19.140625" style="9" customWidth="1"/>
    <col min="6406" max="6406" width="18.85546875" style="9" customWidth="1"/>
    <col min="6407" max="6407" width="6" style="9" customWidth="1"/>
    <col min="6408" max="6432" width="4" style="9" customWidth="1"/>
    <col min="6433" max="6433" width="3.7109375" style="9" customWidth="1"/>
    <col min="6434" max="6438" width="4" style="9" customWidth="1"/>
    <col min="6439" max="6439" width="10.42578125" style="9" customWidth="1"/>
    <col min="6440" max="6440" width="7.85546875" style="9" customWidth="1"/>
    <col min="6441" max="6441" width="5.42578125" style="9" customWidth="1"/>
    <col min="6442" max="6442" width="4.42578125" style="9" customWidth="1"/>
    <col min="6443" max="6443" width="10.140625" style="9" customWidth="1"/>
    <col min="6444" max="6444" width="7.85546875" style="9" customWidth="1"/>
    <col min="6445" max="6445" width="3.42578125" style="9" customWidth="1"/>
    <col min="6446" max="6659" width="8.85546875" style="9"/>
    <col min="6660" max="6660" width="3.42578125" style="9" customWidth="1"/>
    <col min="6661" max="6661" width="19.140625" style="9" customWidth="1"/>
    <col min="6662" max="6662" width="18.85546875" style="9" customWidth="1"/>
    <col min="6663" max="6663" width="6" style="9" customWidth="1"/>
    <col min="6664" max="6688" width="4" style="9" customWidth="1"/>
    <col min="6689" max="6689" width="3.7109375" style="9" customWidth="1"/>
    <col min="6690" max="6694" width="4" style="9" customWidth="1"/>
    <col min="6695" max="6695" width="10.42578125" style="9" customWidth="1"/>
    <col min="6696" max="6696" width="7.85546875" style="9" customWidth="1"/>
    <col min="6697" max="6697" width="5.42578125" style="9" customWidth="1"/>
    <col min="6698" max="6698" width="4.42578125" style="9" customWidth="1"/>
    <col min="6699" max="6699" width="10.140625" style="9" customWidth="1"/>
    <col min="6700" max="6700" width="7.85546875" style="9" customWidth="1"/>
    <col min="6701" max="6701" width="3.42578125" style="9" customWidth="1"/>
    <col min="6702" max="6915" width="8.85546875" style="9"/>
    <col min="6916" max="6916" width="3.42578125" style="9" customWidth="1"/>
    <col min="6917" max="6917" width="19.140625" style="9" customWidth="1"/>
    <col min="6918" max="6918" width="18.85546875" style="9" customWidth="1"/>
    <col min="6919" max="6919" width="6" style="9" customWidth="1"/>
    <col min="6920" max="6944" width="4" style="9" customWidth="1"/>
    <col min="6945" max="6945" width="3.7109375" style="9" customWidth="1"/>
    <col min="6946" max="6950" width="4" style="9" customWidth="1"/>
    <col min="6951" max="6951" width="10.42578125" style="9" customWidth="1"/>
    <col min="6952" max="6952" width="7.85546875" style="9" customWidth="1"/>
    <col min="6953" max="6953" width="5.42578125" style="9" customWidth="1"/>
    <col min="6954" max="6954" width="4.42578125" style="9" customWidth="1"/>
    <col min="6955" max="6955" width="10.140625" style="9" customWidth="1"/>
    <col min="6956" max="6956" width="7.85546875" style="9" customWidth="1"/>
    <col min="6957" max="6957" width="3.42578125" style="9" customWidth="1"/>
    <col min="6958" max="7171" width="8.85546875" style="9"/>
    <col min="7172" max="7172" width="3.42578125" style="9" customWidth="1"/>
    <col min="7173" max="7173" width="19.140625" style="9" customWidth="1"/>
    <col min="7174" max="7174" width="18.85546875" style="9" customWidth="1"/>
    <col min="7175" max="7175" width="6" style="9" customWidth="1"/>
    <col min="7176" max="7200" width="4" style="9" customWidth="1"/>
    <col min="7201" max="7201" width="3.7109375" style="9" customWidth="1"/>
    <col min="7202" max="7206" width="4" style="9" customWidth="1"/>
    <col min="7207" max="7207" width="10.42578125" style="9" customWidth="1"/>
    <col min="7208" max="7208" width="7.85546875" style="9" customWidth="1"/>
    <col min="7209" max="7209" width="5.42578125" style="9" customWidth="1"/>
    <col min="7210" max="7210" width="4.42578125" style="9" customWidth="1"/>
    <col min="7211" max="7211" width="10.140625" style="9" customWidth="1"/>
    <col min="7212" max="7212" width="7.85546875" style="9" customWidth="1"/>
    <col min="7213" max="7213" width="3.42578125" style="9" customWidth="1"/>
    <col min="7214" max="7427" width="8.85546875" style="9"/>
    <col min="7428" max="7428" width="3.42578125" style="9" customWidth="1"/>
    <col min="7429" max="7429" width="19.140625" style="9" customWidth="1"/>
    <col min="7430" max="7430" width="18.85546875" style="9" customWidth="1"/>
    <col min="7431" max="7431" width="6" style="9" customWidth="1"/>
    <col min="7432" max="7456" width="4" style="9" customWidth="1"/>
    <col min="7457" max="7457" width="3.7109375" style="9" customWidth="1"/>
    <col min="7458" max="7462" width="4" style="9" customWidth="1"/>
    <col min="7463" max="7463" width="10.42578125" style="9" customWidth="1"/>
    <col min="7464" max="7464" width="7.85546875" style="9" customWidth="1"/>
    <col min="7465" max="7465" width="5.42578125" style="9" customWidth="1"/>
    <col min="7466" max="7466" width="4.42578125" style="9" customWidth="1"/>
    <col min="7467" max="7467" width="10.140625" style="9" customWidth="1"/>
    <col min="7468" max="7468" width="7.85546875" style="9" customWidth="1"/>
    <col min="7469" max="7469" width="3.42578125" style="9" customWidth="1"/>
    <col min="7470" max="7683" width="8.85546875" style="9"/>
    <col min="7684" max="7684" width="3.42578125" style="9" customWidth="1"/>
    <col min="7685" max="7685" width="19.140625" style="9" customWidth="1"/>
    <col min="7686" max="7686" width="18.85546875" style="9" customWidth="1"/>
    <col min="7687" max="7687" width="6" style="9" customWidth="1"/>
    <col min="7688" max="7712" width="4" style="9" customWidth="1"/>
    <col min="7713" max="7713" width="3.7109375" style="9" customWidth="1"/>
    <col min="7714" max="7718" width="4" style="9" customWidth="1"/>
    <col min="7719" max="7719" width="10.42578125" style="9" customWidth="1"/>
    <col min="7720" max="7720" width="7.85546875" style="9" customWidth="1"/>
    <col min="7721" max="7721" width="5.42578125" style="9" customWidth="1"/>
    <col min="7722" max="7722" width="4.42578125" style="9" customWidth="1"/>
    <col min="7723" max="7723" width="10.140625" style="9" customWidth="1"/>
    <col min="7724" max="7724" width="7.85546875" style="9" customWidth="1"/>
    <col min="7725" max="7725" width="3.42578125" style="9" customWidth="1"/>
    <col min="7726" max="7939" width="8.85546875" style="9"/>
    <col min="7940" max="7940" width="3.42578125" style="9" customWidth="1"/>
    <col min="7941" max="7941" width="19.140625" style="9" customWidth="1"/>
    <col min="7942" max="7942" width="18.85546875" style="9" customWidth="1"/>
    <col min="7943" max="7943" width="6" style="9" customWidth="1"/>
    <col min="7944" max="7968" width="4" style="9" customWidth="1"/>
    <col min="7969" max="7969" width="3.7109375" style="9" customWidth="1"/>
    <col min="7970" max="7974" width="4" style="9" customWidth="1"/>
    <col min="7975" max="7975" width="10.42578125" style="9" customWidth="1"/>
    <col min="7976" max="7976" width="7.85546875" style="9" customWidth="1"/>
    <col min="7977" max="7977" width="5.42578125" style="9" customWidth="1"/>
    <col min="7978" max="7978" width="4.42578125" style="9" customWidth="1"/>
    <col min="7979" max="7979" width="10.140625" style="9" customWidth="1"/>
    <col min="7980" max="7980" width="7.85546875" style="9" customWidth="1"/>
    <col min="7981" max="7981" width="3.42578125" style="9" customWidth="1"/>
    <col min="7982" max="8195" width="8.85546875" style="9"/>
    <col min="8196" max="8196" width="3.42578125" style="9" customWidth="1"/>
    <col min="8197" max="8197" width="19.140625" style="9" customWidth="1"/>
    <col min="8198" max="8198" width="18.85546875" style="9" customWidth="1"/>
    <col min="8199" max="8199" width="6" style="9" customWidth="1"/>
    <col min="8200" max="8224" width="4" style="9" customWidth="1"/>
    <col min="8225" max="8225" width="3.7109375" style="9" customWidth="1"/>
    <col min="8226" max="8230" width="4" style="9" customWidth="1"/>
    <col min="8231" max="8231" width="10.42578125" style="9" customWidth="1"/>
    <col min="8232" max="8232" width="7.85546875" style="9" customWidth="1"/>
    <col min="8233" max="8233" width="5.42578125" style="9" customWidth="1"/>
    <col min="8234" max="8234" width="4.42578125" style="9" customWidth="1"/>
    <col min="8235" max="8235" width="10.140625" style="9" customWidth="1"/>
    <col min="8236" max="8236" width="7.85546875" style="9" customWidth="1"/>
    <col min="8237" max="8237" width="3.42578125" style="9" customWidth="1"/>
    <col min="8238" max="8451" width="8.85546875" style="9"/>
    <col min="8452" max="8452" width="3.42578125" style="9" customWidth="1"/>
    <col min="8453" max="8453" width="19.140625" style="9" customWidth="1"/>
    <col min="8454" max="8454" width="18.85546875" style="9" customWidth="1"/>
    <col min="8455" max="8455" width="6" style="9" customWidth="1"/>
    <col min="8456" max="8480" width="4" style="9" customWidth="1"/>
    <col min="8481" max="8481" width="3.7109375" style="9" customWidth="1"/>
    <col min="8482" max="8486" width="4" style="9" customWidth="1"/>
    <col min="8487" max="8487" width="10.42578125" style="9" customWidth="1"/>
    <col min="8488" max="8488" width="7.85546875" style="9" customWidth="1"/>
    <col min="8489" max="8489" width="5.42578125" style="9" customWidth="1"/>
    <col min="8490" max="8490" width="4.42578125" style="9" customWidth="1"/>
    <col min="8491" max="8491" width="10.140625" style="9" customWidth="1"/>
    <col min="8492" max="8492" width="7.85546875" style="9" customWidth="1"/>
    <col min="8493" max="8493" width="3.42578125" style="9" customWidth="1"/>
    <col min="8494" max="8707" width="8.85546875" style="9"/>
    <col min="8708" max="8708" width="3.42578125" style="9" customWidth="1"/>
    <col min="8709" max="8709" width="19.140625" style="9" customWidth="1"/>
    <col min="8710" max="8710" width="18.85546875" style="9" customWidth="1"/>
    <col min="8711" max="8711" width="6" style="9" customWidth="1"/>
    <col min="8712" max="8736" width="4" style="9" customWidth="1"/>
    <col min="8737" max="8737" width="3.7109375" style="9" customWidth="1"/>
    <col min="8738" max="8742" width="4" style="9" customWidth="1"/>
    <col min="8743" max="8743" width="10.42578125" style="9" customWidth="1"/>
    <col min="8744" max="8744" width="7.85546875" style="9" customWidth="1"/>
    <col min="8745" max="8745" width="5.42578125" style="9" customWidth="1"/>
    <col min="8746" max="8746" width="4.42578125" style="9" customWidth="1"/>
    <col min="8747" max="8747" width="10.140625" style="9" customWidth="1"/>
    <col min="8748" max="8748" width="7.85546875" style="9" customWidth="1"/>
    <col min="8749" max="8749" width="3.42578125" style="9" customWidth="1"/>
    <col min="8750" max="8963" width="8.85546875" style="9"/>
    <col min="8964" max="8964" width="3.42578125" style="9" customWidth="1"/>
    <col min="8965" max="8965" width="19.140625" style="9" customWidth="1"/>
    <col min="8966" max="8966" width="18.85546875" style="9" customWidth="1"/>
    <col min="8967" max="8967" width="6" style="9" customWidth="1"/>
    <col min="8968" max="8992" width="4" style="9" customWidth="1"/>
    <col min="8993" max="8993" width="3.7109375" style="9" customWidth="1"/>
    <col min="8994" max="8998" width="4" style="9" customWidth="1"/>
    <col min="8999" max="8999" width="10.42578125" style="9" customWidth="1"/>
    <col min="9000" max="9000" width="7.85546875" style="9" customWidth="1"/>
    <col min="9001" max="9001" width="5.42578125" style="9" customWidth="1"/>
    <col min="9002" max="9002" width="4.42578125" style="9" customWidth="1"/>
    <col min="9003" max="9003" width="10.140625" style="9" customWidth="1"/>
    <col min="9004" max="9004" width="7.85546875" style="9" customWidth="1"/>
    <col min="9005" max="9005" width="3.42578125" style="9" customWidth="1"/>
    <col min="9006" max="9219" width="8.85546875" style="9"/>
    <col min="9220" max="9220" width="3.42578125" style="9" customWidth="1"/>
    <col min="9221" max="9221" width="19.140625" style="9" customWidth="1"/>
    <col min="9222" max="9222" width="18.85546875" style="9" customWidth="1"/>
    <col min="9223" max="9223" width="6" style="9" customWidth="1"/>
    <col min="9224" max="9248" width="4" style="9" customWidth="1"/>
    <col min="9249" max="9249" width="3.7109375" style="9" customWidth="1"/>
    <col min="9250" max="9254" width="4" style="9" customWidth="1"/>
    <col min="9255" max="9255" width="10.42578125" style="9" customWidth="1"/>
    <col min="9256" max="9256" width="7.85546875" style="9" customWidth="1"/>
    <col min="9257" max="9257" width="5.42578125" style="9" customWidth="1"/>
    <col min="9258" max="9258" width="4.42578125" style="9" customWidth="1"/>
    <col min="9259" max="9259" width="10.140625" style="9" customWidth="1"/>
    <col min="9260" max="9260" width="7.85546875" style="9" customWidth="1"/>
    <col min="9261" max="9261" width="3.42578125" style="9" customWidth="1"/>
    <col min="9262" max="9475" width="8.85546875" style="9"/>
    <col min="9476" max="9476" width="3.42578125" style="9" customWidth="1"/>
    <col min="9477" max="9477" width="19.140625" style="9" customWidth="1"/>
    <col min="9478" max="9478" width="18.85546875" style="9" customWidth="1"/>
    <col min="9479" max="9479" width="6" style="9" customWidth="1"/>
    <col min="9480" max="9504" width="4" style="9" customWidth="1"/>
    <col min="9505" max="9505" width="3.7109375" style="9" customWidth="1"/>
    <col min="9506" max="9510" width="4" style="9" customWidth="1"/>
    <col min="9511" max="9511" width="10.42578125" style="9" customWidth="1"/>
    <col min="9512" max="9512" width="7.85546875" style="9" customWidth="1"/>
    <col min="9513" max="9513" width="5.42578125" style="9" customWidth="1"/>
    <col min="9514" max="9514" width="4.42578125" style="9" customWidth="1"/>
    <col min="9515" max="9515" width="10.140625" style="9" customWidth="1"/>
    <col min="9516" max="9516" width="7.85546875" style="9" customWidth="1"/>
    <col min="9517" max="9517" width="3.42578125" style="9" customWidth="1"/>
    <col min="9518" max="9731" width="8.85546875" style="9"/>
    <col min="9732" max="9732" width="3.42578125" style="9" customWidth="1"/>
    <col min="9733" max="9733" width="19.140625" style="9" customWidth="1"/>
    <col min="9734" max="9734" width="18.85546875" style="9" customWidth="1"/>
    <col min="9735" max="9735" width="6" style="9" customWidth="1"/>
    <col min="9736" max="9760" width="4" style="9" customWidth="1"/>
    <col min="9761" max="9761" width="3.7109375" style="9" customWidth="1"/>
    <col min="9762" max="9766" width="4" style="9" customWidth="1"/>
    <col min="9767" max="9767" width="10.42578125" style="9" customWidth="1"/>
    <col min="9768" max="9768" width="7.85546875" style="9" customWidth="1"/>
    <col min="9769" max="9769" width="5.42578125" style="9" customWidth="1"/>
    <col min="9770" max="9770" width="4.42578125" style="9" customWidth="1"/>
    <col min="9771" max="9771" width="10.140625" style="9" customWidth="1"/>
    <col min="9772" max="9772" width="7.85546875" style="9" customWidth="1"/>
    <col min="9773" max="9773" width="3.42578125" style="9" customWidth="1"/>
    <col min="9774" max="9987" width="8.85546875" style="9"/>
    <col min="9988" max="9988" width="3.42578125" style="9" customWidth="1"/>
    <col min="9989" max="9989" width="19.140625" style="9" customWidth="1"/>
    <col min="9990" max="9990" width="18.85546875" style="9" customWidth="1"/>
    <col min="9991" max="9991" width="6" style="9" customWidth="1"/>
    <col min="9992" max="10016" width="4" style="9" customWidth="1"/>
    <col min="10017" max="10017" width="3.7109375" style="9" customWidth="1"/>
    <col min="10018" max="10022" width="4" style="9" customWidth="1"/>
    <col min="10023" max="10023" width="10.42578125" style="9" customWidth="1"/>
    <col min="10024" max="10024" width="7.85546875" style="9" customWidth="1"/>
    <col min="10025" max="10025" width="5.42578125" style="9" customWidth="1"/>
    <col min="10026" max="10026" width="4.42578125" style="9" customWidth="1"/>
    <col min="10027" max="10027" width="10.140625" style="9" customWidth="1"/>
    <col min="10028" max="10028" width="7.85546875" style="9" customWidth="1"/>
    <col min="10029" max="10029" width="3.42578125" style="9" customWidth="1"/>
    <col min="10030" max="10243" width="8.85546875" style="9"/>
    <col min="10244" max="10244" width="3.42578125" style="9" customWidth="1"/>
    <col min="10245" max="10245" width="19.140625" style="9" customWidth="1"/>
    <col min="10246" max="10246" width="18.85546875" style="9" customWidth="1"/>
    <col min="10247" max="10247" width="6" style="9" customWidth="1"/>
    <col min="10248" max="10272" width="4" style="9" customWidth="1"/>
    <col min="10273" max="10273" width="3.7109375" style="9" customWidth="1"/>
    <col min="10274" max="10278" width="4" style="9" customWidth="1"/>
    <col min="10279" max="10279" width="10.42578125" style="9" customWidth="1"/>
    <col min="10280" max="10280" width="7.85546875" style="9" customWidth="1"/>
    <col min="10281" max="10281" width="5.42578125" style="9" customWidth="1"/>
    <col min="10282" max="10282" width="4.42578125" style="9" customWidth="1"/>
    <col min="10283" max="10283" width="10.140625" style="9" customWidth="1"/>
    <col min="10284" max="10284" width="7.85546875" style="9" customWidth="1"/>
    <col min="10285" max="10285" width="3.42578125" style="9" customWidth="1"/>
    <col min="10286" max="10499" width="8.85546875" style="9"/>
    <col min="10500" max="10500" width="3.42578125" style="9" customWidth="1"/>
    <col min="10501" max="10501" width="19.140625" style="9" customWidth="1"/>
    <col min="10502" max="10502" width="18.85546875" style="9" customWidth="1"/>
    <col min="10503" max="10503" width="6" style="9" customWidth="1"/>
    <col min="10504" max="10528" width="4" style="9" customWidth="1"/>
    <col min="10529" max="10529" width="3.7109375" style="9" customWidth="1"/>
    <col min="10530" max="10534" width="4" style="9" customWidth="1"/>
    <col min="10535" max="10535" width="10.42578125" style="9" customWidth="1"/>
    <col min="10536" max="10536" width="7.85546875" style="9" customWidth="1"/>
    <col min="10537" max="10537" width="5.42578125" style="9" customWidth="1"/>
    <col min="10538" max="10538" width="4.42578125" style="9" customWidth="1"/>
    <col min="10539" max="10539" width="10.140625" style="9" customWidth="1"/>
    <col min="10540" max="10540" width="7.85546875" style="9" customWidth="1"/>
    <col min="10541" max="10541" width="3.42578125" style="9" customWidth="1"/>
    <col min="10542" max="10755" width="8.85546875" style="9"/>
    <col min="10756" max="10756" width="3.42578125" style="9" customWidth="1"/>
    <col min="10757" max="10757" width="19.140625" style="9" customWidth="1"/>
    <col min="10758" max="10758" width="18.85546875" style="9" customWidth="1"/>
    <col min="10759" max="10759" width="6" style="9" customWidth="1"/>
    <col min="10760" max="10784" width="4" style="9" customWidth="1"/>
    <col min="10785" max="10785" width="3.7109375" style="9" customWidth="1"/>
    <col min="10786" max="10790" width="4" style="9" customWidth="1"/>
    <col min="10791" max="10791" width="10.42578125" style="9" customWidth="1"/>
    <col min="10792" max="10792" width="7.85546875" style="9" customWidth="1"/>
    <col min="10793" max="10793" width="5.42578125" style="9" customWidth="1"/>
    <col min="10794" max="10794" width="4.42578125" style="9" customWidth="1"/>
    <col min="10795" max="10795" width="10.140625" style="9" customWidth="1"/>
    <col min="10796" max="10796" width="7.85546875" style="9" customWidth="1"/>
    <col min="10797" max="10797" width="3.42578125" style="9" customWidth="1"/>
    <col min="10798" max="11011" width="8.85546875" style="9"/>
    <col min="11012" max="11012" width="3.42578125" style="9" customWidth="1"/>
    <col min="11013" max="11013" width="19.140625" style="9" customWidth="1"/>
    <col min="11014" max="11014" width="18.85546875" style="9" customWidth="1"/>
    <col min="11015" max="11015" width="6" style="9" customWidth="1"/>
    <col min="11016" max="11040" width="4" style="9" customWidth="1"/>
    <col min="11041" max="11041" width="3.7109375" style="9" customWidth="1"/>
    <col min="11042" max="11046" width="4" style="9" customWidth="1"/>
    <col min="11047" max="11047" width="10.42578125" style="9" customWidth="1"/>
    <col min="11048" max="11048" width="7.85546875" style="9" customWidth="1"/>
    <col min="11049" max="11049" width="5.42578125" style="9" customWidth="1"/>
    <col min="11050" max="11050" width="4.42578125" style="9" customWidth="1"/>
    <col min="11051" max="11051" width="10.140625" style="9" customWidth="1"/>
    <col min="11052" max="11052" width="7.85546875" style="9" customWidth="1"/>
    <col min="11053" max="11053" width="3.42578125" style="9" customWidth="1"/>
    <col min="11054" max="11267" width="8.85546875" style="9"/>
    <col min="11268" max="11268" width="3.42578125" style="9" customWidth="1"/>
    <col min="11269" max="11269" width="19.140625" style="9" customWidth="1"/>
    <col min="11270" max="11270" width="18.85546875" style="9" customWidth="1"/>
    <col min="11271" max="11271" width="6" style="9" customWidth="1"/>
    <col min="11272" max="11296" width="4" style="9" customWidth="1"/>
    <col min="11297" max="11297" width="3.7109375" style="9" customWidth="1"/>
    <col min="11298" max="11302" width="4" style="9" customWidth="1"/>
    <col min="11303" max="11303" width="10.42578125" style="9" customWidth="1"/>
    <col min="11304" max="11304" width="7.85546875" style="9" customWidth="1"/>
    <col min="11305" max="11305" width="5.42578125" style="9" customWidth="1"/>
    <col min="11306" max="11306" width="4.42578125" style="9" customWidth="1"/>
    <col min="11307" max="11307" width="10.140625" style="9" customWidth="1"/>
    <col min="11308" max="11308" width="7.85546875" style="9" customWidth="1"/>
    <col min="11309" max="11309" width="3.42578125" style="9" customWidth="1"/>
    <col min="11310" max="11523" width="8.85546875" style="9"/>
    <col min="11524" max="11524" width="3.42578125" style="9" customWidth="1"/>
    <col min="11525" max="11525" width="19.140625" style="9" customWidth="1"/>
    <col min="11526" max="11526" width="18.85546875" style="9" customWidth="1"/>
    <col min="11527" max="11527" width="6" style="9" customWidth="1"/>
    <col min="11528" max="11552" width="4" style="9" customWidth="1"/>
    <col min="11553" max="11553" width="3.7109375" style="9" customWidth="1"/>
    <col min="11554" max="11558" width="4" style="9" customWidth="1"/>
    <col min="11559" max="11559" width="10.42578125" style="9" customWidth="1"/>
    <col min="11560" max="11560" width="7.85546875" style="9" customWidth="1"/>
    <col min="11561" max="11561" width="5.42578125" style="9" customWidth="1"/>
    <col min="11562" max="11562" width="4.42578125" style="9" customWidth="1"/>
    <col min="11563" max="11563" width="10.140625" style="9" customWidth="1"/>
    <col min="11564" max="11564" width="7.85546875" style="9" customWidth="1"/>
    <col min="11565" max="11565" width="3.42578125" style="9" customWidth="1"/>
    <col min="11566" max="11779" width="8.85546875" style="9"/>
    <col min="11780" max="11780" width="3.42578125" style="9" customWidth="1"/>
    <col min="11781" max="11781" width="19.140625" style="9" customWidth="1"/>
    <col min="11782" max="11782" width="18.85546875" style="9" customWidth="1"/>
    <col min="11783" max="11783" width="6" style="9" customWidth="1"/>
    <col min="11784" max="11808" width="4" style="9" customWidth="1"/>
    <col min="11809" max="11809" width="3.7109375" style="9" customWidth="1"/>
    <col min="11810" max="11814" width="4" style="9" customWidth="1"/>
    <col min="11815" max="11815" width="10.42578125" style="9" customWidth="1"/>
    <col min="11816" max="11816" width="7.85546875" style="9" customWidth="1"/>
    <col min="11817" max="11817" width="5.42578125" style="9" customWidth="1"/>
    <col min="11818" max="11818" width="4.42578125" style="9" customWidth="1"/>
    <col min="11819" max="11819" width="10.140625" style="9" customWidth="1"/>
    <col min="11820" max="11820" width="7.85546875" style="9" customWidth="1"/>
    <col min="11821" max="11821" width="3.42578125" style="9" customWidth="1"/>
    <col min="11822" max="12035" width="8.85546875" style="9"/>
    <col min="12036" max="12036" width="3.42578125" style="9" customWidth="1"/>
    <col min="12037" max="12037" width="19.140625" style="9" customWidth="1"/>
    <col min="12038" max="12038" width="18.85546875" style="9" customWidth="1"/>
    <col min="12039" max="12039" width="6" style="9" customWidth="1"/>
    <col min="12040" max="12064" width="4" style="9" customWidth="1"/>
    <col min="12065" max="12065" width="3.7109375" style="9" customWidth="1"/>
    <col min="12066" max="12070" width="4" style="9" customWidth="1"/>
    <col min="12071" max="12071" width="10.42578125" style="9" customWidth="1"/>
    <col min="12072" max="12072" width="7.85546875" style="9" customWidth="1"/>
    <col min="12073" max="12073" width="5.42578125" style="9" customWidth="1"/>
    <col min="12074" max="12074" width="4.42578125" style="9" customWidth="1"/>
    <col min="12075" max="12075" width="10.140625" style="9" customWidth="1"/>
    <col min="12076" max="12076" width="7.85546875" style="9" customWidth="1"/>
    <col min="12077" max="12077" width="3.42578125" style="9" customWidth="1"/>
    <col min="12078" max="12291" width="8.85546875" style="9"/>
    <col min="12292" max="12292" width="3.42578125" style="9" customWidth="1"/>
    <col min="12293" max="12293" width="19.140625" style="9" customWidth="1"/>
    <col min="12294" max="12294" width="18.85546875" style="9" customWidth="1"/>
    <col min="12295" max="12295" width="6" style="9" customWidth="1"/>
    <col min="12296" max="12320" width="4" style="9" customWidth="1"/>
    <col min="12321" max="12321" width="3.7109375" style="9" customWidth="1"/>
    <col min="12322" max="12326" width="4" style="9" customWidth="1"/>
    <col min="12327" max="12327" width="10.42578125" style="9" customWidth="1"/>
    <col min="12328" max="12328" width="7.85546875" style="9" customWidth="1"/>
    <col min="12329" max="12329" width="5.42578125" style="9" customWidth="1"/>
    <col min="12330" max="12330" width="4.42578125" style="9" customWidth="1"/>
    <col min="12331" max="12331" width="10.140625" style="9" customWidth="1"/>
    <col min="12332" max="12332" width="7.85546875" style="9" customWidth="1"/>
    <col min="12333" max="12333" width="3.42578125" style="9" customWidth="1"/>
    <col min="12334" max="12547" width="8.85546875" style="9"/>
    <col min="12548" max="12548" width="3.42578125" style="9" customWidth="1"/>
    <col min="12549" max="12549" width="19.140625" style="9" customWidth="1"/>
    <col min="12550" max="12550" width="18.85546875" style="9" customWidth="1"/>
    <col min="12551" max="12551" width="6" style="9" customWidth="1"/>
    <col min="12552" max="12576" width="4" style="9" customWidth="1"/>
    <col min="12577" max="12577" width="3.7109375" style="9" customWidth="1"/>
    <col min="12578" max="12582" width="4" style="9" customWidth="1"/>
    <col min="12583" max="12583" width="10.42578125" style="9" customWidth="1"/>
    <col min="12584" max="12584" width="7.85546875" style="9" customWidth="1"/>
    <col min="12585" max="12585" width="5.42578125" style="9" customWidth="1"/>
    <col min="12586" max="12586" width="4.42578125" style="9" customWidth="1"/>
    <col min="12587" max="12587" width="10.140625" style="9" customWidth="1"/>
    <col min="12588" max="12588" width="7.85546875" style="9" customWidth="1"/>
    <col min="12589" max="12589" width="3.42578125" style="9" customWidth="1"/>
    <col min="12590" max="12803" width="8.85546875" style="9"/>
    <col min="12804" max="12804" width="3.42578125" style="9" customWidth="1"/>
    <col min="12805" max="12805" width="19.140625" style="9" customWidth="1"/>
    <col min="12806" max="12806" width="18.85546875" style="9" customWidth="1"/>
    <col min="12807" max="12807" width="6" style="9" customWidth="1"/>
    <col min="12808" max="12832" width="4" style="9" customWidth="1"/>
    <col min="12833" max="12833" width="3.7109375" style="9" customWidth="1"/>
    <col min="12834" max="12838" width="4" style="9" customWidth="1"/>
    <col min="12839" max="12839" width="10.42578125" style="9" customWidth="1"/>
    <col min="12840" max="12840" width="7.85546875" style="9" customWidth="1"/>
    <col min="12841" max="12841" width="5.42578125" style="9" customWidth="1"/>
    <col min="12842" max="12842" width="4.42578125" style="9" customWidth="1"/>
    <col min="12843" max="12843" width="10.140625" style="9" customWidth="1"/>
    <col min="12844" max="12844" width="7.85546875" style="9" customWidth="1"/>
    <col min="12845" max="12845" width="3.42578125" style="9" customWidth="1"/>
    <col min="12846" max="13059" width="8.85546875" style="9"/>
    <col min="13060" max="13060" width="3.42578125" style="9" customWidth="1"/>
    <col min="13061" max="13061" width="19.140625" style="9" customWidth="1"/>
    <col min="13062" max="13062" width="18.85546875" style="9" customWidth="1"/>
    <col min="13063" max="13063" width="6" style="9" customWidth="1"/>
    <col min="13064" max="13088" width="4" style="9" customWidth="1"/>
    <col min="13089" max="13089" width="3.7109375" style="9" customWidth="1"/>
    <col min="13090" max="13094" width="4" style="9" customWidth="1"/>
    <col min="13095" max="13095" width="10.42578125" style="9" customWidth="1"/>
    <col min="13096" max="13096" width="7.85546875" style="9" customWidth="1"/>
    <col min="13097" max="13097" width="5.42578125" style="9" customWidth="1"/>
    <col min="13098" max="13098" width="4.42578125" style="9" customWidth="1"/>
    <col min="13099" max="13099" width="10.140625" style="9" customWidth="1"/>
    <col min="13100" max="13100" width="7.85546875" style="9" customWidth="1"/>
    <col min="13101" max="13101" width="3.42578125" style="9" customWidth="1"/>
    <col min="13102" max="13315" width="8.85546875" style="9"/>
    <col min="13316" max="13316" width="3.42578125" style="9" customWidth="1"/>
    <col min="13317" max="13317" width="19.140625" style="9" customWidth="1"/>
    <col min="13318" max="13318" width="18.85546875" style="9" customWidth="1"/>
    <col min="13319" max="13319" width="6" style="9" customWidth="1"/>
    <col min="13320" max="13344" width="4" style="9" customWidth="1"/>
    <col min="13345" max="13345" width="3.7109375" style="9" customWidth="1"/>
    <col min="13346" max="13350" width="4" style="9" customWidth="1"/>
    <col min="13351" max="13351" width="10.42578125" style="9" customWidth="1"/>
    <col min="13352" max="13352" width="7.85546875" style="9" customWidth="1"/>
    <col min="13353" max="13353" width="5.42578125" style="9" customWidth="1"/>
    <col min="13354" max="13354" width="4.42578125" style="9" customWidth="1"/>
    <col min="13355" max="13355" width="10.140625" style="9" customWidth="1"/>
    <col min="13356" max="13356" width="7.85546875" style="9" customWidth="1"/>
    <col min="13357" max="13357" width="3.42578125" style="9" customWidth="1"/>
    <col min="13358" max="13571" width="8.85546875" style="9"/>
    <col min="13572" max="13572" width="3.42578125" style="9" customWidth="1"/>
    <col min="13573" max="13573" width="19.140625" style="9" customWidth="1"/>
    <col min="13574" max="13574" width="18.85546875" style="9" customWidth="1"/>
    <col min="13575" max="13575" width="6" style="9" customWidth="1"/>
    <col min="13576" max="13600" width="4" style="9" customWidth="1"/>
    <col min="13601" max="13601" width="3.7109375" style="9" customWidth="1"/>
    <col min="13602" max="13606" width="4" style="9" customWidth="1"/>
    <col min="13607" max="13607" width="10.42578125" style="9" customWidth="1"/>
    <col min="13608" max="13608" width="7.85546875" style="9" customWidth="1"/>
    <col min="13609" max="13609" width="5.42578125" style="9" customWidth="1"/>
    <col min="13610" max="13610" width="4.42578125" style="9" customWidth="1"/>
    <col min="13611" max="13611" width="10.140625" style="9" customWidth="1"/>
    <col min="13612" max="13612" width="7.85546875" style="9" customWidth="1"/>
    <col min="13613" max="13613" width="3.42578125" style="9" customWidth="1"/>
    <col min="13614" max="13827" width="8.85546875" style="9"/>
    <col min="13828" max="13828" width="3.42578125" style="9" customWidth="1"/>
    <col min="13829" max="13829" width="19.140625" style="9" customWidth="1"/>
    <col min="13830" max="13830" width="18.85546875" style="9" customWidth="1"/>
    <col min="13831" max="13831" width="6" style="9" customWidth="1"/>
    <col min="13832" max="13856" width="4" style="9" customWidth="1"/>
    <col min="13857" max="13857" width="3.7109375" style="9" customWidth="1"/>
    <col min="13858" max="13862" width="4" style="9" customWidth="1"/>
    <col min="13863" max="13863" width="10.42578125" style="9" customWidth="1"/>
    <col min="13864" max="13864" width="7.85546875" style="9" customWidth="1"/>
    <col min="13865" max="13865" width="5.42578125" style="9" customWidth="1"/>
    <col min="13866" max="13866" width="4.42578125" style="9" customWidth="1"/>
    <col min="13867" max="13867" width="10.140625" style="9" customWidth="1"/>
    <col min="13868" max="13868" width="7.85546875" style="9" customWidth="1"/>
    <col min="13869" max="13869" width="3.42578125" style="9" customWidth="1"/>
    <col min="13870" max="14083" width="8.85546875" style="9"/>
    <col min="14084" max="14084" width="3.42578125" style="9" customWidth="1"/>
    <col min="14085" max="14085" width="19.140625" style="9" customWidth="1"/>
    <col min="14086" max="14086" width="18.85546875" style="9" customWidth="1"/>
    <col min="14087" max="14087" width="6" style="9" customWidth="1"/>
    <col min="14088" max="14112" width="4" style="9" customWidth="1"/>
    <col min="14113" max="14113" width="3.7109375" style="9" customWidth="1"/>
    <col min="14114" max="14118" width="4" style="9" customWidth="1"/>
    <col min="14119" max="14119" width="10.42578125" style="9" customWidth="1"/>
    <col min="14120" max="14120" width="7.85546875" style="9" customWidth="1"/>
    <col min="14121" max="14121" width="5.42578125" style="9" customWidth="1"/>
    <col min="14122" max="14122" width="4.42578125" style="9" customWidth="1"/>
    <col min="14123" max="14123" width="10.140625" style="9" customWidth="1"/>
    <col min="14124" max="14124" width="7.85546875" style="9" customWidth="1"/>
    <col min="14125" max="14125" width="3.42578125" style="9" customWidth="1"/>
    <col min="14126" max="14339" width="8.85546875" style="9"/>
    <col min="14340" max="14340" width="3.42578125" style="9" customWidth="1"/>
    <col min="14341" max="14341" width="19.140625" style="9" customWidth="1"/>
    <col min="14342" max="14342" width="18.85546875" style="9" customWidth="1"/>
    <col min="14343" max="14343" width="6" style="9" customWidth="1"/>
    <col min="14344" max="14368" width="4" style="9" customWidth="1"/>
    <col min="14369" max="14369" width="3.7109375" style="9" customWidth="1"/>
    <col min="14370" max="14374" width="4" style="9" customWidth="1"/>
    <col min="14375" max="14375" width="10.42578125" style="9" customWidth="1"/>
    <col min="14376" max="14376" width="7.85546875" style="9" customWidth="1"/>
    <col min="14377" max="14377" width="5.42578125" style="9" customWidth="1"/>
    <col min="14378" max="14378" width="4.42578125" style="9" customWidth="1"/>
    <col min="14379" max="14379" width="10.140625" style="9" customWidth="1"/>
    <col min="14380" max="14380" width="7.85546875" style="9" customWidth="1"/>
    <col min="14381" max="14381" width="3.42578125" style="9" customWidth="1"/>
    <col min="14382" max="14595" width="8.85546875" style="9"/>
    <col min="14596" max="14596" width="3.42578125" style="9" customWidth="1"/>
    <col min="14597" max="14597" width="19.140625" style="9" customWidth="1"/>
    <col min="14598" max="14598" width="18.85546875" style="9" customWidth="1"/>
    <col min="14599" max="14599" width="6" style="9" customWidth="1"/>
    <col min="14600" max="14624" width="4" style="9" customWidth="1"/>
    <col min="14625" max="14625" width="3.7109375" style="9" customWidth="1"/>
    <col min="14626" max="14630" width="4" style="9" customWidth="1"/>
    <col min="14631" max="14631" width="10.42578125" style="9" customWidth="1"/>
    <col min="14632" max="14632" width="7.85546875" style="9" customWidth="1"/>
    <col min="14633" max="14633" width="5.42578125" style="9" customWidth="1"/>
    <col min="14634" max="14634" width="4.42578125" style="9" customWidth="1"/>
    <col min="14635" max="14635" width="10.140625" style="9" customWidth="1"/>
    <col min="14636" max="14636" width="7.85546875" style="9" customWidth="1"/>
    <col min="14637" max="14637" width="3.42578125" style="9" customWidth="1"/>
    <col min="14638" max="14851" width="8.85546875" style="9"/>
    <col min="14852" max="14852" width="3.42578125" style="9" customWidth="1"/>
    <col min="14853" max="14853" width="19.140625" style="9" customWidth="1"/>
    <col min="14854" max="14854" width="18.85546875" style="9" customWidth="1"/>
    <col min="14855" max="14855" width="6" style="9" customWidth="1"/>
    <col min="14856" max="14880" width="4" style="9" customWidth="1"/>
    <col min="14881" max="14881" width="3.7109375" style="9" customWidth="1"/>
    <col min="14882" max="14886" width="4" style="9" customWidth="1"/>
    <col min="14887" max="14887" width="10.42578125" style="9" customWidth="1"/>
    <col min="14888" max="14888" width="7.85546875" style="9" customWidth="1"/>
    <col min="14889" max="14889" width="5.42578125" style="9" customWidth="1"/>
    <col min="14890" max="14890" width="4.42578125" style="9" customWidth="1"/>
    <col min="14891" max="14891" width="10.140625" style="9" customWidth="1"/>
    <col min="14892" max="14892" width="7.85546875" style="9" customWidth="1"/>
    <col min="14893" max="14893" width="3.42578125" style="9" customWidth="1"/>
    <col min="14894" max="15107" width="8.85546875" style="9"/>
    <col min="15108" max="15108" width="3.42578125" style="9" customWidth="1"/>
    <col min="15109" max="15109" width="19.140625" style="9" customWidth="1"/>
    <col min="15110" max="15110" width="18.85546875" style="9" customWidth="1"/>
    <col min="15111" max="15111" width="6" style="9" customWidth="1"/>
    <col min="15112" max="15136" width="4" style="9" customWidth="1"/>
    <col min="15137" max="15137" width="3.7109375" style="9" customWidth="1"/>
    <col min="15138" max="15142" width="4" style="9" customWidth="1"/>
    <col min="15143" max="15143" width="10.42578125" style="9" customWidth="1"/>
    <col min="15144" max="15144" width="7.85546875" style="9" customWidth="1"/>
    <col min="15145" max="15145" width="5.42578125" style="9" customWidth="1"/>
    <col min="15146" max="15146" width="4.42578125" style="9" customWidth="1"/>
    <col min="15147" max="15147" width="10.140625" style="9" customWidth="1"/>
    <col min="15148" max="15148" width="7.85546875" style="9" customWidth="1"/>
    <col min="15149" max="15149" width="3.42578125" style="9" customWidth="1"/>
    <col min="15150" max="15363" width="8.85546875" style="9"/>
    <col min="15364" max="15364" width="3.42578125" style="9" customWidth="1"/>
    <col min="15365" max="15365" width="19.140625" style="9" customWidth="1"/>
    <col min="15366" max="15366" width="18.85546875" style="9" customWidth="1"/>
    <col min="15367" max="15367" width="6" style="9" customWidth="1"/>
    <col min="15368" max="15392" width="4" style="9" customWidth="1"/>
    <col min="15393" max="15393" width="3.7109375" style="9" customWidth="1"/>
    <col min="15394" max="15398" width="4" style="9" customWidth="1"/>
    <col min="15399" max="15399" width="10.42578125" style="9" customWidth="1"/>
    <col min="15400" max="15400" width="7.85546875" style="9" customWidth="1"/>
    <col min="15401" max="15401" width="5.42578125" style="9" customWidth="1"/>
    <col min="15402" max="15402" width="4.42578125" style="9" customWidth="1"/>
    <col min="15403" max="15403" width="10.140625" style="9" customWidth="1"/>
    <col min="15404" max="15404" width="7.85546875" style="9" customWidth="1"/>
    <col min="15405" max="15405" width="3.42578125" style="9" customWidth="1"/>
    <col min="15406" max="15619" width="8.85546875" style="9"/>
    <col min="15620" max="15620" width="3.42578125" style="9" customWidth="1"/>
    <col min="15621" max="15621" width="19.140625" style="9" customWidth="1"/>
    <col min="15622" max="15622" width="18.85546875" style="9" customWidth="1"/>
    <col min="15623" max="15623" width="6" style="9" customWidth="1"/>
    <col min="15624" max="15648" width="4" style="9" customWidth="1"/>
    <col min="15649" max="15649" width="3.7109375" style="9" customWidth="1"/>
    <col min="15650" max="15654" width="4" style="9" customWidth="1"/>
    <col min="15655" max="15655" width="10.42578125" style="9" customWidth="1"/>
    <col min="15656" max="15656" width="7.85546875" style="9" customWidth="1"/>
    <col min="15657" max="15657" width="5.42578125" style="9" customWidth="1"/>
    <col min="15658" max="15658" width="4.42578125" style="9" customWidth="1"/>
    <col min="15659" max="15659" width="10.140625" style="9" customWidth="1"/>
    <col min="15660" max="15660" width="7.85546875" style="9" customWidth="1"/>
    <col min="15661" max="15661" width="3.42578125" style="9" customWidth="1"/>
    <col min="15662" max="15875" width="8.85546875" style="9"/>
    <col min="15876" max="15876" width="3.42578125" style="9" customWidth="1"/>
    <col min="15877" max="15877" width="19.140625" style="9" customWidth="1"/>
    <col min="15878" max="15878" width="18.85546875" style="9" customWidth="1"/>
    <col min="15879" max="15879" width="6" style="9" customWidth="1"/>
    <col min="15880" max="15904" width="4" style="9" customWidth="1"/>
    <col min="15905" max="15905" width="3.7109375" style="9" customWidth="1"/>
    <col min="15906" max="15910" width="4" style="9" customWidth="1"/>
    <col min="15911" max="15911" width="10.42578125" style="9" customWidth="1"/>
    <col min="15912" max="15912" width="7.85546875" style="9" customWidth="1"/>
    <col min="15913" max="15913" width="5.42578125" style="9" customWidth="1"/>
    <col min="15914" max="15914" width="4.42578125" style="9" customWidth="1"/>
    <col min="15915" max="15915" width="10.140625" style="9" customWidth="1"/>
    <col min="15916" max="15916" width="7.85546875" style="9" customWidth="1"/>
    <col min="15917" max="15917" width="3.42578125" style="9" customWidth="1"/>
    <col min="15918" max="16131" width="8.85546875" style="9"/>
    <col min="16132" max="16132" width="3.42578125" style="9" customWidth="1"/>
    <col min="16133" max="16133" width="19.140625" style="9" customWidth="1"/>
    <col min="16134" max="16134" width="18.85546875" style="9" customWidth="1"/>
    <col min="16135" max="16135" width="6" style="9" customWidth="1"/>
    <col min="16136" max="16160" width="4" style="9" customWidth="1"/>
    <col min="16161" max="16161" width="3.7109375" style="9" customWidth="1"/>
    <col min="16162" max="16166" width="4" style="9" customWidth="1"/>
    <col min="16167" max="16167" width="10.42578125" style="9" customWidth="1"/>
    <col min="16168" max="16168" width="7.85546875" style="9" customWidth="1"/>
    <col min="16169" max="16169" width="5.42578125" style="9" customWidth="1"/>
    <col min="16170" max="16170" width="4.42578125" style="9" customWidth="1"/>
    <col min="16171" max="16171" width="10.140625" style="9" customWidth="1"/>
    <col min="16172" max="16172" width="7.85546875" style="9" customWidth="1"/>
    <col min="16173" max="16173" width="3.42578125" style="9" customWidth="1"/>
    <col min="16174" max="16384" width="8.85546875" style="9"/>
  </cols>
  <sheetData>
    <row r="1" spans="1:46" ht="20.25" hidden="1" customHeight="1" x14ac:dyDescent="0.25">
      <c r="A1" s="11"/>
      <c r="B1" s="11"/>
      <c r="C1" s="12"/>
      <c r="D1" s="13"/>
      <c r="E1" s="132" t="s">
        <v>135</v>
      </c>
      <c r="F1" s="133"/>
      <c r="G1" s="133"/>
      <c r="H1" s="133"/>
      <c r="I1" s="134"/>
      <c r="J1" s="14" t="e">
        <f>DAY(DATE(YEAR(#REF!),MONTH(#REF!)+1,))</f>
        <v>#REF!</v>
      </c>
      <c r="K1" s="129" t="s">
        <v>136</v>
      </c>
      <c r="L1" s="130"/>
      <c r="M1" s="130"/>
      <c r="N1" s="130"/>
      <c r="O1" s="130"/>
      <c r="P1" s="130"/>
      <c r="Q1" s="130"/>
      <c r="R1" s="131"/>
      <c r="S1" s="15">
        <v>4</v>
      </c>
      <c r="T1" s="16"/>
    </row>
    <row r="2" spans="1:46" ht="20.25" customHeight="1" x14ac:dyDescent="0.25">
      <c r="A2" s="30"/>
      <c r="B2" s="30"/>
      <c r="C2" s="68"/>
      <c r="D2" s="31"/>
      <c r="E2" s="32"/>
      <c r="F2" s="33"/>
      <c r="G2" s="33"/>
      <c r="H2" s="33"/>
      <c r="I2" s="33"/>
      <c r="J2" s="34"/>
      <c r="K2" s="35"/>
      <c r="L2" s="35"/>
      <c r="M2" s="35"/>
      <c r="N2" s="35"/>
      <c r="O2" s="35"/>
      <c r="P2" s="35"/>
      <c r="Q2" s="35"/>
      <c r="R2" s="35"/>
      <c r="S2" s="36"/>
      <c r="T2" s="16"/>
    </row>
    <row r="3" spans="1:46" ht="22.5" customHeight="1" x14ac:dyDescent="0.25">
      <c r="A3" s="116" t="s">
        <v>5</v>
      </c>
      <c r="B3" s="116" t="s">
        <v>7</v>
      </c>
      <c r="C3" s="116" t="s">
        <v>138</v>
      </c>
      <c r="D3" s="116" t="s">
        <v>6</v>
      </c>
      <c r="E3" s="122" t="s">
        <v>8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4"/>
      <c r="AJ3" s="118" t="s">
        <v>122</v>
      </c>
      <c r="AK3" s="118" t="s">
        <v>3</v>
      </c>
      <c r="AL3" s="121" t="s">
        <v>142</v>
      </c>
      <c r="AM3" s="125" t="s">
        <v>145</v>
      </c>
      <c r="AN3" s="121" t="s">
        <v>123</v>
      </c>
      <c r="AO3" s="121" t="s">
        <v>127</v>
      </c>
      <c r="AP3" s="121" t="s">
        <v>125</v>
      </c>
      <c r="AQ3" s="121" t="s">
        <v>124</v>
      </c>
      <c r="AR3" s="121" t="s">
        <v>95</v>
      </c>
      <c r="AS3" s="113" t="s">
        <v>126</v>
      </c>
    </row>
    <row r="4" spans="1:46" ht="28.5" hidden="1" customHeight="1" x14ac:dyDescent="0.25">
      <c r="A4" s="116"/>
      <c r="B4" s="116"/>
      <c r="C4" s="116"/>
      <c r="D4" s="116"/>
      <c r="E4" s="17" t="e">
        <f t="shared" ref="E4:AI4" si="0">IF(COLUMN()-Toffset&lt;=Tdays,1,0)</f>
        <v>#NAME?</v>
      </c>
      <c r="F4" s="17" t="e">
        <f>IF(COLUMN()-Toffset&lt;=Tdays,1,0)</f>
        <v>#NAME?</v>
      </c>
      <c r="G4" s="17" t="e">
        <f t="shared" si="0"/>
        <v>#NAME?</v>
      </c>
      <c r="H4" s="17" t="e">
        <f>IF(COLUMN()-Toffset&lt;=Tdays,1,0)</f>
        <v>#NAME?</v>
      </c>
      <c r="I4" s="17" t="e">
        <f t="shared" si="0"/>
        <v>#NAME?</v>
      </c>
      <c r="J4" s="17" t="e">
        <f t="shared" si="0"/>
        <v>#NAME?</v>
      </c>
      <c r="K4" s="17" t="e">
        <f t="shared" si="0"/>
        <v>#NAME?</v>
      </c>
      <c r="L4" s="17" t="e">
        <f t="shared" si="0"/>
        <v>#NAME?</v>
      </c>
      <c r="M4" s="17" t="e">
        <f t="shared" si="0"/>
        <v>#NAME?</v>
      </c>
      <c r="N4" s="17" t="e">
        <f t="shared" si="0"/>
        <v>#NAME?</v>
      </c>
      <c r="O4" s="17" t="e">
        <f t="shared" si="0"/>
        <v>#NAME?</v>
      </c>
      <c r="P4" s="17" t="e">
        <f t="shared" si="0"/>
        <v>#NAME?</v>
      </c>
      <c r="Q4" s="17" t="e">
        <f t="shared" si="0"/>
        <v>#NAME?</v>
      </c>
      <c r="R4" s="17" t="e">
        <f t="shared" si="0"/>
        <v>#NAME?</v>
      </c>
      <c r="S4" s="17" t="e">
        <f t="shared" si="0"/>
        <v>#NAME?</v>
      </c>
      <c r="T4" s="17" t="e">
        <f t="shared" si="0"/>
        <v>#NAME?</v>
      </c>
      <c r="U4" s="17" t="e">
        <f t="shared" si="0"/>
        <v>#NAME?</v>
      </c>
      <c r="V4" s="17" t="e">
        <f t="shared" si="0"/>
        <v>#NAME?</v>
      </c>
      <c r="W4" s="17" t="e">
        <f t="shared" si="0"/>
        <v>#NAME?</v>
      </c>
      <c r="X4" s="17" t="e">
        <f t="shared" si="0"/>
        <v>#NAME?</v>
      </c>
      <c r="Y4" s="17" t="e">
        <f t="shared" si="0"/>
        <v>#NAME?</v>
      </c>
      <c r="Z4" s="17" t="e">
        <f t="shared" si="0"/>
        <v>#NAME?</v>
      </c>
      <c r="AA4" s="17" t="e">
        <f t="shared" si="0"/>
        <v>#NAME?</v>
      </c>
      <c r="AB4" s="17" t="e">
        <f t="shared" si="0"/>
        <v>#NAME?</v>
      </c>
      <c r="AC4" s="17" t="e">
        <f t="shared" si="0"/>
        <v>#NAME?</v>
      </c>
      <c r="AD4" s="17" t="e">
        <f t="shared" si="0"/>
        <v>#NAME?</v>
      </c>
      <c r="AE4" s="17" t="e">
        <f t="shared" si="0"/>
        <v>#NAME?</v>
      </c>
      <c r="AF4" s="17" t="e">
        <f t="shared" si="0"/>
        <v>#NAME?</v>
      </c>
      <c r="AG4" s="17" t="e">
        <f t="shared" si="0"/>
        <v>#NAME?</v>
      </c>
      <c r="AH4" s="17" t="e">
        <f t="shared" si="0"/>
        <v>#NAME?</v>
      </c>
      <c r="AI4" s="17" t="e">
        <f t="shared" si="0"/>
        <v>#NAME?</v>
      </c>
      <c r="AJ4" s="119"/>
      <c r="AK4" s="119"/>
      <c r="AL4" s="119"/>
      <c r="AM4" s="114"/>
      <c r="AN4" s="119"/>
      <c r="AO4" s="119"/>
      <c r="AP4" s="119"/>
      <c r="AQ4" s="119"/>
      <c r="AR4" s="119"/>
      <c r="AS4" s="114"/>
    </row>
    <row r="5" spans="1:46" ht="57.75" customHeight="1" x14ac:dyDescent="0.25">
      <c r="A5" s="117"/>
      <c r="B5" s="117"/>
      <c r="C5" s="117"/>
      <c r="D5" s="117"/>
      <c r="E5" s="18">
        <v>42370</v>
      </c>
      <c r="F5" s="18">
        <v>42371</v>
      </c>
      <c r="G5" s="18">
        <v>42372</v>
      </c>
      <c r="H5" s="18">
        <v>42373</v>
      </c>
      <c r="I5" s="18">
        <v>42374</v>
      </c>
      <c r="J5" s="18">
        <v>42375</v>
      </c>
      <c r="K5" s="18">
        <v>42376</v>
      </c>
      <c r="L5" s="18">
        <v>42377</v>
      </c>
      <c r="M5" s="18">
        <v>42378</v>
      </c>
      <c r="N5" s="18">
        <v>42379</v>
      </c>
      <c r="O5" s="18">
        <v>42380</v>
      </c>
      <c r="P5" s="18">
        <v>42381</v>
      </c>
      <c r="Q5" s="18">
        <v>42382</v>
      </c>
      <c r="R5" s="18">
        <v>42383</v>
      </c>
      <c r="S5" s="18">
        <v>42384</v>
      </c>
      <c r="T5" s="18">
        <v>42385</v>
      </c>
      <c r="U5" s="18">
        <v>42386</v>
      </c>
      <c r="V5" s="18">
        <v>42387</v>
      </c>
      <c r="W5" s="18">
        <v>42388</v>
      </c>
      <c r="X5" s="18">
        <v>42389</v>
      </c>
      <c r="Y5" s="18">
        <v>42390</v>
      </c>
      <c r="Z5" s="18">
        <v>42391</v>
      </c>
      <c r="AA5" s="18">
        <v>42392</v>
      </c>
      <c r="AB5" s="18">
        <v>42393</v>
      </c>
      <c r="AC5" s="18">
        <v>42394</v>
      </c>
      <c r="AD5" s="18">
        <v>42395</v>
      </c>
      <c r="AE5" s="18">
        <v>42396</v>
      </c>
      <c r="AF5" s="18">
        <v>42397</v>
      </c>
      <c r="AG5" s="18">
        <v>42398</v>
      </c>
      <c r="AH5" s="18">
        <v>42399</v>
      </c>
      <c r="AI5" s="18">
        <v>42400</v>
      </c>
      <c r="AJ5" s="120"/>
      <c r="AK5" s="120"/>
      <c r="AL5" s="120"/>
      <c r="AM5" s="115"/>
      <c r="AN5" s="120"/>
      <c r="AO5" s="120"/>
      <c r="AP5" s="120"/>
      <c r="AQ5" s="120"/>
      <c r="AR5" s="120"/>
      <c r="AS5" s="115"/>
    </row>
    <row r="6" spans="1:46" ht="22.5" customHeight="1" x14ac:dyDescent="0.25">
      <c r="A6" s="19">
        <v>1</v>
      </c>
      <c r="B6" s="65"/>
      <c r="C6" s="67" t="s">
        <v>9</v>
      </c>
      <c r="D6" s="50" t="s">
        <v>28</v>
      </c>
      <c r="E6" s="23" t="s">
        <v>43</v>
      </c>
      <c r="F6" s="23">
        <v>12</v>
      </c>
      <c r="G6" s="23" t="s">
        <v>14</v>
      </c>
      <c r="H6" s="23">
        <v>8</v>
      </c>
      <c r="I6" s="23" t="s">
        <v>43</v>
      </c>
      <c r="J6" s="23" t="s">
        <v>43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>
        <f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2</v>
      </c>
      <c r="AK6" s="25">
        <f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20</v>
      </c>
      <c r="AL6" s="26"/>
      <c r="AM6" s="27"/>
      <c r="AN6" s="28"/>
      <c r="AO6" s="25"/>
      <c r="AP6" s="25"/>
      <c r="AQ6" s="25"/>
      <c r="AR6" s="25"/>
      <c r="AS6" s="25"/>
    </row>
    <row r="7" spans="1:46" ht="21" customHeight="1" thickBot="1" x14ac:dyDescent="0.3">
      <c r="A7" s="19">
        <f t="shared" ref="A7:A16" si="1">IF(C7&lt;&gt;"",ROW()-ROW(A$5),"")</f>
        <v>2</v>
      </c>
      <c r="B7" s="65"/>
      <c r="C7" s="67" t="s">
        <v>17</v>
      </c>
      <c r="D7" s="54" t="s">
        <v>28</v>
      </c>
      <c r="E7" s="23" t="s">
        <v>43</v>
      </c>
      <c r="F7" s="23">
        <v>12</v>
      </c>
      <c r="G7" s="23" t="s">
        <v>14</v>
      </c>
      <c r="H7" s="23">
        <v>12</v>
      </c>
      <c r="I7" s="23" t="s">
        <v>43</v>
      </c>
      <c r="J7" s="23" t="s">
        <v>43</v>
      </c>
      <c r="K7" s="23"/>
      <c r="L7" s="23"/>
      <c r="M7" s="23"/>
      <c r="N7" s="23"/>
      <c r="O7" s="23"/>
      <c r="P7" s="76"/>
      <c r="Q7" s="76"/>
      <c r="R7" s="76"/>
      <c r="S7" s="76"/>
      <c r="T7" s="76"/>
      <c r="U7" s="76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>
        <f t="shared" ref="AJ7:AJ18" si="2">COUNTIF($E7:$AI7,"&gt;0")+COUNTIF($E7:$AI7,"1'")+COUNTIF($E7:$AI7,"2'")+COUNTIF($E7:$AI7,"3'")+COUNTIF($E7:$AI7,"4'")+COUNTIF($E7:$AI7,"5'")+COUNTIF($E7:$AI7,"6'")+COUNTIF($E7:$AI7,"7'")+COUNTIF($E7:$AI7,"8'")+COUNTIF($E7:$AI7,"9'")+COUNTIF($E7:$AI7,"10'")+COUNTIF($E7:$AI7,"11'")+COUNTIF($E7:$AI7,"12'")</f>
        <v>2</v>
      </c>
      <c r="AK7" s="25">
        <f t="shared" ref="AK7:AK18" si="3">SUM($E7:$AI7)+COUNTIF($E7:$AI7,"12'")*12+COUNTIF($E7:$AI7,"11'")*11+COUNTIF($E7:$AI7,"10'")*10+COUNTIF($E7:$AI7,"9'")*9+COUNTIF($E7:$AI7,"8'")*8+COUNTIF($E7:$AI7,"7'")*7+COUNTIF($E7:$AI7,"6'")*6+COUNTIF($E7:$AI7,"5'")*5+COUNTIF($E7:$AI7,"4'")*4+COUNTIF($E7:$AI7,"3'")*3+COUNTIF($E7:$AI7,"2'")*2+COUNTIF($E7:$AI7,"1'")*1</f>
        <v>24</v>
      </c>
      <c r="AL7" s="26"/>
      <c r="AM7" s="27"/>
      <c r="AN7" s="28"/>
      <c r="AO7" s="25"/>
      <c r="AP7" s="25"/>
      <c r="AQ7" s="25"/>
      <c r="AR7" s="25"/>
      <c r="AS7" s="25"/>
    </row>
    <row r="8" spans="1:46" ht="21" customHeight="1" x14ac:dyDescent="0.25">
      <c r="A8" s="19">
        <f t="shared" si="1"/>
        <v>3</v>
      </c>
      <c r="B8" s="20"/>
      <c r="C8" s="21" t="str">
        <f>IFERROR(VLOOKUP(ROW($A3),БДМ№1!$A$5:$D$47,COLUMN(),0),"")</f>
        <v>Орловский А.М.</v>
      </c>
      <c r="D8" s="22" t="str">
        <f>IFERROR(VLOOKUP(ROW($A3),БДМ№1!$A$5:$D$47,COLUMN(),0),"")</f>
        <v>Перссовщик 3 р.</v>
      </c>
      <c r="E8" s="23" t="s">
        <v>43</v>
      </c>
      <c r="F8" s="23">
        <v>12</v>
      </c>
      <c r="G8" s="23" t="s">
        <v>14</v>
      </c>
      <c r="H8" s="23">
        <v>12</v>
      </c>
      <c r="I8" s="23" t="s">
        <v>43</v>
      </c>
      <c r="J8" s="23" t="s">
        <v>43</v>
      </c>
      <c r="K8" s="23"/>
      <c r="L8" s="23"/>
      <c r="M8" s="23"/>
      <c r="N8" s="23"/>
      <c r="O8" s="74"/>
      <c r="P8" s="126" t="s">
        <v>162</v>
      </c>
      <c r="Q8" s="127"/>
      <c r="R8" s="127"/>
      <c r="S8" s="127"/>
      <c r="T8" s="127"/>
      <c r="U8" s="128"/>
      <c r="V8" s="75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>
        <f t="shared" si="2"/>
        <v>2</v>
      </c>
      <c r="AK8" s="25">
        <f t="shared" si="3"/>
        <v>24</v>
      </c>
      <c r="AL8" s="26"/>
      <c r="AM8" s="27"/>
      <c r="AN8" s="28"/>
      <c r="AO8" s="25"/>
      <c r="AP8" s="25"/>
      <c r="AQ8" s="25"/>
      <c r="AR8" s="25"/>
      <c r="AS8" s="25"/>
    </row>
    <row r="9" spans="1:46" ht="21" customHeight="1" x14ac:dyDescent="0.25">
      <c r="A9" s="19">
        <f t="shared" si="1"/>
        <v>4</v>
      </c>
      <c r="B9" s="20"/>
      <c r="C9" s="21" t="str">
        <f>IFERROR(VLOOKUP(ROW($A4),БДМ№1!$A$5:$D$47,COLUMN(),0),"")</f>
        <v>Брикун М.А.</v>
      </c>
      <c r="D9" s="22" t="str">
        <f>IFERROR(VLOOKUP(ROW($A4),БДМ№1!$A$5:$D$47,COLUMN(),0),"")</f>
        <v>Сушильщик 4 р.</v>
      </c>
      <c r="E9" s="23" t="s">
        <v>43</v>
      </c>
      <c r="F9" s="23">
        <v>13</v>
      </c>
      <c r="G9" s="23" t="s">
        <v>14</v>
      </c>
      <c r="H9" s="23">
        <v>13</v>
      </c>
      <c r="I9" s="23" t="s">
        <v>43</v>
      </c>
      <c r="J9" s="23" t="s">
        <v>43</v>
      </c>
      <c r="K9" s="23"/>
      <c r="L9" s="23"/>
      <c r="M9" s="23"/>
      <c r="N9" s="23"/>
      <c r="O9" s="74"/>
      <c r="P9" s="107" t="s">
        <v>163</v>
      </c>
      <c r="Q9" s="108"/>
      <c r="R9" s="108"/>
      <c r="S9" s="108"/>
      <c r="T9" s="108"/>
      <c r="U9" s="109"/>
      <c r="V9" s="75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>
        <f t="shared" si="2"/>
        <v>2</v>
      </c>
      <c r="AK9" s="25">
        <f t="shared" si="3"/>
        <v>26</v>
      </c>
      <c r="AL9" s="26"/>
      <c r="AM9" s="27"/>
      <c r="AN9" s="28"/>
      <c r="AO9" s="25"/>
      <c r="AP9" s="25"/>
      <c r="AQ9" s="25"/>
      <c r="AR9" s="25"/>
      <c r="AS9" s="25"/>
    </row>
    <row r="10" spans="1:46" ht="21" customHeight="1" x14ac:dyDescent="0.25">
      <c r="A10" s="19">
        <f t="shared" si="1"/>
        <v>5</v>
      </c>
      <c r="B10" s="20"/>
      <c r="C10" s="21" t="str">
        <f>IFERROR(VLOOKUP(ROW($A5),БДМ№1!$A$5:$D$47,COLUMN(),0),"")</f>
        <v>Жизневская Т.Ф.</v>
      </c>
      <c r="D10" s="22" t="str">
        <f>IFERROR(VLOOKUP(ROW($A5),БДМ№1!$A$5:$D$47,COLUMN(),0),"")</f>
        <v>Разм. РПО 4 р.</v>
      </c>
      <c r="E10" s="23" t="s">
        <v>43</v>
      </c>
      <c r="F10" s="23" t="s">
        <v>14</v>
      </c>
      <c r="G10" s="23" t="s">
        <v>44</v>
      </c>
      <c r="H10" s="23" t="s">
        <v>44</v>
      </c>
      <c r="I10" s="23">
        <v>12</v>
      </c>
      <c r="J10" s="23" t="s">
        <v>43</v>
      </c>
      <c r="K10" s="23"/>
      <c r="L10" s="23"/>
      <c r="M10" s="23"/>
      <c r="N10" s="23"/>
      <c r="O10" s="74"/>
      <c r="P10" s="107" t="s">
        <v>158</v>
      </c>
      <c r="Q10" s="108"/>
      <c r="R10" s="108"/>
      <c r="S10" s="108"/>
      <c r="T10" s="108"/>
      <c r="U10" s="109"/>
      <c r="V10" s="75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>
        <f t="shared" si="2"/>
        <v>1</v>
      </c>
      <c r="AK10" s="25">
        <f t="shared" si="3"/>
        <v>12</v>
      </c>
      <c r="AL10" s="26"/>
      <c r="AM10" s="27"/>
      <c r="AN10" s="28"/>
      <c r="AO10" s="25"/>
      <c r="AP10" s="25"/>
      <c r="AQ10" s="25"/>
      <c r="AR10" s="25"/>
      <c r="AS10" s="25"/>
    </row>
    <row r="11" spans="1:46" ht="21" customHeight="1" x14ac:dyDescent="0.25">
      <c r="A11" s="19">
        <f t="shared" si="1"/>
        <v>6</v>
      </c>
      <c r="B11" s="20"/>
      <c r="C11" s="21" t="str">
        <f>IFERROR(VLOOKUP(ROW($A6),БДМ№1!$A$5:$D$47,COLUMN(),0),"")</f>
        <v>Залан А.В.</v>
      </c>
      <c r="D11" s="22" t="str">
        <f>IFERROR(VLOOKUP(ROW($A6),БДМ№1!$A$5:$D$47,COLUMN(),0),"")</f>
        <v>Разм. РПО 3 р.</v>
      </c>
      <c r="E11" s="23" t="s">
        <v>43</v>
      </c>
      <c r="F11" s="23" t="s">
        <v>14</v>
      </c>
      <c r="G11" s="23" t="s">
        <v>14</v>
      </c>
      <c r="H11" s="23">
        <v>12</v>
      </c>
      <c r="I11" s="23" t="s">
        <v>43</v>
      </c>
      <c r="J11" s="23" t="s">
        <v>43</v>
      </c>
      <c r="K11" s="23"/>
      <c r="L11" s="23"/>
      <c r="M11" s="23"/>
      <c r="N11" s="23"/>
      <c r="O11" s="74"/>
      <c r="P11" s="107" t="s">
        <v>159</v>
      </c>
      <c r="Q11" s="108"/>
      <c r="R11" s="108"/>
      <c r="S11" s="108"/>
      <c r="T11" s="108"/>
      <c r="U11" s="109"/>
      <c r="V11" s="75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>
        <f t="shared" si="2"/>
        <v>1</v>
      </c>
      <c r="AK11" s="25">
        <f t="shared" si="3"/>
        <v>12</v>
      </c>
      <c r="AL11" s="26"/>
      <c r="AM11" s="27"/>
      <c r="AN11" s="28"/>
      <c r="AO11" s="25"/>
      <c r="AP11" s="25"/>
      <c r="AQ11" s="25"/>
      <c r="AR11" s="25"/>
      <c r="AS11" s="25"/>
    </row>
    <row r="12" spans="1:46" ht="21" customHeight="1" x14ac:dyDescent="0.25">
      <c r="A12" s="19">
        <f t="shared" si="1"/>
        <v>7</v>
      </c>
      <c r="B12" s="20"/>
      <c r="C12" s="21" t="str">
        <f>IFERROR(VLOOKUP(ROW($A7),БДМ№1!$A$5:$D$47,COLUMN(),0),"")</f>
        <v>Грузд Н.Н.</v>
      </c>
      <c r="D12" s="22" t="str">
        <f>IFERROR(VLOOKUP(ROW($A7),БДМ№1!$A$5:$D$47,COLUMN(),0),"")</f>
        <v>Ап.пр.хим.р-в 3 р.</v>
      </c>
      <c r="E12" s="23" t="s">
        <v>43</v>
      </c>
      <c r="F12" s="23" t="s">
        <v>146</v>
      </c>
      <c r="G12" s="23" t="s">
        <v>44</v>
      </c>
      <c r="H12" s="23">
        <v>12</v>
      </c>
      <c r="I12" s="23" t="s">
        <v>43</v>
      </c>
      <c r="J12" s="23" t="s">
        <v>43</v>
      </c>
      <c r="K12" s="23"/>
      <c r="L12" s="23"/>
      <c r="M12" s="23"/>
      <c r="N12" s="23"/>
      <c r="O12" s="74"/>
      <c r="P12" s="107" t="s">
        <v>160</v>
      </c>
      <c r="Q12" s="108"/>
      <c r="R12" s="108"/>
      <c r="S12" s="108"/>
      <c r="T12" s="108"/>
      <c r="U12" s="109"/>
      <c r="V12" s="75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4">
        <f t="shared" si="2"/>
        <v>2</v>
      </c>
      <c r="AK12" s="25">
        <f t="shared" si="3"/>
        <v>24</v>
      </c>
      <c r="AL12" s="26"/>
      <c r="AM12" s="27"/>
      <c r="AN12" s="28"/>
      <c r="AO12" s="25"/>
      <c r="AP12" s="25"/>
      <c r="AQ12" s="25"/>
      <c r="AR12" s="25"/>
      <c r="AS12" s="25"/>
    </row>
    <row r="13" spans="1:46" s="10" customFormat="1" ht="21" customHeight="1" thickBot="1" x14ac:dyDescent="0.3">
      <c r="A13" s="19">
        <f t="shared" si="1"/>
        <v>8</v>
      </c>
      <c r="B13" s="20"/>
      <c r="C13" s="21" t="str">
        <f>IFERROR(VLOOKUP(ROW($A8),БДМ№1!$A$5:$D$47,COLUMN(),0),"")</f>
        <v>Кудревич О.М.</v>
      </c>
      <c r="D13" s="22" t="str">
        <f>IFERROR(VLOOKUP(ROW($A8),БДМ№1!$A$5:$D$47,COLUMN(),0),"")</f>
        <v>Ап.пр.хим.р-в 3 р.</v>
      </c>
      <c r="E13" s="23" t="s">
        <v>43</v>
      </c>
      <c r="F13" s="23" t="s">
        <v>14</v>
      </c>
      <c r="G13" s="23" t="s">
        <v>44</v>
      </c>
      <c r="H13" s="23">
        <v>12</v>
      </c>
      <c r="I13" s="23" t="s">
        <v>43</v>
      </c>
      <c r="J13" s="23" t="s">
        <v>43</v>
      </c>
      <c r="K13" s="23"/>
      <c r="L13" s="23"/>
      <c r="M13" s="23"/>
      <c r="N13" s="23"/>
      <c r="O13" s="74"/>
      <c r="P13" s="110" t="s">
        <v>161</v>
      </c>
      <c r="Q13" s="111"/>
      <c r="R13" s="111"/>
      <c r="S13" s="111"/>
      <c r="T13" s="111"/>
      <c r="U13" s="112"/>
      <c r="V13" s="75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>
        <f t="shared" si="2"/>
        <v>1</v>
      </c>
      <c r="AK13" s="25">
        <f t="shared" si="3"/>
        <v>12</v>
      </c>
      <c r="AL13" s="26"/>
      <c r="AM13" s="27"/>
      <c r="AN13" s="28"/>
      <c r="AO13" s="25"/>
      <c r="AP13" s="25"/>
      <c r="AQ13" s="25"/>
      <c r="AR13" s="25"/>
      <c r="AS13" s="25"/>
      <c r="AT13" s="9"/>
    </row>
    <row r="14" spans="1:46" s="10" customFormat="1" ht="21" customHeight="1" x14ac:dyDescent="0.25">
      <c r="A14" s="19">
        <f t="shared" si="1"/>
        <v>9</v>
      </c>
      <c r="B14" s="20"/>
      <c r="C14" s="21" t="str">
        <f>IFERROR(VLOOKUP(ROW($A9),БДМ№1!$A$5:$D$47,COLUMN(),0),"")</f>
        <v>Заяц Т.Л.</v>
      </c>
      <c r="D14" s="22" t="str">
        <f>IFERROR(VLOOKUP(ROW($A9),БДМ№1!$A$5:$D$47,COLUMN(),0),"")</f>
        <v>Резчик ПРС 4 р.</v>
      </c>
      <c r="E14" s="23" t="s">
        <v>43</v>
      </c>
      <c r="F14" s="23">
        <v>12</v>
      </c>
      <c r="G14" s="23" t="s">
        <v>44</v>
      </c>
      <c r="H14" s="23">
        <v>12</v>
      </c>
      <c r="I14" s="23" t="s">
        <v>43</v>
      </c>
      <c r="J14" s="23" t="s">
        <v>43</v>
      </c>
      <c r="K14" s="23"/>
      <c r="L14" s="23"/>
      <c r="M14" s="23"/>
      <c r="N14" s="23"/>
      <c r="O14" s="23"/>
      <c r="P14" s="77"/>
      <c r="Q14" s="77"/>
      <c r="R14" s="77"/>
      <c r="S14" s="77"/>
      <c r="T14" s="77"/>
      <c r="U14" s="77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>
        <f t="shared" si="2"/>
        <v>2</v>
      </c>
      <c r="AK14" s="25">
        <f t="shared" si="3"/>
        <v>24</v>
      </c>
      <c r="AL14" s="26"/>
      <c r="AM14" s="27"/>
      <c r="AN14" s="28"/>
      <c r="AO14" s="25"/>
      <c r="AP14" s="25"/>
      <c r="AQ14" s="25"/>
      <c r="AR14" s="25"/>
      <c r="AS14" s="25"/>
      <c r="AT14" s="9"/>
    </row>
    <row r="15" spans="1:46" s="10" customFormat="1" ht="21" customHeight="1" x14ac:dyDescent="0.25">
      <c r="A15" s="19">
        <f t="shared" si="1"/>
        <v>10</v>
      </c>
      <c r="B15" s="20"/>
      <c r="C15" s="21" t="str">
        <f>IFERROR(VLOOKUP(ROW($A10),БДМ№1!$A$5:$D$47,COLUMN(),0),"")</f>
        <v>Кадевич О.В.</v>
      </c>
      <c r="D15" s="22" t="str">
        <f>IFERROR(VLOOKUP(ROW($A10),БДМ№1!$A$5:$D$47,COLUMN(),0),"")</f>
        <v>Резчик ПРС 3 р.</v>
      </c>
      <c r="E15" s="23" t="s">
        <v>43</v>
      </c>
      <c r="F15" s="23">
        <v>12</v>
      </c>
      <c r="G15" s="23" t="s">
        <v>14</v>
      </c>
      <c r="H15" s="23">
        <v>12</v>
      </c>
      <c r="I15" s="23" t="s">
        <v>43</v>
      </c>
      <c r="J15" s="23" t="s">
        <v>43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>
        <f t="shared" si="2"/>
        <v>2</v>
      </c>
      <c r="AK15" s="25">
        <f t="shared" si="3"/>
        <v>24</v>
      </c>
      <c r="AL15" s="26"/>
      <c r="AM15" s="27"/>
      <c r="AN15" s="28"/>
      <c r="AO15" s="25"/>
      <c r="AP15" s="25"/>
      <c r="AQ15" s="25"/>
      <c r="AR15" s="25"/>
      <c r="AS15" s="25"/>
      <c r="AT15" s="9"/>
    </row>
    <row r="16" spans="1:46" s="10" customFormat="1" ht="21" customHeight="1" x14ac:dyDescent="0.25">
      <c r="A16" s="19">
        <f t="shared" si="1"/>
        <v>11</v>
      </c>
      <c r="B16" s="20"/>
      <c r="C16" s="21" t="str">
        <f>IFERROR(VLOOKUP(ROW($A11),БДМ№1!$A$5:$D$47,COLUMN(),0),"")</f>
        <v>Амосова Т.Ф.</v>
      </c>
      <c r="D16" s="22" t="str">
        <f>IFERROR(VLOOKUP(ROW($A11),БДМ№1!$A$5:$D$47,COLUMN(),0),"")</f>
        <v>Маш.уп. маш. 2 р.</v>
      </c>
      <c r="E16" s="23" t="s">
        <v>43</v>
      </c>
      <c r="F16" s="23">
        <v>12</v>
      </c>
      <c r="G16" s="23" t="s">
        <v>44</v>
      </c>
      <c r="H16" s="23">
        <v>12</v>
      </c>
      <c r="I16" s="23" t="s">
        <v>43</v>
      </c>
      <c r="J16" s="23" t="s">
        <v>43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>
        <f t="shared" si="2"/>
        <v>2</v>
      </c>
      <c r="AK16" s="25">
        <f t="shared" si="3"/>
        <v>24</v>
      </c>
      <c r="AL16" s="26"/>
      <c r="AM16" s="27"/>
      <c r="AN16" s="28"/>
      <c r="AO16" s="25"/>
      <c r="AP16" s="25"/>
      <c r="AQ16" s="25"/>
      <c r="AR16" s="25"/>
      <c r="AS16" s="25"/>
      <c r="AT16" s="9"/>
    </row>
    <row r="17" spans="1:46" s="10" customFormat="1" ht="21" customHeight="1" x14ac:dyDescent="0.25">
      <c r="A17" s="19">
        <v>12</v>
      </c>
      <c r="B17" s="65"/>
      <c r="C17" s="67" t="s">
        <v>10</v>
      </c>
      <c r="D17" s="54" t="s">
        <v>30</v>
      </c>
      <c r="E17" s="23" t="s">
        <v>43</v>
      </c>
      <c r="F17" s="23">
        <v>12</v>
      </c>
      <c r="G17" s="23" t="s">
        <v>44</v>
      </c>
      <c r="H17" s="23">
        <v>12</v>
      </c>
      <c r="I17" s="23">
        <v>12</v>
      </c>
      <c r="J17" s="23" t="s">
        <v>43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>
        <f t="shared" si="2"/>
        <v>3</v>
      </c>
      <c r="AK17" s="25">
        <f t="shared" si="3"/>
        <v>36</v>
      </c>
      <c r="AL17" s="26"/>
      <c r="AM17" s="29"/>
      <c r="AN17" s="28"/>
      <c r="AO17" s="25"/>
      <c r="AP17" s="25"/>
      <c r="AQ17" s="25"/>
      <c r="AR17" s="25"/>
      <c r="AS17" s="25"/>
      <c r="AT17" s="9"/>
    </row>
    <row r="18" spans="1:46" s="10" customFormat="1" ht="21" customHeight="1" x14ac:dyDescent="0.25">
      <c r="A18" s="19">
        <v>13</v>
      </c>
      <c r="B18" s="20"/>
      <c r="C18" s="21" t="s">
        <v>147</v>
      </c>
      <c r="D18" s="22" t="s">
        <v>45</v>
      </c>
      <c r="E18" s="23" t="s">
        <v>43</v>
      </c>
      <c r="F18" s="23">
        <v>12</v>
      </c>
      <c r="G18" s="23" t="s">
        <v>44</v>
      </c>
      <c r="H18" s="23">
        <v>12</v>
      </c>
      <c r="I18" s="23" t="s">
        <v>43</v>
      </c>
      <c r="J18" s="23" t="s">
        <v>43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>
        <f t="shared" si="2"/>
        <v>2</v>
      </c>
      <c r="AK18" s="25">
        <f t="shared" si="3"/>
        <v>24</v>
      </c>
      <c r="AL18" s="26"/>
      <c r="AM18" s="27"/>
      <c r="AN18" s="28"/>
      <c r="AO18" s="25"/>
      <c r="AP18" s="25"/>
      <c r="AQ18" s="25"/>
      <c r="AR18" s="25"/>
      <c r="AS18" s="25"/>
      <c r="AT18" s="9"/>
    </row>
    <row r="19" spans="1:46" ht="21" customHeight="1" x14ac:dyDescent="0.25">
      <c r="A19" s="19">
        <v>14</v>
      </c>
      <c r="B19" s="20"/>
      <c r="C19" s="21" t="s">
        <v>148</v>
      </c>
      <c r="D19" s="22" t="s">
        <v>45</v>
      </c>
      <c r="E19" s="23" t="s">
        <v>43</v>
      </c>
      <c r="F19" s="23">
        <v>12</v>
      </c>
      <c r="G19" s="23" t="s">
        <v>44</v>
      </c>
      <c r="H19" s="23">
        <v>12</v>
      </c>
      <c r="I19" s="23" t="s">
        <v>43</v>
      </c>
      <c r="J19" s="23" t="s">
        <v>43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46" ht="21" customHeight="1" x14ac:dyDescent="0.25">
      <c r="A20" s="71">
        <v>15</v>
      </c>
      <c r="B20" s="69"/>
      <c r="C20" s="70" t="s">
        <v>25</v>
      </c>
      <c r="D20" s="22" t="s">
        <v>35</v>
      </c>
      <c r="E20" s="23" t="s">
        <v>43</v>
      </c>
      <c r="F20" s="23">
        <v>12</v>
      </c>
      <c r="G20" s="23" t="s">
        <v>44</v>
      </c>
      <c r="H20" s="23">
        <v>12</v>
      </c>
      <c r="I20" s="23" t="s">
        <v>43</v>
      </c>
      <c r="J20" s="23" t="s">
        <v>43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46" ht="21" customHeight="1" x14ac:dyDescent="0.25">
      <c r="A21" s="71">
        <v>16</v>
      </c>
      <c r="B21" s="69"/>
      <c r="C21" s="70" t="s">
        <v>19</v>
      </c>
      <c r="D21" s="22" t="s">
        <v>149</v>
      </c>
      <c r="E21" s="23" t="s">
        <v>14</v>
      </c>
      <c r="F21" s="23" t="s">
        <v>14</v>
      </c>
      <c r="G21" s="23" t="s">
        <v>14</v>
      </c>
      <c r="H21" s="23" t="s">
        <v>14</v>
      </c>
      <c r="I21" s="23" t="s">
        <v>14</v>
      </c>
      <c r="J21" s="23" t="s">
        <v>14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46" ht="21" customHeight="1" x14ac:dyDescent="0.25">
      <c r="A22" s="71">
        <v>16</v>
      </c>
      <c r="B22" s="69"/>
      <c r="C22" s="70" t="s">
        <v>19</v>
      </c>
      <c r="D22" s="70" t="s">
        <v>34</v>
      </c>
      <c r="E22" s="73"/>
      <c r="F22" s="69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</row>
  </sheetData>
  <customSheetViews>
    <customSheetView guid="{1957AC80-412C-4030-B807-A599A7F9C8EF}" scale="90" showGridLines="0" showRowCol="0" zeroValues="0">
      <pane xSplit="5" ySplit="2" topLeftCell="F3" activePane="bottomRight" state="frozenSplit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23">
    <mergeCell ref="P9:U9"/>
    <mergeCell ref="P10:U10"/>
    <mergeCell ref="K1:R1"/>
    <mergeCell ref="B3:B5"/>
    <mergeCell ref="A3:A5"/>
    <mergeCell ref="C3:C5"/>
    <mergeCell ref="E1:I1"/>
    <mergeCell ref="P11:U11"/>
    <mergeCell ref="P12:U12"/>
    <mergeCell ref="P13:U13"/>
    <mergeCell ref="AS3:AS5"/>
    <mergeCell ref="D3:D5"/>
    <mergeCell ref="AK3:AK5"/>
    <mergeCell ref="AJ3:AJ5"/>
    <mergeCell ref="AL3:AL5"/>
    <mergeCell ref="AR3:AR5"/>
    <mergeCell ref="AO3:AO5"/>
    <mergeCell ref="AN3:AN5"/>
    <mergeCell ref="E3:AI3"/>
    <mergeCell ref="AM3:AM5"/>
    <mergeCell ref="AP3:AP5"/>
    <mergeCell ref="AQ3:AQ5"/>
    <mergeCell ref="P8:U8"/>
  </mergeCells>
  <dataValidations count="3">
    <dataValidation type="list" allowBlank="1" showInputMessage="1" showErrorMessage="1" sqref="O19:AF21 Q6:U7 Q14:U18 V6:AI18 O6:P18 E6:N21">
      <formula1>Знаки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7 C17">
      <formula1>ФИО</formula1>
    </dataValidation>
    <dataValidation type="list" allowBlank="1" showInputMessage="1" showErrorMessage="1" sqref="D6:D7 D17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2"/>
  <colBreaks count="1" manualBreakCount="1"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enableFormatConditionsCalculation="0">
    <tabColor rgb="FFFFC000"/>
  </sheetPr>
  <dimension ref="A1:C108"/>
  <sheetViews>
    <sheetView showGridLines="0" zoomScale="90" zoomScaleNormal="90" zoomScalePageLayoutView="90" workbookViewId="0">
      <pane ySplit="1" topLeftCell="A22" activePane="bottomLeft" state="frozen"/>
      <selection pane="bottomLeft" activeCell="E105" sqref="E105"/>
    </sheetView>
  </sheetViews>
  <sheetFormatPr defaultColWidth="8.85546875" defaultRowHeight="20.25" customHeight="1" x14ac:dyDescent="0.3"/>
  <cols>
    <col min="1" max="1" width="5.7109375" style="4" customWidth="1"/>
    <col min="2" max="2" width="27.28515625" style="1" customWidth="1"/>
    <col min="3" max="3" width="11.28515625" style="2" customWidth="1"/>
    <col min="4" max="16384" width="8.85546875" style="1"/>
  </cols>
  <sheetData>
    <row r="1" spans="1:3" s="8" customFormat="1" ht="20.25" customHeight="1" x14ac:dyDescent="0.3">
      <c r="A1" s="3" t="s">
        <v>5</v>
      </c>
      <c r="B1" s="3" t="s">
        <v>16</v>
      </c>
      <c r="C1" s="3" t="s">
        <v>7</v>
      </c>
    </row>
    <row r="2" spans="1:3" ht="20.25" customHeight="1" x14ac:dyDescent="0.3">
      <c r="A2" s="4">
        <v>1</v>
      </c>
      <c r="B2" s="5" t="s">
        <v>129</v>
      </c>
      <c r="C2" s="6">
        <f>IF($B2="Агеева Е.В.",1686)</f>
        <v>1686</v>
      </c>
    </row>
    <row r="3" spans="1:3" ht="20.25" customHeight="1" x14ac:dyDescent="0.3">
      <c r="A3" s="4">
        <v>2</v>
      </c>
      <c r="B3" s="1" t="s">
        <v>128</v>
      </c>
      <c r="C3" s="6">
        <f>IF($B3="Адамюк Е.В.",2102)</f>
        <v>2102</v>
      </c>
    </row>
    <row r="4" spans="1:3" ht="20.25" customHeight="1" x14ac:dyDescent="0.3">
      <c r="A4" s="4">
        <v>3</v>
      </c>
      <c r="B4" s="5" t="s">
        <v>24</v>
      </c>
      <c r="C4" s="6">
        <f>IF($B4="Амосова Т.Ф.",342)</f>
        <v>342</v>
      </c>
    </row>
    <row r="5" spans="1:3" ht="20.25" customHeight="1" x14ac:dyDescent="0.3">
      <c r="A5" s="4">
        <v>4</v>
      </c>
      <c r="B5" s="7" t="s">
        <v>112</v>
      </c>
      <c r="C5" s="2">
        <f>IF($B5="Аниськович А.П.",1339)</f>
        <v>1339</v>
      </c>
    </row>
    <row r="6" spans="1:3" ht="20.25" customHeight="1" x14ac:dyDescent="0.3">
      <c r="A6" s="4">
        <v>5</v>
      </c>
      <c r="B6" s="1" t="s">
        <v>143</v>
      </c>
      <c r="C6" s="6">
        <v>1339</v>
      </c>
    </row>
    <row r="7" spans="1:3" ht="20.25" customHeight="1" x14ac:dyDescent="0.3">
      <c r="A7" s="4">
        <v>6</v>
      </c>
      <c r="B7" s="7" t="s">
        <v>111</v>
      </c>
      <c r="C7" s="6">
        <f>IF($B7="Апет И.В.",2234)</f>
        <v>2234</v>
      </c>
    </row>
    <row r="8" spans="1:3" ht="20.25" customHeight="1" x14ac:dyDescent="0.3">
      <c r="A8" s="4">
        <v>7</v>
      </c>
      <c r="B8" s="7" t="s">
        <v>83</v>
      </c>
      <c r="C8" s="6">
        <f>IF($B8="Богодяж Т.А.",1609)</f>
        <v>1609</v>
      </c>
    </row>
    <row r="9" spans="1:3" ht="20.25" customHeight="1" x14ac:dyDescent="0.3">
      <c r="A9" s="4">
        <v>8</v>
      </c>
      <c r="B9" s="5" t="s">
        <v>18</v>
      </c>
      <c r="C9" s="6">
        <f>IF($B9="Брикун М.А.",1179)</f>
        <v>1179</v>
      </c>
    </row>
    <row r="10" spans="1:3" ht="20.25" customHeight="1" x14ac:dyDescent="0.3">
      <c r="A10" s="4">
        <v>9</v>
      </c>
      <c r="B10" s="5" t="s">
        <v>89</v>
      </c>
      <c r="C10" s="6">
        <f>IF($B10="Буйко В.Г.",1241)</f>
        <v>1241</v>
      </c>
    </row>
    <row r="11" spans="1:3" ht="20.25" customHeight="1" x14ac:dyDescent="0.3">
      <c r="A11" s="4">
        <v>10</v>
      </c>
      <c r="B11" s="1" t="s">
        <v>90</v>
      </c>
      <c r="C11" s="2">
        <f>IF($B11="Булавский А.В.",1515)</f>
        <v>1515</v>
      </c>
    </row>
    <row r="12" spans="1:3" ht="20.25" customHeight="1" x14ac:dyDescent="0.3">
      <c r="A12" s="4">
        <v>11</v>
      </c>
      <c r="B12" s="5" t="s">
        <v>12</v>
      </c>
      <c r="C12" s="2">
        <f>IF($B12="Буракова Т.А.",643)</f>
        <v>643</v>
      </c>
    </row>
    <row r="13" spans="1:3" ht="20.25" customHeight="1" x14ac:dyDescent="0.3">
      <c r="A13" s="4">
        <v>12</v>
      </c>
      <c r="B13" s="7" t="s">
        <v>63</v>
      </c>
      <c r="C13" s="2">
        <f>IF($B13="Бурдыко Е.А.",2269)</f>
        <v>2269</v>
      </c>
    </row>
    <row r="14" spans="1:3" ht="20.25" customHeight="1" x14ac:dyDescent="0.3">
      <c r="A14" s="4">
        <v>13</v>
      </c>
      <c r="B14" s="7" t="s">
        <v>113</v>
      </c>
      <c r="C14" s="2">
        <f>IF($B14="Бурыхин С.А.",1501)</f>
        <v>1501</v>
      </c>
    </row>
    <row r="15" spans="1:3" ht="20.25" customHeight="1" x14ac:dyDescent="0.3">
      <c r="A15" s="4">
        <v>14</v>
      </c>
      <c r="B15" s="7" t="s">
        <v>119</v>
      </c>
      <c r="C15" s="6">
        <f>IF($B15="Буслов А.А.",2150)</f>
        <v>2150</v>
      </c>
    </row>
    <row r="16" spans="1:3" ht="20.25" customHeight="1" x14ac:dyDescent="0.3">
      <c r="A16" s="4">
        <v>15</v>
      </c>
      <c r="B16" s="5" t="s">
        <v>38</v>
      </c>
      <c r="C16" s="6">
        <f>IF($B16="Бушкин В.Д.",1430)</f>
        <v>1430</v>
      </c>
    </row>
    <row r="17" spans="1:3" ht="20.25" customHeight="1" x14ac:dyDescent="0.3">
      <c r="A17" s="4">
        <v>16</v>
      </c>
      <c r="B17" s="1" t="s">
        <v>87</v>
      </c>
      <c r="C17" s="6">
        <f>IF($B17="Бушкина Т.П.",531)</f>
        <v>531</v>
      </c>
    </row>
    <row r="18" spans="1:3" ht="20.25" customHeight="1" x14ac:dyDescent="0.3">
      <c r="A18" s="4">
        <v>17</v>
      </c>
      <c r="B18" s="7" t="s">
        <v>71</v>
      </c>
      <c r="C18" s="2">
        <f>IF($B18="Буяновская В.П.",489)</f>
        <v>489</v>
      </c>
    </row>
    <row r="19" spans="1:3" ht="20.25" customHeight="1" x14ac:dyDescent="0.3">
      <c r="A19" s="4">
        <v>18</v>
      </c>
      <c r="B19" s="7" t="s">
        <v>100</v>
      </c>
      <c r="C19" s="2">
        <f>IF($B19="Ваньков С.П.",115)</f>
        <v>115</v>
      </c>
    </row>
    <row r="20" spans="1:3" ht="20.25" customHeight="1" x14ac:dyDescent="0.3">
      <c r="A20" s="4">
        <v>19</v>
      </c>
      <c r="B20" s="7" t="s">
        <v>54</v>
      </c>
      <c r="C20" s="6">
        <f>IF($B20="Ванькова Л.Е.",365)</f>
        <v>365</v>
      </c>
    </row>
    <row r="21" spans="1:3" ht="20.25" customHeight="1" x14ac:dyDescent="0.3">
      <c r="A21" s="4">
        <v>20</v>
      </c>
      <c r="B21" s="7" t="s">
        <v>110</v>
      </c>
      <c r="C21" s="6">
        <f>IF($B21="Васильева О.А.",1560)</f>
        <v>1560</v>
      </c>
    </row>
    <row r="22" spans="1:3" ht="20.25" customHeight="1" x14ac:dyDescent="0.3">
      <c r="A22" s="4">
        <v>21</v>
      </c>
      <c r="B22" s="7" t="s">
        <v>62</v>
      </c>
      <c r="C22" s="6">
        <f>IF($B22="Волегов А.Г.",208)</f>
        <v>208</v>
      </c>
    </row>
    <row r="23" spans="1:3" ht="20.25" customHeight="1" x14ac:dyDescent="0.3">
      <c r="A23" s="4">
        <v>22</v>
      </c>
      <c r="B23" s="7" t="s">
        <v>94</v>
      </c>
      <c r="C23" s="6">
        <f>IF($B23="Волегова Г.И.",707)</f>
        <v>707</v>
      </c>
    </row>
    <row r="24" spans="1:3" ht="20.25" customHeight="1" x14ac:dyDescent="0.3">
      <c r="A24" s="4">
        <v>23</v>
      </c>
      <c r="B24" s="7" t="s">
        <v>70</v>
      </c>
      <c r="C24" s="6">
        <f>IF($B24="Воронцевич М.П.",298)</f>
        <v>298</v>
      </c>
    </row>
    <row r="25" spans="1:3" ht="20.25" customHeight="1" x14ac:dyDescent="0.3">
      <c r="A25" s="4">
        <v>24</v>
      </c>
      <c r="B25" s="7" t="s">
        <v>99</v>
      </c>
      <c r="C25" s="2">
        <f>IF($B25="Гарбузов Г.Л.",381)</f>
        <v>381</v>
      </c>
    </row>
    <row r="26" spans="1:3" ht="20.25" customHeight="1" x14ac:dyDescent="0.3">
      <c r="A26" s="4">
        <v>25</v>
      </c>
      <c r="B26" s="7" t="s">
        <v>51</v>
      </c>
      <c r="C26" s="6">
        <f>IF($B26="Гвоздь М.П.",561)</f>
        <v>561</v>
      </c>
    </row>
    <row r="27" spans="1:3" ht="20.25" customHeight="1" x14ac:dyDescent="0.3">
      <c r="A27" s="4">
        <v>26</v>
      </c>
      <c r="B27" s="5" t="s">
        <v>26</v>
      </c>
      <c r="C27" s="2">
        <f>IF($B27="Гендик Н.В.",552)</f>
        <v>552</v>
      </c>
    </row>
    <row r="28" spans="1:3" ht="20.25" customHeight="1" x14ac:dyDescent="0.3">
      <c r="A28" s="4">
        <v>27</v>
      </c>
      <c r="B28" s="7" t="s">
        <v>50</v>
      </c>
      <c r="C28" s="6">
        <f>IF($B28="Гончарук А.В.",652)</f>
        <v>652</v>
      </c>
    </row>
    <row r="29" spans="1:3" ht="20.25" customHeight="1" x14ac:dyDescent="0.3">
      <c r="A29" s="4">
        <v>28</v>
      </c>
      <c r="B29" s="7" t="s">
        <v>109</v>
      </c>
      <c r="C29" s="6">
        <f>IF($B29="Гридюшко П.А.",1499)</f>
        <v>1499</v>
      </c>
    </row>
    <row r="30" spans="1:3" ht="20.25" customHeight="1" x14ac:dyDescent="0.3">
      <c r="A30" s="4">
        <v>29</v>
      </c>
      <c r="B30" s="5" t="s">
        <v>20</v>
      </c>
      <c r="C30" s="6">
        <f>IF($B30="Грузд Н.Н.",1311)</f>
        <v>1311</v>
      </c>
    </row>
    <row r="31" spans="1:3" ht="20.25" customHeight="1" x14ac:dyDescent="0.3">
      <c r="A31" s="4">
        <v>30</v>
      </c>
      <c r="B31" s="1" t="s">
        <v>137</v>
      </c>
      <c r="C31" s="6" t="b">
        <f t="shared" ref="C31" si="0">IF($B31="","")</f>
        <v>0</v>
      </c>
    </row>
    <row r="32" spans="1:3" ht="20.25" customHeight="1" x14ac:dyDescent="0.3">
      <c r="A32" s="4">
        <v>31</v>
      </c>
      <c r="B32" s="7" t="s">
        <v>53</v>
      </c>
      <c r="C32" s="6">
        <f>IF($B32="Дворянкина Е.Л.",508)</f>
        <v>508</v>
      </c>
    </row>
    <row r="33" spans="1:3" ht="20.25" customHeight="1" x14ac:dyDescent="0.3">
      <c r="A33" s="4">
        <v>32</v>
      </c>
      <c r="B33" s="7" t="s">
        <v>75</v>
      </c>
      <c r="C33" s="6">
        <f>IF($B33="Дик А.С.",1089)</f>
        <v>1089</v>
      </c>
    </row>
    <row r="34" spans="1:3" ht="20.25" customHeight="1" x14ac:dyDescent="0.3">
      <c r="A34" s="4">
        <v>33</v>
      </c>
      <c r="B34" s="7" t="s">
        <v>77</v>
      </c>
      <c r="C34" s="2">
        <f>IF($B34="Дорц Д.В.",1147)</f>
        <v>1147</v>
      </c>
    </row>
    <row r="35" spans="1:3" ht="20.25" customHeight="1" x14ac:dyDescent="0.3">
      <c r="A35" s="4">
        <v>34</v>
      </c>
      <c r="B35" s="7" t="s">
        <v>48</v>
      </c>
      <c r="C35" s="6">
        <f>IF($B35="Драгун В.В.",481)</f>
        <v>481</v>
      </c>
    </row>
    <row r="36" spans="1:3" ht="20.25" customHeight="1" x14ac:dyDescent="0.3">
      <c r="A36" s="4">
        <v>35</v>
      </c>
      <c r="B36" s="7" t="s">
        <v>108</v>
      </c>
      <c r="C36" s="6">
        <f>IF($B36="Драпезо Ю.Н.",548)</f>
        <v>548</v>
      </c>
    </row>
    <row r="37" spans="1:3" ht="20.25" customHeight="1" x14ac:dyDescent="0.3">
      <c r="A37" s="4">
        <v>36</v>
      </c>
      <c r="B37" s="7" t="s">
        <v>82</v>
      </c>
      <c r="C37" s="6">
        <f>IF($B37="Драч М.В.",1659)</f>
        <v>1659</v>
      </c>
    </row>
    <row r="38" spans="1:3" ht="20.25" customHeight="1" x14ac:dyDescent="0.3">
      <c r="A38" s="4">
        <v>37</v>
      </c>
      <c r="B38" s="7" t="s">
        <v>69</v>
      </c>
      <c r="C38" s="6">
        <f>IF($B38="Дроздецкий В.С.",1335)</f>
        <v>1335</v>
      </c>
    </row>
    <row r="39" spans="1:3" ht="20.25" customHeight="1" x14ac:dyDescent="0.3">
      <c r="A39" s="4">
        <v>38</v>
      </c>
      <c r="B39" s="7" t="s">
        <v>114</v>
      </c>
      <c r="C39" s="6">
        <f>IF($B39="Дунаев С.Е.",2035)</f>
        <v>2035</v>
      </c>
    </row>
    <row r="40" spans="1:3" ht="20.25" customHeight="1" x14ac:dyDescent="0.3">
      <c r="A40" s="4">
        <v>39</v>
      </c>
      <c r="B40" s="1" t="s">
        <v>130</v>
      </c>
      <c r="C40" s="6">
        <f>IF($B40="Ефремов С.А.",1698)</f>
        <v>1698</v>
      </c>
    </row>
    <row r="41" spans="1:3" ht="20.25" customHeight="1" x14ac:dyDescent="0.3">
      <c r="A41" s="4">
        <v>40</v>
      </c>
      <c r="B41" s="1" t="s">
        <v>102</v>
      </c>
      <c r="C41" s="2">
        <f>IF($B41="Жавранок И.Г.",712)</f>
        <v>712</v>
      </c>
    </row>
    <row r="42" spans="1:3" ht="20.25" customHeight="1" x14ac:dyDescent="0.3">
      <c r="A42" s="4">
        <v>41</v>
      </c>
      <c r="B42" s="7" t="s">
        <v>55</v>
      </c>
      <c r="C42" s="6">
        <f>IF($B42="Жердочкина А.М.",1141)</f>
        <v>1141</v>
      </c>
    </row>
    <row r="43" spans="1:3" ht="20.25" customHeight="1" x14ac:dyDescent="0.3">
      <c r="A43" s="4">
        <v>42</v>
      </c>
      <c r="B43" s="5" t="s">
        <v>86</v>
      </c>
      <c r="C43" s="6">
        <f>IF($B43="Жизневская Т.Ф.",491)</f>
        <v>491</v>
      </c>
    </row>
    <row r="44" spans="1:3" ht="20.25" customHeight="1" x14ac:dyDescent="0.3">
      <c r="A44" s="4">
        <v>43</v>
      </c>
      <c r="B44" s="7" t="s">
        <v>73</v>
      </c>
      <c r="C44" s="2">
        <f>IF($B44="Жудрак Л.В.",1500)</f>
        <v>1500</v>
      </c>
    </row>
    <row r="45" spans="1:3" ht="20.25" customHeight="1" x14ac:dyDescent="0.3">
      <c r="A45" s="4">
        <v>44</v>
      </c>
      <c r="B45" s="5" t="s">
        <v>10</v>
      </c>
      <c r="C45" s="6">
        <f>IF($B45="Залан А.В.",856)</f>
        <v>856</v>
      </c>
    </row>
    <row r="46" spans="1:3" ht="20.25" customHeight="1" x14ac:dyDescent="0.3">
      <c r="A46" s="4">
        <v>45</v>
      </c>
      <c r="B46" s="7" t="s">
        <v>47</v>
      </c>
      <c r="C46" s="2">
        <f>IF($B46="Захаров С.А.",853)</f>
        <v>853</v>
      </c>
    </row>
    <row r="47" spans="1:3" ht="20.25" customHeight="1" x14ac:dyDescent="0.3">
      <c r="A47" s="4">
        <v>46</v>
      </c>
      <c r="B47" s="5" t="s">
        <v>22</v>
      </c>
      <c r="C47" s="6">
        <f>IF($B47="Заяц Т.Л.",509)</f>
        <v>509</v>
      </c>
    </row>
    <row r="48" spans="1:3" ht="20.25" customHeight="1" x14ac:dyDescent="0.3">
      <c r="A48" s="4">
        <v>47</v>
      </c>
      <c r="B48" s="7" t="s">
        <v>118</v>
      </c>
      <c r="C48" s="2">
        <f>IF($B48="Зеленкевич  Нат.В.",501)</f>
        <v>501</v>
      </c>
    </row>
    <row r="49" spans="1:3" ht="20.25" customHeight="1" x14ac:dyDescent="0.3">
      <c r="A49" s="4">
        <v>48</v>
      </c>
      <c r="B49" s="7" t="s">
        <v>84</v>
      </c>
      <c r="C49" s="6">
        <f>IF($B49="Зеленкевич  Ник.В.",1083)</f>
        <v>1083</v>
      </c>
    </row>
    <row r="50" spans="1:3" ht="20.25" customHeight="1" x14ac:dyDescent="0.3">
      <c r="A50" s="4">
        <v>49</v>
      </c>
      <c r="B50" s="7" t="s">
        <v>80</v>
      </c>
      <c r="C50" s="6">
        <f>IF($B50="Зеленко В.Л.",1360)</f>
        <v>1360</v>
      </c>
    </row>
    <row r="51" spans="1:3" ht="20.25" customHeight="1" x14ac:dyDescent="0.3">
      <c r="A51" s="4">
        <v>50</v>
      </c>
      <c r="B51" s="5" t="s">
        <v>131</v>
      </c>
      <c r="C51" s="6">
        <f>IF($B51="Игнатов К.И.",1703)</f>
        <v>1703</v>
      </c>
    </row>
    <row r="52" spans="1:3" ht="20.25" customHeight="1" x14ac:dyDescent="0.3">
      <c r="A52" s="4">
        <v>51</v>
      </c>
      <c r="B52" s="5" t="s">
        <v>23</v>
      </c>
      <c r="C52" s="6">
        <f>IF($B52="Кадевич О.В.",1379)</f>
        <v>1379</v>
      </c>
    </row>
    <row r="53" spans="1:3" ht="20.25" customHeight="1" x14ac:dyDescent="0.3">
      <c r="A53" s="4">
        <v>52</v>
      </c>
      <c r="B53" s="7" t="s">
        <v>76</v>
      </c>
      <c r="C53" s="2">
        <f>IF($B53="Каляпина К.А.",1537)</f>
        <v>1537</v>
      </c>
    </row>
    <row r="54" spans="1:3" ht="20.25" customHeight="1" x14ac:dyDescent="0.3">
      <c r="A54" s="4">
        <v>54</v>
      </c>
      <c r="B54" s="7" t="s">
        <v>57</v>
      </c>
      <c r="C54" s="2">
        <f>IF($B54="Карась А.Н.",2100)</f>
        <v>2100</v>
      </c>
    </row>
    <row r="55" spans="1:3" ht="20.25" customHeight="1" x14ac:dyDescent="0.3">
      <c r="A55" s="4">
        <v>55</v>
      </c>
      <c r="B55" s="1" t="s">
        <v>132</v>
      </c>
      <c r="C55" s="6">
        <f t="shared" ref="C55" si="1">IF($B55="Кирилуша Е.Г.",1706)</f>
        <v>1706</v>
      </c>
    </row>
    <row r="56" spans="1:3" ht="20.25" customHeight="1" x14ac:dyDescent="0.3">
      <c r="A56" s="4">
        <v>56</v>
      </c>
      <c r="B56" s="1" t="s">
        <v>121</v>
      </c>
      <c r="C56" s="2">
        <f t="shared" ref="C56" si="2">IF($B56="Кирилуша С.В.",497)</f>
        <v>497</v>
      </c>
    </row>
    <row r="57" spans="1:3" ht="20.25" customHeight="1" x14ac:dyDescent="0.3">
      <c r="A57" s="4">
        <v>57</v>
      </c>
      <c r="B57" s="1" t="s">
        <v>141</v>
      </c>
      <c r="C57" s="6" t="b">
        <f>IF($B57="Ясинский В.С.",70)</f>
        <v>0</v>
      </c>
    </row>
    <row r="58" spans="1:3" ht="20.25" customHeight="1" x14ac:dyDescent="0.3">
      <c r="A58" s="4">
        <v>58</v>
      </c>
      <c r="B58" s="7" t="s">
        <v>15</v>
      </c>
      <c r="C58" s="6">
        <f>IF($B58="Ковалёв Д.А.",1538)</f>
        <v>1538</v>
      </c>
    </row>
    <row r="59" spans="1:3" ht="20.25" customHeight="1" x14ac:dyDescent="0.3">
      <c r="A59" s="4">
        <v>59</v>
      </c>
      <c r="B59" s="7" t="s">
        <v>115</v>
      </c>
      <c r="C59" s="6">
        <f>IF($B59="Козаков С.Л.",1404)</f>
        <v>1404</v>
      </c>
    </row>
    <row r="60" spans="1:3" ht="20.25" customHeight="1" x14ac:dyDescent="0.3">
      <c r="A60" s="4">
        <v>60</v>
      </c>
      <c r="B60" s="5" t="s">
        <v>27</v>
      </c>
      <c r="C60" s="6">
        <f>IF($B60="Комадей Д.В.",1454)</f>
        <v>1454</v>
      </c>
    </row>
    <row r="61" spans="1:3" ht="20.25" customHeight="1" x14ac:dyDescent="0.3">
      <c r="A61" s="4">
        <v>61</v>
      </c>
      <c r="B61" s="1" t="s">
        <v>103</v>
      </c>
      <c r="C61" s="2">
        <f>IF($B61="Конон Н.В.",2338)</f>
        <v>2338</v>
      </c>
    </row>
    <row r="62" spans="1:3" ht="20.25" customHeight="1" x14ac:dyDescent="0.3">
      <c r="A62" s="4">
        <v>62</v>
      </c>
      <c r="B62" s="7" t="s">
        <v>72</v>
      </c>
      <c r="C62" s="6">
        <f>IF($B62="Короленко А.В.",532)</f>
        <v>532</v>
      </c>
    </row>
    <row r="63" spans="1:3" ht="20.25" customHeight="1" x14ac:dyDescent="0.3">
      <c r="A63" s="4">
        <v>63</v>
      </c>
      <c r="B63" s="7" t="s">
        <v>116</v>
      </c>
      <c r="C63" s="6">
        <f>IF($B63="Костин А.М.",1653)</f>
        <v>1653</v>
      </c>
    </row>
    <row r="64" spans="1:3" ht="20.25" customHeight="1" x14ac:dyDescent="0.3">
      <c r="A64" s="4">
        <v>64</v>
      </c>
      <c r="B64" s="5" t="s">
        <v>21</v>
      </c>
      <c r="C64" s="2">
        <f>IF($B64="Кудревич О.М.",170)</f>
        <v>170</v>
      </c>
    </row>
    <row r="65" spans="1:3" ht="20.25" customHeight="1" x14ac:dyDescent="0.3">
      <c r="A65" s="4">
        <v>65</v>
      </c>
      <c r="B65" s="1" t="s">
        <v>91</v>
      </c>
      <c r="C65" s="2">
        <f t="shared" ref="C65" si="3">IF($B65="Кузьбар И.Н.",1637)</f>
        <v>1637</v>
      </c>
    </row>
    <row r="66" spans="1:3" ht="20.25" customHeight="1" x14ac:dyDescent="0.3">
      <c r="A66" s="4">
        <v>66</v>
      </c>
      <c r="B66" s="7" t="s">
        <v>140</v>
      </c>
      <c r="C66" s="6" t="b">
        <f>IF($B66="Ясинский В.С.",70)</f>
        <v>0</v>
      </c>
    </row>
    <row r="67" spans="1:3" ht="20.25" customHeight="1" x14ac:dyDescent="0.3">
      <c r="A67" s="4">
        <v>67</v>
      </c>
      <c r="B67" s="7" t="s">
        <v>60</v>
      </c>
      <c r="C67" s="6">
        <f>IF($B67="Курносова О.Ф.",478)</f>
        <v>478</v>
      </c>
    </row>
    <row r="68" spans="1:3" ht="20.25" customHeight="1" x14ac:dyDescent="0.3">
      <c r="A68" s="4">
        <v>68</v>
      </c>
      <c r="B68" s="7" t="s">
        <v>52</v>
      </c>
      <c r="C68" s="6">
        <f>IF($B68="Кучинская Е.М.",708)</f>
        <v>708</v>
      </c>
    </row>
    <row r="69" spans="1:3" ht="20.25" customHeight="1" x14ac:dyDescent="0.3">
      <c r="A69" s="4">
        <v>69</v>
      </c>
      <c r="B69" s="7" t="s">
        <v>49</v>
      </c>
      <c r="C69" s="2">
        <f>IF($B69="Лебедев О.Л.",514)</f>
        <v>514</v>
      </c>
    </row>
    <row r="70" spans="1:3" ht="20.25" customHeight="1" x14ac:dyDescent="0.3">
      <c r="A70" s="4">
        <v>70</v>
      </c>
      <c r="B70" s="7" t="s">
        <v>64</v>
      </c>
      <c r="C70" s="2">
        <f>IF($B70="Ливанович С.В.",536)</f>
        <v>536</v>
      </c>
    </row>
    <row r="71" spans="1:3" ht="20.25" customHeight="1" x14ac:dyDescent="0.3">
      <c r="A71" s="4">
        <v>71</v>
      </c>
      <c r="B71" s="5" t="s">
        <v>19</v>
      </c>
      <c r="C71" s="6">
        <f>IF($B71="Лысковец А.Н.",1291)</f>
        <v>1291</v>
      </c>
    </row>
    <row r="72" spans="1:3" ht="20.25" customHeight="1" x14ac:dyDescent="0.3">
      <c r="A72" s="4">
        <v>72</v>
      </c>
      <c r="B72" s="7" t="s">
        <v>96</v>
      </c>
      <c r="C72" s="6">
        <f>IF($B72="Лысковец О.И.",1517)</f>
        <v>1517</v>
      </c>
    </row>
    <row r="73" spans="1:3" ht="20.25" customHeight="1" x14ac:dyDescent="0.3">
      <c r="A73" s="4">
        <v>73</v>
      </c>
      <c r="B73" s="7" t="s">
        <v>74</v>
      </c>
      <c r="C73" s="6">
        <f>IF($B73="Макатерчик А.Н.",1307)</f>
        <v>1307</v>
      </c>
    </row>
    <row r="74" spans="1:3" ht="20.25" customHeight="1" x14ac:dyDescent="0.3">
      <c r="A74" s="4">
        <v>74</v>
      </c>
      <c r="B74" s="5" t="s">
        <v>37</v>
      </c>
      <c r="C74" s="6">
        <f>IF($B74="Макрицкий Ю.В.",2108)</f>
        <v>2108</v>
      </c>
    </row>
    <row r="75" spans="1:3" ht="20.25" customHeight="1" x14ac:dyDescent="0.3">
      <c r="A75" s="4">
        <v>75</v>
      </c>
      <c r="B75" s="7" t="s">
        <v>56</v>
      </c>
      <c r="C75" s="2">
        <f>IF($B75="Мисник Ю.А.",603)</f>
        <v>603</v>
      </c>
    </row>
    <row r="76" spans="1:3" ht="20.25" customHeight="1" x14ac:dyDescent="0.3">
      <c r="A76" s="4">
        <v>76</v>
      </c>
      <c r="B76" s="5" t="s">
        <v>13</v>
      </c>
      <c r="C76" s="6">
        <f>IF($B76="Мишук А.В.",1677)</f>
        <v>1677</v>
      </c>
    </row>
    <row r="77" spans="1:3" ht="20.25" customHeight="1" x14ac:dyDescent="0.3">
      <c r="A77" s="4">
        <v>77</v>
      </c>
      <c r="B77" s="1" t="s">
        <v>120</v>
      </c>
      <c r="C77" s="2">
        <f t="shared" ref="C77" si="4">IF($B77="Мишук В.В.",2037)</f>
        <v>2037</v>
      </c>
    </row>
    <row r="78" spans="1:3" ht="20.25" customHeight="1" x14ac:dyDescent="0.3">
      <c r="A78" s="4">
        <v>78</v>
      </c>
      <c r="B78" s="7" t="s">
        <v>65</v>
      </c>
      <c r="C78" s="6">
        <f>IF($B78="Мишук О.В.",2127)</f>
        <v>2127</v>
      </c>
    </row>
    <row r="79" spans="1:3" ht="20.25" customHeight="1" x14ac:dyDescent="0.3">
      <c r="A79" s="4">
        <v>79</v>
      </c>
      <c r="B79" s="5" t="s">
        <v>36</v>
      </c>
      <c r="C79" s="6">
        <f>IF($B79="Мишук Р.В.",300)</f>
        <v>300</v>
      </c>
    </row>
    <row r="80" spans="1:3" ht="20.25" customHeight="1" x14ac:dyDescent="0.3">
      <c r="A80" s="4">
        <v>80</v>
      </c>
      <c r="B80" s="5" t="s">
        <v>46</v>
      </c>
      <c r="C80" s="6">
        <f>IF($B80="Мороз А.П.",1503)</f>
        <v>1503</v>
      </c>
    </row>
    <row r="81" spans="1:3" ht="20.25" customHeight="1" x14ac:dyDescent="0.3">
      <c r="A81" s="4">
        <v>81</v>
      </c>
      <c r="B81" s="1" t="s">
        <v>133</v>
      </c>
      <c r="C81" s="6">
        <f>IF($B81="Мурашко В.Г.",1693)</f>
        <v>1693</v>
      </c>
    </row>
    <row r="82" spans="1:3" ht="20.25" customHeight="1" x14ac:dyDescent="0.3">
      <c r="A82" s="4">
        <v>82</v>
      </c>
      <c r="B82" s="7" t="s">
        <v>105</v>
      </c>
      <c r="C82" s="6">
        <f>IF($B82="Новоселов А.В.",1508)</f>
        <v>1508</v>
      </c>
    </row>
    <row r="83" spans="1:3" ht="20.25" customHeight="1" x14ac:dyDescent="0.3">
      <c r="A83" s="4">
        <v>83</v>
      </c>
      <c r="B83" s="5" t="s">
        <v>11</v>
      </c>
      <c r="C83" s="6">
        <f>IF($B83="Орловский А.М.",1674)</f>
        <v>1674</v>
      </c>
    </row>
    <row r="84" spans="1:3" ht="20.25" customHeight="1" x14ac:dyDescent="0.3">
      <c r="A84" s="4">
        <v>84</v>
      </c>
      <c r="B84" s="7" t="s">
        <v>59</v>
      </c>
      <c r="C84" s="6">
        <f>IF($B84="Пантелей А.В.",833)</f>
        <v>833</v>
      </c>
    </row>
    <row r="85" spans="1:3" ht="20.25" customHeight="1" x14ac:dyDescent="0.3">
      <c r="A85" s="4">
        <v>85</v>
      </c>
      <c r="B85" s="7" t="s">
        <v>78</v>
      </c>
      <c r="C85" s="6">
        <f>IF($B85="Петров В.А.",1393)</f>
        <v>1393</v>
      </c>
    </row>
    <row r="86" spans="1:3" ht="20.25" customHeight="1" x14ac:dyDescent="0.3">
      <c r="A86" s="4">
        <v>86</v>
      </c>
      <c r="B86" s="7" t="s">
        <v>104</v>
      </c>
      <c r="C86" s="6">
        <f>IF($B86="Петровых В.В.",2255)</f>
        <v>2255</v>
      </c>
    </row>
    <row r="87" spans="1:3" ht="20.25" customHeight="1" x14ac:dyDescent="0.3">
      <c r="A87" s="4">
        <v>87</v>
      </c>
      <c r="B87" s="7" t="s">
        <v>81</v>
      </c>
      <c r="C87" s="2">
        <f>IF($B87="Пресняков Г.В.",1676)</f>
        <v>1676</v>
      </c>
    </row>
    <row r="88" spans="1:3" ht="20.25" customHeight="1" x14ac:dyDescent="0.3">
      <c r="A88" s="4">
        <v>88</v>
      </c>
      <c r="B88" s="7" t="s">
        <v>58</v>
      </c>
      <c r="C88" s="6">
        <f>IF($B88="Раловец Л.П.",572)</f>
        <v>572</v>
      </c>
    </row>
    <row r="89" spans="1:3" ht="20.25" customHeight="1" x14ac:dyDescent="0.3">
      <c r="A89" s="4">
        <v>89</v>
      </c>
      <c r="B89" s="7" t="s">
        <v>93</v>
      </c>
      <c r="C89" s="6">
        <f t="shared" ref="C89" si="5">IF($B89="Романов В.В.",2095)</f>
        <v>2095</v>
      </c>
    </row>
    <row r="90" spans="1:3" ht="20.25" customHeight="1" x14ac:dyDescent="0.3">
      <c r="A90" s="4">
        <v>90</v>
      </c>
      <c r="B90" s="5" t="s">
        <v>39</v>
      </c>
      <c r="C90" s="6">
        <f>IF($B90="Романчук В.В.",338)</f>
        <v>338</v>
      </c>
    </row>
    <row r="91" spans="1:3" ht="20.25" customHeight="1" x14ac:dyDescent="0.3">
      <c r="A91" s="4">
        <v>91</v>
      </c>
      <c r="B91" s="7" t="s">
        <v>66</v>
      </c>
      <c r="C91" s="2">
        <f>IF($B91="Ротченкова С.С.",231)</f>
        <v>231</v>
      </c>
    </row>
    <row r="92" spans="1:3" ht="20.25" customHeight="1" x14ac:dyDescent="0.3">
      <c r="A92" s="4">
        <v>92</v>
      </c>
      <c r="B92" s="7" t="s">
        <v>101</v>
      </c>
      <c r="C92" s="2">
        <f>IF($B92="Рощупкина Л.И.",1608)</f>
        <v>1608</v>
      </c>
    </row>
    <row r="93" spans="1:3" ht="20.25" customHeight="1" x14ac:dyDescent="0.3">
      <c r="A93" s="4">
        <v>93</v>
      </c>
      <c r="B93" s="7" t="s">
        <v>9</v>
      </c>
      <c r="C93" s="6">
        <f>IF($B93="Рудницкий С.Н.",465)</f>
        <v>465</v>
      </c>
    </row>
    <row r="94" spans="1:3" ht="20.25" customHeight="1" x14ac:dyDescent="0.3">
      <c r="A94" s="4">
        <v>94</v>
      </c>
      <c r="B94" s="7" t="s">
        <v>117</v>
      </c>
      <c r="C94" s="6">
        <f>IF($B94="Рябов О.С.",462)</f>
        <v>462</v>
      </c>
    </row>
    <row r="95" spans="1:3" ht="20.25" customHeight="1" x14ac:dyDescent="0.3">
      <c r="A95" s="4">
        <v>95</v>
      </c>
      <c r="B95" s="7" t="s">
        <v>61</v>
      </c>
      <c r="C95" s="2">
        <f>IF($B95="Савельева Н.И.",534)</f>
        <v>534</v>
      </c>
    </row>
    <row r="96" spans="1:3" ht="20.25" customHeight="1" x14ac:dyDescent="0.3">
      <c r="A96" s="4">
        <v>96</v>
      </c>
      <c r="B96" s="1" t="s">
        <v>92</v>
      </c>
      <c r="C96" s="2">
        <f>IF($B96="Сандульская Л.А.",420)</f>
        <v>420</v>
      </c>
    </row>
    <row r="97" spans="1:3" ht="20.25" customHeight="1" x14ac:dyDescent="0.3">
      <c r="A97" s="4">
        <v>97</v>
      </c>
      <c r="B97" s="5" t="s">
        <v>17</v>
      </c>
      <c r="C97" s="6">
        <f>IF($B97="Сацук А.Л.",761)</f>
        <v>761</v>
      </c>
    </row>
    <row r="98" spans="1:3" ht="20.25" customHeight="1" x14ac:dyDescent="0.3">
      <c r="A98" s="4">
        <v>98</v>
      </c>
      <c r="B98" s="7" t="s">
        <v>106</v>
      </c>
      <c r="C98" s="6">
        <f>IF($B98="Сацукевич С.П.",265)</f>
        <v>265</v>
      </c>
    </row>
    <row r="99" spans="1:3" ht="20.25" customHeight="1" x14ac:dyDescent="0.3">
      <c r="A99" s="4">
        <v>99</v>
      </c>
      <c r="B99" s="7" t="s">
        <v>97</v>
      </c>
      <c r="C99" s="2">
        <f>IF($B99="Свидрицкая В.С.",1256)</f>
        <v>1256</v>
      </c>
    </row>
    <row r="100" spans="1:3" ht="20.25" customHeight="1" x14ac:dyDescent="0.3">
      <c r="A100" s="4">
        <v>100</v>
      </c>
      <c r="B100" s="7" t="s">
        <v>98</v>
      </c>
      <c r="C100" s="2">
        <f>IF($B100="Серий В.А.",515)</f>
        <v>515</v>
      </c>
    </row>
    <row r="101" spans="1:3" ht="20.25" customHeight="1" x14ac:dyDescent="0.3">
      <c r="A101" s="4">
        <v>101</v>
      </c>
      <c r="B101" s="7" t="s">
        <v>79</v>
      </c>
      <c r="C101" s="6">
        <f>IF($B101="Скачек А.В.",1649)</f>
        <v>1649</v>
      </c>
    </row>
    <row r="102" spans="1:3" ht="20.25" customHeight="1" x14ac:dyDescent="0.3">
      <c r="A102" s="4">
        <v>102</v>
      </c>
      <c r="B102" s="1" t="s">
        <v>144</v>
      </c>
      <c r="C102" s="6" t="s">
        <v>139</v>
      </c>
    </row>
    <row r="103" spans="1:3" ht="20.25" customHeight="1" x14ac:dyDescent="0.3">
      <c r="A103" s="4">
        <v>103</v>
      </c>
      <c r="B103" s="1" t="s">
        <v>134</v>
      </c>
      <c r="C103" s="6">
        <f>IF($B103="Федотов С.В.",1704)</f>
        <v>1704</v>
      </c>
    </row>
    <row r="104" spans="1:3" ht="20.25" customHeight="1" x14ac:dyDescent="0.3">
      <c r="A104" s="4">
        <v>104</v>
      </c>
      <c r="B104" s="1" t="s">
        <v>88</v>
      </c>
      <c r="C104" s="6">
        <f>IF($B104="Хомич Н.Н.",589)</f>
        <v>589</v>
      </c>
    </row>
    <row r="105" spans="1:3" ht="20.25" customHeight="1" x14ac:dyDescent="0.3">
      <c r="A105" s="4">
        <v>105</v>
      </c>
      <c r="B105" s="7" t="s">
        <v>67</v>
      </c>
      <c r="C105" s="6">
        <f>IF($B105="Хомодеев В.В.",2325)</f>
        <v>2325</v>
      </c>
    </row>
    <row r="106" spans="1:3" ht="20.25" customHeight="1" x14ac:dyDescent="0.3">
      <c r="A106" s="4">
        <v>106</v>
      </c>
      <c r="B106" s="5" t="s">
        <v>25</v>
      </c>
      <c r="C106" s="6">
        <f>IF($B106="Цедрик Т.Н.",1140)</f>
        <v>1140</v>
      </c>
    </row>
    <row r="107" spans="1:3" ht="20.25" customHeight="1" x14ac:dyDescent="0.3">
      <c r="A107" s="4">
        <v>107</v>
      </c>
      <c r="B107" s="7" t="s">
        <v>107</v>
      </c>
      <c r="C107" s="6">
        <f>IF($B107="Шерий Д.В.",563)</f>
        <v>563</v>
      </c>
    </row>
    <row r="108" spans="1:3" ht="20.25" customHeight="1" x14ac:dyDescent="0.3">
      <c r="A108" s="4">
        <v>108</v>
      </c>
      <c r="B108" s="7" t="s">
        <v>68</v>
      </c>
      <c r="C108" s="6">
        <f>IF($B108="Ясинский В.С.",70)</f>
        <v>70</v>
      </c>
    </row>
  </sheetData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conditionalFormatting sqref="A1:C108">
    <cfRule type="expression" dxfId="6" priority="7">
      <formula>A1&lt;&gt;""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БДМ№1</vt:lpstr>
      <vt:lpstr>Общий табель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Табель бригадного расчёта</dc:title>
  <dc:creator>Хомич Николай</dc:creator>
  <dc:description>Версия 2.15</dc:description>
  <cp:lastModifiedBy>Дом</cp:lastModifiedBy>
  <cp:lastPrinted>2016-01-01T13:08:17Z</cp:lastPrinted>
  <dcterms:created xsi:type="dcterms:W3CDTF">2006-09-28T05:33:49Z</dcterms:created>
  <dcterms:modified xsi:type="dcterms:W3CDTF">2016-07-13T22:22:36Z</dcterms:modified>
</cp:coreProperties>
</file>