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05" yWindow="-15" windowWidth="14310" windowHeight="12855"/>
  </bookViews>
  <sheets>
    <sheet name="Расчет согласно ГОСТ" sheetId="1" r:id="rId1"/>
    <sheet name="Лист2" sheetId="2" r:id="rId2"/>
  </sheets>
  <definedNames>
    <definedName name="Возраст">'Расчет согласно ГОСТ'!$W$22:$W$24</definedName>
    <definedName name="Метод">'Расчет согласно ГОСТ'!$U$16:$U$20</definedName>
    <definedName name="Схема">'Расчет согласно ГОСТ'!$W$16:$W$20</definedName>
  </definedNames>
  <calcPr calcId="145621"/>
</workbook>
</file>

<file path=xl/calcChain.xml><?xml version="1.0" encoding="utf-8"?>
<calcChain xmlns="http://schemas.openxmlformats.org/spreadsheetml/2006/main">
  <c r="S31" i="2" l="1"/>
  <c r="S29" i="2"/>
  <c r="S25" i="2"/>
  <c r="S18" i="2"/>
  <c r="Q31" i="2"/>
  <c r="Q29" i="2"/>
  <c r="Q25" i="2"/>
  <c r="Q18" i="2"/>
  <c r="R31" i="2"/>
  <c r="P31" i="2"/>
  <c r="I80" i="2"/>
  <c r="I46" i="2"/>
  <c r="I30" i="2"/>
  <c r="I61" i="2"/>
  <c r="E76" i="2"/>
  <c r="H76" i="2" s="1"/>
  <c r="E75" i="2"/>
  <c r="H75" i="2" s="1"/>
  <c r="E74" i="2"/>
  <c r="H74" i="2" s="1"/>
  <c r="E73" i="2"/>
  <c r="H73" i="2" s="1"/>
  <c r="I73" i="2" s="1"/>
  <c r="H69" i="2"/>
  <c r="I66" i="2" s="1"/>
  <c r="H68" i="2"/>
  <c r="H67" i="2"/>
  <c r="H66" i="2"/>
  <c r="E57" i="2"/>
  <c r="H57" i="2" s="1"/>
  <c r="I57" i="2" s="1"/>
  <c r="H53" i="2"/>
  <c r="H52" i="2"/>
  <c r="H51" i="2"/>
  <c r="I51" i="2" s="1"/>
  <c r="E42" i="2"/>
  <c r="H42" i="2" s="1"/>
  <c r="I42" i="2" s="1"/>
  <c r="H38" i="2"/>
  <c r="H37" i="2"/>
  <c r="H36" i="2"/>
  <c r="H35" i="2"/>
  <c r="I35" i="2" s="1"/>
  <c r="E26" i="2"/>
  <c r="H26" i="2" s="1"/>
  <c r="I26" i="2" s="1"/>
  <c r="H19" i="2"/>
  <c r="H20" i="2"/>
  <c r="H21" i="2"/>
  <c r="H22" i="2"/>
  <c r="H18" i="2"/>
  <c r="I18" i="2" s="1"/>
  <c r="N15" i="1"/>
  <c r="M15" i="1"/>
  <c r="L15" i="1"/>
  <c r="K15" i="1"/>
  <c r="R17" i="1"/>
  <c r="R18" i="1"/>
  <c r="R19" i="1"/>
  <c r="R20" i="1"/>
  <c r="R21" i="1"/>
  <c r="R15" i="1"/>
  <c r="R16" i="1"/>
  <c r="Q17" i="1"/>
  <c r="Q18" i="1"/>
  <c r="Q19" i="1"/>
  <c r="Q20" i="1"/>
  <c r="Q21" i="1"/>
  <c r="Q15" i="1"/>
  <c r="Q16" i="1"/>
  <c r="D9" i="2" l="1"/>
  <c r="D10" i="2" s="1"/>
  <c r="E9" i="2"/>
  <c r="E10" i="2" s="1"/>
  <c r="F9" i="2"/>
  <c r="F10" i="2" s="1"/>
  <c r="G9" i="2"/>
  <c r="G10" i="2" s="1"/>
  <c r="H9" i="2"/>
  <c r="H10" i="2" s="1"/>
  <c r="I9" i="2"/>
  <c r="I10" i="2" s="1"/>
  <c r="J9" i="2"/>
  <c r="J10" i="2" s="1"/>
  <c r="K9" i="2"/>
  <c r="K10" i="2" s="1"/>
  <c r="L9" i="2"/>
  <c r="L10" i="2" s="1"/>
  <c r="M9" i="2"/>
  <c r="M10" i="2" s="1"/>
  <c r="N9" i="2"/>
  <c r="N10" i="2" s="1"/>
  <c r="C9" i="2"/>
  <c r="C10" i="2" s="1"/>
  <c r="C11" i="2" l="1"/>
  <c r="K20" i="1"/>
  <c r="K19" i="1"/>
  <c r="K18" i="1"/>
  <c r="K17" i="1"/>
  <c r="M20" i="1"/>
  <c r="N20" i="1"/>
  <c r="N19" i="1"/>
  <c r="N18" i="1"/>
  <c r="N17" i="1"/>
  <c r="S27" i="1"/>
  <c r="M19" i="1"/>
  <c r="L16" i="1"/>
  <c r="L17" i="1"/>
  <c r="M17" i="1" s="1"/>
  <c r="L18" i="1"/>
  <c r="M18" i="1" s="1"/>
  <c r="L19" i="1"/>
  <c r="L20" i="1"/>
  <c r="L21" i="1"/>
  <c r="M21" i="1" s="1"/>
  <c r="N21" i="1" s="1"/>
  <c r="K21" i="1"/>
  <c r="N25" i="1" l="1"/>
  <c r="O27" i="1"/>
  <c r="R27" i="1" l="1"/>
  <c r="Q27" i="1"/>
  <c r="P27" i="1"/>
  <c r="H16" i="1" l="1"/>
  <c r="K16" i="1" s="1"/>
  <c r="M16" i="1" s="1"/>
  <c r="N16" i="1" s="1"/>
  <c r="H17" i="1"/>
  <c r="H18" i="1"/>
  <c r="H19" i="1"/>
  <c r="H20" i="1"/>
  <c r="H21" i="1"/>
  <c r="H15" i="1"/>
  <c r="P17" i="1"/>
  <c r="P18" i="1"/>
  <c r="O18" i="1"/>
  <c r="O17" i="1"/>
  <c r="P16" i="1"/>
  <c r="P19" i="1"/>
  <c r="P20" i="1"/>
  <c r="P21" i="1"/>
  <c r="P15" i="1"/>
  <c r="O16" i="1"/>
  <c r="O19" i="1"/>
  <c r="O20" i="1"/>
  <c r="O21" i="1"/>
  <c r="O15" i="1"/>
  <c r="H22" i="1" l="1"/>
  <c r="O26" i="1"/>
  <c r="O28" i="1" s="1"/>
  <c r="P26" i="1"/>
  <c r="P28" i="1" s="1"/>
  <c r="Q26" i="1"/>
  <c r="Q28" i="1" s="1"/>
  <c r="R26" i="1"/>
  <c r="R28" i="1" s="1"/>
  <c r="N24" i="1"/>
  <c r="N28" i="1" s="1"/>
  <c r="G18" i="1"/>
  <c r="N29" i="1" l="1"/>
  <c r="D24" i="1" s="1"/>
  <c r="R12" i="1"/>
  <c r="G20" i="1" l="1"/>
  <c r="G16" i="1"/>
  <c r="G17" i="1"/>
  <c r="G19" i="1"/>
  <c r="G21" i="1"/>
  <c r="G15" i="1"/>
</calcChain>
</file>

<file path=xl/sharedStrings.xml><?xml version="1.0" encoding="utf-8"?>
<sst xmlns="http://schemas.openxmlformats.org/spreadsheetml/2006/main" count="225" uniqueCount="100">
  <si>
    <t>Фундамент</t>
  </si>
  <si>
    <t>Стены</t>
  </si>
  <si>
    <t>Пилоны</t>
  </si>
  <si>
    <t>Плита перекрытия</t>
  </si>
  <si>
    <t>№ п/п</t>
  </si>
  <si>
    <t>Наименование конструкции</t>
  </si>
  <si>
    <t>РАЗМЕРЫ</t>
  </si>
  <si>
    <t>Длина</t>
  </si>
  <si>
    <t>Ширина</t>
  </si>
  <si>
    <t>Высота</t>
  </si>
  <si>
    <t>Площадь</t>
  </si>
  <si>
    <t>Объем</t>
  </si>
  <si>
    <t>Кол-во залитых конструкций за смену (ПАРТИЯ)</t>
  </si>
  <si>
    <t>Промежуточный возраст</t>
  </si>
  <si>
    <t>Проектный возраст</t>
  </si>
  <si>
    <t>Кол-во испытаний по неразрушающему контролю</t>
  </si>
  <si>
    <t>Молоток Шмидта</t>
  </si>
  <si>
    <t>Ультразвук</t>
  </si>
  <si>
    <t>Отрыв со скалыванием</t>
  </si>
  <si>
    <t>Керны</t>
  </si>
  <si>
    <t>Ригель</t>
  </si>
  <si>
    <t>Балка</t>
  </si>
  <si>
    <t>Колонны</t>
  </si>
  <si>
    <t>Схема В</t>
  </si>
  <si>
    <t>Схема Г</t>
  </si>
  <si>
    <t>ЦЕНА</t>
  </si>
  <si>
    <t>Общая сумма:</t>
  </si>
  <si>
    <r>
      <t>Стоимость работ от 1 м</t>
    </r>
    <r>
      <rPr>
        <b/>
        <sz val="11"/>
        <color theme="1"/>
        <rFont val="Calibri"/>
        <family val="2"/>
        <charset val="204"/>
      </rPr>
      <t>³</t>
    </r>
    <r>
      <rPr>
        <b/>
        <i/>
        <sz val="11"/>
        <color theme="1"/>
        <rFont val="Calibri"/>
        <family val="2"/>
        <charset val="204"/>
        <scheme val="minor"/>
      </rPr>
      <t xml:space="preserve"> бетона:</t>
    </r>
  </si>
  <si>
    <t>ВИДЫ ИСПЫТАНИЙ</t>
  </si>
  <si>
    <t>Экспертная оценка</t>
  </si>
  <si>
    <t xml:space="preserve">Выбрать вид испытания для контроля </t>
  </si>
  <si>
    <t>Выбрать возраст конструкции</t>
  </si>
  <si>
    <t>Выбрать схему проведения испытания</t>
  </si>
  <si>
    <t>Кубы</t>
  </si>
  <si>
    <t>Схема А</t>
  </si>
  <si>
    <t>Схема Б</t>
  </si>
  <si>
    <t>Данная схема не применима для этих схем при неразрушающем контроле</t>
  </si>
  <si>
    <t>Промежуточные расчеты</t>
  </si>
  <si>
    <r>
      <t xml:space="preserve">Контроль монолитных конструкций производится партиями изготовленных за определенное время (ГОСТ 18105-2010).                                                                                                                                                                                      В которые включают конструкции или бетонную смесь, изготовленные по одной технологии за определенный промежуток времени продолжительностью от одной смены до </t>
    </r>
    <r>
      <rPr>
        <b/>
        <i/>
        <u/>
        <sz val="8"/>
        <color theme="1"/>
        <rFont val="Calibri"/>
        <family val="2"/>
        <charset val="204"/>
        <scheme val="minor"/>
      </rPr>
      <t>одной недели</t>
    </r>
    <r>
      <rPr>
        <i/>
        <sz val="8"/>
        <color theme="1"/>
        <rFont val="Calibri"/>
        <family val="2"/>
        <charset val="204"/>
        <scheme val="minor"/>
      </rPr>
      <t xml:space="preserve"> (ГОСТ 18105-2010 п.п. 5.1)                                                                                                                      Контроль прочности бетона для БСГ (</t>
    </r>
    <r>
      <rPr>
        <b/>
        <i/>
        <u/>
        <sz val="8"/>
        <color theme="1"/>
        <rFont val="Calibri"/>
        <family val="2"/>
        <charset val="204"/>
        <scheme val="minor"/>
      </rPr>
      <t>кубы</t>
    </r>
    <r>
      <rPr>
        <i/>
        <sz val="8"/>
        <color theme="1"/>
        <rFont val="Calibri"/>
        <family val="2"/>
        <charset val="204"/>
        <scheme val="minor"/>
      </rPr>
      <t xml:space="preserve">) проводят </t>
    </r>
    <r>
      <rPr>
        <b/>
        <i/>
        <u/>
        <sz val="8"/>
        <color theme="1"/>
        <rFont val="Calibri"/>
        <family val="2"/>
        <charset val="204"/>
        <scheme val="minor"/>
      </rPr>
      <t>по схеме А, Б,</t>
    </r>
    <r>
      <rPr>
        <i/>
        <sz val="8"/>
        <color theme="1"/>
        <rFont val="Calibri"/>
        <family val="2"/>
        <charset val="204"/>
        <scheme val="minor"/>
      </rPr>
      <t xml:space="preserve"> в которые включают бетонную смесь одного номинального состава, изготовленная по одной технологии за определенный промежуток времени продолжительностью от </t>
    </r>
    <r>
      <rPr>
        <b/>
        <i/>
        <u/>
        <sz val="8"/>
        <color theme="1"/>
        <rFont val="Calibri"/>
        <family val="2"/>
        <charset val="204"/>
        <scheme val="minor"/>
      </rPr>
      <t>одной смены (сутки)</t>
    </r>
    <r>
      <rPr>
        <i/>
        <sz val="8"/>
        <color theme="1"/>
        <rFont val="Calibri"/>
        <family val="2"/>
        <charset val="204"/>
        <scheme val="minor"/>
      </rPr>
      <t>.</t>
    </r>
  </si>
  <si>
    <t>Нач. лаборатории</t>
  </si>
  <si>
    <t>Вед. Инженер-технолог</t>
  </si>
  <si>
    <t>Инженер-технолог</t>
  </si>
  <si>
    <t>Инженер</t>
  </si>
  <si>
    <t>К-1.1</t>
  </si>
  <si>
    <t>К-1.2</t>
  </si>
  <si>
    <t>К-1.3</t>
  </si>
  <si>
    <t>К-2.2</t>
  </si>
  <si>
    <t>К-3.2а</t>
  </si>
  <si>
    <t>шт</t>
  </si>
  <si>
    <t>длина</t>
  </si>
  <si>
    <t>ширина</t>
  </si>
  <si>
    <t>высота</t>
  </si>
  <si>
    <r>
      <t>Vм</t>
    </r>
    <r>
      <rPr>
        <sz val="11"/>
        <color theme="1"/>
        <rFont val="Calibri"/>
        <family val="2"/>
        <charset val="204"/>
      </rPr>
      <t>³</t>
    </r>
  </si>
  <si>
    <r>
      <t>Общий Vм</t>
    </r>
    <r>
      <rPr>
        <sz val="11"/>
        <color theme="1"/>
        <rFont val="Calibri"/>
        <family val="2"/>
        <charset val="204"/>
      </rPr>
      <t>³</t>
    </r>
  </si>
  <si>
    <t>Ведомость вертикальных элементов секций 1,2 (на один этаж)</t>
  </si>
  <si>
    <t>СТЕНЫ</t>
  </si>
  <si>
    <t>Стена Ст-2.1</t>
  </si>
  <si>
    <t>п/м</t>
  </si>
  <si>
    <t>Ведомость вертикальных элементов секций 3,4 (на один этаж)</t>
  </si>
  <si>
    <r>
      <t>К-1.1; К-1.1</t>
    </r>
    <r>
      <rPr>
        <sz val="11"/>
        <color theme="1"/>
        <rFont val="Calibri"/>
        <family val="2"/>
        <charset val="204"/>
      </rPr>
      <t>*</t>
    </r>
  </si>
  <si>
    <t>К-2.1</t>
  </si>
  <si>
    <t>К-3.1а</t>
  </si>
  <si>
    <t>Ведомость вертикальных элементов секций 5 (на один этаж)</t>
  </si>
  <si>
    <t>Ведомость вертикальных элементов секций 6,7 (на один этаж)</t>
  </si>
  <si>
    <t>Стена Ст-3.1</t>
  </si>
  <si>
    <t>Стена Ст-3.2</t>
  </si>
  <si>
    <t>Стена Ст-3.3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</si>
  <si>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</si>
  <si>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</si>
  <si>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</si>
  <si>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</si>
  <si>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</si>
  <si>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</si>
  <si>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</si>
  <si>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</si>
  <si>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</si>
  <si>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</si>
  <si>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</si>
  <si>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</si>
  <si>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ЗАТРАТЫ на (заработную плату сотрудникам лаборатории) за год</t>
  </si>
  <si>
    <t>Плита перекрытия П-1; П-2</t>
  </si>
  <si>
    <t>Плита перекрытия П-3; П-4</t>
  </si>
  <si>
    <t>Плита перекрытия П-4</t>
  </si>
  <si>
    <t>Налог (17 %)</t>
  </si>
  <si>
    <t>Пример:</t>
  </si>
  <si>
    <t>Промежуточный возраст (7 суток)</t>
  </si>
  <si>
    <t>Промежуточный возраст (28 суток)</t>
  </si>
  <si>
    <t>Если данная ячейка N24 имеет значение менее 30, то:</t>
  </si>
  <si>
    <t>Если данная ячейка N25 имеет значение менее 15, то:</t>
  </si>
  <si>
    <t>Если данная ячейка О26 имеет значение менее 20, то:</t>
  </si>
  <si>
    <t xml:space="preserve"> </t>
  </si>
  <si>
    <t>Общее число участков измерений для расчета характеристик однородности прочности бетона партии конструкций должно быть не менее 20.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</si>
  <si>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20.</t>
  </si>
  <si>
    <t xml:space="preserve">Всплывает примечание с текстом: Слишком мало значений для определения характеристик однородности прочности бетона. Нужно не менее 15 шт. </t>
  </si>
  <si>
    <t xml:space="preserve">Всплывает примечание с текстом: Слишком мало значений для определения характеристик однородности прочности бетона. Нужно не менее 30 шт. </t>
  </si>
  <si>
    <t>Если данная ячейка Р26 имеет значение менее 20, то:</t>
  </si>
  <si>
    <t>Если данная ячейка Q26 имеет значение менее 12, то: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</si>
  <si>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12.</t>
  </si>
  <si>
    <t>Если данная ячейка R26 имеет значение менее 3, то: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</si>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</sst>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&quot; шт.&quot;"/>
    <numFmt numFmtId="165" formatCode="#&quot; уч.&quot;"/>
    <numFmt numFmtId="166" formatCode="#.0&quot; м³&quot;"/>
    <numFmt numFmtId="170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44" fontId="2" fillId="0" borderId="25" xfId="0" applyNumberFormat="1" applyFont="1" applyFill="1" applyBorder="1" applyAlignment="1" applyProtection="1">
      <alignment horizontal="center" vertical="center"/>
      <protection locked="0"/>
    </xf>
    <xf numFmtId="44" fontId="2" fillId="0" borderId="20" xfId="0" applyNumberFormat="1" applyFont="1" applyFill="1" applyBorder="1" applyAlignment="1" applyProtection="1">
      <alignment horizontal="center" vertical="center"/>
      <protection locked="0"/>
    </xf>
    <xf numFmtId="44" fontId="2" fillId="0" borderId="4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</xf>
    <xf numFmtId="0" fontId="0" fillId="7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7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 textRotation="90"/>
    </xf>
    <xf numFmtId="0" fontId="1" fillId="3" borderId="20" xfId="0" applyFont="1" applyFill="1" applyBorder="1" applyAlignment="1" applyProtection="1">
      <alignment horizontal="center" vertical="center" textRotation="90"/>
    </xf>
    <xf numFmtId="0" fontId="1" fillId="3" borderId="26" xfId="0" applyFont="1" applyFill="1" applyBorder="1" applyAlignment="1" applyProtection="1">
      <alignment horizontal="center" vertical="center" textRotation="90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/>
    </xf>
    <xf numFmtId="2" fontId="1" fillId="2" borderId="11" xfId="0" applyNumberFormat="1" applyFont="1" applyFill="1" applyBorder="1" applyAlignment="1" applyProtection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164" fontId="1" fillId="6" borderId="27" xfId="0" applyNumberFormat="1" applyFont="1" applyFill="1" applyBorder="1" applyAlignment="1" applyProtection="1">
      <alignment horizontal="center" vertical="center"/>
    </xf>
    <xf numFmtId="165" fontId="1" fillId="6" borderId="13" xfId="0" applyNumberFormat="1" applyFont="1" applyFill="1" applyBorder="1" applyAlignment="1" applyProtection="1">
      <alignment horizontal="center" vertical="center"/>
    </xf>
    <xf numFmtId="165" fontId="1" fillId="6" borderId="9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164" fontId="1" fillId="6" borderId="28" xfId="0" applyNumberFormat="1" applyFont="1" applyFill="1" applyBorder="1" applyAlignment="1" applyProtection="1">
      <alignment horizontal="center" vertical="center"/>
    </xf>
    <xf numFmtId="165" fontId="1" fillId="6" borderId="1" xfId="0" applyNumberFormat="1" applyFont="1" applyFill="1" applyBorder="1" applyAlignment="1" applyProtection="1">
      <alignment horizontal="center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5" xfId="0" applyNumberFormat="1" applyFont="1" applyFill="1" applyBorder="1" applyAlignment="1" applyProtection="1">
      <alignment horizontal="center" vertical="center"/>
    </xf>
    <xf numFmtId="0" fontId="0" fillId="7" borderId="0" xfId="0" applyFill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164" fontId="1" fillId="6" borderId="29" xfId="0" applyNumberFormat="1" applyFont="1" applyFill="1" applyBorder="1" applyAlignment="1" applyProtection="1">
      <alignment horizontal="center" vertical="center"/>
    </xf>
    <xf numFmtId="165" fontId="1" fillId="6" borderId="7" xfId="0" applyNumberFormat="1" applyFont="1" applyFill="1" applyBorder="1" applyAlignment="1" applyProtection="1">
      <alignment horizontal="center" vertical="center"/>
    </xf>
    <xf numFmtId="164" fontId="1" fillId="6" borderId="7" xfId="0" applyNumberFormat="1" applyFont="1" applyFill="1" applyBorder="1" applyAlignment="1" applyProtection="1">
      <alignment horizontal="center" vertical="center"/>
    </xf>
    <xf numFmtId="164" fontId="1" fillId="6" borderId="8" xfId="0" applyNumberFormat="1" applyFont="1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44" fontId="2" fillId="4" borderId="49" xfId="0" applyNumberFormat="1" applyFont="1" applyFill="1" applyBorder="1" applyAlignment="1" applyProtection="1">
      <alignment horizontal="center" vertical="center"/>
    </xf>
    <xf numFmtId="44" fontId="2" fillId="4" borderId="24" xfId="0" applyNumberFormat="1" applyFont="1" applyFill="1" applyBorder="1" applyAlignment="1" applyProtection="1">
      <alignment horizontal="center" vertical="center"/>
    </xf>
    <xf numFmtId="44" fontId="2" fillId="4" borderId="19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3" fillId="7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44" fontId="2" fillId="4" borderId="21" xfId="0" applyNumberFormat="1" applyFont="1" applyFill="1" applyBorder="1" applyAlignment="1" applyProtection="1">
      <alignment horizontal="center" vertical="center"/>
    </xf>
    <xf numFmtId="44" fontId="2" fillId="4" borderId="22" xfId="0" applyNumberFormat="1" applyFont="1" applyFill="1" applyBorder="1" applyAlignment="1" applyProtection="1">
      <alignment horizontal="center" vertical="center"/>
    </xf>
    <xf numFmtId="44" fontId="2" fillId="4" borderId="23" xfId="0" applyNumberFormat="1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166" fontId="1" fillId="2" borderId="21" xfId="0" applyNumberFormat="1" applyFont="1" applyFill="1" applyBorder="1" applyAlignment="1" applyProtection="1">
      <alignment horizontal="center" vertical="center"/>
    </xf>
    <xf numFmtId="166" fontId="1" fillId="2" borderId="23" xfId="0" applyNumberFormat="1" applyFont="1" applyFill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 wrapText="1"/>
    </xf>
    <xf numFmtId="0" fontId="0" fillId="2" borderId="48" xfId="0" applyFill="1" applyBorder="1" applyAlignment="1" applyProtection="1">
      <alignment horizontal="center" vertical="center"/>
    </xf>
    <xf numFmtId="0" fontId="0" fillId="2" borderId="52" xfId="0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7" fillId="2" borderId="36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left" vertical="center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 applyProtection="1">
      <alignment horizontal="left" vertical="center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0" fontId="0" fillId="0" borderId="53" xfId="0" applyNumberFormat="1" applyBorder="1" applyAlignment="1">
      <alignment horizontal="center" vertical="center"/>
    </xf>
    <xf numFmtId="170" fontId="0" fillId="0" borderId="43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11" fillId="8" borderId="54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0" fontId="0" fillId="0" borderId="56" xfId="0" applyNumberFormat="1" applyBorder="1" applyAlignment="1">
      <alignment horizontal="center" vertical="center"/>
    </xf>
    <xf numFmtId="170" fontId="0" fillId="0" borderId="44" xfId="0" applyNumberFormat="1" applyBorder="1" applyAlignment="1">
      <alignment horizontal="center" vertical="center"/>
    </xf>
    <xf numFmtId="170" fontId="0" fillId="0" borderId="12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0" fontId="0" fillId="0" borderId="39" xfId="0" applyNumberFormat="1" applyBorder="1" applyAlignment="1">
      <alignment horizontal="center" vertical="center"/>
    </xf>
    <xf numFmtId="170" fontId="0" fillId="0" borderId="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44" fontId="0" fillId="0" borderId="0" xfId="0" applyNumberFormat="1" applyAlignment="1">
      <alignment horizontal="center" vertical="center"/>
    </xf>
    <xf numFmtId="0" fontId="10" fillId="7" borderId="34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>
      <alignment vertical="center"/>
    </xf>
    <xf numFmtId="0" fontId="12" fillId="7" borderId="0" xfId="0" applyFont="1" applyFill="1" applyAlignment="1" applyProtection="1">
      <alignment horizontal="center" vertical="center"/>
    </xf>
    <xf numFmtId="0" fontId="0" fillId="10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horizontal="left" vertical="center"/>
    </xf>
  </cellXfs>
  <cellStyles count="1">
    <cellStyle name="Обычный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R120"/>
  <sheetViews>
    <sheetView tabSelected="1" zoomScale="95" zoomScaleNormal="95" workbookViewId="0">
      <selection activeCell="AA26" sqref="AA26"/>
    </sheetView>
  </sheetViews>
  <sheetFormatPr defaultRowHeight="15" x14ac:dyDescent="0.25"/>
  <cols>
    <col min="1" max="1" width="1" style="24" customWidth="1"/>
    <col min="2" max="2" width="3.85546875" style="87" customWidth="1"/>
    <col min="3" max="3" width="30.7109375" style="24" customWidth="1"/>
    <col min="4" max="6" width="5.85546875" style="24" customWidth="1"/>
    <col min="7" max="7" width="7.85546875" style="24" customWidth="1"/>
    <col min="8" max="9" width="8.42578125" style="24" customWidth="1"/>
    <col min="10" max="10" width="13.28515625" style="24" customWidth="1"/>
    <col min="11" max="13" width="12.5703125" style="24" hidden="1" customWidth="1"/>
    <col min="14" max="16" width="12.85546875" style="24" customWidth="1"/>
    <col min="17" max="17" width="13.42578125" style="24" customWidth="1"/>
    <col min="18" max="18" width="12.85546875" style="24" customWidth="1"/>
    <col min="19" max="19" width="9.140625" style="24"/>
    <col min="20" max="24" width="9.140625" style="24" hidden="1" customWidth="1"/>
    <col min="25" max="25" width="9.140625" style="24" customWidth="1"/>
    <col min="26" max="16384" width="9.140625" style="24"/>
  </cols>
  <sheetData>
    <row r="1" spans="1:70" ht="15.75" thickBot="1" x14ac:dyDescent="0.3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15.75" thickBot="1" x14ac:dyDescent="0.3">
      <c r="A2" s="22"/>
      <c r="B2" s="113" t="s">
        <v>14</v>
      </c>
      <c r="C2" s="114"/>
      <c r="D2" s="124" t="s">
        <v>31</v>
      </c>
      <c r="E2" s="125"/>
      <c r="F2" s="125"/>
      <c r="G2" s="125"/>
      <c r="H2" s="125"/>
      <c r="I2" s="126"/>
      <c r="J2" s="25"/>
      <c r="K2" s="25"/>
      <c r="L2" s="25"/>
      <c r="M2" s="25"/>
      <c r="N2" s="25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1:70" s="26" customFormat="1" ht="15.75" thickBot="1" x14ac:dyDescent="0.3">
      <c r="A3" s="22"/>
      <c r="B3" s="113" t="s">
        <v>23</v>
      </c>
      <c r="C3" s="114"/>
      <c r="D3" s="124" t="s">
        <v>32</v>
      </c>
      <c r="E3" s="125"/>
      <c r="F3" s="125"/>
      <c r="G3" s="125"/>
      <c r="H3" s="125"/>
      <c r="I3" s="126"/>
      <c r="J3" s="25"/>
      <c r="K3" s="25"/>
      <c r="L3" s="25"/>
      <c r="M3" s="25"/>
      <c r="N3" s="2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1:70" s="26" customFormat="1" ht="15.75" customHeight="1" thickBot="1" x14ac:dyDescent="0.3">
      <c r="A4" s="22"/>
      <c r="B4" s="121" t="s">
        <v>28</v>
      </c>
      <c r="C4" s="122"/>
      <c r="D4" s="122"/>
      <c r="E4" s="122"/>
      <c r="F4" s="122"/>
      <c r="G4" s="122"/>
      <c r="H4" s="122"/>
      <c r="I4" s="123"/>
      <c r="J4" s="27"/>
      <c r="K4" s="27"/>
      <c r="L4" s="27"/>
      <c r="M4" s="27"/>
      <c r="N4" s="2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1:70" x14ac:dyDescent="0.25">
      <c r="A5" s="22"/>
      <c r="B5" s="28">
        <v>1</v>
      </c>
      <c r="C5" s="1" t="s">
        <v>19</v>
      </c>
      <c r="D5" s="115" t="s">
        <v>30</v>
      </c>
      <c r="E5" s="116"/>
      <c r="F5" s="116"/>
      <c r="G5" s="116"/>
      <c r="H5" s="116"/>
      <c r="I5" s="117"/>
      <c r="J5" s="25"/>
      <c r="K5" s="25"/>
      <c r="L5" s="25"/>
      <c r="M5" s="25"/>
      <c r="N5" s="25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x14ac:dyDescent="0.25">
      <c r="A6" s="22"/>
      <c r="B6" s="29">
        <v>2</v>
      </c>
      <c r="C6" s="2"/>
      <c r="D6" s="115"/>
      <c r="E6" s="116"/>
      <c r="F6" s="116"/>
      <c r="G6" s="116"/>
      <c r="H6" s="116"/>
      <c r="I6" s="117"/>
      <c r="J6" s="25"/>
      <c r="K6" s="25"/>
      <c r="L6" s="25"/>
      <c r="M6" s="25"/>
      <c r="N6" s="25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</row>
    <row r="7" spans="1:70" x14ac:dyDescent="0.25">
      <c r="A7" s="22"/>
      <c r="B7" s="29">
        <v>3</v>
      </c>
      <c r="C7" s="2"/>
      <c r="D7" s="115"/>
      <c r="E7" s="116"/>
      <c r="F7" s="116"/>
      <c r="G7" s="116"/>
      <c r="H7" s="116"/>
      <c r="I7" s="117"/>
      <c r="J7" s="25"/>
      <c r="K7" s="25"/>
      <c r="L7" s="25"/>
      <c r="M7" s="25"/>
      <c r="N7" s="25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</row>
    <row r="8" spans="1:70" x14ac:dyDescent="0.25">
      <c r="A8" s="22"/>
      <c r="B8" s="29">
        <v>4</v>
      </c>
      <c r="C8" s="2"/>
      <c r="D8" s="115"/>
      <c r="E8" s="116"/>
      <c r="F8" s="116"/>
      <c r="G8" s="116"/>
      <c r="H8" s="116"/>
      <c r="I8" s="117"/>
      <c r="J8" s="25"/>
      <c r="K8" s="25"/>
      <c r="L8" s="25"/>
      <c r="M8" s="25"/>
      <c r="N8" s="25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</row>
    <row r="9" spans="1:70" ht="15.75" thickBot="1" x14ac:dyDescent="0.3">
      <c r="A9" s="22"/>
      <c r="B9" s="30">
        <v>5</v>
      </c>
      <c r="C9" s="3"/>
      <c r="D9" s="118"/>
      <c r="E9" s="119"/>
      <c r="F9" s="119"/>
      <c r="G9" s="119"/>
      <c r="H9" s="119"/>
      <c r="I9" s="120"/>
      <c r="J9" s="25"/>
      <c r="K9" s="25"/>
      <c r="L9" s="25"/>
      <c r="M9" s="25"/>
      <c r="N9" s="25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</row>
    <row r="10" spans="1:70" ht="15.75" thickBot="1" x14ac:dyDescent="0.3">
      <c r="A10" s="22"/>
      <c r="B10" s="31"/>
      <c r="C10" s="3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3"/>
      <c r="P10" s="33"/>
      <c r="Q10" s="33"/>
      <c r="R10" s="33"/>
      <c r="S10" s="22"/>
      <c r="T10" s="22"/>
      <c r="U10" s="22" t="s">
        <v>91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</row>
    <row r="11" spans="1:70" ht="58.5" customHeight="1" thickBot="1" x14ac:dyDescent="0.3">
      <c r="A11" s="22"/>
      <c r="B11" s="127" t="s">
        <v>38</v>
      </c>
      <c r="C11" s="128"/>
      <c r="D11" s="128"/>
      <c r="E11" s="128"/>
      <c r="F11" s="128"/>
      <c r="G11" s="128"/>
      <c r="H11" s="128"/>
      <c r="I11" s="128"/>
      <c r="J11" s="129"/>
      <c r="K11" s="127" t="s">
        <v>37</v>
      </c>
      <c r="L11" s="128"/>
      <c r="M11" s="129"/>
      <c r="N11" s="136" t="s">
        <v>25</v>
      </c>
      <c r="O11" s="137"/>
      <c r="P11" s="137"/>
      <c r="Q11" s="137"/>
      <c r="R11" s="138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</row>
    <row r="12" spans="1:70" ht="15.75" thickBot="1" x14ac:dyDescent="0.3">
      <c r="A12" s="22"/>
      <c r="B12" s="130"/>
      <c r="C12" s="131"/>
      <c r="D12" s="131"/>
      <c r="E12" s="131"/>
      <c r="F12" s="131"/>
      <c r="G12" s="131"/>
      <c r="H12" s="131"/>
      <c r="I12" s="131"/>
      <c r="J12" s="132"/>
      <c r="K12" s="133"/>
      <c r="L12" s="134"/>
      <c r="M12" s="135"/>
      <c r="N12" s="19">
        <v>200</v>
      </c>
      <c r="O12" s="19">
        <v>150</v>
      </c>
      <c r="P12" s="20">
        <v>150</v>
      </c>
      <c r="Q12" s="20">
        <v>900</v>
      </c>
      <c r="R12" s="21">
        <f>2500+1500</f>
        <v>4000</v>
      </c>
      <c r="S12" s="22"/>
      <c r="T12" s="22"/>
      <c r="U12" s="22" t="s">
        <v>90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</row>
    <row r="13" spans="1:70" ht="16.5" customHeight="1" thickBot="1" x14ac:dyDescent="0.3">
      <c r="A13" s="22"/>
      <c r="B13" s="93" t="s">
        <v>4</v>
      </c>
      <c r="C13" s="91" t="s">
        <v>5</v>
      </c>
      <c r="D13" s="95" t="s">
        <v>6</v>
      </c>
      <c r="E13" s="96"/>
      <c r="F13" s="96"/>
      <c r="G13" s="96"/>
      <c r="H13" s="96"/>
      <c r="I13" s="97"/>
      <c r="J13" s="93" t="s">
        <v>12</v>
      </c>
      <c r="K13" s="133"/>
      <c r="L13" s="134"/>
      <c r="M13" s="135"/>
      <c r="N13" s="104" t="s">
        <v>15</v>
      </c>
      <c r="O13" s="105"/>
      <c r="P13" s="105"/>
      <c r="Q13" s="105"/>
      <c r="R13" s="106"/>
      <c r="S13" s="34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</row>
    <row r="14" spans="1:70" ht="60.75" customHeight="1" thickBot="1" x14ac:dyDescent="0.3">
      <c r="A14" s="22"/>
      <c r="B14" s="94"/>
      <c r="C14" s="92"/>
      <c r="D14" s="35" t="s">
        <v>7</v>
      </c>
      <c r="E14" s="36" t="s">
        <v>8</v>
      </c>
      <c r="F14" s="37" t="s">
        <v>9</v>
      </c>
      <c r="G14" s="35" t="s">
        <v>10</v>
      </c>
      <c r="H14" s="101" t="s">
        <v>11</v>
      </c>
      <c r="I14" s="97"/>
      <c r="J14" s="94"/>
      <c r="K14" s="130"/>
      <c r="L14" s="131"/>
      <c r="M14" s="132"/>
      <c r="N14" s="38" t="s">
        <v>33</v>
      </c>
      <c r="O14" s="39" t="s">
        <v>16</v>
      </c>
      <c r="P14" s="40" t="s">
        <v>17</v>
      </c>
      <c r="Q14" s="39" t="s">
        <v>18</v>
      </c>
      <c r="R14" s="41" t="s">
        <v>19</v>
      </c>
      <c r="S14" s="3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</row>
    <row r="15" spans="1:70" x14ac:dyDescent="0.25">
      <c r="A15" s="22"/>
      <c r="B15" s="28">
        <v>1</v>
      </c>
      <c r="C15" s="42" t="s">
        <v>0</v>
      </c>
      <c r="D15" s="4"/>
      <c r="E15" s="5"/>
      <c r="F15" s="6"/>
      <c r="G15" s="43" t="str">
        <f t="shared" ref="G15:G21" si="0">IF(SUM(D15:F15)=0,"",D15*E15)</f>
        <v/>
      </c>
      <c r="H15" s="44" t="str">
        <f>IF(SUM(D15:F15)=0,"",D15*E15*F15)</f>
        <v/>
      </c>
      <c r="I15" s="16"/>
      <c r="J15" s="13"/>
      <c r="K15" s="45">
        <f>_xlfn.CEILING.PRECISE(IF(H15="",0,H15/100),1)</f>
        <v>0</v>
      </c>
      <c r="L15" s="45">
        <f>_xlfn.CEILING.PRECISE(IF(I15="",0,I15/100),1)</f>
        <v>0</v>
      </c>
      <c r="M15" s="45">
        <f>IF(K15=0,L15,IF(L15=0,K15,""))</f>
        <v>0</v>
      </c>
      <c r="N15" s="46" t="str">
        <f>IF(ISNUMBER(MATCH(N$14,$C$5:$C$9,0)),IF($M15=0,"",IF($B$2=$W$23,M15*3,IF($B$2=$W$22,M15*3,IF($B$2=$W$24,M15*3,"")))),"")</f>
        <v/>
      </c>
      <c r="O15" s="47" t="str">
        <f t="shared" ref="O15:R16" si="1">IF(ISNUMBER(MATCH(O$14,$C$5:$C$9,0)),IF($J15="","",IF($B$2=$W$23,3,IF($B$2=$W$22,1,IF($B$2=$W$24,3,"")))),"")</f>
        <v/>
      </c>
      <c r="P15" s="48" t="str">
        <f t="shared" si="1"/>
        <v/>
      </c>
      <c r="Q15" s="55" t="str">
        <f>IF(ISNUMBER(MATCH(Q$14,$C$5:$C$9,0)),IF($J15="","",IF($B$2=$W$23,3,IF($B$2=$W$22,"",IF($B$2=$W$24,3,"")))),"")</f>
        <v/>
      </c>
      <c r="R15" s="56" t="str">
        <f>IF(ISNUMBER(MATCH(R$14,$C$5:$C$9,0)),IF($J15="","",IF($B$2=$W$23,3,IF($B$2=$W$22,"",IF($B$2=$W$24,3,"")))),"")</f>
        <v/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</row>
    <row r="16" spans="1:70" x14ac:dyDescent="0.25">
      <c r="A16" s="22"/>
      <c r="B16" s="29">
        <v>2</v>
      </c>
      <c r="C16" s="49" t="s">
        <v>1</v>
      </c>
      <c r="D16" s="7"/>
      <c r="E16" s="8"/>
      <c r="F16" s="9"/>
      <c r="G16" s="50" t="str">
        <f t="shared" si="0"/>
        <v/>
      </c>
      <c r="H16" s="51" t="str">
        <f t="shared" ref="H16:H21" si="2">IF(SUM(D16:F16)=0,"",D16*E16*F16)</f>
        <v/>
      </c>
      <c r="I16" s="17">
        <v>503.3</v>
      </c>
      <c r="J16" s="14">
        <v>10</v>
      </c>
      <c r="K16" s="52">
        <f>_xlfn.CEILING.PRECISE(IF(H16="",0,H16/100),1)</f>
        <v>0</v>
      </c>
      <c r="L16" s="52">
        <f t="shared" ref="L16:L21" si="3">_xlfn.CEILING.PRECISE(IF(I16="",0,I16/100),1)</f>
        <v>6</v>
      </c>
      <c r="M16" s="52">
        <f t="shared" ref="M16:M19" si="4">IF(K16=0,L16,IF(L16=0,K16,""))</f>
        <v>6</v>
      </c>
      <c r="N16" s="53" t="str">
        <f>IF(ISNUMBER(MATCH(N$14,$C$5:$C$9,0)),IF($M16=0,"",IF($B$2=$W$23,M16*3,IF($B$2=$W$22,M16*3,IF($B$2=$W$24,M16*3,"")))),"")</f>
        <v/>
      </c>
      <c r="O16" s="54" t="str">
        <f t="shared" si="1"/>
        <v/>
      </c>
      <c r="P16" s="54" t="str">
        <f t="shared" si="1"/>
        <v/>
      </c>
      <c r="Q16" s="55" t="str">
        <f>IF(ISNUMBER(MATCH(Q$14,$C$5:$C$9,0)),IF($J16="","",IF($B$2=$W$23,3,IF($B$2=$W$22,"",IF($B$2=$W$24,3,"")))),"")</f>
        <v/>
      </c>
      <c r="R16" s="56">
        <f>IF(ISNUMBER(MATCH(R$14,$C$5:$C$9,0)),IF($J16="","",IF($B$2=$W$23,3,IF($B$2=$W$22,"",IF($B$2=$W$24,3,"")))),"")</f>
        <v>3</v>
      </c>
      <c r="S16" s="22"/>
      <c r="T16" s="22"/>
      <c r="U16" s="57" t="s">
        <v>33</v>
      </c>
      <c r="V16" s="22"/>
      <c r="W16" s="22" t="s">
        <v>34</v>
      </c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</row>
    <row r="17" spans="1:70" x14ac:dyDescent="0.25">
      <c r="A17" s="22"/>
      <c r="B17" s="29">
        <v>3</v>
      </c>
      <c r="C17" s="49" t="s">
        <v>2</v>
      </c>
      <c r="D17" s="7"/>
      <c r="E17" s="8"/>
      <c r="F17" s="9"/>
      <c r="G17" s="50" t="str">
        <f t="shared" si="0"/>
        <v/>
      </c>
      <c r="H17" s="51" t="str">
        <f t="shared" si="2"/>
        <v/>
      </c>
      <c r="I17" s="17"/>
      <c r="J17" s="14"/>
      <c r="K17" s="52">
        <f>_xlfn.CEILING.PRECISE(IF(H17="",0,H17/100),1)</f>
        <v>0</v>
      </c>
      <c r="L17" s="52">
        <f t="shared" si="3"/>
        <v>0</v>
      </c>
      <c r="M17" s="52">
        <f t="shared" si="4"/>
        <v>0</v>
      </c>
      <c r="N17" s="53" t="str">
        <f t="shared" ref="N15:N21" si="5">IF(ISNUMBER(MATCH(N$14,$C$5:$C$9,0)),IF($M17=0,"",IF($B$2=$W$23,M17*3,IF($B$2=$W$22,M17*3,IF($B$2=$W$24,M17*3,"")))),"")</f>
        <v/>
      </c>
      <c r="O17" s="54" t="str">
        <f>IF(ISNUMBER(MATCH(O$14,$C$5:$C$9,0)),IF($J17="","",IF($B$2=$W$23,$J17*6,IF($B$2=$W$22,1,IF($B$2=$W$24,3,"")))),"")</f>
        <v/>
      </c>
      <c r="P17" s="54" t="str">
        <f>IF(ISNUMBER(MATCH(P$14,$C$5:$C$9,0)),IF($J17="","",IF($B$2=$W$23,$J17*6,IF($B$2=$W$22,1,IF($B$2=$W$24,3,"")))),"")</f>
        <v/>
      </c>
      <c r="Q17" s="55" t="str">
        <f t="shared" ref="Q17:R21" si="6">IF(ISNUMBER(MATCH(Q$14,$C$5:$C$9,0)),IF($J17="","",IF($B$2=$W$23,3,IF($B$2=$W$22,"",IF($B$2=$W$24,3,"")))),"")</f>
        <v/>
      </c>
      <c r="R17" s="56" t="str">
        <f t="shared" si="6"/>
        <v/>
      </c>
      <c r="S17" s="22"/>
      <c r="T17" s="22"/>
      <c r="U17" s="57" t="s">
        <v>16</v>
      </c>
      <c r="V17" s="22"/>
      <c r="W17" s="22" t="s">
        <v>35</v>
      </c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</row>
    <row r="18" spans="1:70" x14ac:dyDescent="0.25">
      <c r="A18" s="22"/>
      <c r="B18" s="29">
        <v>4</v>
      </c>
      <c r="C18" s="49" t="s">
        <v>22</v>
      </c>
      <c r="D18" s="7"/>
      <c r="E18" s="8"/>
      <c r="F18" s="9"/>
      <c r="G18" s="50" t="str">
        <f>IF(SUM(D18:F18)=0,"",D18*E18)</f>
        <v/>
      </c>
      <c r="H18" s="51" t="str">
        <f t="shared" si="2"/>
        <v/>
      </c>
      <c r="I18" s="17">
        <v>37.4</v>
      </c>
      <c r="J18" s="14">
        <v>83</v>
      </c>
      <c r="K18" s="52">
        <f>_xlfn.CEILING.PRECISE(IF(H18="",0,H18/100),1)</f>
        <v>0</v>
      </c>
      <c r="L18" s="52">
        <f t="shared" si="3"/>
        <v>1</v>
      </c>
      <c r="M18" s="52">
        <f t="shared" si="4"/>
        <v>1</v>
      </c>
      <c r="N18" s="53" t="str">
        <f t="shared" si="5"/>
        <v/>
      </c>
      <c r="O18" s="54" t="str">
        <f>IF(ISNUMBER(MATCH(O$14,$C$5:$C$9,0)),IF($J18="","",IF($B$2=$W$23,$J18*6,IF($B$2=$W$22,1,IF($B$2=$W$24,3,"")))),"")</f>
        <v/>
      </c>
      <c r="P18" s="54" t="str">
        <f>IF(ISNUMBER(MATCH(P$14,$C$5:$C$9,0)),IF($J18="","",IF($B$2=$W$23,$J18*6,IF($B$2=$W$22,1,IF($B$2=$W$24,3,"")))),"")</f>
        <v/>
      </c>
      <c r="Q18" s="55" t="str">
        <f t="shared" si="6"/>
        <v/>
      </c>
      <c r="R18" s="56">
        <f t="shared" si="6"/>
        <v>3</v>
      </c>
      <c r="S18" s="22"/>
      <c r="T18" s="22"/>
      <c r="U18" s="57" t="s">
        <v>17</v>
      </c>
      <c r="V18" s="22"/>
      <c r="W18" s="22" t="s">
        <v>23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</row>
    <row r="19" spans="1:70" x14ac:dyDescent="0.25">
      <c r="A19" s="22"/>
      <c r="B19" s="29">
        <v>5</v>
      </c>
      <c r="C19" s="49" t="s">
        <v>20</v>
      </c>
      <c r="D19" s="7"/>
      <c r="E19" s="8"/>
      <c r="F19" s="9"/>
      <c r="G19" s="50" t="str">
        <f t="shared" si="0"/>
        <v/>
      </c>
      <c r="H19" s="51" t="str">
        <f t="shared" si="2"/>
        <v/>
      </c>
      <c r="I19" s="17"/>
      <c r="J19" s="14"/>
      <c r="K19" s="52">
        <f>_xlfn.CEILING.PRECISE(IF(H19="",0,H19/100),1)</f>
        <v>0</v>
      </c>
      <c r="L19" s="52">
        <f t="shared" si="3"/>
        <v>0</v>
      </c>
      <c r="M19" s="52">
        <f t="shared" si="4"/>
        <v>0</v>
      </c>
      <c r="N19" s="53" t="str">
        <f t="shared" si="5"/>
        <v/>
      </c>
      <c r="O19" s="54" t="str">
        <f t="shared" ref="O19:P21" si="7">IF(ISNUMBER(MATCH(O$14,$C$5:$C$9,0)),IF($J19="","",IF($B$2=$W$23,3,IF($B$2=$W$22,1,IF($B$2=$W$24,3,"")))),"")</f>
        <v/>
      </c>
      <c r="P19" s="54" t="str">
        <f t="shared" si="7"/>
        <v/>
      </c>
      <c r="Q19" s="55" t="str">
        <f t="shared" si="6"/>
        <v/>
      </c>
      <c r="R19" s="56" t="str">
        <f t="shared" si="6"/>
        <v/>
      </c>
      <c r="S19" s="22"/>
      <c r="T19" s="22"/>
      <c r="U19" s="57" t="s">
        <v>18</v>
      </c>
      <c r="V19" s="22"/>
      <c r="W19" s="22" t="s">
        <v>24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</row>
    <row r="20" spans="1:70" x14ac:dyDescent="0.25">
      <c r="A20" s="22"/>
      <c r="B20" s="29">
        <v>6</v>
      </c>
      <c r="C20" s="49" t="s">
        <v>21</v>
      </c>
      <c r="D20" s="7"/>
      <c r="E20" s="8"/>
      <c r="F20" s="9"/>
      <c r="G20" s="50" t="str">
        <f t="shared" si="0"/>
        <v/>
      </c>
      <c r="H20" s="51" t="str">
        <f t="shared" si="2"/>
        <v/>
      </c>
      <c r="I20" s="17"/>
      <c r="J20" s="14"/>
      <c r="K20" s="52">
        <f>_xlfn.CEILING.PRECISE(IF(H20="",0,H20/100),1)</f>
        <v>0</v>
      </c>
      <c r="L20" s="52">
        <f t="shared" si="3"/>
        <v>0</v>
      </c>
      <c r="M20" s="52">
        <f>IF(K20=0,L20,IF(L20=0,K20,""))</f>
        <v>0</v>
      </c>
      <c r="N20" s="53" t="str">
        <f t="shared" si="5"/>
        <v/>
      </c>
      <c r="O20" s="54" t="str">
        <f t="shared" si="7"/>
        <v/>
      </c>
      <c r="P20" s="54" t="str">
        <f t="shared" si="7"/>
        <v/>
      </c>
      <c r="Q20" s="55" t="str">
        <f t="shared" si="6"/>
        <v/>
      </c>
      <c r="R20" s="56" t="str">
        <f t="shared" si="6"/>
        <v/>
      </c>
      <c r="S20" s="22"/>
      <c r="T20" s="22"/>
      <c r="U20" s="57" t="s">
        <v>19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</row>
    <row r="21" spans="1:70" ht="15.75" thickBot="1" x14ac:dyDescent="0.3">
      <c r="A21" s="22"/>
      <c r="B21" s="30">
        <v>7</v>
      </c>
      <c r="C21" s="58" t="s">
        <v>3</v>
      </c>
      <c r="D21" s="10"/>
      <c r="E21" s="11"/>
      <c r="F21" s="12"/>
      <c r="G21" s="59" t="str">
        <f t="shared" si="0"/>
        <v/>
      </c>
      <c r="H21" s="60" t="str">
        <f t="shared" si="2"/>
        <v/>
      </c>
      <c r="I21" s="18">
        <v>232.6</v>
      </c>
      <c r="J21" s="15">
        <v>2</v>
      </c>
      <c r="K21" s="61">
        <f t="shared" ref="K21" si="8">_xlfn.CEILING.PRECISE(IF(H21="",0,H21/100),1)</f>
        <v>0</v>
      </c>
      <c r="L21" s="61">
        <f t="shared" si="3"/>
        <v>3</v>
      </c>
      <c r="M21" s="61">
        <f>IF(K21=0,L21,IF(L21=0,K21,""))</f>
        <v>3</v>
      </c>
      <c r="N21" s="62" t="str">
        <f t="shared" si="5"/>
        <v/>
      </c>
      <c r="O21" s="63" t="str">
        <f t="shared" si="7"/>
        <v/>
      </c>
      <c r="P21" s="63" t="str">
        <f t="shared" si="7"/>
        <v/>
      </c>
      <c r="Q21" s="64" t="str">
        <f t="shared" si="6"/>
        <v/>
      </c>
      <c r="R21" s="65">
        <f t="shared" si="6"/>
        <v>3</v>
      </c>
      <c r="S21" s="22"/>
      <c r="T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pans="1:70" ht="15.75" thickBot="1" x14ac:dyDescent="0.3">
      <c r="A22" s="22"/>
      <c r="B22" s="23"/>
      <c r="C22" s="22"/>
      <c r="D22" s="22"/>
      <c r="E22" s="22"/>
      <c r="F22" s="22"/>
      <c r="G22" s="22"/>
      <c r="H22" s="102">
        <f>IF(SUM(H15:H21)=0,SUM(I15:I21),IF(SUM(I15:I21)=0,SUM(H15:H21),""))</f>
        <v>773.30000000000007</v>
      </c>
      <c r="I22" s="103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57" t="s">
        <v>13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pans="1:70" ht="15.75" thickBot="1" x14ac:dyDescent="0.3">
      <c r="A23" s="22"/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57" t="s">
        <v>14</v>
      </c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</row>
    <row r="24" spans="1:70" ht="15.75" thickBot="1" x14ac:dyDescent="0.3">
      <c r="A24" s="22"/>
      <c r="B24" s="89" t="s">
        <v>27</v>
      </c>
      <c r="C24" s="90"/>
      <c r="D24" s="98">
        <f>IF(N29=0,"",IF(H22=0,"",N29/H22))</f>
        <v>46.553730764257075</v>
      </c>
      <c r="E24" s="99"/>
      <c r="F24" s="100"/>
      <c r="G24" s="22"/>
      <c r="H24" s="22"/>
      <c r="I24" s="22"/>
      <c r="J24" s="66" t="s">
        <v>34</v>
      </c>
      <c r="K24" s="67"/>
      <c r="L24" s="67"/>
      <c r="M24" s="67"/>
      <c r="N24" s="68" t="str">
        <f>IF($B$3=$W$16,SUM(N15:N21),"")</f>
        <v/>
      </c>
      <c r="O24" s="107" t="s">
        <v>36</v>
      </c>
      <c r="P24" s="107"/>
      <c r="Q24" s="107"/>
      <c r="R24" s="108"/>
      <c r="S24" s="22"/>
      <c r="T24" s="22"/>
      <c r="U24" s="22"/>
      <c r="V24" s="22"/>
      <c r="W24" s="57" t="s">
        <v>29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</row>
    <row r="25" spans="1:70" ht="15.75" thickBot="1" x14ac:dyDescent="0.3">
      <c r="A25" s="22"/>
      <c r="B25" s="23"/>
      <c r="C25" s="22"/>
      <c r="D25" s="22"/>
      <c r="E25" s="22"/>
      <c r="F25" s="22"/>
      <c r="G25" s="22"/>
      <c r="H25" s="22"/>
      <c r="I25" s="22"/>
      <c r="J25" s="69" t="s">
        <v>35</v>
      </c>
      <c r="K25" s="70"/>
      <c r="L25" s="70"/>
      <c r="M25" s="70"/>
      <c r="N25" s="71" t="str">
        <f>IF($B$3=$W$17,SUM(N15:N21),"")</f>
        <v/>
      </c>
      <c r="O25" s="109"/>
      <c r="P25" s="109"/>
      <c r="Q25" s="109"/>
      <c r="R25" s="11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</row>
    <row r="26" spans="1:70" ht="15.75" thickBot="1" x14ac:dyDescent="0.3">
      <c r="A26" s="22"/>
      <c r="B26" s="23"/>
      <c r="C26" s="22"/>
      <c r="D26" s="22"/>
      <c r="E26" s="22"/>
      <c r="F26" s="22"/>
      <c r="G26" s="22"/>
      <c r="H26" s="22"/>
      <c r="I26" s="22"/>
      <c r="J26" s="69" t="s">
        <v>23</v>
      </c>
      <c r="K26" s="67"/>
      <c r="L26" s="67"/>
      <c r="M26" s="67"/>
      <c r="N26" s="111"/>
      <c r="O26" s="72">
        <f>IF($B$3=$W$18,SUM(O15:O21),"")</f>
        <v>0</v>
      </c>
      <c r="P26" s="73">
        <f>IF($B$3=$W$18,SUM(P15:P21),"")</f>
        <v>0</v>
      </c>
      <c r="Q26" s="73">
        <f>IF($B$3=$W$18,SUM(Q15:Q21),"")</f>
        <v>0</v>
      </c>
      <c r="R26" s="74">
        <f>IF($B$3=$W$18,SUM(R15:R21),"")</f>
        <v>9</v>
      </c>
      <c r="S26" s="22"/>
      <c r="T26" s="22"/>
      <c r="U26" s="22"/>
      <c r="V26" s="22"/>
      <c r="X26" s="22"/>
      <c r="Y26" s="22"/>
      <c r="Z26" s="22"/>
      <c r="AA26" s="22"/>
      <c r="AB26" s="22"/>
      <c r="AC26" s="192" t="s">
        <v>87</v>
      </c>
      <c r="AD26" s="191"/>
      <c r="AE26" s="191"/>
      <c r="AF26" s="191"/>
      <c r="AG26" s="191"/>
      <c r="AH26" s="191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</row>
    <row r="27" spans="1:70" ht="15.75" thickBot="1" x14ac:dyDescent="0.3">
      <c r="A27" s="22"/>
      <c r="B27" s="23"/>
      <c r="C27" s="22"/>
      <c r="D27" s="22"/>
      <c r="E27" s="22"/>
      <c r="F27" s="22"/>
      <c r="G27" s="22"/>
      <c r="H27" s="22"/>
      <c r="I27" s="22"/>
      <c r="J27" s="75" t="s">
        <v>24</v>
      </c>
      <c r="K27" s="76"/>
      <c r="L27" s="76"/>
      <c r="M27" s="76"/>
      <c r="N27" s="112"/>
      <c r="O27" s="77" t="str">
        <f>IF($B$3=$W$19,SUM(O16:O22),"")</f>
        <v/>
      </c>
      <c r="P27" s="78" t="str">
        <f>IF($B$3=$W$19,SUM(P16:P22),"")</f>
        <v/>
      </c>
      <c r="Q27" s="78" t="str">
        <f>IF($B$3=$W$19,SUM(Q15:Q21),"")</f>
        <v/>
      </c>
      <c r="R27" s="79" t="str">
        <f>IF($B$3=$W$19,SUM(R15:R21),"")</f>
        <v/>
      </c>
      <c r="S27" s="187" t="str">
        <f>IF(B3=W19,"Приемка бетона путем сравнения его фактической прочности с требуемой без учета характеристик однородности бетона по прочности не допускается","")</f>
        <v/>
      </c>
      <c r="T27" s="22"/>
      <c r="U27" s="22"/>
      <c r="V27" s="22"/>
      <c r="W27" s="188"/>
      <c r="X27" s="188"/>
      <c r="Y27" s="188"/>
      <c r="Z27" s="188"/>
      <c r="AA27" s="188"/>
      <c r="AB27" s="188"/>
      <c r="AC27" s="188"/>
      <c r="AD27" s="189" t="s">
        <v>94</v>
      </c>
      <c r="AE27" s="188"/>
      <c r="AF27" s="188"/>
      <c r="AG27" s="188"/>
      <c r="AH27" s="188"/>
      <c r="AI27" s="188"/>
      <c r="AJ27" s="188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</row>
    <row r="28" spans="1:70" ht="15.75" thickBot="1" x14ac:dyDescent="0.3">
      <c r="A28" s="22"/>
      <c r="B28" s="23"/>
      <c r="C28" s="22"/>
      <c r="D28" s="22"/>
      <c r="E28" s="22"/>
      <c r="F28" s="22"/>
      <c r="G28" s="22"/>
      <c r="H28" s="22"/>
      <c r="I28" s="22"/>
      <c r="J28" s="69" t="s">
        <v>25</v>
      </c>
      <c r="K28" s="80"/>
      <c r="L28" s="80"/>
      <c r="M28" s="80"/>
      <c r="N28" s="81" t="str">
        <f>IF(B3=W16,N24*$N$12,IF(B3=W17,N25*$N$12,""))</f>
        <v/>
      </c>
      <c r="O28" s="82">
        <f>IF($B$3=$W$18,O$26*O$12,IF($B$3=$W$19,O$27*O$12,""))</f>
        <v>0</v>
      </c>
      <c r="P28" s="82">
        <f>IF($B$3=$W$18,P$26*P$12,IF($B$3=$W$19,P$27*P$12,""))</f>
        <v>0</v>
      </c>
      <c r="Q28" s="82">
        <f>IF($B$3=$W$18,Q$26*Q$12,IF($B$3=$W$19,Q$27*Q$12,""))</f>
        <v>0</v>
      </c>
      <c r="R28" s="83">
        <f t="shared" ref="R28" si="9">IF($B$3=$W$18,R$26*R$12,IF($B$3=$W$19,R$27*R$12,""))</f>
        <v>36000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190"/>
      <c r="AD28" s="190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</row>
    <row r="29" spans="1:70" ht="15.75" thickBot="1" x14ac:dyDescent="0.3">
      <c r="A29" s="22"/>
      <c r="B29" s="23"/>
      <c r="C29" s="22"/>
      <c r="D29" s="22"/>
      <c r="E29" s="22"/>
      <c r="F29" s="22"/>
      <c r="G29" s="22"/>
      <c r="H29" s="22"/>
      <c r="I29" s="22"/>
      <c r="J29" s="84" t="s">
        <v>26</v>
      </c>
      <c r="K29" s="85"/>
      <c r="L29" s="85"/>
      <c r="M29" s="85"/>
      <c r="N29" s="99">
        <f>IF(SUM(N28:R28)=0,"",SUM(N28:R28))</f>
        <v>36000</v>
      </c>
      <c r="O29" s="99"/>
      <c r="P29" s="99"/>
      <c r="Q29" s="99"/>
      <c r="R29" s="10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192" t="s">
        <v>88</v>
      </c>
      <c r="AD29" s="191"/>
      <c r="AE29" s="191"/>
      <c r="AF29" s="191"/>
      <c r="AG29" s="191"/>
      <c r="AH29" s="19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</row>
    <row r="30" spans="1:70" x14ac:dyDescent="0.25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89" t="s">
        <v>93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</row>
    <row r="31" spans="1:70" x14ac:dyDescent="0.25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</row>
    <row r="32" spans="1:70" x14ac:dyDescent="0.25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192" t="s">
        <v>89</v>
      </c>
      <c r="AD32" s="191"/>
      <c r="AE32" s="191"/>
      <c r="AF32" s="191"/>
      <c r="AG32" s="191"/>
      <c r="AH32" s="191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</row>
    <row r="33" spans="1:70" x14ac:dyDescent="0.25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189" t="s">
        <v>92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</row>
    <row r="34" spans="1:70" x14ac:dyDescent="0.25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</row>
    <row r="35" spans="1:70" x14ac:dyDescent="0.25">
      <c r="A35" s="22"/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192" t="s">
        <v>95</v>
      </c>
      <c r="AD35" s="191"/>
      <c r="AE35" s="191"/>
      <c r="AF35" s="191"/>
      <c r="AG35" s="191"/>
      <c r="AH35" s="19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</row>
    <row r="36" spans="1:70" x14ac:dyDescent="0.25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189" t="s">
        <v>92</v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</row>
    <row r="37" spans="1:70" x14ac:dyDescent="0.25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</row>
    <row r="38" spans="1:70" x14ac:dyDescent="0.25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192" t="s">
        <v>96</v>
      </c>
      <c r="AD38" s="191"/>
      <c r="AE38" s="191"/>
      <c r="AF38" s="191"/>
      <c r="AG38" s="191"/>
      <c r="AH38" s="191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</row>
    <row r="39" spans="1:70" x14ac:dyDescent="0.25">
      <c r="A39" s="22"/>
      <c r="B39" s="23"/>
      <c r="C39" s="22"/>
      <c r="D39" s="22"/>
      <c r="E39" s="22"/>
      <c r="F39" s="22"/>
      <c r="G39" s="22"/>
      <c r="H39" s="22"/>
      <c r="I39" s="22"/>
      <c r="J39" s="86"/>
      <c r="K39" s="86"/>
      <c r="L39" s="86"/>
      <c r="M39" s="86"/>
      <c r="N39" s="86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89" t="s">
        <v>97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</row>
    <row r="40" spans="1:70" x14ac:dyDescent="0.25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190"/>
      <c r="AD40" s="190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</row>
    <row r="41" spans="1:70" x14ac:dyDescent="0.25">
      <c r="B41" s="2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192" t="s">
        <v>98</v>
      </c>
      <c r="AD41" s="191"/>
      <c r="AE41" s="191"/>
      <c r="AF41" s="191"/>
      <c r="AG41" s="191"/>
      <c r="AH41" s="191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</row>
    <row r="42" spans="1:70" x14ac:dyDescent="0.25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189" t="s">
        <v>99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  <row r="43" spans="1:70" x14ac:dyDescent="0.25">
      <c r="A43" s="22"/>
      <c r="B43" s="2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190"/>
      <c r="AD43" s="190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</row>
    <row r="44" spans="1:70" x14ac:dyDescent="0.25">
      <c r="A44" s="22"/>
      <c r="B44" s="2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90"/>
      <c r="U44" s="190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</row>
    <row r="45" spans="1:70" x14ac:dyDescent="0.25">
      <c r="A45" s="22"/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90"/>
      <c r="U45" s="19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</row>
    <row r="46" spans="1:70" x14ac:dyDescent="0.25">
      <c r="A46" s="22"/>
      <c r="B46" s="2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90"/>
      <c r="U46" s="190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</row>
    <row r="47" spans="1:70" x14ac:dyDescent="0.25">
      <c r="A47" s="22"/>
      <c r="B47" s="23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90"/>
      <c r="U47" s="190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</row>
    <row r="48" spans="1:70" x14ac:dyDescent="0.25">
      <c r="A48" s="22"/>
      <c r="B48" s="2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90"/>
      <c r="U48" s="190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</row>
    <row r="49" spans="1:70" x14ac:dyDescent="0.25">
      <c r="A49" s="22"/>
      <c r="B49" s="2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190"/>
      <c r="U49" s="190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</row>
    <row r="50" spans="1:70" x14ac:dyDescent="0.25">
      <c r="A50" s="22"/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</row>
    <row r="51" spans="1:70" x14ac:dyDescent="0.25">
      <c r="A51" s="22"/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</row>
    <row r="52" spans="1:70" x14ac:dyDescent="0.25">
      <c r="A52" s="22"/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</row>
    <row r="53" spans="1:70" x14ac:dyDescent="0.25">
      <c r="A53" s="22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</row>
    <row r="54" spans="1:70" x14ac:dyDescent="0.25">
      <c r="A54" s="22"/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</row>
    <row r="55" spans="1:70" x14ac:dyDescent="0.25">
      <c r="A55" s="22"/>
      <c r="B55" s="23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</row>
    <row r="56" spans="1:70" x14ac:dyDescent="0.25">
      <c r="A56" s="22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</row>
    <row r="57" spans="1:70" x14ac:dyDescent="0.25">
      <c r="A57" s="22"/>
      <c r="B57" s="2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1:70" x14ac:dyDescent="0.25">
      <c r="A58" s="22"/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1:70" x14ac:dyDescent="0.25">
      <c r="A59" s="22"/>
      <c r="B59" s="23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1:70" x14ac:dyDescent="0.25">
      <c r="A60" s="22"/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1:70" x14ac:dyDescent="0.25">
      <c r="A61" s="22"/>
      <c r="B61" s="23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1:70" x14ac:dyDescent="0.2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1:70" x14ac:dyDescent="0.25">
      <c r="A63" s="22"/>
      <c r="B63" s="23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  <row r="64" spans="1:70" x14ac:dyDescent="0.25">
      <c r="A64" s="22"/>
      <c r="B64" s="2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</row>
    <row r="65" spans="1:70" x14ac:dyDescent="0.25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1:70" x14ac:dyDescent="0.25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  <row r="67" spans="1:70" x14ac:dyDescent="0.25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</row>
    <row r="68" spans="1:70" x14ac:dyDescent="0.25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</row>
    <row r="69" spans="1:70" x14ac:dyDescent="0.25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</row>
    <row r="70" spans="1:70" x14ac:dyDescent="0.25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</row>
    <row r="71" spans="1:70" x14ac:dyDescent="0.25">
      <c r="A71" s="22"/>
      <c r="B71" s="23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</row>
    <row r="72" spans="1:70" x14ac:dyDescent="0.25">
      <c r="A72" s="22"/>
      <c r="B72" s="2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</row>
    <row r="73" spans="1:70" x14ac:dyDescent="0.25">
      <c r="A73" s="22"/>
      <c r="B73" s="2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</row>
    <row r="74" spans="1:70" x14ac:dyDescent="0.25">
      <c r="A74" s="22"/>
      <c r="B74" s="2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</row>
    <row r="75" spans="1:70" x14ac:dyDescent="0.25">
      <c r="A75" s="22"/>
      <c r="B75" s="2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</row>
    <row r="76" spans="1:70" x14ac:dyDescent="0.25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</row>
    <row r="77" spans="1:70" x14ac:dyDescent="0.25">
      <c r="A77" s="22"/>
      <c r="B77" s="23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</row>
    <row r="78" spans="1:70" x14ac:dyDescent="0.25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</row>
    <row r="79" spans="1:70" x14ac:dyDescent="0.25">
      <c r="A79" s="22"/>
      <c r="B79" s="2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</row>
    <row r="80" spans="1:70" x14ac:dyDescent="0.25">
      <c r="A80" s="22"/>
      <c r="B80" s="2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</row>
    <row r="81" spans="1:70" x14ac:dyDescent="0.25">
      <c r="A81" s="22"/>
      <c r="B81" s="23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</row>
    <row r="82" spans="1:70" x14ac:dyDescent="0.25">
      <c r="A82" s="22"/>
      <c r="B82" s="2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</row>
    <row r="83" spans="1:70" x14ac:dyDescent="0.25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</row>
    <row r="84" spans="1:70" x14ac:dyDescent="0.25">
      <c r="A84" s="22"/>
      <c r="B84" s="2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</row>
    <row r="85" spans="1:70" x14ac:dyDescent="0.25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</row>
    <row r="86" spans="1:70" x14ac:dyDescent="0.25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</row>
    <row r="87" spans="1:70" x14ac:dyDescent="0.25">
      <c r="A87" s="22"/>
      <c r="B87" s="2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</row>
    <row r="88" spans="1:70" x14ac:dyDescent="0.25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</row>
    <row r="89" spans="1:70" x14ac:dyDescent="0.25">
      <c r="A89" s="22"/>
      <c r="B89" s="23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</row>
    <row r="90" spans="1:70" x14ac:dyDescent="0.25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</row>
    <row r="91" spans="1:70" x14ac:dyDescent="0.25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</row>
    <row r="92" spans="1:70" x14ac:dyDescent="0.25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</row>
    <row r="93" spans="1:70" x14ac:dyDescent="0.25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</row>
    <row r="94" spans="1:70" x14ac:dyDescent="0.25">
      <c r="A94" s="22"/>
      <c r="B94" s="23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</row>
    <row r="95" spans="1:70" x14ac:dyDescent="0.25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</row>
    <row r="96" spans="1:70" x14ac:dyDescent="0.25">
      <c r="A96" s="22"/>
      <c r="B96" s="2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</row>
    <row r="97" spans="1:70" x14ac:dyDescent="0.25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</row>
    <row r="98" spans="1:70" x14ac:dyDescent="0.25">
      <c r="A98" s="22"/>
      <c r="B98" s="23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</row>
    <row r="99" spans="1:70" x14ac:dyDescent="0.25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</row>
    <row r="100" spans="1:70" x14ac:dyDescent="0.25">
      <c r="A100" s="22"/>
      <c r="B100" s="23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</row>
    <row r="101" spans="1:70" x14ac:dyDescent="0.25">
      <c r="A101" s="22"/>
      <c r="B101" s="23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</row>
    <row r="102" spans="1:70" x14ac:dyDescent="0.25">
      <c r="A102" s="22"/>
      <c r="B102" s="23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</row>
    <row r="103" spans="1:70" x14ac:dyDescent="0.25">
      <c r="A103" s="22"/>
      <c r="B103" s="23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</row>
    <row r="104" spans="1:70" x14ac:dyDescent="0.25">
      <c r="A104" s="22"/>
      <c r="B104" s="23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</row>
    <row r="105" spans="1:70" x14ac:dyDescent="0.25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</row>
    <row r="106" spans="1:70" x14ac:dyDescent="0.25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</row>
    <row r="107" spans="1:70" x14ac:dyDescent="0.25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</row>
    <row r="108" spans="1:70" x14ac:dyDescent="0.25">
      <c r="A108" s="22"/>
      <c r="B108" s="23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</row>
    <row r="109" spans="1:70" x14ac:dyDescent="0.25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</row>
    <row r="110" spans="1:70" x14ac:dyDescent="0.25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</row>
    <row r="111" spans="1:70" x14ac:dyDescent="0.25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</row>
    <row r="112" spans="1:70" x14ac:dyDescent="0.25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</row>
    <row r="113" spans="1:70" x14ac:dyDescent="0.25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</row>
    <row r="114" spans="1:70" x14ac:dyDescent="0.25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</row>
    <row r="115" spans="1:70" x14ac:dyDescent="0.25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</row>
    <row r="116" spans="1:70" x14ac:dyDescent="0.25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</row>
    <row r="117" spans="1:70" x14ac:dyDescent="0.25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</row>
    <row r="118" spans="1:70" x14ac:dyDescent="0.25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</row>
    <row r="119" spans="1:70" x14ac:dyDescent="0.25">
      <c r="A119" s="22"/>
      <c r="B119" s="23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</row>
    <row r="120" spans="1:70" x14ac:dyDescent="0.25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</row>
  </sheetData>
  <sheetProtection selectLockedCells="1"/>
  <mergeCells count="21">
    <mergeCell ref="N29:R29"/>
    <mergeCell ref="O24:R25"/>
    <mergeCell ref="N26:N27"/>
    <mergeCell ref="B2:C2"/>
    <mergeCell ref="B3:C3"/>
    <mergeCell ref="D5:I9"/>
    <mergeCell ref="B4:I4"/>
    <mergeCell ref="D3:I3"/>
    <mergeCell ref="D2:I2"/>
    <mergeCell ref="B11:J12"/>
    <mergeCell ref="K11:M14"/>
    <mergeCell ref="N11:R11"/>
    <mergeCell ref="B24:C24"/>
    <mergeCell ref="C13:C14"/>
    <mergeCell ref="B13:B14"/>
    <mergeCell ref="J13:J14"/>
    <mergeCell ref="D13:I13"/>
    <mergeCell ref="D24:F24"/>
    <mergeCell ref="H14:I14"/>
    <mergeCell ref="H22:I22"/>
    <mergeCell ref="N13:R13"/>
  </mergeCells>
  <conditionalFormatting sqref="N24">
    <cfRule type="expression" dxfId="16" priority="16">
      <formula>($N$24=30)*$N$24</formula>
    </cfRule>
    <cfRule type="expression" dxfId="15" priority="17">
      <formula>($N$24&gt;30)*$N$24</formula>
    </cfRule>
    <cfRule type="expression" dxfId="14" priority="18">
      <formula>($N$24&lt;30)*$N$24</formula>
    </cfRule>
  </conditionalFormatting>
  <conditionalFormatting sqref="N25">
    <cfRule type="expression" dxfId="13" priority="13">
      <formula>($N$25=15)*$N$25</formula>
    </cfRule>
    <cfRule type="expression" dxfId="12" priority="14">
      <formula>($N$25&lt;15)*$N$25</formula>
    </cfRule>
    <cfRule type="expression" dxfId="11" priority="15">
      <formula>($N$25&gt;15)*$N$25</formula>
    </cfRule>
  </conditionalFormatting>
  <conditionalFormatting sqref="S27">
    <cfRule type="containsText" dxfId="10" priority="11" operator="containsText" text="Приемка">
      <formula>NOT(ISERROR(SEARCH("Приемка",S27)))</formula>
    </cfRule>
  </conditionalFormatting>
  <conditionalFormatting sqref="O26">
    <cfRule type="expression" dxfId="9" priority="8">
      <formula>($O$26=20)*$O$26</formula>
    </cfRule>
    <cfRule type="expression" dxfId="8" priority="9">
      <formula>($O$26&gt;20)*$O$26</formula>
    </cfRule>
    <cfRule type="expression" dxfId="7" priority="10">
      <formula>($O$26&lt;20)*$O$26</formula>
    </cfRule>
  </conditionalFormatting>
  <conditionalFormatting sqref="P26">
    <cfRule type="expression" dxfId="6" priority="5">
      <formula>"($P$26=20)*$P$26"</formula>
    </cfRule>
    <cfRule type="expression" dxfId="5" priority="6">
      <formula>($P$26&lt;20)*$P$26</formula>
    </cfRule>
    <cfRule type="expression" dxfId="4" priority="7">
      <formula>($P$26&gt;20)*$P$26</formula>
    </cfRule>
  </conditionalFormatting>
  <conditionalFormatting sqref="R26">
    <cfRule type="expression" dxfId="3" priority="3">
      <formula>($R$26&gt;=3)*$R$26</formula>
    </cfRule>
    <cfRule type="expression" dxfId="2" priority="4">
      <formula>($R$26&lt;3)*$R$26</formula>
    </cfRule>
  </conditionalFormatting>
  <conditionalFormatting sqref="Q26">
    <cfRule type="expression" dxfId="1" priority="1">
      <formula>($Q$26&lt;20)*$Q$26</formula>
    </cfRule>
    <cfRule type="expression" dxfId="0" priority="2">
      <formula>($Q$26&gt;=20)*$Q$26</formula>
    </cfRule>
  </conditionalFormatting>
  <dataValidations count="3">
    <dataValidation type="list" allowBlank="1" showInputMessage="1" showErrorMessage="1" sqref="B2">
      <formula1>Возраст</formula1>
    </dataValidation>
    <dataValidation type="list" allowBlank="1" showInputMessage="1" showErrorMessage="1" sqref="B3">
      <formula1>Схема</formula1>
    </dataValidation>
    <dataValidation type="list" allowBlank="1" showInputMessage="1" showErrorMessage="1" sqref="C5:C10">
      <formula1>Метод</formula1>
    </dataValidation>
  </dataValidations>
  <pageMargins left="0.17" right="0.17" top="0.34" bottom="0.25" header="0.19" footer="0.17"/>
  <pageSetup paperSize="9" orientation="landscape" r:id="rId1"/>
  <ignoredErrors>
    <ignoredError sqref="R12 K21 L16:L21" unlockedFormula="1"/>
    <ignoredError sqref="Q15:Q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topLeftCell="A9" zoomScale="90" zoomScaleNormal="90" workbookViewId="0">
      <selection activeCell="N60" sqref="N60"/>
    </sheetView>
  </sheetViews>
  <sheetFormatPr defaultRowHeight="15" x14ac:dyDescent="0.25"/>
  <cols>
    <col min="1" max="1" width="3.5703125" style="140" customWidth="1"/>
    <col min="2" max="2" width="26" style="140" bestFit="1" customWidth="1"/>
    <col min="3" max="10" width="13.85546875" style="140" bestFit="1" customWidth="1"/>
    <col min="11" max="14" width="13.85546875" style="140" customWidth="1"/>
    <col min="15" max="15" width="9.140625" style="140"/>
    <col min="16" max="16" width="11.5703125" style="140" bestFit="1" customWidth="1"/>
    <col min="17" max="17" width="9.140625" style="140"/>
    <col min="18" max="18" width="11.5703125" style="140" bestFit="1" customWidth="1"/>
    <col min="19" max="16384" width="9.140625" style="140"/>
  </cols>
  <sheetData>
    <row r="2" spans="1:19" x14ac:dyDescent="0.25">
      <c r="B2" s="143" t="s">
        <v>79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9" x14ac:dyDescent="0.25">
      <c r="B3" s="144"/>
      <c r="C3" s="156" t="s">
        <v>67</v>
      </c>
      <c r="D3" s="156" t="s">
        <v>68</v>
      </c>
      <c r="E3" s="156" t="s">
        <v>69</v>
      </c>
      <c r="F3" s="156" t="s">
        <v>70</v>
      </c>
      <c r="G3" s="156" t="s">
        <v>71</v>
      </c>
      <c r="H3" s="156" t="s">
        <v>72</v>
      </c>
      <c r="I3" s="156" t="s">
        <v>73</v>
      </c>
      <c r="J3" s="156" t="s">
        <v>74</v>
      </c>
      <c r="K3" s="156" t="s">
        <v>75</v>
      </c>
      <c r="L3" s="156" t="s">
        <v>76</v>
      </c>
      <c r="M3" s="156" t="s">
        <v>77</v>
      </c>
      <c r="N3" s="156" t="s">
        <v>78</v>
      </c>
    </row>
    <row r="4" spans="1:19" x14ac:dyDescent="0.25">
      <c r="B4" s="154" t="s">
        <v>39</v>
      </c>
      <c r="C4" s="155">
        <v>70000</v>
      </c>
      <c r="D4" s="155">
        <v>70000</v>
      </c>
      <c r="E4" s="155">
        <v>70000</v>
      </c>
      <c r="F4" s="155">
        <v>70000</v>
      </c>
      <c r="G4" s="155">
        <v>70000</v>
      </c>
      <c r="H4" s="155">
        <v>70000</v>
      </c>
      <c r="I4" s="155">
        <v>70000</v>
      </c>
      <c r="J4" s="155">
        <v>70000</v>
      </c>
      <c r="K4" s="155">
        <v>70000</v>
      </c>
      <c r="L4" s="155">
        <v>70000</v>
      </c>
      <c r="M4" s="155">
        <v>70000</v>
      </c>
      <c r="N4" s="155">
        <v>70000</v>
      </c>
    </row>
    <row r="5" spans="1:19" x14ac:dyDescent="0.25">
      <c r="B5" s="154" t="s">
        <v>40</v>
      </c>
      <c r="C5" s="155">
        <v>65000</v>
      </c>
      <c r="D5" s="155">
        <v>65000</v>
      </c>
      <c r="E5" s="155">
        <v>65000</v>
      </c>
      <c r="F5" s="155">
        <v>65000</v>
      </c>
      <c r="G5" s="155">
        <v>65000</v>
      </c>
      <c r="H5" s="155">
        <v>65000</v>
      </c>
      <c r="I5" s="155">
        <v>65000</v>
      </c>
      <c r="J5" s="155">
        <v>65000</v>
      </c>
      <c r="K5" s="155">
        <v>65000</v>
      </c>
      <c r="L5" s="155">
        <v>65000</v>
      </c>
      <c r="M5" s="155">
        <v>65000</v>
      </c>
      <c r="N5" s="155">
        <v>65000</v>
      </c>
    </row>
    <row r="6" spans="1:19" x14ac:dyDescent="0.25">
      <c r="B6" s="154" t="s">
        <v>41</v>
      </c>
      <c r="C6" s="155">
        <v>60000</v>
      </c>
      <c r="D6" s="155">
        <v>60000</v>
      </c>
      <c r="E6" s="155">
        <v>60000</v>
      </c>
      <c r="F6" s="155">
        <v>60000</v>
      </c>
      <c r="G6" s="155">
        <v>60000</v>
      </c>
      <c r="H6" s="155">
        <v>60000</v>
      </c>
      <c r="I6" s="155">
        <v>60000</v>
      </c>
      <c r="J6" s="155">
        <v>60000</v>
      </c>
      <c r="K6" s="155">
        <v>60000</v>
      </c>
      <c r="L6" s="155">
        <v>60000</v>
      </c>
      <c r="M6" s="155">
        <v>60000</v>
      </c>
      <c r="N6" s="155">
        <v>60000</v>
      </c>
    </row>
    <row r="7" spans="1:19" x14ac:dyDescent="0.25">
      <c r="B7" s="154" t="s">
        <v>41</v>
      </c>
      <c r="C7" s="155">
        <v>60000</v>
      </c>
      <c r="D7" s="155">
        <v>60000</v>
      </c>
      <c r="E7" s="155">
        <v>60000</v>
      </c>
      <c r="F7" s="155">
        <v>60000</v>
      </c>
      <c r="G7" s="155">
        <v>60000</v>
      </c>
      <c r="H7" s="155">
        <v>60000</v>
      </c>
      <c r="I7" s="155">
        <v>60000</v>
      </c>
      <c r="J7" s="155">
        <v>60000</v>
      </c>
      <c r="K7" s="155">
        <v>60000</v>
      </c>
      <c r="L7" s="155">
        <v>60000</v>
      </c>
      <c r="M7" s="155">
        <v>60000</v>
      </c>
      <c r="N7" s="155">
        <v>60000</v>
      </c>
    </row>
    <row r="8" spans="1:19" x14ac:dyDescent="0.25">
      <c r="B8" s="154" t="s">
        <v>42</v>
      </c>
      <c r="C8" s="155">
        <v>50000</v>
      </c>
      <c r="D8" s="155">
        <v>50000</v>
      </c>
      <c r="E8" s="155">
        <v>50000</v>
      </c>
      <c r="F8" s="155">
        <v>50000</v>
      </c>
      <c r="G8" s="155">
        <v>50000</v>
      </c>
      <c r="H8" s="155">
        <v>50000</v>
      </c>
      <c r="I8" s="155">
        <v>50000</v>
      </c>
      <c r="J8" s="155">
        <v>50000</v>
      </c>
      <c r="K8" s="155">
        <v>50000</v>
      </c>
      <c r="L8" s="155">
        <v>50000</v>
      </c>
      <c r="M8" s="155">
        <v>50000</v>
      </c>
      <c r="N8" s="155">
        <v>50000</v>
      </c>
    </row>
    <row r="9" spans="1:19" x14ac:dyDescent="0.25">
      <c r="B9" s="157"/>
      <c r="C9" s="158">
        <f>SUM(C4:C8)</f>
        <v>305000</v>
      </c>
      <c r="D9" s="158">
        <f t="shared" ref="D9:N9" si="0">SUM(D4:D8)</f>
        <v>305000</v>
      </c>
      <c r="E9" s="158">
        <f t="shared" si="0"/>
        <v>305000</v>
      </c>
      <c r="F9" s="158">
        <f t="shared" si="0"/>
        <v>305000</v>
      </c>
      <c r="G9" s="158">
        <f t="shared" si="0"/>
        <v>305000</v>
      </c>
      <c r="H9" s="158">
        <f t="shared" si="0"/>
        <v>305000</v>
      </c>
      <c r="I9" s="158">
        <f t="shared" si="0"/>
        <v>305000</v>
      </c>
      <c r="J9" s="158">
        <f t="shared" si="0"/>
        <v>305000</v>
      </c>
      <c r="K9" s="158">
        <f t="shared" si="0"/>
        <v>305000</v>
      </c>
      <c r="L9" s="158">
        <f t="shared" si="0"/>
        <v>305000</v>
      </c>
      <c r="M9" s="158">
        <f t="shared" si="0"/>
        <v>305000</v>
      </c>
      <c r="N9" s="158">
        <f t="shared" si="0"/>
        <v>305000</v>
      </c>
    </row>
    <row r="10" spans="1:19" x14ac:dyDescent="0.25">
      <c r="A10" s="153"/>
      <c r="B10" s="154" t="s">
        <v>83</v>
      </c>
      <c r="C10" s="155">
        <f>C9*17%+C9</f>
        <v>356850</v>
      </c>
      <c r="D10" s="155">
        <f t="shared" ref="D10:N10" si="1">D9*17%+D9</f>
        <v>356850</v>
      </c>
      <c r="E10" s="155">
        <f t="shared" si="1"/>
        <v>356850</v>
      </c>
      <c r="F10" s="155">
        <f t="shared" si="1"/>
        <v>356850</v>
      </c>
      <c r="G10" s="155">
        <f t="shared" si="1"/>
        <v>356850</v>
      </c>
      <c r="H10" s="155">
        <f t="shared" si="1"/>
        <v>356850</v>
      </c>
      <c r="I10" s="155">
        <f t="shared" si="1"/>
        <v>356850</v>
      </c>
      <c r="J10" s="155">
        <f t="shared" si="1"/>
        <v>356850</v>
      </c>
      <c r="K10" s="155">
        <f t="shared" si="1"/>
        <v>356850</v>
      </c>
      <c r="L10" s="155">
        <f t="shared" si="1"/>
        <v>356850</v>
      </c>
      <c r="M10" s="155">
        <f t="shared" si="1"/>
        <v>356850</v>
      </c>
      <c r="N10" s="155">
        <f t="shared" si="1"/>
        <v>356850</v>
      </c>
    </row>
    <row r="11" spans="1:19" x14ac:dyDescent="0.25">
      <c r="C11" s="159">
        <f>SUM(C10:N10)</f>
        <v>4282200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9" x14ac:dyDescent="0.25"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</row>
    <row r="13" spans="1:19" x14ac:dyDescent="0.25">
      <c r="C13" s="183"/>
      <c r="D13" s="184"/>
      <c r="E13" s="184"/>
      <c r="F13" s="184"/>
      <c r="G13" s="184"/>
      <c r="H13" s="184"/>
      <c r="I13" s="184"/>
      <c r="J13" s="184"/>
      <c r="P13" s="143" t="s">
        <v>84</v>
      </c>
      <c r="Q13" s="143"/>
      <c r="R13" s="143"/>
      <c r="S13" s="143"/>
    </row>
    <row r="14" spans="1:19" ht="175.5" customHeight="1" x14ac:dyDescent="0.25">
      <c r="P14" s="185" t="s">
        <v>85</v>
      </c>
      <c r="Q14" s="185"/>
      <c r="R14" s="185" t="s">
        <v>86</v>
      </c>
      <c r="S14" s="185"/>
    </row>
    <row r="15" spans="1:19" x14ac:dyDescent="0.25">
      <c r="B15" s="147" t="s">
        <v>54</v>
      </c>
      <c r="C15" s="147"/>
      <c r="D15" s="147"/>
      <c r="E15" s="147"/>
      <c r="F15" s="147"/>
      <c r="G15" s="147"/>
      <c r="H15" s="147"/>
      <c r="I15" s="147"/>
      <c r="P15" s="143" t="s">
        <v>34</v>
      </c>
      <c r="Q15" s="143"/>
      <c r="R15" s="143"/>
      <c r="S15" s="143"/>
    </row>
    <row r="16" spans="1:19" x14ac:dyDescent="0.25">
      <c r="B16" s="148" t="s">
        <v>22</v>
      </c>
      <c r="C16" s="148"/>
      <c r="D16" s="148"/>
      <c r="E16" s="148"/>
      <c r="F16" s="148"/>
      <c r="G16" s="148"/>
      <c r="H16" s="148"/>
      <c r="I16" s="148"/>
    </row>
    <row r="17" spans="2:19" x14ac:dyDescent="0.25">
      <c r="B17" s="149"/>
      <c r="C17" s="149"/>
      <c r="D17" s="149"/>
      <c r="E17" s="144" t="s">
        <v>49</v>
      </c>
      <c r="F17" s="144" t="s">
        <v>50</v>
      </c>
      <c r="G17" s="144" t="s">
        <v>51</v>
      </c>
      <c r="H17" s="144" t="s">
        <v>52</v>
      </c>
      <c r="I17" s="144" t="s">
        <v>53</v>
      </c>
      <c r="P17" s="140" t="s">
        <v>48</v>
      </c>
      <c r="R17" s="140" t="s">
        <v>48</v>
      </c>
    </row>
    <row r="18" spans="2:19" x14ac:dyDescent="0.25">
      <c r="B18" s="144" t="s">
        <v>43</v>
      </c>
      <c r="C18" s="144" t="s">
        <v>48</v>
      </c>
      <c r="D18" s="144">
        <v>22</v>
      </c>
      <c r="E18" s="144">
        <v>0.2</v>
      </c>
      <c r="F18" s="144">
        <v>0.8</v>
      </c>
      <c r="G18" s="144">
        <v>2.82</v>
      </c>
      <c r="H18" s="145">
        <f>E18*F18*G18</f>
        <v>0.45120000000000005</v>
      </c>
      <c r="I18" s="161">
        <f>(H18*D18)+(H19*D19)+(H20*D20)+(H21*D21)+(H22*D22)</f>
        <v>37.449600000000004</v>
      </c>
      <c r="L18" s="88"/>
      <c r="P18" s="142">
        <v>3</v>
      </c>
      <c r="Q18" s="186">
        <f>P18*200/I18</f>
        <v>16.021532940271722</v>
      </c>
      <c r="R18" s="142">
        <v>3</v>
      </c>
      <c r="S18" s="186">
        <f>R18*200/I18</f>
        <v>16.021532940271722</v>
      </c>
    </row>
    <row r="19" spans="2:19" x14ac:dyDescent="0.25">
      <c r="B19" s="144" t="s">
        <v>44</v>
      </c>
      <c r="C19" s="144" t="s">
        <v>48</v>
      </c>
      <c r="D19" s="144">
        <v>33</v>
      </c>
      <c r="E19" s="144">
        <v>0.2</v>
      </c>
      <c r="F19" s="144">
        <v>0.8</v>
      </c>
      <c r="G19" s="144">
        <v>2.82</v>
      </c>
      <c r="H19" s="145">
        <f t="shared" ref="H19:H22" si="2">E19*F19*G19</f>
        <v>0.45120000000000005</v>
      </c>
      <c r="I19" s="162"/>
      <c r="L19" s="88"/>
      <c r="P19" s="142"/>
      <c r="Q19" s="186"/>
      <c r="R19" s="142"/>
      <c r="S19" s="186"/>
    </row>
    <row r="20" spans="2:19" x14ac:dyDescent="0.25">
      <c r="B20" s="144" t="s">
        <v>45</v>
      </c>
      <c r="C20" s="144" t="s">
        <v>48</v>
      </c>
      <c r="D20" s="144">
        <v>12</v>
      </c>
      <c r="E20" s="144">
        <v>0.2</v>
      </c>
      <c r="F20" s="144">
        <v>0.8</v>
      </c>
      <c r="G20" s="144">
        <v>2.82</v>
      </c>
      <c r="H20" s="145">
        <f t="shared" si="2"/>
        <v>0.45120000000000005</v>
      </c>
      <c r="I20" s="162"/>
      <c r="L20" s="88"/>
      <c r="P20" s="142"/>
      <c r="Q20" s="186"/>
      <c r="R20" s="142"/>
      <c r="S20" s="186"/>
    </row>
    <row r="21" spans="2:19" x14ac:dyDescent="0.25">
      <c r="B21" s="144" t="s">
        <v>46</v>
      </c>
      <c r="C21" s="144" t="s">
        <v>48</v>
      </c>
      <c r="D21" s="144">
        <v>14</v>
      </c>
      <c r="E21" s="144">
        <v>0.2</v>
      </c>
      <c r="F21" s="144">
        <v>0.8</v>
      </c>
      <c r="G21" s="144">
        <v>2.82</v>
      </c>
      <c r="H21" s="145">
        <f t="shared" si="2"/>
        <v>0.45120000000000005</v>
      </c>
      <c r="I21" s="162"/>
      <c r="L21" s="88"/>
      <c r="P21" s="142"/>
      <c r="Q21" s="186"/>
      <c r="R21" s="142"/>
      <c r="S21" s="186"/>
    </row>
    <row r="22" spans="2:19" x14ac:dyDescent="0.25">
      <c r="B22" s="144" t="s">
        <v>47</v>
      </c>
      <c r="C22" s="144" t="s">
        <v>48</v>
      </c>
      <c r="D22" s="144">
        <v>2</v>
      </c>
      <c r="E22" s="144">
        <v>0.2</v>
      </c>
      <c r="F22" s="144">
        <v>0.8</v>
      </c>
      <c r="G22" s="144">
        <v>2.82</v>
      </c>
      <c r="H22" s="145">
        <f t="shared" si="2"/>
        <v>0.45120000000000005</v>
      </c>
      <c r="I22" s="163"/>
      <c r="L22" s="88"/>
      <c r="P22" s="142"/>
      <c r="Q22" s="186"/>
      <c r="R22" s="142"/>
      <c r="S22" s="186"/>
    </row>
    <row r="23" spans="2:19" ht="3" customHeight="1" x14ac:dyDescent="0.25">
      <c r="Q23" s="152"/>
      <c r="S23" s="152"/>
    </row>
    <row r="24" spans="2:19" x14ac:dyDescent="0.25">
      <c r="B24" s="148" t="s">
        <v>55</v>
      </c>
      <c r="C24" s="148"/>
      <c r="D24" s="148"/>
      <c r="E24" s="148"/>
      <c r="F24" s="148"/>
      <c r="G24" s="148"/>
      <c r="H24" s="148"/>
      <c r="I24" s="148"/>
      <c r="P24" s="140" t="s">
        <v>48</v>
      </c>
      <c r="Q24" s="152"/>
      <c r="R24" s="140" t="s">
        <v>48</v>
      </c>
      <c r="S24" s="152"/>
    </row>
    <row r="25" spans="2:19" x14ac:dyDescent="0.25">
      <c r="B25" s="149"/>
      <c r="C25" s="149"/>
      <c r="D25" s="149"/>
      <c r="E25" s="144" t="s">
        <v>49</v>
      </c>
      <c r="F25" s="144" t="s">
        <v>50</v>
      </c>
      <c r="G25" s="144" t="s">
        <v>51</v>
      </c>
      <c r="H25" s="144" t="s">
        <v>52</v>
      </c>
      <c r="I25" s="144" t="s">
        <v>53</v>
      </c>
      <c r="P25" s="142">
        <v>18</v>
      </c>
      <c r="Q25" s="186">
        <f>P25*200/I26</f>
        <v>7.1522136005730932</v>
      </c>
      <c r="R25" s="142">
        <v>18</v>
      </c>
      <c r="S25" s="186">
        <f>R25*200/I26</f>
        <v>7.1522136005730932</v>
      </c>
    </row>
    <row r="26" spans="2:19" x14ac:dyDescent="0.25">
      <c r="B26" s="144" t="s">
        <v>56</v>
      </c>
      <c r="C26" s="144" t="s">
        <v>57</v>
      </c>
      <c r="D26" s="144">
        <v>33.4</v>
      </c>
      <c r="E26" s="144">
        <f>D26</f>
        <v>33.4</v>
      </c>
      <c r="F26" s="144">
        <v>0.16</v>
      </c>
      <c r="G26" s="144">
        <v>2.82</v>
      </c>
      <c r="H26" s="145">
        <f>E26*F26*G26</f>
        <v>15.070080000000001</v>
      </c>
      <c r="I26" s="146">
        <f>H26*D26</f>
        <v>503.34067199999998</v>
      </c>
      <c r="P26" s="142"/>
      <c r="Q26" s="186"/>
      <c r="R26" s="142"/>
      <c r="S26" s="186"/>
    </row>
    <row r="27" spans="2:19" ht="3" customHeight="1" x14ac:dyDescent="0.25">
      <c r="Q27" s="152"/>
      <c r="S27" s="152"/>
    </row>
    <row r="28" spans="2:19" x14ac:dyDescent="0.25">
      <c r="B28" s="148" t="s">
        <v>3</v>
      </c>
      <c r="C28" s="148"/>
      <c r="D28" s="148"/>
      <c r="E28" s="148"/>
      <c r="F28" s="148"/>
      <c r="G28" s="148"/>
      <c r="H28" s="148"/>
      <c r="I28" s="148"/>
      <c r="P28" s="140" t="s">
        <v>48</v>
      </c>
      <c r="Q28" s="152"/>
      <c r="R28" s="140" t="s">
        <v>48</v>
      </c>
      <c r="S28" s="152"/>
    </row>
    <row r="29" spans="2:19" x14ac:dyDescent="0.25">
      <c r="B29" s="149"/>
      <c r="C29" s="149"/>
      <c r="D29" s="149"/>
      <c r="E29" s="144" t="s">
        <v>49</v>
      </c>
      <c r="F29" s="144" t="s">
        <v>50</v>
      </c>
      <c r="G29" s="144" t="s">
        <v>51</v>
      </c>
      <c r="H29" s="144" t="s">
        <v>52</v>
      </c>
      <c r="I29" s="144" t="s">
        <v>53</v>
      </c>
      <c r="P29" s="142">
        <v>9</v>
      </c>
      <c r="Q29" s="186">
        <f>P29*200/I30</f>
        <v>7.7386070507308684</v>
      </c>
      <c r="R29" s="142">
        <v>9</v>
      </c>
      <c r="S29" s="186">
        <f>R29*200/I30</f>
        <v>7.7386070507308684</v>
      </c>
    </row>
    <row r="30" spans="2:19" x14ac:dyDescent="0.25">
      <c r="B30" s="144" t="s">
        <v>80</v>
      </c>
      <c r="C30" s="144" t="s">
        <v>48</v>
      </c>
      <c r="D30" s="144">
        <v>2</v>
      </c>
      <c r="E30" s="144"/>
      <c r="F30" s="144"/>
      <c r="G30" s="144"/>
      <c r="H30" s="145">
        <v>232.6</v>
      </c>
      <c r="I30" s="146">
        <f>H30</f>
        <v>232.6</v>
      </c>
      <c r="P30" s="142"/>
      <c r="Q30" s="186"/>
      <c r="R30" s="142"/>
      <c r="S30" s="186"/>
    </row>
    <row r="31" spans="2:19" ht="15.75" thickBot="1" x14ac:dyDescent="0.3">
      <c r="H31" s="139"/>
      <c r="I31" s="141"/>
      <c r="P31" s="152">
        <f>P18*200+P25*200+P29*200</f>
        <v>6000</v>
      </c>
      <c r="Q31" s="152">
        <f>P31/(I18+I26+I30)</f>
        <v>7.7580494831980511</v>
      </c>
      <c r="R31" s="152">
        <f>R18*200+R25*200+R29*200</f>
        <v>6000</v>
      </c>
      <c r="S31" s="152">
        <f>R31/(I18+I26+I30)</f>
        <v>7.7580494831980511</v>
      </c>
    </row>
    <row r="32" spans="2:19" x14ac:dyDescent="0.25">
      <c r="B32" s="164" t="s">
        <v>58</v>
      </c>
      <c r="C32" s="165"/>
      <c r="D32" s="165"/>
      <c r="E32" s="165"/>
      <c r="F32" s="165"/>
      <c r="G32" s="165"/>
      <c r="H32" s="165"/>
      <c r="I32" s="166"/>
    </row>
    <row r="33" spans="2:11" x14ac:dyDescent="0.25">
      <c r="B33" s="167" t="s">
        <v>22</v>
      </c>
      <c r="C33" s="148"/>
      <c r="D33" s="148"/>
      <c r="E33" s="148"/>
      <c r="F33" s="148"/>
      <c r="G33" s="148"/>
      <c r="H33" s="148"/>
      <c r="I33" s="168"/>
    </row>
    <row r="34" spans="2:11" x14ac:dyDescent="0.25">
      <c r="B34" s="169"/>
      <c r="C34" s="149"/>
      <c r="D34" s="149"/>
      <c r="E34" s="144" t="s">
        <v>49</v>
      </c>
      <c r="F34" s="144" t="s">
        <v>50</v>
      </c>
      <c r="G34" s="144" t="s">
        <v>51</v>
      </c>
      <c r="H34" s="144" t="s">
        <v>52</v>
      </c>
      <c r="I34" s="170" t="s">
        <v>53</v>
      </c>
    </row>
    <row r="35" spans="2:11" x14ac:dyDescent="0.25">
      <c r="B35" s="171" t="s">
        <v>59</v>
      </c>
      <c r="C35" s="144" t="s">
        <v>48</v>
      </c>
      <c r="D35" s="144">
        <v>29</v>
      </c>
      <c r="E35" s="144">
        <v>0.2</v>
      </c>
      <c r="F35" s="144">
        <v>0.8</v>
      </c>
      <c r="G35" s="144">
        <v>2.82</v>
      </c>
      <c r="H35" s="145">
        <f>E35*F35*G35</f>
        <v>0.45120000000000005</v>
      </c>
      <c r="I35" s="172">
        <f>(H35*D35)+(H36*D36)+H37*D37+H38*D38</f>
        <v>22.108800000000002</v>
      </c>
      <c r="K35" s="88"/>
    </row>
    <row r="36" spans="2:11" x14ac:dyDescent="0.25">
      <c r="B36" s="171" t="s">
        <v>44</v>
      </c>
      <c r="C36" s="144" t="s">
        <v>48</v>
      </c>
      <c r="D36" s="144">
        <v>12</v>
      </c>
      <c r="E36" s="144">
        <v>0.2</v>
      </c>
      <c r="F36" s="144">
        <v>0.8</v>
      </c>
      <c r="G36" s="144">
        <v>2.82</v>
      </c>
      <c r="H36" s="145">
        <f t="shared" ref="H36:H38" si="3">E36*F36*G36</f>
        <v>0.45120000000000005</v>
      </c>
      <c r="I36" s="173"/>
      <c r="K36" s="88"/>
    </row>
    <row r="37" spans="2:11" x14ac:dyDescent="0.25">
      <c r="B37" s="171" t="s">
        <v>60</v>
      </c>
      <c r="C37" s="144" t="s">
        <v>48</v>
      </c>
      <c r="D37" s="144">
        <v>7</v>
      </c>
      <c r="E37" s="144">
        <v>0.2</v>
      </c>
      <c r="F37" s="144">
        <v>0.8</v>
      </c>
      <c r="G37" s="144">
        <v>2.82</v>
      </c>
      <c r="H37" s="145">
        <f t="shared" si="3"/>
        <v>0.45120000000000005</v>
      </c>
      <c r="I37" s="173"/>
      <c r="K37" s="88"/>
    </row>
    <row r="38" spans="2:11" x14ac:dyDescent="0.25">
      <c r="B38" s="171" t="s">
        <v>61</v>
      </c>
      <c r="C38" s="144" t="s">
        <v>48</v>
      </c>
      <c r="D38" s="144">
        <v>1</v>
      </c>
      <c r="E38" s="144">
        <v>0.2</v>
      </c>
      <c r="F38" s="144">
        <v>0.8</v>
      </c>
      <c r="G38" s="144">
        <v>2.82</v>
      </c>
      <c r="H38" s="145">
        <f t="shared" si="3"/>
        <v>0.45120000000000005</v>
      </c>
      <c r="I38" s="174"/>
      <c r="K38" s="88"/>
    </row>
    <row r="39" spans="2:11" ht="3" customHeight="1" x14ac:dyDescent="0.25">
      <c r="B39" s="175"/>
      <c r="C39" s="150"/>
      <c r="D39" s="150"/>
      <c r="E39" s="150"/>
      <c r="F39" s="150"/>
      <c r="G39" s="150"/>
      <c r="H39" s="151"/>
      <c r="I39" s="176"/>
    </row>
    <row r="40" spans="2:11" x14ac:dyDescent="0.25">
      <c r="B40" s="167" t="s">
        <v>55</v>
      </c>
      <c r="C40" s="148"/>
      <c r="D40" s="148"/>
      <c r="E40" s="148"/>
      <c r="F40" s="148"/>
      <c r="G40" s="148"/>
      <c r="H40" s="148"/>
      <c r="I40" s="168"/>
    </row>
    <row r="41" spans="2:11" x14ac:dyDescent="0.25">
      <c r="B41" s="169"/>
      <c r="C41" s="149"/>
      <c r="D41" s="149"/>
      <c r="E41" s="144" t="s">
        <v>49</v>
      </c>
      <c r="F41" s="144" t="s">
        <v>50</v>
      </c>
      <c r="G41" s="144" t="s">
        <v>51</v>
      </c>
      <c r="H41" s="144" t="s">
        <v>52</v>
      </c>
      <c r="I41" s="170" t="s">
        <v>53</v>
      </c>
      <c r="K41" s="88"/>
    </row>
    <row r="42" spans="2:11" x14ac:dyDescent="0.25">
      <c r="B42" s="171" t="s">
        <v>56</v>
      </c>
      <c r="C42" s="144" t="s">
        <v>57</v>
      </c>
      <c r="D42" s="144">
        <v>32.6</v>
      </c>
      <c r="E42" s="144">
        <f>D42</f>
        <v>32.6</v>
      </c>
      <c r="F42" s="144">
        <v>0.16</v>
      </c>
      <c r="G42" s="144">
        <v>2.82</v>
      </c>
      <c r="H42" s="145">
        <f>E42*F42*G42</f>
        <v>14.70912</v>
      </c>
      <c r="I42" s="177">
        <f>H42*D42</f>
        <v>479.51731200000006</v>
      </c>
      <c r="K42" s="88"/>
    </row>
    <row r="43" spans="2:11" ht="3" customHeight="1" x14ac:dyDescent="0.25">
      <c r="B43" s="175"/>
      <c r="C43" s="150"/>
      <c r="D43" s="150"/>
      <c r="E43" s="150"/>
      <c r="F43" s="150"/>
      <c r="G43" s="150"/>
      <c r="H43" s="150"/>
      <c r="I43" s="178"/>
    </row>
    <row r="44" spans="2:11" x14ac:dyDescent="0.25">
      <c r="B44" s="167" t="s">
        <v>3</v>
      </c>
      <c r="C44" s="148"/>
      <c r="D44" s="148"/>
      <c r="E44" s="148"/>
      <c r="F44" s="148"/>
      <c r="G44" s="148"/>
      <c r="H44" s="148"/>
      <c r="I44" s="168"/>
    </row>
    <row r="45" spans="2:11" x14ac:dyDescent="0.25">
      <c r="B45" s="169"/>
      <c r="C45" s="149"/>
      <c r="D45" s="149"/>
      <c r="E45" s="144" t="s">
        <v>49</v>
      </c>
      <c r="F45" s="144" t="s">
        <v>50</v>
      </c>
      <c r="G45" s="144" t="s">
        <v>51</v>
      </c>
      <c r="H45" s="144" t="s">
        <v>52</v>
      </c>
      <c r="I45" s="170" t="s">
        <v>53</v>
      </c>
      <c r="K45" s="88"/>
    </row>
    <row r="46" spans="2:11" ht="15.75" thickBot="1" x14ac:dyDescent="0.3">
      <c r="B46" s="179" t="s">
        <v>80</v>
      </c>
      <c r="C46" s="180" t="s">
        <v>48</v>
      </c>
      <c r="D46" s="180">
        <v>2</v>
      </c>
      <c r="E46" s="180"/>
      <c r="F46" s="180"/>
      <c r="G46" s="180"/>
      <c r="H46" s="181">
        <v>232.6</v>
      </c>
      <c r="I46" s="182">
        <f>H46</f>
        <v>232.6</v>
      </c>
      <c r="K46" s="88"/>
    </row>
    <row r="48" spans="2:11" x14ac:dyDescent="0.25">
      <c r="B48" s="147" t="s">
        <v>62</v>
      </c>
      <c r="C48" s="147"/>
      <c r="D48" s="147"/>
      <c r="E48" s="147"/>
      <c r="F48" s="147"/>
      <c r="G48" s="147"/>
      <c r="H48" s="147"/>
      <c r="I48" s="147"/>
    </row>
    <row r="49" spans="2:11" x14ac:dyDescent="0.25">
      <c r="B49" s="148" t="s">
        <v>22</v>
      </c>
      <c r="C49" s="148"/>
      <c r="D49" s="148"/>
      <c r="E49" s="148"/>
      <c r="F49" s="148"/>
      <c r="G49" s="148"/>
      <c r="H49" s="148"/>
      <c r="I49" s="148"/>
    </row>
    <row r="50" spans="2:11" x14ac:dyDescent="0.25">
      <c r="B50" s="149"/>
      <c r="C50" s="149"/>
      <c r="D50" s="149"/>
      <c r="E50" s="144" t="s">
        <v>49</v>
      </c>
      <c r="F50" s="144" t="s">
        <v>50</v>
      </c>
      <c r="G50" s="144" t="s">
        <v>51</v>
      </c>
      <c r="H50" s="144" t="s">
        <v>52</v>
      </c>
      <c r="I50" s="144" t="s">
        <v>53</v>
      </c>
    </row>
    <row r="51" spans="2:11" x14ac:dyDescent="0.25">
      <c r="B51" s="144" t="s">
        <v>59</v>
      </c>
      <c r="C51" s="144" t="s">
        <v>48</v>
      </c>
      <c r="D51" s="144">
        <v>25</v>
      </c>
      <c r="E51" s="144">
        <v>0.2</v>
      </c>
      <c r="F51" s="144">
        <v>0.8</v>
      </c>
      <c r="G51" s="144">
        <v>2.82</v>
      </c>
      <c r="H51" s="145">
        <f>E51*F51*G51</f>
        <v>0.45120000000000005</v>
      </c>
      <c r="I51" s="161">
        <f>H51*D51+H52*D52+H53*D53</f>
        <v>18.048000000000002</v>
      </c>
      <c r="K51" s="88"/>
    </row>
    <row r="52" spans="2:11" x14ac:dyDescent="0.25">
      <c r="B52" s="144" t="s">
        <v>44</v>
      </c>
      <c r="C52" s="144" t="s">
        <v>48</v>
      </c>
      <c r="D52" s="144">
        <v>9</v>
      </c>
      <c r="E52" s="144">
        <v>0.2</v>
      </c>
      <c r="F52" s="144">
        <v>0.8</v>
      </c>
      <c r="G52" s="144">
        <v>2.82</v>
      </c>
      <c r="H52" s="145">
        <f t="shared" ref="H52:H53" si="4">E52*F52*G52</f>
        <v>0.45120000000000005</v>
      </c>
      <c r="I52" s="162"/>
      <c r="K52" s="88"/>
    </row>
    <row r="53" spans="2:11" x14ac:dyDescent="0.25">
      <c r="B53" s="144" t="s">
        <v>60</v>
      </c>
      <c r="C53" s="144" t="s">
        <v>48</v>
      </c>
      <c r="D53" s="144">
        <v>6</v>
      </c>
      <c r="E53" s="144">
        <v>0.2</v>
      </c>
      <c r="F53" s="144">
        <v>0.8</v>
      </c>
      <c r="G53" s="144">
        <v>2.82</v>
      </c>
      <c r="H53" s="145">
        <f t="shared" si="4"/>
        <v>0.45120000000000005</v>
      </c>
      <c r="I53" s="163"/>
      <c r="K53" s="88"/>
    </row>
    <row r="54" spans="2:11" ht="3" customHeight="1" x14ac:dyDescent="0.25"/>
    <row r="55" spans="2:11" x14ac:dyDescent="0.25">
      <c r="B55" s="148" t="s">
        <v>55</v>
      </c>
      <c r="C55" s="148"/>
      <c r="D55" s="148"/>
      <c r="E55" s="148"/>
      <c r="F55" s="148"/>
      <c r="G55" s="148"/>
      <c r="H55" s="148"/>
      <c r="I55" s="148"/>
    </row>
    <row r="56" spans="2:11" x14ac:dyDescent="0.25">
      <c r="B56" s="149"/>
      <c r="C56" s="149"/>
      <c r="D56" s="149"/>
      <c r="E56" s="144" t="s">
        <v>49</v>
      </c>
      <c r="F56" s="144" t="s">
        <v>50</v>
      </c>
      <c r="G56" s="144" t="s">
        <v>51</v>
      </c>
      <c r="H56" s="144" t="s">
        <v>52</v>
      </c>
      <c r="I56" s="144" t="s">
        <v>53</v>
      </c>
      <c r="K56" s="88"/>
    </row>
    <row r="57" spans="2:11" x14ac:dyDescent="0.25">
      <c r="B57" s="144" t="s">
        <v>56</v>
      </c>
      <c r="C57" s="144" t="s">
        <v>57</v>
      </c>
      <c r="D57" s="144">
        <v>15.2</v>
      </c>
      <c r="E57" s="144">
        <f>D57</f>
        <v>15.2</v>
      </c>
      <c r="F57" s="144">
        <v>0.16</v>
      </c>
      <c r="G57" s="144">
        <v>2.82</v>
      </c>
      <c r="H57" s="145">
        <f>E57*F57*G57</f>
        <v>6.8582399999999994</v>
      </c>
      <c r="I57" s="146">
        <f>H57*D57</f>
        <v>104.24524799999999</v>
      </c>
      <c r="K57" s="88"/>
    </row>
    <row r="58" spans="2:11" ht="3" customHeight="1" x14ac:dyDescent="0.25"/>
    <row r="59" spans="2:11" x14ac:dyDescent="0.25">
      <c r="B59" s="148" t="s">
        <v>3</v>
      </c>
      <c r="C59" s="148"/>
      <c r="D59" s="148"/>
      <c r="E59" s="148"/>
      <c r="F59" s="148"/>
      <c r="G59" s="148"/>
      <c r="H59" s="148"/>
      <c r="I59" s="148"/>
    </row>
    <row r="60" spans="2:11" x14ac:dyDescent="0.25">
      <c r="B60" s="149"/>
      <c r="C60" s="149"/>
      <c r="D60" s="149"/>
      <c r="E60" s="144" t="s">
        <v>49</v>
      </c>
      <c r="F60" s="144" t="s">
        <v>50</v>
      </c>
      <c r="G60" s="144" t="s">
        <v>51</v>
      </c>
      <c r="H60" s="144" t="s">
        <v>52</v>
      </c>
      <c r="I60" s="144" t="s">
        <v>53</v>
      </c>
      <c r="K60" s="88"/>
    </row>
    <row r="61" spans="2:11" x14ac:dyDescent="0.25">
      <c r="B61" s="144" t="s">
        <v>81</v>
      </c>
      <c r="C61" s="144" t="s">
        <v>48</v>
      </c>
      <c r="D61" s="144">
        <v>1</v>
      </c>
      <c r="E61" s="144"/>
      <c r="F61" s="144"/>
      <c r="G61" s="144"/>
      <c r="H61" s="145">
        <v>193.3</v>
      </c>
      <c r="I61" s="146">
        <f>H61*D61</f>
        <v>193.3</v>
      </c>
      <c r="K61" s="88"/>
    </row>
    <row r="63" spans="2:11" x14ac:dyDescent="0.25">
      <c r="B63" s="147" t="s">
        <v>63</v>
      </c>
      <c r="C63" s="147"/>
      <c r="D63" s="147"/>
      <c r="E63" s="147"/>
      <c r="F63" s="147"/>
      <c r="G63" s="147"/>
      <c r="H63" s="147"/>
      <c r="I63" s="147"/>
    </row>
    <row r="64" spans="2:11" x14ac:dyDescent="0.25">
      <c r="B64" s="148" t="s">
        <v>22</v>
      </c>
      <c r="C64" s="148"/>
      <c r="D64" s="148"/>
      <c r="E64" s="148"/>
      <c r="F64" s="148"/>
      <c r="G64" s="148"/>
      <c r="H64" s="148"/>
      <c r="I64" s="148"/>
    </row>
    <row r="65" spans="2:11" x14ac:dyDescent="0.25">
      <c r="B65" s="149"/>
      <c r="C65" s="149"/>
      <c r="D65" s="149"/>
      <c r="E65" s="144" t="s">
        <v>49</v>
      </c>
      <c r="F65" s="144" t="s">
        <v>50</v>
      </c>
      <c r="G65" s="144" t="s">
        <v>51</v>
      </c>
      <c r="H65" s="144" t="s">
        <v>52</v>
      </c>
      <c r="I65" s="144" t="s">
        <v>53</v>
      </c>
    </row>
    <row r="66" spans="2:11" x14ac:dyDescent="0.25">
      <c r="B66" s="144" t="s">
        <v>43</v>
      </c>
      <c r="C66" s="144" t="s">
        <v>48</v>
      </c>
      <c r="D66" s="144">
        <v>21</v>
      </c>
      <c r="E66" s="144">
        <v>0.2</v>
      </c>
      <c r="F66" s="144">
        <v>0.8</v>
      </c>
      <c r="G66" s="144">
        <v>2.82</v>
      </c>
      <c r="H66" s="145">
        <f>E66*F66*G66</f>
        <v>0.45120000000000005</v>
      </c>
      <c r="I66" s="161">
        <f>H66*D66+H67*D67+H68*D68+H69*D69</f>
        <v>30.230400000000003</v>
      </c>
      <c r="K66" s="88"/>
    </row>
    <row r="67" spans="2:11" x14ac:dyDescent="0.25">
      <c r="B67" s="144" t="s">
        <v>44</v>
      </c>
      <c r="C67" s="144" t="s">
        <v>48</v>
      </c>
      <c r="D67" s="144">
        <v>17</v>
      </c>
      <c r="E67" s="144">
        <v>0.2</v>
      </c>
      <c r="F67" s="144">
        <v>0.8</v>
      </c>
      <c r="G67" s="144">
        <v>2.82</v>
      </c>
      <c r="H67" s="145">
        <f t="shared" ref="H67:H69" si="5">E67*F67*G67</f>
        <v>0.45120000000000005</v>
      </c>
      <c r="I67" s="162"/>
      <c r="K67" s="88"/>
    </row>
    <row r="68" spans="2:11" x14ac:dyDescent="0.25">
      <c r="B68" s="144" t="s">
        <v>45</v>
      </c>
      <c r="C68" s="144" t="s">
        <v>48</v>
      </c>
      <c r="D68" s="144">
        <v>16</v>
      </c>
      <c r="E68" s="144">
        <v>0.2</v>
      </c>
      <c r="F68" s="144">
        <v>0.8</v>
      </c>
      <c r="G68" s="144">
        <v>2.82</v>
      </c>
      <c r="H68" s="145">
        <f t="shared" si="5"/>
        <v>0.45120000000000005</v>
      </c>
      <c r="I68" s="162"/>
      <c r="K68" s="88"/>
    </row>
    <row r="69" spans="2:11" x14ac:dyDescent="0.25">
      <c r="B69" s="144" t="s">
        <v>46</v>
      </c>
      <c r="C69" s="144" t="s">
        <v>48</v>
      </c>
      <c r="D69" s="144">
        <v>13</v>
      </c>
      <c r="E69" s="144">
        <v>0.2</v>
      </c>
      <c r="F69" s="144">
        <v>0.8</v>
      </c>
      <c r="G69" s="144">
        <v>2.82</v>
      </c>
      <c r="H69" s="145">
        <f t="shared" si="5"/>
        <v>0.45120000000000005</v>
      </c>
      <c r="I69" s="163"/>
      <c r="K69" s="88"/>
    </row>
    <row r="70" spans="2:11" ht="3" customHeight="1" x14ac:dyDescent="0.25">
      <c r="H70" s="139"/>
      <c r="I70" s="141"/>
    </row>
    <row r="71" spans="2:11" x14ac:dyDescent="0.25">
      <c r="B71" s="148" t="s">
        <v>55</v>
      </c>
      <c r="C71" s="148"/>
      <c r="D71" s="148"/>
      <c r="E71" s="148"/>
      <c r="F71" s="148"/>
      <c r="G71" s="148"/>
      <c r="H71" s="148"/>
      <c r="I71" s="148"/>
    </row>
    <row r="72" spans="2:11" x14ac:dyDescent="0.25">
      <c r="B72" s="149"/>
      <c r="C72" s="149"/>
      <c r="D72" s="149"/>
      <c r="E72" s="144" t="s">
        <v>49</v>
      </c>
      <c r="F72" s="144" t="s">
        <v>50</v>
      </c>
      <c r="G72" s="144" t="s">
        <v>51</v>
      </c>
      <c r="H72" s="144" t="s">
        <v>52</v>
      </c>
      <c r="I72" s="144" t="s">
        <v>53</v>
      </c>
    </row>
    <row r="73" spans="2:11" x14ac:dyDescent="0.25">
      <c r="B73" s="144" t="s">
        <v>56</v>
      </c>
      <c r="C73" s="144" t="s">
        <v>57</v>
      </c>
      <c r="D73" s="144">
        <v>33.4</v>
      </c>
      <c r="E73" s="144">
        <f>D73</f>
        <v>33.4</v>
      </c>
      <c r="F73" s="144">
        <v>0.16</v>
      </c>
      <c r="G73" s="144">
        <v>2.82</v>
      </c>
      <c r="H73" s="145">
        <f>E73*F73*G73</f>
        <v>15.070080000000001</v>
      </c>
      <c r="I73" s="161">
        <f>H73*D73+H74*D74+H75*D75+H76*D76</f>
        <v>681.136032</v>
      </c>
      <c r="K73" s="88"/>
    </row>
    <row r="74" spans="2:11" x14ac:dyDescent="0.25">
      <c r="B74" s="144" t="s">
        <v>64</v>
      </c>
      <c r="C74" s="144" t="s">
        <v>57</v>
      </c>
      <c r="D74" s="144">
        <v>15.2</v>
      </c>
      <c r="E74" s="144">
        <f>D74</f>
        <v>15.2</v>
      </c>
      <c r="F74" s="144">
        <v>0.16</v>
      </c>
      <c r="G74" s="144">
        <v>2.82</v>
      </c>
      <c r="H74" s="145">
        <f>E74*F74*G74</f>
        <v>6.8582399999999994</v>
      </c>
      <c r="I74" s="162"/>
      <c r="K74" s="88"/>
    </row>
    <row r="75" spans="2:11" x14ac:dyDescent="0.25">
      <c r="B75" s="144" t="s">
        <v>65</v>
      </c>
      <c r="C75" s="144" t="s">
        <v>57</v>
      </c>
      <c r="D75" s="144">
        <v>12.5</v>
      </c>
      <c r="E75" s="144">
        <f>D75</f>
        <v>12.5</v>
      </c>
      <c r="F75" s="144">
        <v>0.16</v>
      </c>
      <c r="G75" s="144">
        <v>2.82</v>
      </c>
      <c r="H75" s="145">
        <f>E75*F75*G75</f>
        <v>5.64</v>
      </c>
      <c r="I75" s="162"/>
      <c r="K75" s="88"/>
    </row>
    <row r="76" spans="2:11" x14ac:dyDescent="0.25">
      <c r="B76" s="144" t="s">
        <v>66</v>
      </c>
      <c r="C76" s="144" t="s">
        <v>57</v>
      </c>
      <c r="D76" s="144">
        <v>2.6</v>
      </c>
      <c r="E76" s="144">
        <f>D76</f>
        <v>2.6</v>
      </c>
      <c r="F76" s="144">
        <v>0.16</v>
      </c>
      <c r="G76" s="144">
        <v>2.82</v>
      </c>
      <c r="H76" s="145">
        <f>E76*F76*G76</f>
        <v>1.1731199999999999</v>
      </c>
      <c r="I76" s="163"/>
      <c r="K76" s="88"/>
    </row>
    <row r="77" spans="2:11" ht="3" customHeight="1" x14ac:dyDescent="0.25"/>
    <row r="78" spans="2:11" x14ac:dyDescent="0.25">
      <c r="B78" s="148" t="s">
        <v>3</v>
      </c>
      <c r="C78" s="148"/>
      <c r="D78" s="148"/>
      <c r="E78" s="148"/>
      <c r="F78" s="148"/>
      <c r="G78" s="148"/>
      <c r="H78" s="148"/>
      <c r="I78" s="148"/>
    </row>
    <row r="79" spans="2:11" x14ac:dyDescent="0.25">
      <c r="B79" s="149"/>
      <c r="C79" s="149"/>
      <c r="D79" s="149"/>
      <c r="E79" s="144" t="s">
        <v>49</v>
      </c>
      <c r="F79" s="144" t="s">
        <v>50</v>
      </c>
      <c r="G79" s="144" t="s">
        <v>51</v>
      </c>
      <c r="H79" s="144" t="s">
        <v>52</v>
      </c>
      <c r="I79" s="144" t="s">
        <v>53</v>
      </c>
      <c r="K79" s="88"/>
    </row>
    <row r="80" spans="2:11" x14ac:dyDescent="0.25">
      <c r="B80" s="144" t="s">
        <v>82</v>
      </c>
      <c r="C80" s="144" t="s">
        <v>48</v>
      </c>
      <c r="D80" s="144">
        <v>1</v>
      </c>
      <c r="E80" s="144"/>
      <c r="F80" s="144"/>
      <c r="G80" s="144"/>
      <c r="H80" s="145">
        <v>121.3</v>
      </c>
      <c r="I80" s="146">
        <f>H80*D80</f>
        <v>121.3</v>
      </c>
      <c r="K80" s="88"/>
    </row>
  </sheetData>
  <mergeCells count="51">
    <mergeCell ref="R18:R22"/>
    <mergeCell ref="R29:R30"/>
    <mergeCell ref="R25:R26"/>
    <mergeCell ref="Q18:Q22"/>
    <mergeCell ref="Q29:Q30"/>
    <mergeCell ref="Q25:Q26"/>
    <mergeCell ref="B78:I78"/>
    <mergeCell ref="B79:D79"/>
    <mergeCell ref="B2:N2"/>
    <mergeCell ref="I18:I22"/>
    <mergeCell ref="I35:I38"/>
    <mergeCell ref="I51:I53"/>
    <mergeCell ref="I66:I69"/>
    <mergeCell ref="I73:I76"/>
    <mergeCell ref="P18:P22"/>
    <mergeCell ref="P25:P26"/>
    <mergeCell ref="P29:P30"/>
    <mergeCell ref="B72:D72"/>
    <mergeCell ref="B28:I28"/>
    <mergeCell ref="B29:D29"/>
    <mergeCell ref="B44:I44"/>
    <mergeCell ref="B45:D45"/>
    <mergeCell ref="B59:I59"/>
    <mergeCell ref="B60:D60"/>
    <mergeCell ref="B56:D56"/>
    <mergeCell ref="B63:I63"/>
    <mergeCell ref="B64:I64"/>
    <mergeCell ref="B65:D65"/>
    <mergeCell ref="B71:I71"/>
    <mergeCell ref="B41:D41"/>
    <mergeCell ref="B48:I48"/>
    <mergeCell ref="B49:I49"/>
    <mergeCell ref="B50:D50"/>
    <mergeCell ref="B55:I55"/>
    <mergeCell ref="B33:I33"/>
    <mergeCell ref="B40:I40"/>
    <mergeCell ref="B17:D17"/>
    <mergeCell ref="B25:D25"/>
    <mergeCell ref="B34:D34"/>
    <mergeCell ref="C11:N11"/>
    <mergeCell ref="B15:I15"/>
    <mergeCell ref="B16:I16"/>
    <mergeCell ref="B24:I24"/>
    <mergeCell ref="B32:I32"/>
    <mergeCell ref="P14:Q14"/>
    <mergeCell ref="R14:S14"/>
    <mergeCell ref="S18:S22"/>
    <mergeCell ref="S25:S26"/>
    <mergeCell ref="S29:S30"/>
    <mergeCell ref="P15:S15"/>
    <mergeCell ref="P13:S13"/>
  </mergeCells>
  <pageMargins left="0.7" right="0.7" top="0.75" bottom="0.75" header="0.3" footer="0.3"/>
  <pageSetup paperSize="9" orientation="portrait" r:id="rId1"/>
  <ignoredErrors>
    <ignoredError sqref="Q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согласно ГОСТ</vt:lpstr>
      <vt:lpstr>Лист2</vt:lpstr>
      <vt:lpstr>Возраст</vt:lpstr>
      <vt:lpstr>Метод</vt:lpstr>
      <vt:lpstr>Схема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cp:lastPrinted>2016-03-09T13:51:45Z</cp:lastPrinted>
  <dcterms:created xsi:type="dcterms:W3CDTF">2016-03-02T06:43:20Z</dcterms:created>
  <dcterms:modified xsi:type="dcterms:W3CDTF">2016-03-22T13:16:06Z</dcterms:modified>
</cp:coreProperties>
</file>