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КИТАЕВ склерометр" sheetId="1" r:id="rId1"/>
  </sheets>
  <externalReferences>
    <externalReference r:id="rId2"/>
  </externalReferences>
  <definedNames>
    <definedName name="Испытания" localSheetId="0">'КИТАЕВ склерометр'!$B$1:$B$2</definedName>
    <definedName name="Испытания">'[1]Скл№1496 от 25.03.16'!$B$1:$B$2</definedName>
  </definedNames>
  <calcPr calcId="145621"/>
</workbook>
</file>

<file path=xl/calcChain.xml><?xml version="1.0" encoding="utf-8"?>
<calcChain xmlns="http://schemas.openxmlformats.org/spreadsheetml/2006/main">
  <c r="BB57" i="1" l="1"/>
  <c r="U57" i="1"/>
  <c r="S57" i="1"/>
  <c r="P57" i="1"/>
  <c r="O57" i="1"/>
  <c r="N57" i="1"/>
  <c r="M57" i="1"/>
  <c r="BA56" i="1"/>
  <c r="AM56" i="1"/>
  <c r="AC56" i="1"/>
  <c r="T56" i="1"/>
  <c r="S56" i="1"/>
  <c r="P56" i="1"/>
  <c r="AL56" i="1" s="1"/>
  <c r="O56" i="1"/>
  <c r="N56" i="1"/>
  <c r="M56" i="1"/>
  <c r="AL55" i="1"/>
  <c r="S55" i="1"/>
  <c r="P55" i="1"/>
  <c r="O55" i="1"/>
  <c r="N55" i="1"/>
  <c r="M55" i="1"/>
  <c r="BB54" i="1"/>
  <c r="AB54" i="1"/>
  <c r="S54" i="1"/>
  <c r="Q54" i="1"/>
  <c r="P54" i="1"/>
  <c r="O54" i="1"/>
  <c r="BA54" i="1" s="1"/>
  <c r="N54" i="1"/>
  <c r="M54" i="1"/>
  <c r="BB53" i="1"/>
  <c r="S53" i="1"/>
  <c r="P53" i="1"/>
  <c r="O53" i="1"/>
  <c r="N53" i="1"/>
  <c r="M53" i="1"/>
  <c r="AM52" i="1"/>
  <c r="S52" i="1"/>
  <c r="P52" i="1"/>
  <c r="O52" i="1"/>
  <c r="N52" i="1"/>
  <c r="M52" i="1"/>
  <c r="S51" i="1"/>
  <c r="P51" i="1"/>
  <c r="O51" i="1"/>
  <c r="N51" i="1"/>
  <c r="M51" i="1"/>
  <c r="AB50" i="1"/>
  <c r="S50" i="1"/>
  <c r="Q50" i="1"/>
  <c r="P50" i="1"/>
  <c r="O50" i="1"/>
  <c r="BA50" i="1" s="1"/>
  <c r="N50" i="1"/>
  <c r="M50" i="1"/>
  <c r="BB49" i="1"/>
  <c r="S49" i="1"/>
  <c r="P49" i="1"/>
  <c r="O49" i="1"/>
  <c r="AL49" i="1" s="1"/>
  <c r="N49" i="1"/>
  <c r="M49" i="1"/>
  <c r="BA48" i="1"/>
  <c r="AM48" i="1"/>
  <c r="AL48" i="1"/>
  <c r="AC48" i="1"/>
  <c r="T48" i="1"/>
  <c r="S48" i="1"/>
  <c r="P48" i="1"/>
  <c r="O48" i="1"/>
  <c r="N48" i="1"/>
  <c r="M48" i="1"/>
  <c r="AC47" i="1"/>
  <c r="T47" i="1"/>
  <c r="S47" i="1"/>
  <c r="P47" i="1"/>
  <c r="O47" i="1"/>
  <c r="N47" i="1"/>
  <c r="M47" i="1"/>
  <c r="AB46" i="1"/>
  <c r="U46" i="1"/>
  <c r="S46" i="1"/>
  <c r="P46" i="1"/>
  <c r="O46" i="1"/>
  <c r="N46" i="1"/>
  <c r="M46" i="1"/>
  <c r="S45" i="1"/>
  <c r="P45" i="1"/>
  <c r="O45" i="1"/>
  <c r="T45" i="1" s="1"/>
  <c r="N45" i="1"/>
  <c r="M45" i="1"/>
  <c r="BB44" i="1"/>
  <c r="BA44" i="1"/>
  <c r="AS44" i="1"/>
  <c r="U44" i="1"/>
  <c r="S44" i="1"/>
  <c r="Q44" i="1"/>
  <c r="P44" i="1"/>
  <c r="AM44" i="1" s="1"/>
  <c r="O44" i="1"/>
  <c r="AL44" i="1" s="1"/>
  <c r="N44" i="1"/>
  <c r="M44" i="1"/>
  <c r="BB43" i="1"/>
  <c r="BA43" i="1"/>
  <c r="AL43" i="1"/>
  <c r="T43" i="1"/>
  <c r="S43" i="1"/>
  <c r="P43" i="1"/>
  <c r="O43" i="1"/>
  <c r="N43" i="1"/>
  <c r="M43" i="1"/>
  <c r="AC42" i="1"/>
  <c r="O42" i="1"/>
  <c r="N42" i="1"/>
  <c r="M42" i="1"/>
  <c r="BA41" i="1"/>
  <c r="O41" i="1"/>
  <c r="N41" i="1"/>
  <c r="M41" i="1"/>
  <c r="BA40" i="1"/>
  <c r="AM40" i="1"/>
  <c r="AC40" i="1"/>
  <c r="O40" i="1"/>
  <c r="N40" i="1"/>
  <c r="M40" i="1"/>
  <c r="BA39" i="1"/>
  <c r="O39" i="1"/>
  <c r="N39" i="1"/>
  <c r="M39" i="1"/>
  <c r="AC38" i="1"/>
  <c r="O38" i="1"/>
  <c r="BA38" i="1" s="1"/>
  <c r="N38" i="1"/>
  <c r="M38" i="1"/>
  <c r="O37" i="1"/>
  <c r="N37" i="1"/>
  <c r="M37" i="1"/>
  <c r="AC36" i="1"/>
  <c r="O36" i="1"/>
  <c r="BA36" i="1" s="1"/>
  <c r="N36" i="1"/>
  <c r="M36" i="1"/>
  <c r="BA35" i="1"/>
  <c r="O35" i="1"/>
  <c r="N35" i="1"/>
  <c r="M35" i="1"/>
  <c r="AC34" i="1"/>
  <c r="O34" i="1"/>
  <c r="BA34" i="1" s="1"/>
  <c r="N34" i="1"/>
  <c r="M34" i="1"/>
  <c r="BA33" i="1"/>
  <c r="O33" i="1"/>
  <c r="N33" i="1"/>
  <c r="M33" i="1"/>
  <c r="AC32" i="1"/>
  <c r="O32" i="1"/>
  <c r="BA32" i="1" s="1"/>
  <c r="N32" i="1"/>
  <c r="M32" i="1"/>
  <c r="O31" i="1"/>
  <c r="N31" i="1"/>
  <c r="M31" i="1"/>
  <c r="AC30" i="1"/>
  <c r="O30" i="1"/>
  <c r="BA30" i="1" s="1"/>
  <c r="N30" i="1"/>
  <c r="M30" i="1"/>
  <c r="O29" i="1"/>
  <c r="N29" i="1"/>
  <c r="M29" i="1"/>
  <c r="AC28" i="1"/>
  <c r="O28" i="1"/>
  <c r="BA28" i="1" s="1"/>
  <c r="N28" i="1"/>
  <c r="M28" i="1"/>
  <c r="BA27" i="1"/>
  <c r="O27" i="1"/>
  <c r="N27" i="1"/>
  <c r="M27" i="1"/>
  <c r="O26" i="1"/>
  <c r="N26" i="1"/>
  <c r="M26" i="1"/>
  <c r="AM25" i="1"/>
  <c r="O25" i="1"/>
  <c r="N25" i="1"/>
  <c r="M25" i="1"/>
  <c r="O24" i="1"/>
  <c r="N24" i="1"/>
  <c r="M24" i="1"/>
  <c r="BA23" i="1"/>
  <c r="O23" i="1"/>
  <c r="N23" i="1"/>
  <c r="M23" i="1"/>
  <c r="AC22" i="1"/>
  <c r="O22" i="1"/>
  <c r="BA22" i="1" s="1"/>
  <c r="N22" i="1"/>
  <c r="M22" i="1"/>
  <c r="BA21" i="1"/>
  <c r="O21" i="1"/>
  <c r="N21" i="1"/>
  <c r="M21" i="1"/>
  <c r="AC20" i="1"/>
  <c r="O20" i="1"/>
  <c r="BA20" i="1" s="1"/>
  <c r="N20" i="1"/>
  <c r="M20" i="1"/>
  <c r="BA19" i="1"/>
  <c r="O19" i="1"/>
  <c r="N19" i="1"/>
  <c r="M19" i="1"/>
  <c r="AC18" i="1"/>
  <c r="O18" i="1"/>
  <c r="BA18" i="1" s="1"/>
  <c r="N18" i="1"/>
  <c r="M18" i="1"/>
  <c r="O17" i="1"/>
  <c r="AM17" i="1" s="1"/>
  <c r="N17" i="1"/>
  <c r="M17" i="1"/>
  <c r="AC16" i="1"/>
  <c r="O16" i="1"/>
  <c r="BA16" i="1" s="1"/>
  <c r="N16" i="1"/>
  <c r="M16" i="1"/>
  <c r="O15" i="1"/>
  <c r="N15" i="1"/>
  <c r="M15" i="1"/>
  <c r="O14" i="1"/>
  <c r="BA14" i="1" s="1"/>
  <c r="N14" i="1"/>
  <c r="M14" i="1"/>
  <c r="BA13" i="1"/>
  <c r="O13" i="1"/>
  <c r="N13" i="1"/>
  <c r="M13" i="1"/>
  <c r="AC12" i="1"/>
  <c r="O12" i="1"/>
  <c r="BA12" i="1" s="1"/>
  <c r="N12" i="1"/>
  <c r="M12" i="1"/>
  <c r="BA11" i="1"/>
  <c r="O11" i="1"/>
  <c r="N11" i="1"/>
  <c r="M11" i="1"/>
  <c r="AU10" i="1"/>
  <c r="AU11" i="1" s="1"/>
  <c r="AU12" i="1" s="1"/>
  <c r="AU13" i="1" s="1"/>
  <c r="AU14" i="1" s="1"/>
  <c r="AU15" i="1" s="1"/>
  <c r="AU16" i="1" s="1"/>
  <c r="AU17" i="1" s="1"/>
  <c r="AU18" i="1" s="1"/>
  <c r="AU19" i="1" s="1"/>
  <c r="AU20" i="1" s="1"/>
  <c r="AU21" i="1" s="1"/>
  <c r="AU22" i="1" s="1"/>
  <c r="AU23" i="1" s="1"/>
  <c r="AU24" i="1" s="1"/>
  <c r="AU25" i="1" s="1"/>
  <c r="AU26" i="1" s="1"/>
  <c r="AU27" i="1" s="1"/>
  <c r="AU28" i="1" s="1"/>
  <c r="AU29" i="1" s="1"/>
  <c r="AU30" i="1" s="1"/>
  <c r="AU31" i="1" s="1"/>
  <c r="AU32" i="1" s="1"/>
  <c r="AU33" i="1" s="1"/>
  <c r="AU34" i="1" s="1"/>
  <c r="AU35" i="1" s="1"/>
  <c r="AU36" i="1" s="1"/>
  <c r="AU37" i="1" s="1"/>
  <c r="AU38" i="1" s="1"/>
  <c r="AU39" i="1" s="1"/>
  <c r="AU40" i="1" s="1"/>
  <c r="AU41" i="1" s="1"/>
  <c r="AU42" i="1" s="1"/>
  <c r="AU43" i="1" s="1"/>
  <c r="AU44" i="1" s="1"/>
  <c r="AU45" i="1" s="1"/>
  <c r="AU46" i="1" s="1"/>
  <c r="AU47" i="1" s="1"/>
  <c r="AU48" i="1" s="1"/>
  <c r="AU49" i="1" s="1"/>
  <c r="AU50" i="1" s="1"/>
  <c r="AU51" i="1" s="1"/>
  <c r="AU52" i="1" s="1"/>
  <c r="AU53" i="1" s="1"/>
  <c r="AU54" i="1" s="1"/>
  <c r="AU55" i="1" s="1"/>
  <c r="AU56" i="1" s="1"/>
  <c r="AU57" i="1" s="1"/>
  <c r="AM10" i="1"/>
  <c r="O10" i="1"/>
  <c r="N10" i="1"/>
  <c r="M10" i="1"/>
  <c r="AZ9" i="1"/>
  <c r="AZ10" i="1" s="1"/>
  <c r="AZ11" i="1" s="1"/>
  <c r="AZ12" i="1" s="1"/>
  <c r="AZ13" i="1" s="1"/>
  <c r="AZ14" i="1" s="1"/>
  <c r="AZ15" i="1" s="1"/>
  <c r="AZ16" i="1" s="1"/>
  <c r="AZ17" i="1" s="1"/>
  <c r="AZ18" i="1" s="1"/>
  <c r="AZ19" i="1" s="1"/>
  <c r="AZ20" i="1" s="1"/>
  <c r="AZ21" i="1" s="1"/>
  <c r="AZ22" i="1" s="1"/>
  <c r="AZ23" i="1" s="1"/>
  <c r="AZ24" i="1" s="1"/>
  <c r="AZ25" i="1" s="1"/>
  <c r="AZ26" i="1" s="1"/>
  <c r="AZ27" i="1" s="1"/>
  <c r="AZ28" i="1" s="1"/>
  <c r="AZ29" i="1" s="1"/>
  <c r="AZ30" i="1" s="1"/>
  <c r="AZ31" i="1" s="1"/>
  <c r="AZ32" i="1" s="1"/>
  <c r="AZ33" i="1" s="1"/>
  <c r="AZ34" i="1" s="1"/>
  <c r="AZ35" i="1" s="1"/>
  <c r="AZ36" i="1" s="1"/>
  <c r="AZ37" i="1" s="1"/>
  <c r="AZ38" i="1" s="1"/>
  <c r="AZ39" i="1" s="1"/>
  <c r="AZ40" i="1" s="1"/>
  <c r="AZ41" i="1" s="1"/>
  <c r="AZ42" i="1" s="1"/>
  <c r="AZ43" i="1" s="1"/>
  <c r="AZ44" i="1" s="1"/>
  <c r="AZ45" i="1" s="1"/>
  <c r="AZ46" i="1" s="1"/>
  <c r="AZ47" i="1" s="1"/>
  <c r="AZ48" i="1" s="1"/>
  <c r="AZ49" i="1" s="1"/>
  <c r="AZ50" i="1" s="1"/>
  <c r="AZ51" i="1" s="1"/>
  <c r="AZ52" i="1" s="1"/>
  <c r="AZ53" i="1" s="1"/>
  <c r="AZ54" i="1" s="1"/>
  <c r="AZ55" i="1" s="1"/>
  <c r="AZ56" i="1" s="1"/>
  <c r="AZ57" i="1" s="1"/>
  <c r="AU9" i="1"/>
  <c r="AR9" i="1"/>
  <c r="AR10" i="1" s="1"/>
  <c r="AR11" i="1" s="1"/>
  <c r="AR12" i="1" s="1"/>
  <c r="AR13" i="1" s="1"/>
  <c r="AR14" i="1" s="1"/>
  <c r="AR15" i="1" s="1"/>
  <c r="AR16" i="1" s="1"/>
  <c r="AR17" i="1" s="1"/>
  <c r="AR18" i="1" s="1"/>
  <c r="AR19" i="1" s="1"/>
  <c r="AR20" i="1" s="1"/>
  <c r="AR21" i="1" s="1"/>
  <c r="AR22" i="1" s="1"/>
  <c r="AR23" i="1" s="1"/>
  <c r="AR24" i="1" s="1"/>
  <c r="AR25" i="1" s="1"/>
  <c r="AR26" i="1" s="1"/>
  <c r="AR27" i="1" s="1"/>
  <c r="AR28" i="1" s="1"/>
  <c r="AR29" i="1" s="1"/>
  <c r="AR30" i="1" s="1"/>
  <c r="AR31" i="1" s="1"/>
  <c r="AR32" i="1" s="1"/>
  <c r="AR33" i="1" s="1"/>
  <c r="AR34" i="1" s="1"/>
  <c r="AR35" i="1" s="1"/>
  <c r="AR36" i="1" s="1"/>
  <c r="AR37" i="1" s="1"/>
  <c r="AR38" i="1" s="1"/>
  <c r="AR39" i="1" s="1"/>
  <c r="AR40" i="1" s="1"/>
  <c r="AR41" i="1" s="1"/>
  <c r="AR42" i="1" s="1"/>
  <c r="AR43" i="1" s="1"/>
  <c r="AR44" i="1" s="1"/>
  <c r="AR45" i="1" s="1"/>
  <c r="AR46" i="1" s="1"/>
  <c r="AR47" i="1" s="1"/>
  <c r="AR48" i="1" s="1"/>
  <c r="AR49" i="1" s="1"/>
  <c r="AR50" i="1" s="1"/>
  <c r="AR51" i="1" s="1"/>
  <c r="AR52" i="1" s="1"/>
  <c r="AR53" i="1" s="1"/>
  <c r="AR54" i="1" s="1"/>
  <c r="AR55" i="1" s="1"/>
  <c r="AR56" i="1" s="1"/>
  <c r="AR57" i="1" s="1"/>
  <c r="AK9" i="1"/>
  <c r="AK10" i="1" s="1"/>
  <c r="AK11" i="1" s="1"/>
  <c r="AK12" i="1" s="1"/>
  <c r="AK13" i="1" s="1"/>
  <c r="AK14" i="1" s="1"/>
  <c r="AK15" i="1" s="1"/>
  <c r="AK16" i="1" s="1"/>
  <c r="AK17" i="1" s="1"/>
  <c r="AK18" i="1" s="1"/>
  <c r="AK19" i="1" s="1"/>
  <c r="AK20" i="1" s="1"/>
  <c r="AK21" i="1" s="1"/>
  <c r="AK22" i="1" s="1"/>
  <c r="AK23" i="1" s="1"/>
  <c r="AK24" i="1" s="1"/>
  <c r="AK25" i="1" s="1"/>
  <c r="AK26" i="1" s="1"/>
  <c r="AK27" i="1" s="1"/>
  <c r="AK28" i="1" s="1"/>
  <c r="AK29" i="1" s="1"/>
  <c r="AK30" i="1" s="1"/>
  <c r="AK31" i="1" s="1"/>
  <c r="AK32" i="1" s="1"/>
  <c r="AK33" i="1" s="1"/>
  <c r="AK34" i="1" s="1"/>
  <c r="AK35" i="1" s="1"/>
  <c r="AK36" i="1" s="1"/>
  <c r="AK37" i="1" s="1"/>
  <c r="AK38" i="1" s="1"/>
  <c r="AK39" i="1" s="1"/>
  <c r="AK40" i="1" s="1"/>
  <c r="AK41" i="1" s="1"/>
  <c r="AK42" i="1" s="1"/>
  <c r="AK43" i="1" s="1"/>
  <c r="AK44" i="1" s="1"/>
  <c r="AK45" i="1" s="1"/>
  <c r="AK46" i="1" s="1"/>
  <c r="AK47" i="1" s="1"/>
  <c r="AK48" i="1" s="1"/>
  <c r="AK49" i="1" s="1"/>
  <c r="AK50" i="1" s="1"/>
  <c r="AK51" i="1" s="1"/>
  <c r="AK52" i="1" s="1"/>
  <c r="AK53" i="1" s="1"/>
  <c r="AK54" i="1" s="1"/>
  <c r="AK55" i="1" s="1"/>
  <c r="AK56" i="1" s="1"/>
  <c r="AK57" i="1" s="1"/>
  <c r="AH9" i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H26" i="1" s="1"/>
  <c r="AH27" i="1" s="1"/>
  <c r="AH28" i="1" s="1"/>
  <c r="AH29" i="1" s="1"/>
  <c r="AH30" i="1" s="1"/>
  <c r="AH31" i="1" s="1"/>
  <c r="AH32" i="1" s="1"/>
  <c r="AH33" i="1" s="1"/>
  <c r="AH34" i="1" s="1"/>
  <c r="AH35" i="1" s="1"/>
  <c r="AH36" i="1" s="1"/>
  <c r="AH37" i="1" s="1"/>
  <c r="AH38" i="1" s="1"/>
  <c r="AH39" i="1" s="1"/>
  <c r="AH40" i="1" s="1"/>
  <c r="AH41" i="1" s="1"/>
  <c r="AH42" i="1" s="1"/>
  <c r="AH43" i="1" s="1"/>
  <c r="AH44" i="1" s="1"/>
  <c r="AH45" i="1" s="1"/>
  <c r="AH46" i="1" s="1"/>
  <c r="AH47" i="1" s="1"/>
  <c r="AH48" i="1" s="1"/>
  <c r="AH49" i="1" s="1"/>
  <c r="AH50" i="1" s="1"/>
  <c r="AH51" i="1" s="1"/>
  <c r="AH52" i="1" s="1"/>
  <c r="AH53" i="1" s="1"/>
  <c r="AH54" i="1" s="1"/>
  <c r="AH55" i="1" s="1"/>
  <c r="AH56" i="1" s="1"/>
  <c r="AH57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O9" i="1"/>
  <c r="AM9" i="1" s="1"/>
  <c r="N9" i="1"/>
  <c r="M9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O8" i="1"/>
  <c r="N8" i="1"/>
  <c r="M8" i="1"/>
  <c r="V1" i="1"/>
  <c r="U1" i="1"/>
  <c r="S38" i="1" s="1"/>
  <c r="T1" i="1"/>
  <c r="S1" i="1"/>
  <c r="BB38" i="1" l="1"/>
  <c r="AM8" i="1"/>
  <c r="BA8" i="1"/>
  <c r="AC8" i="1"/>
  <c r="AC17" i="1"/>
  <c r="BA31" i="1"/>
  <c r="AM31" i="1"/>
  <c r="S18" i="1"/>
  <c r="AC11" i="1"/>
  <c r="AM11" i="1"/>
  <c r="AC13" i="1"/>
  <c r="AM13" i="1"/>
  <c r="S20" i="1"/>
  <c r="AC24" i="1"/>
  <c r="BA24" i="1"/>
  <c r="AM24" i="1"/>
  <c r="AC31" i="1"/>
  <c r="BA17" i="1"/>
  <c r="S41" i="1"/>
  <c r="AC9" i="1"/>
  <c r="BA9" i="1"/>
  <c r="AC10" i="1"/>
  <c r="BA10" i="1"/>
  <c r="S12" i="1"/>
  <c r="S14" i="1"/>
  <c r="BA26" i="1"/>
  <c r="Q51" i="1"/>
  <c r="BA51" i="1"/>
  <c r="AM51" i="1"/>
  <c r="U51" i="1"/>
  <c r="AB51" i="1"/>
  <c r="AC51" i="1"/>
  <c r="AL51" i="1"/>
  <c r="T51" i="1"/>
  <c r="AC15" i="1"/>
  <c r="AC23" i="1"/>
  <c r="AM23" i="1"/>
  <c r="S26" i="1"/>
  <c r="BA29" i="1"/>
  <c r="AC29" i="1"/>
  <c r="S34" i="1"/>
  <c r="AC37" i="1"/>
  <c r="BA37" i="1"/>
  <c r="AM37" i="1"/>
  <c r="S40" i="1"/>
  <c r="AI45" i="1"/>
  <c r="S9" i="1"/>
  <c r="S10" i="1"/>
  <c r="S11" i="1"/>
  <c r="AM12" i="1"/>
  <c r="S13" i="1"/>
  <c r="S16" i="1"/>
  <c r="AC21" i="1"/>
  <c r="AM21" i="1"/>
  <c r="AC25" i="1"/>
  <c r="BA25" i="1"/>
  <c r="AC39" i="1"/>
  <c r="AM39" i="1"/>
  <c r="BA42" i="1"/>
  <c r="AM42" i="1"/>
  <c r="AB43" i="1"/>
  <c r="AM43" i="1"/>
  <c r="AC43" i="1"/>
  <c r="Q43" i="1"/>
  <c r="U43" i="1"/>
  <c r="BA52" i="1"/>
  <c r="AL52" i="1"/>
  <c r="T52" i="1"/>
  <c r="AC52" i="1"/>
  <c r="AM15" i="1"/>
  <c r="S42" i="1"/>
  <c r="S39" i="1"/>
  <c r="S37" i="1"/>
  <c r="S35" i="1"/>
  <c r="S33" i="1"/>
  <c r="S31" i="1"/>
  <c r="S29" i="1"/>
  <c r="S27" i="1"/>
  <c r="S36" i="1"/>
  <c r="S28" i="1"/>
  <c r="S30" i="1"/>
  <c r="S25" i="1"/>
  <c r="S24" i="1"/>
  <c r="S23" i="1"/>
  <c r="S21" i="1"/>
  <c r="S19" i="1"/>
  <c r="S17" i="1"/>
  <c r="S15" i="1"/>
  <c r="S8" i="1"/>
  <c r="BA15" i="1"/>
  <c r="AC19" i="1"/>
  <c r="AM19" i="1"/>
  <c r="S22" i="1"/>
  <c r="AM29" i="1"/>
  <c r="S32" i="1"/>
  <c r="AI43" i="1"/>
  <c r="AS45" i="1"/>
  <c r="BB45" i="1"/>
  <c r="AM16" i="1"/>
  <c r="AM18" i="1"/>
  <c r="AM20" i="1"/>
  <c r="AM22" i="1"/>
  <c r="AC27" i="1"/>
  <c r="AM27" i="1"/>
  <c r="AC35" i="1"/>
  <c r="AM35" i="1"/>
  <c r="O58" i="1"/>
  <c r="BA49" i="1"/>
  <c r="AM49" i="1"/>
  <c r="Q49" i="1"/>
  <c r="U49" i="1"/>
  <c r="BB50" i="1"/>
  <c r="AC33" i="1"/>
  <c r="AM33" i="1"/>
  <c r="BA45" i="1"/>
  <c r="AM45" i="1"/>
  <c r="U45" i="1"/>
  <c r="AC45" i="1"/>
  <c r="Q45" i="1"/>
  <c r="AL45" i="1"/>
  <c r="AB45" i="1"/>
  <c r="BB46" i="1"/>
  <c r="AS46" i="1"/>
  <c r="BA53" i="1"/>
  <c r="AM53" i="1"/>
  <c r="Q53" i="1"/>
  <c r="U53" i="1"/>
  <c r="AM28" i="1"/>
  <c r="AM30" i="1"/>
  <c r="AM32" i="1"/>
  <c r="AM34" i="1"/>
  <c r="AM36" i="1"/>
  <c r="AM38" i="1"/>
  <c r="AC41" i="1"/>
  <c r="AM41" i="1"/>
  <c r="AB44" i="1"/>
  <c r="BA46" i="1"/>
  <c r="AM46" i="1"/>
  <c r="AL46" i="1"/>
  <c r="AC46" i="1"/>
  <c r="T46" i="1"/>
  <c r="AI46" i="1" s="1"/>
  <c r="Q46" i="1"/>
  <c r="Q47" i="1"/>
  <c r="BA47" i="1"/>
  <c r="AM47" i="1"/>
  <c r="U47" i="1"/>
  <c r="AB47" i="1"/>
  <c r="AL47" i="1"/>
  <c r="AI54" i="1"/>
  <c r="AL57" i="1"/>
  <c r="AL53" i="1"/>
  <c r="Q55" i="1"/>
  <c r="BA55" i="1"/>
  <c r="AM55" i="1"/>
  <c r="U55" i="1"/>
  <c r="AC55" i="1"/>
  <c r="T55" i="1"/>
  <c r="AB55" i="1"/>
  <c r="BA57" i="1"/>
  <c r="AM57" i="1"/>
  <c r="Q57" i="1"/>
  <c r="AS43" i="1"/>
  <c r="T44" i="1"/>
  <c r="AI44" i="1" s="1"/>
  <c r="AC44" i="1"/>
  <c r="BB47" i="1"/>
  <c r="AI47" i="1"/>
  <c r="AS47" i="1"/>
  <c r="AB48" i="1"/>
  <c r="Q48" i="1"/>
  <c r="U48" i="1"/>
  <c r="BB51" i="1"/>
  <c r="AS51" i="1"/>
  <c r="AB52" i="1"/>
  <c r="Q52" i="1"/>
  <c r="U52" i="1"/>
  <c r="BB55" i="1"/>
  <c r="AI55" i="1"/>
  <c r="AS55" i="1"/>
  <c r="AB56" i="1"/>
  <c r="Q56" i="1"/>
  <c r="U56" i="1"/>
  <c r="AS56" i="1" s="1"/>
  <c r="AI48" i="1"/>
  <c r="BB48" i="1"/>
  <c r="AB49" i="1"/>
  <c r="AS49" i="1"/>
  <c r="T50" i="1"/>
  <c r="AC50" i="1"/>
  <c r="AL50" i="1"/>
  <c r="BB52" i="1"/>
  <c r="AB53" i="1"/>
  <c r="AS53" i="1"/>
  <c r="T54" i="1"/>
  <c r="AC54" i="1"/>
  <c r="AL54" i="1"/>
  <c r="AI56" i="1"/>
  <c r="BB56" i="1"/>
  <c r="AB57" i="1"/>
  <c r="AS57" i="1"/>
  <c r="AS48" i="1"/>
  <c r="T49" i="1"/>
  <c r="AC49" i="1"/>
  <c r="U50" i="1"/>
  <c r="AM50" i="1"/>
  <c r="AS52" i="1"/>
  <c r="T53" i="1"/>
  <c r="AC53" i="1"/>
  <c r="U54" i="1"/>
  <c r="AM54" i="1"/>
  <c r="T57" i="1"/>
  <c r="AC57" i="1"/>
  <c r="BB22" i="1" l="1"/>
  <c r="BB17" i="1"/>
  <c r="BB36" i="1"/>
  <c r="BB42" i="1"/>
  <c r="Q42" i="1"/>
  <c r="BB11" i="1"/>
  <c r="BB40" i="1"/>
  <c r="BB20" i="1"/>
  <c r="Q11" i="1"/>
  <c r="Q31" i="1"/>
  <c r="AS50" i="1"/>
  <c r="BB32" i="1"/>
  <c r="BB19" i="1"/>
  <c r="BB25" i="1"/>
  <c r="BB35" i="1"/>
  <c r="BB13" i="1"/>
  <c r="BB10" i="1"/>
  <c r="Q37" i="1"/>
  <c r="Q26" i="1"/>
  <c r="BB12" i="1"/>
  <c r="Q8" i="1"/>
  <c r="AM58" i="1"/>
  <c r="AO9" i="1" s="1"/>
  <c r="AI53" i="1"/>
  <c r="AI51" i="1"/>
  <c r="AI50" i="1"/>
  <c r="BB8" i="1"/>
  <c r="S58" i="1"/>
  <c r="AL39" i="1" s="1"/>
  <c r="BB21" i="1"/>
  <c r="BB30" i="1"/>
  <c r="BB29" i="1"/>
  <c r="BB37" i="1"/>
  <c r="Q23" i="1"/>
  <c r="BB9" i="1"/>
  <c r="Q29" i="1"/>
  <c r="BB26" i="1"/>
  <c r="AL10" i="1"/>
  <c r="Q17" i="1"/>
  <c r="Q13" i="1"/>
  <c r="AC58" i="1"/>
  <c r="AE9" i="1" s="1"/>
  <c r="Q41" i="1"/>
  <c r="Q40" i="1"/>
  <c r="Q38" i="1"/>
  <c r="Q35" i="1"/>
  <c r="Q34" i="1"/>
  <c r="Q27" i="1"/>
  <c r="Q36" i="1"/>
  <c r="Q28" i="1"/>
  <c r="Q39" i="1"/>
  <c r="Q30" i="1"/>
  <c r="Q25" i="1"/>
  <c r="Q21" i="1"/>
  <c r="Q20" i="1"/>
  <c r="Q14" i="1"/>
  <c r="Q12" i="1"/>
  <c r="Q16" i="1"/>
  <c r="Q32" i="1"/>
  <c r="Q22" i="1"/>
  <c r="AB22" i="1"/>
  <c r="Q18" i="1"/>
  <c r="Q33" i="1"/>
  <c r="AB25" i="1"/>
  <c r="Q19" i="1"/>
  <c r="Q10" i="1"/>
  <c r="Q9" i="1"/>
  <c r="BB24" i="1"/>
  <c r="AL24" i="1"/>
  <c r="BB33" i="1"/>
  <c r="Q15" i="1"/>
  <c r="BB34" i="1"/>
  <c r="BB14" i="1"/>
  <c r="AI57" i="1"/>
  <c r="BB27" i="1"/>
  <c r="AI49" i="1"/>
  <c r="AI52" i="1"/>
  <c r="AS54" i="1"/>
  <c r="AB35" i="1"/>
  <c r="BB15" i="1"/>
  <c r="BB23" i="1"/>
  <c r="BB28" i="1"/>
  <c r="BB31" i="1"/>
  <c r="BB39" i="1"/>
  <c r="AB39" i="1"/>
  <c r="BB16" i="1"/>
  <c r="AB10" i="1"/>
  <c r="BB41" i="1"/>
  <c r="Q24" i="1"/>
  <c r="AB13" i="1"/>
  <c r="BB18" i="1"/>
  <c r="AL11" i="1" l="1"/>
  <c r="AL19" i="1"/>
  <c r="AL15" i="1"/>
  <c r="AL27" i="1"/>
  <c r="AB20" i="1"/>
  <c r="AB18" i="1"/>
  <c r="AB32" i="1"/>
  <c r="AB24" i="1"/>
  <c r="AL9" i="1"/>
  <c r="AL21" i="1"/>
  <c r="AB41" i="1"/>
  <c r="AB21" i="1"/>
  <c r="AL35" i="1"/>
  <c r="AL32" i="1"/>
  <c r="AL20" i="1"/>
  <c r="AL42" i="1"/>
  <c r="AB31" i="1"/>
  <c r="AL8" i="1"/>
  <c r="AB17" i="1"/>
  <c r="AB23" i="1"/>
  <c r="AB19" i="1"/>
  <c r="AB16" i="1"/>
  <c r="AB34" i="1"/>
  <c r="AL17" i="1"/>
  <c r="AB11" i="1"/>
  <c r="AL12" i="1"/>
  <c r="AB29" i="1"/>
  <c r="AL25" i="1"/>
  <c r="AB8" i="1"/>
  <c r="AL37" i="1"/>
  <c r="AL41" i="1"/>
  <c r="AL29" i="1"/>
  <c r="AL33" i="1"/>
  <c r="AL38" i="1"/>
  <c r="AL31" i="1"/>
  <c r="AB40" i="1"/>
  <c r="AL22" i="1"/>
  <c r="AL28" i="1"/>
  <c r="AB38" i="1"/>
  <c r="AB28" i="1"/>
  <c r="AL18" i="1"/>
  <c r="AB9" i="1"/>
  <c r="AL16" i="1"/>
  <c r="AB27" i="1"/>
  <c r="AL34" i="1"/>
  <c r="AB12" i="1"/>
  <c r="AB30" i="1"/>
  <c r="AB36" i="1"/>
  <c r="AL13" i="1"/>
  <c r="AL30" i="1"/>
  <c r="AB33" i="1"/>
  <c r="AL40" i="1"/>
  <c r="AB37" i="1"/>
  <c r="AB42" i="1"/>
  <c r="AB15" i="1"/>
  <c r="AL36" i="1"/>
  <c r="AL23" i="1"/>
  <c r="AL58" i="1" l="1"/>
  <c r="AO8" i="1" s="1"/>
  <c r="AP8" i="1" s="1"/>
  <c r="AB58" i="1"/>
  <c r="AE8" i="1" s="1"/>
  <c r="AF8" i="1" s="1"/>
  <c r="T30" i="1" l="1"/>
  <c r="T35" i="1"/>
  <c r="T27" i="1"/>
  <c r="T34" i="1"/>
  <c r="T18" i="1"/>
  <c r="T33" i="1"/>
  <c r="T20" i="1"/>
  <c r="T22" i="1"/>
  <c r="T21" i="1"/>
  <c r="T29" i="1"/>
  <c r="T25" i="1"/>
  <c r="T15" i="1"/>
  <c r="T13" i="1"/>
  <c r="T11" i="1"/>
  <c r="T37" i="1"/>
  <c r="T9" i="1"/>
  <c r="T10" i="1"/>
  <c r="AE10" i="1"/>
  <c r="T40" i="1" s="1"/>
  <c r="AN14" i="1"/>
  <c r="U42" i="1"/>
  <c r="U21" i="1"/>
  <c r="U23" i="1"/>
  <c r="U35" i="1"/>
  <c r="U13" i="1"/>
  <c r="U11" i="1"/>
  <c r="U27" i="1"/>
  <c r="U8" i="1"/>
  <c r="U12" i="1"/>
  <c r="U37" i="1"/>
  <c r="U20" i="1"/>
  <c r="U28" i="1"/>
  <c r="U32" i="1"/>
  <c r="U40" i="1"/>
  <c r="U18" i="1"/>
  <c r="U22" i="1"/>
  <c r="U34" i="1"/>
  <c r="U33" i="1"/>
  <c r="U10" i="1"/>
  <c r="U39" i="1"/>
  <c r="U9" i="1"/>
  <c r="U24" i="1"/>
  <c r="U29" i="1"/>
  <c r="U38" i="1"/>
  <c r="U31" i="1"/>
  <c r="AO10" i="1"/>
  <c r="AI40" i="1" l="1"/>
  <c r="AS33" i="1"/>
  <c r="AI9" i="1"/>
  <c r="AI11" i="1"/>
  <c r="AI15" i="1"/>
  <c r="AI29" i="1"/>
  <c r="AI22" i="1"/>
  <c r="AI33" i="1"/>
  <c r="AI34" i="1"/>
  <c r="AI35" i="1"/>
  <c r="AS29" i="1"/>
  <c r="AS39" i="1"/>
  <c r="AS34" i="1"/>
  <c r="AS40" i="1"/>
  <c r="AS20" i="1"/>
  <c r="AS8" i="1"/>
  <c r="AS13" i="1"/>
  <c r="AS21" i="1"/>
  <c r="T24" i="1"/>
  <c r="T8" i="1"/>
  <c r="T41" i="1"/>
  <c r="T17" i="1"/>
  <c r="T28" i="1"/>
  <c r="T38" i="1"/>
  <c r="T12" i="1"/>
  <c r="T32" i="1"/>
  <c r="AG74" i="1"/>
  <c r="AG70" i="1"/>
  <c r="AG73" i="1"/>
  <c r="AG69" i="1"/>
  <c r="AG76" i="1"/>
  <c r="AG68" i="1"/>
  <c r="AG75" i="1"/>
  <c r="AG67" i="1"/>
  <c r="AG72" i="1"/>
  <c r="AG71" i="1"/>
  <c r="U17" i="1"/>
  <c r="U19" i="1"/>
  <c r="U30" i="1"/>
  <c r="U36" i="1"/>
  <c r="U16" i="1"/>
  <c r="U25" i="1"/>
  <c r="U15" i="1"/>
  <c r="U41" i="1"/>
  <c r="T39" i="1"/>
  <c r="T42" i="1"/>
  <c r="T31" i="1"/>
  <c r="T23" i="1"/>
  <c r="T36" i="1"/>
  <c r="T19" i="1"/>
  <c r="AD14" i="1"/>
  <c r="T16" i="1"/>
  <c r="AS38" i="1"/>
  <c r="AS9" i="1"/>
  <c r="AS18" i="1"/>
  <c r="AS28" i="1"/>
  <c r="AS12" i="1"/>
  <c r="AS11" i="1"/>
  <c r="AS23" i="1"/>
  <c r="AS31" i="1"/>
  <c r="AS24" i="1"/>
  <c r="AS10" i="1"/>
  <c r="AS22" i="1"/>
  <c r="AS32" i="1"/>
  <c r="AS37" i="1"/>
  <c r="AS27" i="1"/>
  <c r="AS35" i="1"/>
  <c r="AS42" i="1"/>
  <c r="AI10" i="1"/>
  <c r="AI37" i="1"/>
  <c r="AI13" i="1"/>
  <c r="AI25" i="1"/>
  <c r="AI21" i="1"/>
  <c r="AI20" i="1"/>
  <c r="AI18" i="1"/>
  <c r="AI27" i="1"/>
  <c r="AI30" i="1"/>
  <c r="AI31" i="1" l="1"/>
  <c r="AS15" i="1"/>
  <c r="AS30" i="1"/>
  <c r="AI28" i="1"/>
  <c r="AI24" i="1"/>
  <c r="AI19" i="1"/>
  <c r="AI42" i="1"/>
  <c r="AS25" i="1"/>
  <c r="AS19" i="1"/>
  <c r="AI32" i="1"/>
  <c r="AI17" i="1"/>
  <c r="U58" i="1"/>
  <c r="AV17" i="1" s="1"/>
  <c r="AI36" i="1"/>
  <c r="AI39" i="1"/>
  <c r="AS16" i="1"/>
  <c r="AS58" i="1" s="1"/>
  <c r="AS17" i="1"/>
  <c r="AI12" i="1"/>
  <c r="AI41" i="1"/>
  <c r="AI16" i="1"/>
  <c r="AI23" i="1"/>
  <c r="AS41" i="1"/>
  <c r="AS36" i="1"/>
  <c r="AI38" i="1"/>
  <c r="AI8" i="1"/>
  <c r="AI58" i="1" s="1"/>
  <c r="AS60" i="1" l="1"/>
  <c r="AG63" i="1"/>
  <c r="AH63" i="1" s="1"/>
  <c r="W46" i="1"/>
  <c r="W44" i="1"/>
  <c r="W57" i="1"/>
  <c r="W54" i="1"/>
  <c r="W50" i="1"/>
  <c r="W26" i="1"/>
  <c r="W49" i="1"/>
  <c r="W43" i="1"/>
  <c r="W52" i="1"/>
  <c r="W53" i="1"/>
  <c r="W51" i="1"/>
  <c r="W47" i="1"/>
  <c r="W14" i="1"/>
  <c r="W48" i="1"/>
  <c r="W56" i="1"/>
  <c r="W55" i="1"/>
  <c r="W45" i="1"/>
  <c r="W8" i="1"/>
  <c r="W38" i="1"/>
  <c r="W9" i="1"/>
  <c r="W18" i="1"/>
  <c r="W12" i="1"/>
  <c r="W24" i="1"/>
  <c r="W32" i="1"/>
  <c r="W42" i="1"/>
  <c r="W31" i="1"/>
  <c r="W37" i="1"/>
  <c r="W27" i="1"/>
  <c r="W35" i="1"/>
  <c r="W33" i="1"/>
  <c r="W29" i="1"/>
  <c r="W39" i="1"/>
  <c r="W28" i="1"/>
  <c r="W11" i="1"/>
  <c r="W23" i="1"/>
  <c r="W22" i="1"/>
  <c r="W34" i="1"/>
  <c r="W40" i="1"/>
  <c r="W20" i="1"/>
  <c r="W13" i="1"/>
  <c r="W21" i="1"/>
  <c r="W10" i="1"/>
  <c r="W30" i="1"/>
  <c r="W17" i="1"/>
  <c r="W41" i="1"/>
  <c r="W16" i="1"/>
  <c r="W36" i="1"/>
  <c r="W15" i="1"/>
  <c r="W19" i="1"/>
  <c r="W25" i="1"/>
  <c r="AI60" i="1"/>
  <c r="V43" i="1"/>
  <c r="X43" i="1" s="1"/>
  <c r="BC43" i="1" s="1"/>
  <c r="V45" i="1"/>
  <c r="X45" i="1" s="1"/>
  <c r="BC45" i="1" s="1"/>
  <c r="V48" i="1"/>
  <c r="X48" i="1" s="1"/>
  <c r="BC48" i="1" s="1"/>
  <c r="V47" i="1"/>
  <c r="V56" i="1"/>
  <c r="X56" i="1" s="1"/>
  <c r="BC56" i="1" s="1"/>
  <c r="V53" i="1"/>
  <c r="V14" i="1"/>
  <c r="X14" i="1" s="1"/>
  <c r="BC14" i="1" s="1"/>
  <c r="V49" i="1"/>
  <c r="X49" i="1" s="1"/>
  <c r="BC49" i="1" s="1"/>
  <c r="V46" i="1"/>
  <c r="X46" i="1" s="1"/>
  <c r="BC46" i="1" s="1"/>
  <c r="V26" i="1"/>
  <c r="V52" i="1"/>
  <c r="X52" i="1" s="1"/>
  <c r="BC52" i="1" s="1"/>
  <c r="V55" i="1"/>
  <c r="V54" i="1"/>
  <c r="X54" i="1" s="1"/>
  <c r="BC54" i="1" s="1"/>
  <c r="V51" i="1"/>
  <c r="X51" i="1" s="1"/>
  <c r="BC51" i="1" s="1"/>
  <c r="V50" i="1"/>
  <c r="X50" i="1" s="1"/>
  <c r="BC50" i="1" s="1"/>
  <c r="V57" i="1"/>
  <c r="X57" i="1" s="1"/>
  <c r="BC57" i="1" s="1"/>
  <c r="V44" i="1"/>
  <c r="X44" i="1" s="1"/>
  <c r="BC44" i="1" s="1"/>
  <c r="V40" i="1"/>
  <c r="V11" i="1"/>
  <c r="X11" i="1" s="1"/>
  <c r="BC11" i="1" s="1"/>
  <c r="V29" i="1"/>
  <c r="X29" i="1" s="1"/>
  <c r="BC29" i="1" s="1"/>
  <c r="V33" i="1"/>
  <c r="X33" i="1" s="1"/>
  <c r="BC33" i="1" s="1"/>
  <c r="V35" i="1"/>
  <c r="X35" i="1" s="1"/>
  <c r="BC35" i="1" s="1"/>
  <c r="V37" i="1"/>
  <c r="X37" i="1" s="1"/>
  <c r="BC37" i="1" s="1"/>
  <c r="V20" i="1"/>
  <c r="X20" i="1" s="1"/>
  <c r="BC20" i="1" s="1"/>
  <c r="V27" i="1"/>
  <c r="X27" i="1" s="1"/>
  <c r="BC27" i="1" s="1"/>
  <c r="V10" i="1"/>
  <c r="V13" i="1"/>
  <c r="X13" i="1" s="1"/>
  <c r="BC13" i="1" s="1"/>
  <c r="V21" i="1"/>
  <c r="X21" i="1" s="1"/>
  <c r="BC21" i="1" s="1"/>
  <c r="V18" i="1"/>
  <c r="X18" i="1" s="1"/>
  <c r="BC18" i="1" s="1"/>
  <c r="V30" i="1"/>
  <c r="X30" i="1" s="1"/>
  <c r="BC30" i="1" s="1"/>
  <c r="V9" i="1"/>
  <c r="X9" i="1" s="1"/>
  <c r="BC9" i="1" s="1"/>
  <c r="V15" i="1"/>
  <c r="V22" i="1"/>
  <c r="X22" i="1" s="1"/>
  <c r="BC22" i="1" s="1"/>
  <c r="V34" i="1"/>
  <c r="X34" i="1" s="1"/>
  <c r="BC34" i="1" s="1"/>
  <c r="V25" i="1"/>
  <c r="X25" i="1" s="1"/>
  <c r="BC25" i="1" s="1"/>
  <c r="AW19" i="1"/>
  <c r="AW15" i="1"/>
  <c r="V8" i="1"/>
  <c r="AV41" i="1"/>
  <c r="V23" i="1"/>
  <c r="X23" i="1" s="1"/>
  <c r="BC23" i="1" s="1"/>
  <c r="V41" i="1"/>
  <c r="X41" i="1" s="1"/>
  <c r="BC41" i="1" s="1"/>
  <c r="AW17" i="1"/>
  <c r="AW16" i="1"/>
  <c r="V39" i="1"/>
  <c r="V32" i="1"/>
  <c r="X32" i="1" s="1"/>
  <c r="BC32" i="1" s="1"/>
  <c r="V19" i="1"/>
  <c r="X19" i="1" s="1"/>
  <c r="BC19" i="1" s="1"/>
  <c r="V28" i="1"/>
  <c r="X28" i="1" s="1"/>
  <c r="BC28" i="1" s="1"/>
  <c r="AV30" i="1"/>
  <c r="AW41" i="1"/>
  <c r="AG64" i="1"/>
  <c r="AX51" i="1"/>
  <c r="AX55" i="1"/>
  <c r="AV7" i="1"/>
  <c r="AX50" i="1"/>
  <c r="AX47" i="1"/>
  <c r="AX46" i="1"/>
  <c r="AX44" i="1"/>
  <c r="AX49" i="1"/>
  <c r="AX57" i="1"/>
  <c r="AW57" i="1"/>
  <c r="AX43" i="1"/>
  <c r="AV44" i="1"/>
  <c r="AW46" i="1"/>
  <c r="AV57" i="1"/>
  <c r="AX48" i="1"/>
  <c r="AX53" i="1"/>
  <c r="AX45" i="1"/>
  <c r="AX52" i="1"/>
  <c r="AW44" i="1"/>
  <c r="AV46" i="1"/>
  <c r="AX54" i="1"/>
  <c r="AX38" i="1"/>
  <c r="AX56" i="1"/>
  <c r="AV48" i="1"/>
  <c r="AX13" i="1"/>
  <c r="AV51" i="1"/>
  <c r="AW52" i="1"/>
  <c r="AV47" i="1"/>
  <c r="AV56" i="1"/>
  <c r="AX24" i="1"/>
  <c r="AW55" i="1"/>
  <c r="AX31" i="1"/>
  <c r="AX39" i="1"/>
  <c r="AX18" i="1"/>
  <c r="AX27" i="1"/>
  <c r="AV43" i="1"/>
  <c r="AV54" i="1"/>
  <c r="AV53" i="1"/>
  <c r="AX36" i="1"/>
  <c r="AW50" i="1"/>
  <c r="AX19" i="1"/>
  <c r="AX35" i="1"/>
  <c r="AW51" i="1"/>
  <c r="AW47" i="1"/>
  <c r="AX34" i="1"/>
  <c r="AW45" i="1"/>
  <c r="AX23" i="1"/>
  <c r="AX16" i="1"/>
  <c r="AW54" i="1"/>
  <c r="AX17" i="1"/>
  <c r="AX42" i="1"/>
  <c r="AX20" i="1"/>
  <c r="AX32" i="1"/>
  <c r="AX25" i="1"/>
  <c r="AX10" i="1"/>
  <c r="AV52" i="1"/>
  <c r="AX29" i="1"/>
  <c r="AX37" i="1"/>
  <c r="AX9" i="1"/>
  <c r="AX33" i="1"/>
  <c r="AV55" i="1"/>
  <c r="AV45" i="1"/>
  <c r="AW49" i="1"/>
  <c r="AX28" i="1"/>
  <c r="AW43" i="1"/>
  <c r="AX41" i="1"/>
  <c r="AW53" i="1"/>
  <c r="AX22" i="1"/>
  <c r="AX11" i="1"/>
  <c r="AX40" i="1"/>
  <c r="AV50" i="1"/>
  <c r="AX12" i="1"/>
  <c r="AX8" i="1"/>
  <c r="AV49" i="1"/>
  <c r="AX15" i="1"/>
  <c r="AW48" i="1"/>
  <c r="AX21" i="1"/>
  <c r="AX30" i="1"/>
  <c r="AW56" i="1"/>
  <c r="AV33" i="1"/>
  <c r="AV29" i="1"/>
  <c r="AV39" i="1"/>
  <c r="AW34" i="1"/>
  <c r="AV40" i="1"/>
  <c r="AW20" i="1"/>
  <c r="AW13" i="1"/>
  <c r="AW21" i="1"/>
  <c r="AW28" i="1"/>
  <c r="AV11" i="1"/>
  <c r="AV23" i="1"/>
  <c r="AW31" i="1"/>
  <c r="AW22" i="1"/>
  <c r="AV37" i="1"/>
  <c r="AV27" i="1"/>
  <c r="AW8" i="1"/>
  <c r="AV13" i="1"/>
  <c r="AV21" i="1"/>
  <c r="AW38" i="1"/>
  <c r="AW9" i="1"/>
  <c r="AV18" i="1"/>
  <c r="AV28" i="1"/>
  <c r="AW12" i="1"/>
  <c r="AW11" i="1"/>
  <c r="AW23" i="1"/>
  <c r="AW24" i="1"/>
  <c r="AW10" i="1"/>
  <c r="AV22" i="1"/>
  <c r="AV32" i="1"/>
  <c r="AW42" i="1"/>
  <c r="AV34" i="1"/>
  <c r="AW40" i="1"/>
  <c r="AV20" i="1"/>
  <c r="AV38" i="1"/>
  <c r="AV9" i="1"/>
  <c r="AW18" i="1"/>
  <c r="AV12" i="1"/>
  <c r="AV31" i="1"/>
  <c r="AV24" i="1"/>
  <c r="AV10" i="1"/>
  <c r="AW32" i="1"/>
  <c r="AW37" i="1"/>
  <c r="AW27" i="1"/>
  <c r="AW35" i="1"/>
  <c r="AV42" i="1"/>
  <c r="AW33" i="1"/>
  <c r="AW29" i="1"/>
  <c r="AW39" i="1"/>
  <c r="AV8" i="1"/>
  <c r="AV35" i="1"/>
  <c r="AW30" i="1"/>
  <c r="AW36" i="1"/>
  <c r="AW25" i="1"/>
  <c r="V38" i="1"/>
  <c r="X38" i="1" s="1"/>
  <c r="BC38" i="1" s="1"/>
  <c r="AV36" i="1"/>
  <c r="V16" i="1"/>
  <c r="X16" i="1" s="1"/>
  <c r="BC16" i="1" s="1"/>
  <c r="V12" i="1"/>
  <c r="AV16" i="1"/>
  <c r="V36" i="1"/>
  <c r="X36" i="1" s="1"/>
  <c r="BC36" i="1" s="1"/>
  <c r="V17" i="1"/>
  <c r="X17" i="1" s="1"/>
  <c r="BC17" i="1" s="1"/>
  <c r="AV19" i="1"/>
  <c r="AV25" i="1"/>
  <c r="V42" i="1"/>
  <c r="X42" i="1" s="1"/>
  <c r="BC42" i="1" s="1"/>
  <c r="V24" i="1"/>
  <c r="X24" i="1" s="1"/>
  <c r="BC24" i="1" s="1"/>
  <c r="AV15" i="1"/>
  <c r="V31" i="1"/>
  <c r="X31" i="1" s="1"/>
  <c r="BC31" i="1" s="1"/>
  <c r="AX58" i="1" l="1"/>
  <c r="AX59" i="1" s="1"/>
  <c r="X12" i="1"/>
  <c r="BC12" i="1" s="1"/>
  <c r="AV58" i="1"/>
  <c r="X8" i="1"/>
  <c r="BC8" i="1" s="1"/>
  <c r="X10" i="1"/>
  <c r="BC10" i="1" s="1"/>
  <c r="X40" i="1"/>
  <c r="BC40" i="1" s="1"/>
  <c r="X26" i="1"/>
  <c r="BC26" i="1" s="1"/>
  <c r="X53" i="1"/>
  <c r="BC53" i="1" s="1"/>
  <c r="AW58" i="1"/>
  <c r="AW59" i="1" s="1"/>
  <c r="AW60" i="1" s="1"/>
  <c r="X39" i="1"/>
  <c r="BC39" i="1" s="1"/>
  <c r="X15" i="1"/>
  <c r="BC15" i="1" s="1"/>
  <c r="X55" i="1"/>
  <c r="BC55" i="1" s="1"/>
  <c r="X47" i="1"/>
  <c r="BC47" i="1" s="1"/>
  <c r="AU61" i="1" l="1"/>
</calcChain>
</file>

<file path=xl/sharedStrings.xml><?xml version="1.0" encoding="utf-8"?>
<sst xmlns="http://schemas.openxmlformats.org/spreadsheetml/2006/main" count="54" uniqueCount="40">
  <si>
    <t>Кубы</t>
  </si>
  <si>
    <t>Отрыв со скалыванием</t>
  </si>
  <si>
    <t>№</t>
  </si>
  <si>
    <t>Значение склерометра</t>
  </si>
  <si>
    <t>max</t>
  </si>
  <si>
    <t>min</t>
  </si>
  <si>
    <t>Среднее значение по склерометру</t>
  </si>
  <si>
    <t>Разделение на группы</t>
  </si>
  <si>
    <t>Значение                                            прочности кубов (КН), показания отрыва</t>
  </si>
  <si>
    <t>По градуировочной зависимости RiH</t>
  </si>
  <si>
    <t>Корректировка путем отбраковки                                                               RiH-Riф/Sт</t>
  </si>
  <si>
    <t>Примечание</t>
  </si>
  <si>
    <t>Для построения графика</t>
  </si>
  <si>
    <t>ДО ОТБРАКОВКИ</t>
  </si>
  <si>
    <t>ПОСЛЕ ОТБРАКОВКИ</t>
  </si>
  <si>
    <t>Коэффициент корреляции град.зависимости</t>
  </si>
  <si>
    <t>Значение ПИБ</t>
  </si>
  <si>
    <t>Отбракованные показания</t>
  </si>
  <si>
    <t>Показания</t>
  </si>
  <si>
    <t>Показания                             Riф                                 (Мпа)</t>
  </si>
  <si>
    <t>До отбраковки</t>
  </si>
  <si>
    <t>После отбраковки</t>
  </si>
  <si>
    <r>
      <t xml:space="preserve">Промежуточные данные  для расчета </t>
    </r>
    <r>
      <rPr>
        <b/>
        <sz val="10"/>
        <color theme="1"/>
        <rFont val="Times New Roman"/>
        <family val="1"/>
        <charset val="204"/>
      </rPr>
      <t>а1</t>
    </r>
  </si>
  <si>
    <t>Sт</t>
  </si>
  <si>
    <t>Промежуточные данные  для расчета а1</t>
  </si>
  <si>
    <t>Показания Riф  (Мпа)</t>
  </si>
  <si>
    <t>а1=</t>
  </si>
  <si>
    <t>а0=</t>
  </si>
  <si>
    <t xml:space="preserve">Уровнение градуировочной зависимости </t>
  </si>
  <si>
    <t>ср.зн. H</t>
  </si>
  <si>
    <t>cр.зн Rф (Мпа)</t>
  </si>
  <si>
    <t>Sп &lt; 1,5 Sт</t>
  </si>
  <si>
    <t>Sп</t>
  </si>
  <si>
    <t>ПОГРЕШНОСТЬ</t>
  </si>
  <si>
    <t>r &lt; 0,7</t>
  </si>
  <si>
    <t>&lt; 12%</t>
  </si>
  <si>
    <t>Rф</t>
  </si>
  <si>
    <t>&gt; 15%</t>
  </si>
  <si>
    <t>Н</t>
  </si>
  <si>
    <t>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</si>
</sst>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h =&quot;\ ###.00&quot; МПа&quot;"/>
    <numFmt numFmtId="165" formatCode="0.0"/>
    <numFmt numFmtId="166" formatCode="0.00;[Red]0.00"/>
    <numFmt numFmtId="167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name val="Arial Narrow"/>
      <family val="2"/>
    </font>
    <font>
      <sz val="10"/>
      <color rgb="FF00B050"/>
      <name val="Arial Narrow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3" xfId="0" applyFont="1" applyFill="1" applyBorder="1" applyAlignment="1">
      <alignment horizontal="center" vertical="center" textRotation="90" wrapText="1"/>
    </xf>
    <xf numFmtId="0" fontId="5" fillId="4" borderId="4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textRotation="90" wrapText="1"/>
    </xf>
    <xf numFmtId="0" fontId="5" fillId="4" borderId="12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5" fillId="4" borderId="7" xfId="0" applyFont="1" applyFill="1" applyBorder="1" applyAlignment="1">
      <alignment horizontal="center" vertical="center" textRotation="90" wrapText="1"/>
    </xf>
    <xf numFmtId="0" fontId="5" fillId="4" borderId="8" xfId="0" applyFont="1" applyFill="1" applyBorder="1" applyAlignment="1">
      <alignment horizontal="center" vertical="center" textRotation="90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5" fillId="2" borderId="25" xfId="0" applyNumberFormat="1" applyFont="1" applyFill="1" applyBorder="1" applyAlignment="1">
      <alignment horizontal="center" vertical="center" wrapText="1"/>
    </xf>
    <xf numFmtId="164" fontId="5" fillId="2" borderId="26" xfId="0" applyNumberFormat="1" applyFont="1" applyFill="1" applyBorder="1" applyAlignment="1">
      <alignment horizontal="center" vertical="center" wrapText="1"/>
    </xf>
    <xf numFmtId="164" fontId="5" fillId="2" borderId="27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165" fontId="5" fillId="0" borderId="12" xfId="0" applyNumberFormat="1" applyFont="1" applyBorder="1" applyAlignment="1">
      <alignment vertical="center"/>
    </xf>
    <xf numFmtId="0" fontId="5" fillId="2" borderId="19" xfId="0" applyFont="1" applyFill="1" applyBorder="1" applyAlignment="1">
      <alignment horizontal="center" vertical="center" wrapText="1"/>
    </xf>
    <xf numFmtId="1" fontId="7" fillId="0" borderId="19" xfId="0" applyNumberFormat="1" applyFont="1" applyBorder="1" applyAlignment="1">
      <alignment horizontal="center" vertical="center"/>
    </xf>
    <xf numFmtId="1" fontId="7" fillId="0" borderId="20" xfId="0" applyNumberFormat="1" applyFont="1" applyBorder="1" applyAlignment="1">
      <alignment horizontal="center" vertical="center"/>
    </xf>
    <xf numFmtId="1" fontId="7" fillId="0" borderId="21" xfId="0" applyNumberFormat="1" applyFont="1" applyBorder="1" applyAlignment="1">
      <alignment horizontal="center" vertical="center"/>
    </xf>
    <xf numFmtId="166" fontId="8" fillId="0" borderId="21" xfId="0" applyNumberFormat="1" applyFont="1" applyBorder="1" applyAlignment="1">
      <alignment horizontal="center" vertical="center"/>
    </xf>
    <xf numFmtId="2" fontId="7" fillId="6" borderId="9" xfId="1" applyNumberFormat="1" applyFont="1" applyFill="1" applyBorder="1" applyAlignment="1">
      <alignment horizontal="center" vertical="center"/>
    </xf>
    <xf numFmtId="165" fontId="7" fillId="0" borderId="9" xfId="1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2" fontId="7" fillId="0" borderId="28" xfId="1" applyNumberFormat="1" applyFont="1" applyBorder="1" applyAlignment="1">
      <alignment horizontal="center" vertical="center"/>
    </xf>
    <xf numFmtId="2" fontId="7" fillId="6" borderId="29" xfId="0" applyNumberFormat="1" applyFont="1" applyFill="1" applyBorder="1" applyAlignment="1">
      <alignment horizontal="center" vertical="center"/>
    </xf>
    <xf numFmtId="2" fontId="2" fillId="6" borderId="28" xfId="0" applyNumberFormat="1" applyFont="1" applyFill="1" applyBorder="1" applyAlignment="1">
      <alignment horizontal="center" vertical="center"/>
    </xf>
    <xf numFmtId="2" fontId="2" fillId="6" borderId="29" xfId="0" applyNumberFormat="1" applyFont="1" applyFill="1" applyBorder="1" applyAlignment="1">
      <alignment horizontal="center" vertical="center"/>
    </xf>
    <xf numFmtId="2" fontId="9" fillId="6" borderId="28" xfId="0" applyNumberFormat="1" applyFont="1" applyFill="1" applyBorder="1" applyAlignment="1">
      <alignment horizontal="center" vertical="center" wrapText="1"/>
    </xf>
    <xf numFmtId="2" fontId="9" fillId="6" borderId="29" xfId="0" applyNumberFormat="1" applyFont="1" applyFill="1" applyBorder="1" applyAlignment="1">
      <alignment horizontal="center" vertical="center" wrapText="1"/>
    </xf>
    <xf numFmtId="2" fontId="10" fillId="6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" fontId="2" fillId="6" borderId="3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2" fontId="2" fillId="0" borderId="31" xfId="0" applyNumberFormat="1" applyFont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6" borderId="21" xfId="0" applyNumberFormat="1" applyFont="1" applyFill="1" applyBorder="1" applyAlignment="1">
      <alignment horizontal="center" vertical="center"/>
    </xf>
    <xf numFmtId="167" fontId="2" fillId="6" borderId="4" xfId="0" applyNumberFormat="1" applyFont="1" applyFill="1" applyBorder="1" applyAlignment="1">
      <alignment horizontal="center" vertical="center"/>
    </xf>
    <xf numFmtId="2" fontId="2" fillId="6" borderId="9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2" fontId="2" fillId="6" borderId="32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165" fontId="12" fillId="6" borderId="9" xfId="0" applyNumberFormat="1" applyFont="1" applyFill="1" applyBorder="1" applyAlignment="1">
      <alignment horizontal="center" vertical="center"/>
    </xf>
    <xf numFmtId="2" fontId="12" fillId="6" borderId="19" xfId="0" applyNumberFormat="1" applyFont="1" applyFill="1" applyBorder="1" applyAlignment="1">
      <alignment horizontal="center" vertical="center"/>
    </xf>
    <xf numFmtId="2" fontId="13" fillId="6" borderId="10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1" fontId="7" fillId="0" borderId="33" xfId="0" applyNumberFormat="1" applyFont="1" applyBorder="1" applyAlignment="1">
      <alignment horizontal="center" vertical="center"/>
    </xf>
    <xf numFmtId="1" fontId="7" fillId="0" borderId="34" xfId="0" applyNumberFormat="1" applyFont="1" applyBorder="1" applyAlignment="1">
      <alignment horizontal="center" vertical="center"/>
    </xf>
    <xf numFmtId="1" fontId="7" fillId="0" borderId="35" xfId="0" applyNumberFormat="1" applyFont="1" applyBorder="1" applyAlignment="1">
      <alignment horizontal="center" vertical="center"/>
    </xf>
    <xf numFmtId="166" fontId="8" fillId="0" borderId="35" xfId="0" applyNumberFormat="1" applyFont="1" applyBorder="1" applyAlignment="1">
      <alignment horizontal="center" vertical="center"/>
    </xf>
    <xf numFmtId="2" fontId="7" fillId="6" borderId="10" xfId="1" applyNumberFormat="1" applyFont="1" applyFill="1" applyBorder="1" applyAlignment="1">
      <alignment horizontal="center" vertical="center"/>
    </xf>
    <xf numFmtId="165" fontId="7" fillId="0" borderId="10" xfId="1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  <xf numFmtId="2" fontId="7" fillId="0" borderId="23" xfId="1" applyNumberFormat="1" applyFont="1" applyBorder="1" applyAlignment="1">
      <alignment horizontal="center" vertical="center"/>
    </xf>
    <xf numFmtId="2" fontId="7" fillId="6" borderId="36" xfId="0" applyNumberFormat="1" applyFont="1" applyFill="1" applyBorder="1" applyAlignment="1">
      <alignment horizontal="center" vertical="center"/>
    </xf>
    <xf numFmtId="2" fontId="2" fillId="6" borderId="23" xfId="0" applyNumberFormat="1" applyFont="1" applyFill="1" applyBorder="1" applyAlignment="1">
      <alignment horizontal="center" vertical="center"/>
    </xf>
    <xf numFmtId="2" fontId="2" fillId="6" borderId="24" xfId="0" applyNumberFormat="1" applyFont="1" applyFill="1" applyBorder="1" applyAlignment="1">
      <alignment horizontal="center" vertical="center"/>
    </xf>
    <xf numFmtId="2" fontId="9" fillId="6" borderId="23" xfId="0" applyNumberFormat="1" applyFont="1" applyFill="1" applyBorder="1" applyAlignment="1">
      <alignment horizontal="center" vertical="center" wrapText="1"/>
    </xf>
    <xf numFmtId="2" fontId="9" fillId="6" borderId="24" xfId="0" applyNumberFormat="1" applyFont="1" applyFill="1" applyBorder="1" applyAlignment="1">
      <alignment horizontal="center" vertical="center" wrapText="1"/>
    </xf>
    <xf numFmtId="2" fontId="10" fillId="6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2" fontId="2" fillId="6" borderId="37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6" borderId="8" xfId="0" applyNumberFormat="1" applyFont="1" applyFill="1" applyBorder="1" applyAlignment="1">
      <alignment horizontal="center" vertical="center"/>
    </xf>
    <xf numFmtId="2" fontId="2" fillId="6" borderId="35" xfId="0" applyNumberFormat="1" applyFont="1" applyFill="1" applyBorder="1" applyAlignment="1">
      <alignment horizontal="center" vertical="center"/>
    </xf>
    <xf numFmtId="167" fontId="2" fillId="6" borderId="8" xfId="0" applyNumberFormat="1" applyFont="1" applyFill="1" applyBorder="1" applyAlignment="1">
      <alignment horizontal="center" vertical="center"/>
    </xf>
    <xf numFmtId="2" fontId="2" fillId="6" borderId="10" xfId="0" applyNumberFormat="1" applyFont="1" applyFill="1" applyBorder="1" applyAlignment="1">
      <alignment horizontal="center" vertical="center"/>
    </xf>
    <xf numFmtId="2" fontId="2" fillId="6" borderId="38" xfId="0" applyNumberFormat="1" applyFont="1" applyFill="1" applyBorder="1" applyAlignment="1">
      <alignment horizontal="center" vertical="center"/>
    </xf>
    <xf numFmtId="2" fontId="2" fillId="6" borderId="39" xfId="0" applyNumberFormat="1" applyFont="1" applyFill="1" applyBorder="1" applyAlignment="1">
      <alignment horizontal="center" vertical="center"/>
    </xf>
    <xf numFmtId="2" fontId="2" fillId="6" borderId="36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165" fontId="12" fillId="6" borderId="10" xfId="0" applyNumberFormat="1" applyFont="1" applyFill="1" applyBorder="1" applyAlignment="1">
      <alignment horizontal="center" vertical="center"/>
    </xf>
    <xf numFmtId="2" fontId="12" fillId="6" borderId="33" xfId="0" applyNumberFormat="1" applyFont="1" applyFill="1" applyBorder="1" applyAlignment="1">
      <alignment horizontal="center" vertical="center"/>
    </xf>
    <xf numFmtId="2" fontId="7" fillId="6" borderId="2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2" fontId="2" fillId="6" borderId="40" xfId="0" applyNumberFormat="1" applyFont="1" applyFill="1" applyBorder="1" applyAlignment="1">
      <alignment horizontal="center" vertical="center"/>
    </xf>
    <xf numFmtId="167" fontId="2" fillId="6" borderId="4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1" fontId="7" fillId="0" borderId="35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2" fontId="7" fillId="0" borderId="38" xfId="1" applyNumberFormat="1" applyFont="1" applyBorder="1" applyAlignment="1">
      <alignment horizontal="center" vertical="center"/>
    </xf>
    <xf numFmtId="2" fontId="7" fillId="6" borderId="10" xfId="0" applyNumberFormat="1" applyFont="1" applyFill="1" applyBorder="1" applyAlignment="1">
      <alignment horizontal="center" vertical="center"/>
    </xf>
    <xf numFmtId="165" fontId="7" fillId="0" borderId="10" xfId="0" applyNumberFormat="1" applyFont="1" applyFill="1" applyBorder="1" applyAlignment="1">
      <alignment horizontal="center" vertical="center"/>
    </xf>
    <xf numFmtId="2" fontId="7" fillId="0" borderId="38" xfId="0" applyNumberFormat="1" applyFont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2" fontId="7" fillId="0" borderId="33" xfId="0" applyNumberFormat="1" applyFont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1" fontId="7" fillId="0" borderId="25" xfId="0" applyNumberFormat="1" applyFont="1" applyBorder="1" applyAlignment="1">
      <alignment horizontal="center" vertical="center"/>
    </xf>
    <xf numFmtId="1" fontId="7" fillId="0" borderId="26" xfId="0" applyNumberFormat="1" applyFont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1" fontId="7" fillId="0" borderId="41" xfId="0" applyNumberFormat="1" applyFont="1" applyFill="1" applyBorder="1" applyAlignment="1">
      <alignment horizontal="center" vertical="center"/>
    </xf>
    <xf numFmtId="2" fontId="7" fillId="0" borderId="25" xfId="0" applyNumberFormat="1" applyFont="1" applyBorder="1" applyAlignment="1">
      <alignment horizontal="center" vertical="center"/>
    </xf>
    <xf numFmtId="2" fontId="7" fillId="6" borderId="22" xfId="0" applyNumberFormat="1" applyFont="1" applyFill="1" applyBorder="1" applyAlignment="1">
      <alignment horizontal="center" vertical="center"/>
    </xf>
    <xf numFmtId="2" fontId="2" fillId="6" borderId="42" xfId="0" applyNumberFormat="1" applyFont="1" applyFill="1" applyBorder="1" applyAlignment="1">
      <alignment horizontal="center" vertical="center"/>
    </xf>
    <xf numFmtId="2" fontId="2" fillId="6" borderId="22" xfId="0" applyNumberFormat="1" applyFont="1" applyFill="1" applyBorder="1" applyAlignment="1">
      <alignment horizontal="center" vertical="center"/>
    </xf>
    <xf numFmtId="2" fontId="9" fillId="6" borderId="42" xfId="0" applyNumberFormat="1" applyFont="1" applyFill="1" applyBorder="1" applyAlignment="1">
      <alignment horizontal="center" vertical="center" wrapText="1"/>
    </xf>
    <xf numFmtId="2" fontId="9" fillId="6" borderId="22" xfId="0" applyNumberFormat="1" applyFont="1" applyFill="1" applyBorder="1" applyAlignment="1">
      <alignment horizontal="center" vertical="center" wrapText="1"/>
    </xf>
    <xf numFmtId="2" fontId="10" fillId="6" borderId="41" xfId="0" applyNumberFormat="1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2" fontId="2" fillId="6" borderId="43" xfId="0" applyNumberFormat="1" applyFont="1" applyFill="1" applyBorder="1" applyAlignment="1">
      <alignment horizontal="center" vertical="center"/>
    </xf>
    <xf numFmtId="2" fontId="2" fillId="6" borderId="27" xfId="0" applyNumberFormat="1" applyFont="1" applyFill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2" fontId="2" fillId="6" borderId="41" xfId="0" applyNumberFormat="1" applyFont="1" applyFill="1" applyBorder="1" applyAlignment="1">
      <alignment horizontal="center" vertical="center"/>
    </xf>
    <xf numFmtId="2" fontId="2" fillId="6" borderId="44" xfId="0" applyNumberFormat="1" applyFont="1" applyFill="1" applyBorder="1" applyAlignment="1">
      <alignment horizontal="center" vertical="center"/>
    </xf>
    <xf numFmtId="2" fontId="2" fillId="6" borderId="45" xfId="0" applyNumberFormat="1" applyFont="1" applyFill="1" applyBorder="1" applyAlignment="1">
      <alignment horizontal="center" vertical="center"/>
    </xf>
    <xf numFmtId="2" fontId="2" fillId="6" borderId="46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65" fontId="12" fillId="6" borderId="41" xfId="0" applyNumberFormat="1" applyFont="1" applyFill="1" applyBorder="1" applyAlignment="1">
      <alignment horizontal="center" vertical="center"/>
    </xf>
    <xf numFmtId="2" fontId="12" fillId="6" borderId="25" xfId="0" applyNumberFormat="1" applyFont="1" applyFill="1" applyBorder="1" applyAlignment="1">
      <alignment horizontal="center" vertical="center"/>
    </xf>
    <xf numFmtId="2" fontId="13" fillId="6" borderId="4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vertical="center"/>
    </xf>
    <xf numFmtId="2" fontId="5" fillId="6" borderId="16" xfId="0" applyNumberFormat="1" applyFont="1" applyFill="1" applyBorder="1" applyAlignment="1">
      <alignment horizontal="center" vertical="center"/>
    </xf>
    <xf numFmtId="2" fontId="5" fillId="6" borderId="18" xfId="0" applyNumberFormat="1" applyFont="1" applyFill="1" applyBorder="1" applyAlignment="1">
      <alignment horizontal="center" vertical="center"/>
    </xf>
    <xf numFmtId="2" fontId="5" fillId="6" borderId="8" xfId="0" applyNumberFormat="1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5" fillId="7" borderId="4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5" fillId="6" borderId="44" xfId="0" applyNumberFormat="1" applyFont="1" applyFill="1" applyBorder="1" applyAlignment="1">
      <alignment horizontal="center" vertical="center"/>
    </xf>
    <xf numFmtId="2" fontId="5" fillId="6" borderId="46" xfId="0" applyNumberFormat="1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5" fillId="6" borderId="47" xfId="0" applyNumberFormat="1" applyFont="1" applyFill="1" applyBorder="1" applyAlignment="1">
      <alignment horizontal="center" vertical="center" wrapText="1"/>
    </xf>
    <xf numFmtId="2" fontId="5" fillId="6" borderId="48" xfId="0" applyNumberFormat="1" applyFont="1" applyFill="1" applyBorder="1" applyAlignment="1">
      <alignment horizontal="center" vertical="center" wrapText="1"/>
    </xf>
    <xf numFmtId="2" fontId="5" fillId="6" borderId="49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167" fontId="5" fillId="6" borderId="47" xfId="0" applyNumberFormat="1" applyFont="1" applyFill="1" applyBorder="1" applyAlignment="1">
      <alignment horizontal="center" vertical="center" wrapText="1"/>
    </xf>
    <xf numFmtId="167" fontId="5" fillId="6" borderId="49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Fill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5" fillId="6" borderId="16" xfId="0" applyNumberFormat="1" applyFont="1" applyFill="1" applyBorder="1" applyAlignment="1">
      <alignment horizontal="center" vertical="center" wrapText="1"/>
    </xf>
    <xf numFmtId="2" fontId="5" fillId="6" borderId="17" xfId="0" applyNumberFormat="1" applyFont="1" applyFill="1" applyBorder="1" applyAlignment="1">
      <alignment horizontal="center" vertical="center" wrapText="1"/>
    </xf>
    <xf numFmtId="2" fontId="5" fillId="6" borderId="18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5" fillId="8" borderId="16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 vertical="center"/>
    </xf>
    <xf numFmtId="2" fontId="2" fillId="6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2" fontId="2" fillId="6" borderId="8" xfId="0" applyNumberFormat="1" applyFont="1" applyFill="1" applyBorder="1" applyAlignment="1">
      <alignment horizontal="center" vertical="center"/>
    </xf>
    <xf numFmtId="2" fontId="2" fillId="6" borderId="5" xfId="0" applyNumberFormat="1" applyFont="1" applyFill="1" applyBorder="1" applyAlignment="1">
      <alignment horizontal="center" vertical="center"/>
    </xf>
    <xf numFmtId="2" fontId="2" fillId="6" borderId="6" xfId="0" applyNumberFormat="1" applyFont="1" applyFill="1" applyBorder="1" applyAlignment="1">
      <alignment horizontal="center" vertical="center"/>
    </xf>
    <xf numFmtId="2" fontId="2" fillId="6" borderId="7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7" fillId="0" borderId="0" xfId="0" applyFont="1"/>
    <xf numFmtId="0" fontId="5" fillId="4" borderId="4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5" fillId="6" borderId="50" xfId="0" applyFont="1" applyFill="1" applyBorder="1" applyAlignment="1">
      <alignment horizontal="center" vertical="center"/>
    </xf>
    <xf numFmtId="2" fontId="5" fillId="6" borderId="1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6" borderId="10" xfId="0" applyFont="1" applyFill="1" applyBorder="1" applyAlignment="1">
      <alignment horizontal="center" vertical="center"/>
    </xf>
    <xf numFmtId="2" fontId="5" fillId="6" borderId="35" xfId="0" applyNumberFormat="1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2" fontId="5" fillId="6" borderId="27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21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ru-RU" sz="1800" b="1"/>
              <a:t>График</a:t>
            </a:r>
            <a:r>
              <a:rPr lang="ru-RU" sz="1800" b="1" baseline="0"/>
              <a:t> градуировочной зависимости между прочностью бетона и показаниями склерометра</a:t>
            </a:r>
            <a:endParaRPr lang="ru-RU" sz="1800" b="1"/>
          </a:p>
        </c:rich>
      </c:tx>
      <c:layout>
        <c:manualLayout>
          <c:xMode val="edge"/>
          <c:yMode val="edge"/>
          <c:x val="0.1363028093265449"/>
          <c:y val="1.623326411759385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013597185204821E-2"/>
          <c:y val="0.12734120216723832"/>
          <c:w val="0.64652792218554211"/>
          <c:h val="0.76491580860084796"/>
        </c:manualLayout>
      </c:layout>
      <c:scatterChart>
        <c:scatterStyle val="lineMarker"/>
        <c:varyColors val="0"/>
        <c:ser>
          <c:idx val="0"/>
          <c:order val="0"/>
          <c:tx>
            <c:v>- показания склерометра до отбраковки</c:v>
          </c:tx>
          <c:spPr>
            <a:ln w="28575">
              <a:noFill/>
            </a:ln>
          </c:spPr>
          <c:marker>
            <c:symbol val="diamond"/>
            <c:size val="11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38100" cmpd="sng">
                <a:solidFill>
                  <a:srgbClr val="FF0000"/>
                </a:solidFill>
                <a:prstDash val="solid"/>
              </a:ln>
            </c:spPr>
            <c:trendlineType val="exp"/>
            <c:dispRSqr val="1"/>
            <c:dispEq val="1"/>
            <c:trendlineLbl>
              <c:layout>
                <c:manualLayout>
                  <c:x val="-8.8518078019923147E-2"/>
                  <c:y val="0.3915806286068692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ru-RU"/>
                </a:p>
              </c:txPr>
            </c:trendlineLbl>
          </c:trendline>
          <c:trendline>
            <c:spPr>
              <a:ln w="50800">
                <a:solidFill>
                  <a:srgbClr val="00B05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5.6620484756689994E-2"/>
                  <c:y val="0.21576715155190393"/>
                </c:manualLayout>
              </c:layout>
              <c:numFmt formatCode="General" sourceLinked="0"/>
            </c:trendlineLbl>
          </c:trendline>
          <c:xVal>
            <c:strRef>
              <c:f>'КИТАЕВ склерометр'!$BA$8:$BA$57</c:f>
              <c:strCache>
                <c:ptCount val="35"/>
                <c:pt idx="0">
                  <c:v>22,4</c:v>
                </c:pt>
                <c:pt idx="1">
                  <c:v>21,8</c:v>
                </c:pt>
                <c:pt idx="2">
                  <c:v>27,3</c:v>
                </c:pt>
                <c:pt idx="3">
                  <c:v>28,3</c:v>
                </c:pt>
                <c:pt idx="4">
                  <c:v>31,7</c:v>
                </c:pt>
                <c:pt idx="5">
                  <c:v>35,5</c:v>
                </c:pt>
                <c:pt idx="6">
                  <c:v>33,1</c:v>
                </c:pt>
                <c:pt idx="7">
                  <c:v>34,1</c:v>
                </c:pt>
                <c:pt idx="8">
                  <c:v>30,9</c:v>
                </c:pt>
                <c:pt idx="9">
                  <c:v>31,1</c:v>
                </c:pt>
                <c:pt idx="10">
                  <c:v>29,7</c:v>
                </c:pt>
                <c:pt idx="11">
                  <c:v>32,0</c:v>
                </c:pt>
                <c:pt idx="12">
                  <c:v>26,8</c:v>
                </c:pt>
                <c:pt idx="13">
                  <c:v>27,6</c:v>
                </c:pt>
                <c:pt idx="14">
                  <c:v>35,0</c:v>
                </c:pt>
                <c:pt idx="15">
                  <c:v>38,1</c:v>
                </c:pt>
                <c:pt idx="16">
                  <c:v>33,9</c:v>
                </c:pt>
                <c:pt idx="17">
                  <c:v>32,8</c:v>
                </c:pt>
                <c:pt idx="18">
                  <c:v>34,5</c:v>
                </c:pt>
                <c:pt idx="19">
                  <c:v>37,0</c:v>
                </c:pt>
                <c:pt idx="20">
                  <c:v>38,3</c:v>
                </c:pt>
                <c:pt idx="21">
                  <c:v>34,5</c:v>
                </c:pt>
                <c:pt idx="22">
                  <c:v>38,0</c:v>
                </c:pt>
                <c:pt idx="23">
                  <c:v>28,4</c:v>
                </c:pt>
                <c:pt idx="24">
                  <c:v>26,7</c:v>
                </c:pt>
                <c:pt idx="25">
                  <c:v>36,6</c:v>
                </c:pt>
                <c:pt idx="26">
                  <c:v>31,9</c:v>
                </c:pt>
                <c:pt idx="27">
                  <c:v>34,7</c:v>
                </c:pt>
                <c:pt idx="28">
                  <c:v>29,7</c:v>
                </c:pt>
                <c:pt idx="29">
                  <c:v>35,0</c:v>
                </c:pt>
                <c:pt idx="30">
                  <c:v>32,4</c:v>
                </c:pt>
                <c:pt idx="31">
                  <c:v>31,0</c:v>
                </c:pt>
                <c:pt idx="32">
                  <c:v>33,6</c:v>
                </c:pt>
                <c:pt idx="33">
                  <c:v>32,4</c:v>
                </c:pt>
                <c:pt idx="34">
                  <c:v>34,7</c:v>
                </c:pt>
              </c:strCache>
            </c:strRef>
          </c:xVal>
          <c:yVal>
            <c:numRef>
              <c:f>'КИТАЕВ склерометр'!$BB$8:$BB$57</c:f>
              <c:numCache>
                <c:formatCode>0.00</c:formatCode>
                <c:ptCount val="50"/>
                <c:pt idx="0">
                  <c:v>33.230999999999995</c:v>
                </c:pt>
                <c:pt idx="1">
                  <c:v>32.8795</c:v>
                </c:pt>
                <c:pt idx="2">
                  <c:v>35.615499999999997</c:v>
                </c:pt>
                <c:pt idx="3">
                  <c:v>33.554000000000002</c:v>
                </c:pt>
                <c:pt idx="4">
                  <c:v>34.9315</c:v>
                </c:pt>
                <c:pt idx="5">
                  <c:v>46.74</c:v>
                </c:pt>
                <c:pt idx="6">
                  <c:v>49.115000000000002</c:v>
                </c:pt>
                <c:pt idx="7">
                  <c:v>40.659999999999997</c:v>
                </c:pt>
                <c:pt idx="8">
                  <c:v>34.256999999999998</c:v>
                </c:pt>
                <c:pt idx="9">
                  <c:v>31.919999999999998</c:v>
                </c:pt>
                <c:pt idx="10">
                  <c:v>34.637</c:v>
                </c:pt>
                <c:pt idx="11">
                  <c:v>38.949999999999996</c:v>
                </c:pt>
                <c:pt idx="12">
                  <c:v>31.682500000000001</c:v>
                </c:pt>
                <c:pt idx="13">
                  <c:v>33.497</c:v>
                </c:pt>
                <c:pt idx="14">
                  <c:v>42.465000000000003</c:v>
                </c:pt>
                <c:pt idx="15">
                  <c:v>43.699999999999996</c:v>
                </c:pt>
                <c:pt idx="16">
                  <c:v>45.314999999999998</c:v>
                </c:pt>
                <c:pt idx="17">
                  <c:v>35.472999999999999</c:v>
                </c:pt>
                <c:pt idx="18">
                  <c:v>22.2775</c:v>
                </c:pt>
                <c:pt idx="19">
                  <c:v>39.234999999999992</c:v>
                </c:pt>
                <c:pt idx="20">
                  <c:v>43.414999999999999</c:v>
                </c:pt>
                <c:pt idx="21">
                  <c:v>34.475499999999997</c:v>
                </c:pt>
                <c:pt idx="22">
                  <c:v>33.991</c:v>
                </c:pt>
                <c:pt idx="23">
                  <c:v>29.6875</c:v>
                </c:pt>
                <c:pt idx="24">
                  <c:v>29.716000000000001</c:v>
                </c:pt>
                <c:pt idx="25">
                  <c:v>43.51</c:v>
                </c:pt>
                <c:pt idx="26">
                  <c:v>41.134999999999998</c:v>
                </c:pt>
                <c:pt idx="27">
                  <c:v>44.365000000000002</c:v>
                </c:pt>
                <c:pt idx="28">
                  <c:v>35.853000000000002</c:v>
                </c:pt>
                <c:pt idx="29">
                  <c:v>34.779499999999999</c:v>
                </c:pt>
                <c:pt idx="30">
                  <c:v>33.601499999999994</c:v>
                </c:pt>
                <c:pt idx="31">
                  <c:v>43.129999999999995</c:v>
                </c:pt>
                <c:pt idx="32">
                  <c:v>40.184999999999995</c:v>
                </c:pt>
                <c:pt idx="33">
                  <c:v>37.886000000000003</c:v>
                </c:pt>
                <c:pt idx="34">
                  <c:v>42.559999999999995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- градуировочная зависимость до отбраковки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dPt>
            <c:idx val="9"/>
            <c:bubble3D val="0"/>
            <c:spPr>
              <a:ln w="76200">
                <a:solidFill>
                  <a:srgbClr val="000000"/>
                </a:solidFill>
                <a:prstDash val="solid"/>
              </a:ln>
            </c:spPr>
          </c:dPt>
          <c:trendline>
            <c:spPr>
              <a:ln w="50800">
                <a:solidFill>
                  <a:srgbClr val="FFFF00"/>
                </a:solidFill>
                <a:prstDash val="sysDash"/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5.0760495368169276E-2"/>
                  <c:y val="0.4186421120005651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ru-RU"/>
                </a:p>
              </c:txPr>
            </c:trendlineLbl>
          </c:trendline>
          <c:xVal>
            <c:numRef>
              <c:f>'КИТАЕВ склерометр'!$AF$67:$AF$76</c:f>
              <c:numCache>
                <c:formatCode>General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</c:numCache>
            </c:numRef>
          </c:xVal>
          <c:yVal>
            <c:numRef>
              <c:f>'КИТАЕВ склерометр'!$AG$67:$AG$76</c:f>
              <c:numCache>
                <c:formatCode>0.00</c:formatCode>
                <c:ptCount val="10"/>
                <c:pt idx="0">
                  <c:v>37.537599909622195</c:v>
                </c:pt>
                <c:pt idx="1">
                  <c:v>37.691614104958681</c:v>
                </c:pt>
                <c:pt idx="2">
                  <c:v>37.845628300295168</c:v>
                </c:pt>
                <c:pt idx="3">
                  <c:v>37.999642495631662</c:v>
                </c:pt>
                <c:pt idx="4">
                  <c:v>38.153656690968148</c:v>
                </c:pt>
                <c:pt idx="5">
                  <c:v>38.307670886304635</c:v>
                </c:pt>
                <c:pt idx="6">
                  <c:v>38.461685081641122</c:v>
                </c:pt>
                <c:pt idx="7">
                  <c:v>38.615699276977608</c:v>
                </c:pt>
                <c:pt idx="8">
                  <c:v>38.769713472314095</c:v>
                </c:pt>
                <c:pt idx="9">
                  <c:v>38.923727667650589</c:v>
                </c:pt>
              </c:numCache>
            </c:numRef>
          </c:yVal>
          <c:smooth val="0"/>
        </c:ser>
        <c:ser>
          <c:idx val="2"/>
          <c:order val="2"/>
          <c:tx>
            <c:v>- отбракованные показания склерометра</c:v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00B050">
                  <a:alpha val="50000"/>
                </a:srgbClr>
              </a:solidFill>
            </c:spPr>
          </c:marker>
          <c:xVal>
            <c:strRef>
              <c:f>'КИТАЕВ склерометр'!$BA$8:$BA$57</c:f>
              <c:strCache>
                <c:ptCount val="35"/>
                <c:pt idx="0">
                  <c:v>22,4</c:v>
                </c:pt>
                <c:pt idx="1">
                  <c:v>21,8</c:v>
                </c:pt>
                <c:pt idx="2">
                  <c:v>27,3</c:v>
                </c:pt>
                <c:pt idx="3">
                  <c:v>28,3</c:v>
                </c:pt>
                <c:pt idx="4">
                  <c:v>31,7</c:v>
                </c:pt>
                <c:pt idx="5">
                  <c:v>35,5</c:v>
                </c:pt>
                <c:pt idx="6">
                  <c:v>33,1</c:v>
                </c:pt>
                <c:pt idx="7">
                  <c:v>34,1</c:v>
                </c:pt>
                <c:pt idx="8">
                  <c:v>30,9</c:v>
                </c:pt>
                <c:pt idx="9">
                  <c:v>31,1</c:v>
                </c:pt>
                <c:pt idx="10">
                  <c:v>29,7</c:v>
                </c:pt>
                <c:pt idx="11">
                  <c:v>32,0</c:v>
                </c:pt>
                <c:pt idx="12">
                  <c:v>26,8</c:v>
                </c:pt>
                <c:pt idx="13">
                  <c:v>27,6</c:v>
                </c:pt>
                <c:pt idx="14">
                  <c:v>35,0</c:v>
                </c:pt>
                <c:pt idx="15">
                  <c:v>38,1</c:v>
                </c:pt>
                <c:pt idx="16">
                  <c:v>33,9</c:v>
                </c:pt>
                <c:pt idx="17">
                  <c:v>32,8</c:v>
                </c:pt>
                <c:pt idx="18">
                  <c:v>34,5</c:v>
                </c:pt>
                <c:pt idx="19">
                  <c:v>37,0</c:v>
                </c:pt>
                <c:pt idx="20">
                  <c:v>38,3</c:v>
                </c:pt>
                <c:pt idx="21">
                  <c:v>34,5</c:v>
                </c:pt>
                <c:pt idx="22">
                  <c:v>38,0</c:v>
                </c:pt>
                <c:pt idx="23">
                  <c:v>28,4</c:v>
                </c:pt>
                <c:pt idx="24">
                  <c:v>26,7</c:v>
                </c:pt>
                <c:pt idx="25">
                  <c:v>36,6</c:v>
                </c:pt>
                <c:pt idx="26">
                  <c:v>31,9</c:v>
                </c:pt>
                <c:pt idx="27">
                  <c:v>34,7</c:v>
                </c:pt>
                <c:pt idx="28">
                  <c:v>29,7</c:v>
                </c:pt>
                <c:pt idx="29">
                  <c:v>35,0</c:v>
                </c:pt>
                <c:pt idx="30">
                  <c:v>32,4</c:v>
                </c:pt>
                <c:pt idx="31">
                  <c:v>31,0</c:v>
                </c:pt>
                <c:pt idx="32">
                  <c:v>33,6</c:v>
                </c:pt>
                <c:pt idx="33">
                  <c:v>32,4</c:v>
                </c:pt>
                <c:pt idx="34">
                  <c:v>34,7</c:v>
                </c:pt>
              </c:strCache>
            </c:strRef>
          </c:xVal>
          <c:yVal>
            <c:numRef>
              <c:f>'КИТАЕВ склерометр'!$BC$8:$BC$57</c:f>
              <c:numCache>
                <c:formatCode>0.00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49.115000000000002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22.2775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419712"/>
        <c:axId val="148422016"/>
      </c:scatterChart>
      <c:valAx>
        <c:axId val="148419712"/>
        <c:scaling>
          <c:orientation val="minMax"/>
          <c:min val="2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 rot="-540000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u-RU" sz="1400" b="1" i="0" u="none" strike="noStrike" baseline="0">
                    <a:solidFill>
                      <a:srgbClr val="000000"/>
                    </a:solidFill>
                    <a:latin typeface="Arial Narrow"/>
                  </a:rPr>
                  <a:t>Прочность бетона R</a:t>
                </a:r>
                <a:r>
                  <a:rPr lang="ru-RU" sz="1400" b="1" i="0" u="none" strike="noStrike" baseline="-25000">
                    <a:solidFill>
                      <a:srgbClr val="000000"/>
                    </a:solidFill>
                    <a:latin typeface="Arial Narrow"/>
                  </a:rPr>
                  <a:t>Н</a:t>
                </a:r>
                <a:r>
                  <a:rPr lang="ru-RU" sz="1400" b="1" i="0" u="none" strike="noStrike" baseline="0">
                    <a:solidFill>
                      <a:srgbClr val="000000"/>
                    </a:solidFill>
                    <a:latin typeface="Arial Narrow"/>
                  </a:rPr>
                  <a:t>, МПа</a:t>
                </a:r>
              </a:p>
            </c:rich>
          </c:tx>
          <c:layout>
            <c:manualLayout>
              <c:xMode val="edge"/>
              <c:yMode val="edge"/>
              <c:x val="2.8333850286643906E-3"/>
              <c:y val="0.14136617635333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ru-RU"/>
          </a:p>
        </c:txPr>
        <c:crossAx val="148422016"/>
        <c:crossesAt val="0"/>
        <c:crossBetween val="midCat"/>
        <c:majorUnit val="5"/>
        <c:minorUnit val="1"/>
      </c:valAx>
      <c:valAx>
        <c:axId val="148422016"/>
        <c:scaling>
          <c:orientation val="minMax"/>
          <c:min val="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ru-RU" sz="1400"/>
                  <a:t>Показания молотка Шмидта "</a:t>
                </a:r>
                <a:r>
                  <a:rPr lang="en-US" sz="1400"/>
                  <a:t>H</a:t>
                </a:r>
                <a:r>
                  <a:rPr lang="ru-RU" sz="1400"/>
                  <a:t>"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7500018881878785"/>
              <c:y val="0.9204401314772028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ru-RU"/>
          </a:p>
        </c:txPr>
        <c:crossAx val="148419712"/>
        <c:crossesAt val="20"/>
        <c:crossBetween val="midCat"/>
      </c:valAx>
      <c:spPr>
        <a:gradFill>
          <a:gsLst>
            <a:gs pos="60000">
              <a:schemeClr val="accent1">
                <a:tint val="66000"/>
                <a:satMod val="160000"/>
              </a:schemeClr>
            </a:gs>
            <a:gs pos="68000">
              <a:schemeClr val="accent1">
                <a:tint val="44500"/>
                <a:satMod val="160000"/>
              </a:schemeClr>
            </a:gs>
            <a:gs pos="86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381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4806586631798899"/>
          <c:y val="0.14748607019121701"/>
          <c:w val="0.22888528600954616"/>
          <c:h val="0.73467284013269019"/>
        </c:manualLayout>
      </c:layout>
      <c:overlay val="1"/>
      <c:spPr>
        <a:solidFill>
          <a:schemeClr val="bg1">
            <a:alpha val="80000"/>
          </a:schemeClr>
        </a:solidFill>
        <a:ln>
          <a:solidFill>
            <a:srgbClr val="000000"/>
          </a:solidFill>
        </a:ln>
      </c:spPr>
      <c:txPr>
        <a:bodyPr/>
        <a:lstStyle/>
        <a:p>
          <a:pPr>
            <a:defRPr sz="14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8100"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>
      <c:oddHeader>&amp;L&amp;"Tahoma,обычный"&amp;12Дата тарирования - 18.01.07 г.&amp;C&amp;"Tahoma,полужирный"&amp;14
Градуироочная зависимость молотка Шмидта&amp;R&amp;"Times New Roman,полужирный"&amp;14&amp;UПРИЛОЖЕНИЕ 3</c:oddHeader>
      <c:oddFooter>&amp;L&amp;"Tahoma,обычный"&amp;12Уравнение зависимости: R&amp;Yн&amp;Y = 17.57 H - 221.31
Молоток Шмидта ( № 159343, калибровочный сертификат от 28.08.2006 г. ) принадлежит фирме ООО "ЭЛГАД"
&amp;C&amp;"Tahoma,курсив"стр. 5 из 5</c:oddFooter>
    </c:headerFooter>
    <c:pageMargins b="0.98425196850393704" l="0.59055118110236227" r="0.39370078740157483" t="0.98425196850393704" header="0.39370078740157483" footer="0.27559055118110237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136072</xdr:colOff>
      <xdr:row>60</xdr:row>
      <xdr:rowOff>40822</xdr:rowOff>
    </xdr:from>
    <xdr:to>
      <xdr:col>30</xdr:col>
      <xdr:colOff>136071</xdr:colOff>
      <xdr:row>88</xdr:row>
      <xdr:rowOff>68037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8;&#1072;&#1088;&#1080;&#1088;&#1086;&#107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л№1496 от 25.03.16"/>
      <sheetName val="КИТАЕВ склерометр"/>
    </sheetNames>
    <sheetDataSet>
      <sheetData sheetId="0">
        <row r="1">
          <cell r="B1" t="str">
            <v>Кубы</v>
          </cell>
        </row>
        <row r="2">
          <cell r="B2" t="str">
            <v>Отрыв со скалыванием</v>
          </cell>
        </row>
      </sheetData>
      <sheetData sheetId="1">
        <row r="8">
          <cell r="BA8">
            <v>22.375</v>
          </cell>
          <cell r="BB8">
            <v>33.230999999999995</v>
          </cell>
          <cell r="BC8" t="str">
            <v/>
          </cell>
        </row>
        <row r="9">
          <cell r="BA9">
            <v>21.777777777777779</v>
          </cell>
          <cell r="BB9">
            <v>32.8795</v>
          </cell>
          <cell r="BC9" t="str">
            <v/>
          </cell>
        </row>
        <row r="10">
          <cell r="BA10">
            <v>27.333333333333332</v>
          </cell>
          <cell r="BB10">
            <v>35.615499999999997</v>
          </cell>
          <cell r="BC10" t="str">
            <v/>
          </cell>
        </row>
        <row r="11">
          <cell r="BA11">
            <v>28.333333333333332</v>
          </cell>
          <cell r="BB11">
            <v>33.554000000000002</v>
          </cell>
          <cell r="BC11" t="str">
            <v/>
          </cell>
        </row>
        <row r="12">
          <cell r="BA12">
            <v>31.714285714285715</v>
          </cell>
          <cell r="BB12">
            <v>34.9315</v>
          </cell>
          <cell r="BC12" t="str">
            <v/>
          </cell>
        </row>
        <row r="13">
          <cell r="BA13">
            <v>35.5</v>
          </cell>
          <cell r="BB13">
            <v>46.74</v>
          </cell>
          <cell r="BC13" t="str">
            <v/>
          </cell>
        </row>
        <row r="14">
          <cell r="BA14">
            <v>33.125</v>
          </cell>
          <cell r="BB14">
            <v>49.115000000000002</v>
          </cell>
          <cell r="BC14">
            <v>49.115000000000002</v>
          </cell>
        </row>
        <row r="15">
          <cell r="BA15">
            <v>34.142857142857146</v>
          </cell>
          <cell r="BB15">
            <v>40.659999999999997</v>
          </cell>
          <cell r="BC15" t="str">
            <v/>
          </cell>
        </row>
        <row r="16">
          <cell r="BA16">
            <v>30.875</v>
          </cell>
          <cell r="BB16">
            <v>34.256999999999998</v>
          </cell>
          <cell r="BC16" t="str">
            <v/>
          </cell>
        </row>
        <row r="17">
          <cell r="BA17">
            <v>31.125</v>
          </cell>
          <cell r="BB17">
            <v>31.919999999999998</v>
          </cell>
          <cell r="BC17" t="str">
            <v/>
          </cell>
        </row>
        <row r="18">
          <cell r="BA18">
            <v>29.666666666666668</v>
          </cell>
          <cell r="BB18">
            <v>34.637</v>
          </cell>
          <cell r="BC18" t="str">
            <v/>
          </cell>
        </row>
        <row r="19">
          <cell r="BA19">
            <v>32</v>
          </cell>
          <cell r="BB19">
            <v>38.949999999999996</v>
          </cell>
          <cell r="BC19" t="str">
            <v/>
          </cell>
        </row>
        <row r="20">
          <cell r="BA20">
            <v>26.75</v>
          </cell>
          <cell r="BB20">
            <v>31.682500000000001</v>
          </cell>
          <cell r="BC20" t="str">
            <v/>
          </cell>
        </row>
        <row r="21">
          <cell r="BA21">
            <v>27.625</v>
          </cell>
          <cell r="BB21">
            <v>33.497</v>
          </cell>
          <cell r="BC21" t="str">
            <v/>
          </cell>
        </row>
        <row r="22">
          <cell r="BA22">
            <v>35</v>
          </cell>
          <cell r="BB22">
            <v>42.465000000000003</v>
          </cell>
          <cell r="BC22" t="str">
            <v/>
          </cell>
        </row>
        <row r="23">
          <cell r="BA23">
            <v>38.1</v>
          </cell>
          <cell r="BB23">
            <v>43.699999999999996</v>
          </cell>
          <cell r="BC23" t="str">
            <v/>
          </cell>
        </row>
        <row r="24">
          <cell r="BA24">
            <v>33.888888888888886</v>
          </cell>
          <cell r="BB24">
            <v>45.314999999999998</v>
          </cell>
          <cell r="BC24" t="str">
            <v/>
          </cell>
        </row>
        <row r="25">
          <cell r="BA25">
            <v>32.833333333333336</v>
          </cell>
          <cell r="BB25">
            <v>35.472999999999999</v>
          </cell>
          <cell r="BC25" t="str">
            <v/>
          </cell>
        </row>
        <row r="26">
          <cell r="BA26">
            <v>34.5</v>
          </cell>
          <cell r="BB26">
            <v>22.2775</v>
          </cell>
          <cell r="BC26">
            <v>22.2775</v>
          </cell>
        </row>
        <row r="27">
          <cell r="BA27">
            <v>37</v>
          </cell>
          <cell r="BB27">
            <v>39.234999999999992</v>
          </cell>
          <cell r="BC27" t="str">
            <v/>
          </cell>
        </row>
        <row r="28">
          <cell r="BA28">
            <v>38.333333333333336</v>
          </cell>
          <cell r="BB28">
            <v>43.414999999999999</v>
          </cell>
          <cell r="BC28" t="str">
            <v/>
          </cell>
        </row>
        <row r="29">
          <cell r="BA29">
            <v>34.5</v>
          </cell>
          <cell r="BB29">
            <v>34.475499999999997</v>
          </cell>
          <cell r="BC29" t="str">
            <v/>
          </cell>
        </row>
        <row r="30">
          <cell r="BA30">
            <v>38</v>
          </cell>
          <cell r="BB30">
            <v>33.991</v>
          </cell>
          <cell r="BC30" t="str">
            <v/>
          </cell>
        </row>
        <row r="31">
          <cell r="BA31">
            <v>28.375</v>
          </cell>
          <cell r="BB31">
            <v>29.6875</v>
          </cell>
          <cell r="BC31" t="str">
            <v/>
          </cell>
        </row>
        <row r="32">
          <cell r="BA32">
            <v>26.666666666666668</v>
          </cell>
          <cell r="BB32">
            <v>29.716000000000001</v>
          </cell>
          <cell r="BC32" t="str">
            <v/>
          </cell>
        </row>
        <row r="33">
          <cell r="BA33">
            <v>36.6</v>
          </cell>
          <cell r="BB33">
            <v>43.51</v>
          </cell>
          <cell r="BC33" t="str">
            <v/>
          </cell>
        </row>
        <row r="34">
          <cell r="BA34">
            <v>31.875</v>
          </cell>
          <cell r="BB34">
            <v>41.134999999999998</v>
          </cell>
          <cell r="BC34" t="str">
            <v/>
          </cell>
        </row>
        <row r="35">
          <cell r="BA35">
            <v>34.714285714285715</v>
          </cell>
          <cell r="BB35">
            <v>44.365000000000002</v>
          </cell>
          <cell r="BC35" t="str">
            <v/>
          </cell>
        </row>
        <row r="36">
          <cell r="BA36">
            <v>29.666666666666668</v>
          </cell>
          <cell r="BB36">
            <v>35.853000000000002</v>
          </cell>
          <cell r="BC36" t="str">
            <v/>
          </cell>
        </row>
        <row r="37">
          <cell r="BA37">
            <v>35</v>
          </cell>
          <cell r="BB37">
            <v>34.779499999999999</v>
          </cell>
          <cell r="BC37" t="str">
            <v/>
          </cell>
        </row>
        <row r="38">
          <cell r="BA38">
            <v>32.375</v>
          </cell>
          <cell r="BB38">
            <v>33.601499999999994</v>
          </cell>
          <cell r="BC38" t="str">
            <v/>
          </cell>
        </row>
        <row r="39">
          <cell r="BA39">
            <v>31</v>
          </cell>
          <cell r="BB39">
            <v>43.129999999999995</v>
          </cell>
          <cell r="BC39" t="str">
            <v/>
          </cell>
        </row>
        <row r="40">
          <cell r="BA40">
            <v>33.6</v>
          </cell>
          <cell r="BB40">
            <v>40.184999999999995</v>
          </cell>
          <cell r="BC40" t="str">
            <v/>
          </cell>
        </row>
        <row r="41">
          <cell r="BA41">
            <v>32.428571428571431</v>
          </cell>
          <cell r="BB41">
            <v>37.886000000000003</v>
          </cell>
          <cell r="BC41" t="str">
            <v/>
          </cell>
        </row>
        <row r="42">
          <cell r="BA42">
            <v>34.714285714285715</v>
          </cell>
          <cell r="BB42">
            <v>42.559999999999995</v>
          </cell>
          <cell r="BC42" t="str">
            <v/>
          </cell>
        </row>
        <row r="43">
          <cell r="BA43" t="str">
            <v/>
          </cell>
          <cell r="BB43" t="str">
            <v/>
          </cell>
          <cell r="BC43" t="str">
            <v/>
          </cell>
        </row>
        <row r="44">
          <cell r="BA44" t="str">
            <v/>
          </cell>
          <cell r="BB44" t="str">
            <v/>
          </cell>
          <cell r="BC44" t="str">
            <v/>
          </cell>
        </row>
        <row r="45">
          <cell r="BA45" t="str">
            <v/>
          </cell>
          <cell r="BB45" t="str">
            <v/>
          </cell>
          <cell r="BC45" t="str">
            <v/>
          </cell>
        </row>
        <row r="46">
          <cell r="BA46" t="str">
            <v/>
          </cell>
          <cell r="BB46" t="str">
            <v/>
          </cell>
          <cell r="BC46" t="str">
            <v/>
          </cell>
        </row>
        <row r="47">
          <cell r="BA47" t="str">
            <v/>
          </cell>
          <cell r="BB47" t="str">
            <v/>
          </cell>
          <cell r="BC47" t="str">
            <v/>
          </cell>
        </row>
        <row r="48">
          <cell r="BA48" t="str">
            <v/>
          </cell>
          <cell r="BB48" t="str">
            <v/>
          </cell>
          <cell r="BC48" t="str">
            <v/>
          </cell>
        </row>
        <row r="49">
          <cell r="BA49" t="str">
            <v/>
          </cell>
          <cell r="BB49" t="str">
            <v/>
          </cell>
          <cell r="BC49" t="str">
            <v/>
          </cell>
        </row>
        <row r="50">
          <cell r="BA50" t="str">
            <v/>
          </cell>
          <cell r="BB50" t="str">
            <v/>
          </cell>
          <cell r="BC50" t="str">
            <v/>
          </cell>
        </row>
        <row r="51">
          <cell r="BA51" t="str">
            <v/>
          </cell>
          <cell r="BB51" t="str">
            <v/>
          </cell>
          <cell r="BC51" t="str">
            <v/>
          </cell>
        </row>
        <row r="52">
          <cell r="BA52" t="str">
            <v/>
          </cell>
          <cell r="BB52" t="str">
            <v/>
          </cell>
          <cell r="BC52" t="str">
            <v/>
          </cell>
        </row>
        <row r="53">
          <cell r="BA53" t="str">
            <v/>
          </cell>
          <cell r="BB53" t="str">
            <v/>
          </cell>
          <cell r="BC53" t="str">
            <v/>
          </cell>
        </row>
        <row r="54">
          <cell r="BA54" t="str">
            <v/>
          </cell>
          <cell r="BB54" t="str">
            <v/>
          </cell>
          <cell r="BC54" t="str">
            <v/>
          </cell>
        </row>
        <row r="55">
          <cell r="BA55" t="str">
            <v/>
          </cell>
          <cell r="BB55" t="str">
            <v/>
          </cell>
          <cell r="BC55" t="str">
            <v/>
          </cell>
        </row>
        <row r="56">
          <cell r="BA56" t="str">
            <v/>
          </cell>
          <cell r="BB56" t="str">
            <v/>
          </cell>
          <cell r="BC56" t="str">
            <v/>
          </cell>
        </row>
        <row r="57">
          <cell r="BA57" t="str">
            <v/>
          </cell>
          <cell r="BB57" t="str">
            <v/>
          </cell>
          <cell r="BC57" t="str">
            <v/>
          </cell>
        </row>
        <row r="67">
          <cell r="AF67">
            <v>5</v>
          </cell>
          <cell r="AG67">
            <v>37.537599909622195</v>
          </cell>
        </row>
        <row r="68">
          <cell r="AF68">
            <v>10</v>
          </cell>
          <cell r="AG68">
            <v>37.691614104958681</v>
          </cell>
        </row>
        <row r="69">
          <cell r="AF69">
            <v>15</v>
          </cell>
          <cell r="AG69">
            <v>37.845628300295168</v>
          </cell>
        </row>
        <row r="70">
          <cell r="AF70">
            <v>20</v>
          </cell>
          <cell r="AG70">
            <v>37.999642495631662</v>
          </cell>
        </row>
        <row r="71">
          <cell r="AF71">
            <v>25</v>
          </cell>
          <cell r="AG71">
            <v>38.153656690968148</v>
          </cell>
        </row>
        <row r="72">
          <cell r="AF72">
            <v>30</v>
          </cell>
          <cell r="AG72">
            <v>38.307670886304635</v>
          </cell>
        </row>
        <row r="73">
          <cell r="AF73">
            <v>35</v>
          </cell>
          <cell r="AG73">
            <v>38.461685081641122</v>
          </cell>
        </row>
        <row r="74">
          <cell r="AF74">
            <v>40</v>
          </cell>
          <cell r="AG74">
            <v>38.615699276977608</v>
          </cell>
        </row>
        <row r="75">
          <cell r="AF75">
            <v>45</v>
          </cell>
          <cell r="AG75">
            <v>38.769713472314095</v>
          </cell>
        </row>
        <row r="76">
          <cell r="AF76">
            <v>50</v>
          </cell>
          <cell r="AG76">
            <v>38.923727667650589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C132"/>
  <sheetViews>
    <sheetView tabSelected="1" zoomScale="70" zoomScaleNormal="70" workbookViewId="0">
      <selection activeCell="AP40" sqref="AP40"/>
    </sheetView>
  </sheetViews>
  <sheetFormatPr defaultRowHeight="12.75" x14ac:dyDescent="0.25"/>
  <cols>
    <col min="1" max="1" width="3.42578125" style="1" customWidth="1"/>
    <col min="2" max="2" width="3" style="1" bestFit="1" customWidth="1"/>
    <col min="3" max="12" width="2.7109375" style="1" customWidth="1"/>
    <col min="13" max="13" width="5" style="1" bestFit="1" customWidth="1"/>
    <col min="14" max="14" width="5.5703125" style="1" customWidth="1"/>
    <col min="15" max="16" width="8.28515625" style="1" customWidth="1"/>
    <col min="17" max="17" width="4.7109375" style="1" customWidth="1"/>
    <col min="18" max="18" width="10.28515625" style="1" customWidth="1"/>
    <col min="19" max="19" width="14" style="1" customWidth="1"/>
    <col min="20" max="20" width="12" style="1" customWidth="1"/>
    <col min="21" max="21" width="12.28515625" style="1" customWidth="1"/>
    <col min="22" max="22" width="12.42578125" style="1" customWidth="1"/>
    <col min="23" max="23" width="11.85546875" style="1" customWidth="1"/>
    <col min="24" max="24" width="17.28515625" style="1" bestFit="1" customWidth="1"/>
    <col min="25" max="25" width="3.42578125" style="9" bestFit="1" customWidth="1"/>
    <col min="26" max="26" width="2.42578125" style="1" customWidth="1"/>
    <col min="27" max="27" width="3.42578125" style="1" bestFit="1" customWidth="1"/>
    <col min="28" max="28" width="8.85546875" style="9" bestFit="1" customWidth="1"/>
    <col min="29" max="29" width="9.7109375" style="9" bestFit="1" customWidth="1"/>
    <col min="30" max="30" width="5.28515625" style="1" customWidth="1"/>
    <col min="31" max="31" width="9.7109375" style="1" customWidth="1"/>
    <col min="32" max="32" width="5.85546875" style="1" customWidth="1"/>
    <col min="33" max="33" width="6" style="1" customWidth="1"/>
    <col min="34" max="34" width="3.42578125" style="1" bestFit="1" customWidth="1"/>
    <col min="35" max="35" width="8.85546875" style="1" bestFit="1" customWidth="1"/>
    <col min="36" max="36" width="2.42578125" style="1" customWidth="1"/>
    <col min="37" max="37" width="3.42578125" style="1" bestFit="1" customWidth="1"/>
    <col min="38" max="38" width="8.85546875" style="1" bestFit="1" customWidth="1"/>
    <col min="39" max="39" width="9.7109375" style="1" customWidth="1"/>
    <col min="40" max="40" width="5.28515625" style="1" customWidth="1"/>
    <col min="41" max="41" width="9.7109375" style="1" customWidth="1"/>
    <col min="42" max="42" width="5.85546875" style="1" customWidth="1"/>
    <col min="43" max="43" width="6" style="1" customWidth="1"/>
    <col min="44" max="44" width="3.42578125" style="1" bestFit="1" customWidth="1"/>
    <col min="45" max="45" width="8.85546875" style="1" bestFit="1" customWidth="1"/>
    <col min="46" max="46" width="2.42578125" style="9" customWidth="1"/>
    <col min="47" max="47" width="3.42578125" style="1" bestFit="1" customWidth="1"/>
    <col min="48" max="48" width="9.28515625" style="1" customWidth="1"/>
    <col min="49" max="49" width="8.140625" style="1" customWidth="1"/>
    <col min="50" max="50" width="8.85546875" style="1" bestFit="1" customWidth="1"/>
    <col min="51" max="51" width="4.5703125" style="1" customWidth="1"/>
    <col min="52" max="52" width="3.42578125" style="1" bestFit="1" customWidth="1"/>
    <col min="53" max="53" width="8.28515625" style="1" customWidth="1"/>
    <col min="54" max="54" width="10.42578125" style="1" customWidth="1"/>
    <col min="55" max="55" width="10" style="1" customWidth="1"/>
    <col min="56" max="56" width="5.85546875" style="1" bestFit="1" customWidth="1"/>
    <col min="57" max="16384" width="9.140625" style="1"/>
  </cols>
  <sheetData>
    <row r="1" spans="1:55" ht="15.75" customHeight="1" x14ac:dyDescent="0.25">
      <c r="B1" s="2" t="s">
        <v>0</v>
      </c>
      <c r="C1" s="3"/>
      <c r="D1" s="3"/>
      <c r="E1" s="3"/>
      <c r="F1" s="3"/>
      <c r="G1" s="3"/>
      <c r="H1" s="3"/>
      <c r="I1" s="4"/>
      <c r="P1" s="5" t="s">
        <v>0</v>
      </c>
      <c r="Q1" s="6"/>
      <c r="R1" s="7"/>
      <c r="S1" s="8" t="str">
        <f>IF(P1="Отрыв со скалыванием",2.5,"")</f>
        <v/>
      </c>
      <c r="T1" s="8">
        <f>IF(P1="Кубы",10,"")</f>
        <v>10</v>
      </c>
      <c r="U1" s="8">
        <f>IF(P1="Кубы",0.95,"")</f>
        <v>0.95</v>
      </c>
      <c r="V1" s="8">
        <f>IF(P1="Кубы",100,"")</f>
        <v>100</v>
      </c>
    </row>
    <row r="2" spans="1:55" ht="13.5" thickBot="1" x14ac:dyDescent="0.3">
      <c r="B2" s="10" t="s">
        <v>1</v>
      </c>
      <c r="C2" s="10"/>
      <c r="D2" s="10"/>
      <c r="E2" s="10"/>
      <c r="F2" s="10"/>
      <c r="G2" s="10"/>
      <c r="H2" s="10"/>
      <c r="I2" s="11"/>
      <c r="P2" s="12"/>
      <c r="Q2" s="13"/>
      <c r="R2" s="14"/>
      <c r="S2" s="15"/>
      <c r="T2" s="15"/>
      <c r="U2" s="15"/>
      <c r="V2" s="15"/>
    </row>
    <row r="3" spans="1:55" ht="13.5" thickBot="1" x14ac:dyDescent="0.3"/>
    <row r="4" spans="1:55" ht="12.75" customHeight="1" x14ac:dyDescent="0.25">
      <c r="B4" s="16" t="s">
        <v>2</v>
      </c>
      <c r="C4" s="17" t="s">
        <v>3</v>
      </c>
      <c r="D4" s="18"/>
      <c r="E4" s="18"/>
      <c r="F4" s="18"/>
      <c r="G4" s="18"/>
      <c r="H4" s="18"/>
      <c r="I4" s="18"/>
      <c r="J4" s="18"/>
      <c r="K4" s="18"/>
      <c r="L4" s="19"/>
      <c r="M4" s="20" t="s">
        <v>4</v>
      </c>
      <c r="N4" s="20" t="s">
        <v>5</v>
      </c>
      <c r="O4" s="21" t="s">
        <v>6</v>
      </c>
      <c r="P4" s="22"/>
      <c r="Q4" s="23" t="s">
        <v>7</v>
      </c>
      <c r="R4" s="17" t="s">
        <v>8</v>
      </c>
      <c r="S4" s="19"/>
      <c r="T4" s="17" t="s">
        <v>9</v>
      </c>
      <c r="U4" s="19"/>
      <c r="V4" s="17" t="s">
        <v>10</v>
      </c>
      <c r="W4" s="19"/>
      <c r="X4" s="20" t="s">
        <v>11</v>
      </c>
      <c r="Y4" s="24"/>
      <c r="Z4" s="25"/>
      <c r="AZ4" s="26" t="s">
        <v>12</v>
      </c>
      <c r="BA4" s="27"/>
      <c r="BB4" s="27"/>
      <c r="BC4" s="28"/>
    </row>
    <row r="5" spans="1:55" ht="15" customHeight="1" thickBot="1" x14ac:dyDescent="0.3">
      <c r="B5" s="29"/>
      <c r="C5" s="30"/>
      <c r="D5" s="31"/>
      <c r="E5" s="31"/>
      <c r="F5" s="31"/>
      <c r="G5" s="31"/>
      <c r="H5" s="31"/>
      <c r="I5" s="31"/>
      <c r="J5" s="31"/>
      <c r="K5" s="31"/>
      <c r="L5" s="32"/>
      <c r="M5" s="33"/>
      <c r="N5" s="33"/>
      <c r="O5" s="34"/>
      <c r="P5" s="35"/>
      <c r="Q5" s="36"/>
      <c r="R5" s="30"/>
      <c r="S5" s="32"/>
      <c r="T5" s="30"/>
      <c r="U5" s="32"/>
      <c r="V5" s="30"/>
      <c r="W5" s="32"/>
      <c r="X5" s="33"/>
      <c r="Y5" s="24"/>
      <c r="Z5" s="25"/>
      <c r="AZ5" s="37"/>
      <c r="BA5" s="38"/>
      <c r="BB5" s="38"/>
      <c r="BC5" s="39"/>
    </row>
    <row r="6" spans="1:55" ht="54.75" customHeight="1" thickBot="1" x14ac:dyDescent="0.3">
      <c r="B6" s="29"/>
      <c r="C6" s="30"/>
      <c r="D6" s="31"/>
      <c r="E6" s="31"/>
      <c r="F6" s="31"/>
      <c r="G6" s="31"/>
      <c r="H6" s="31"/>
      <c r="I6" s="31"/>
      <c r="J6" s="31"/>
      <c r="K6" s="31"/>
      <c r="L6" s="32"/>
      <c r="M6" s="33"/>
      <c r="N6" s="33"/>
      <c r="O6" s="34"/>
      <c r="P6" s="35"/>
      <c r="Q6" s="36"/>
      <c r="R6" s="40"/>
      <c r="S6" s="41"/>
      <c r="T6" s="40"/>
      <c r="U6" s="41"/>
      <c r="V6" s="40"/>
      <c r="W6" s="41"/>
      <c r="X6" s="33"/>
      <c r="Y6" s="24"/>
      <c r="Z6" s="25"/>
      <c r="AA6" s="42" t="s">
        <v>13</v>
      </c>
      <c r="AB6" s="43"/>
      <c r="AC6" s="43"/>
      <c r="AD6" s="43"/>
      <c r="AE6" s="43"/>
      <c r="AF6" s="43"/>
      <c r="AG6" s="43"/>
      <c r="AH6" s="43"/>
      <c r="AI6" s="44"/>
      <c r="AJ6" s="45"/>
      <c r="AK6" s="42" t="s">
        <v>14</v>
      </c>
      <c r="AL6" s="43"/>
      <c r="AM6" s="43"/>
      <c r="AN6" s="43"/>
      <c r="AO6" s="43"/>
      <c r="AP6" s="43"/>
      <c r="AQ6" s="43"/>
      <c r="AR6" s="43"/>
      <c r="AS6" s="44"/>
      <c r="AT6" s="46"/>
      <c r="AV6" s="47" t="s">
        <v>15</v>
      </c>
      <c r="AW6" s="48"/>
      <c r="AX6" s="49"/>
      <c r="AY6" s="50"/>
      <c r="AZ6" s="16" t="s">
        <v>2</v>
      </c>
      <c r="BA6" s="23" t="s">
        <v>6</v>
      </c>
      <c r="BB6" s="51" t="s">
        <v>16</v>
      </c>
      <c r="BC6" s="20" t="s">
        <v>17</v>
      </c>
    </row>
    <row r="7" spans="1:55" ht="39" customHeight="1" thickBot="1" x14ac:dyDescent="0.3">
      <c r="B7" s="29"/>
      <c r="C7" s="52"/>
      <c r="D7" s="53"/>
      <c r="E7" s="53"/>
      <c r="F7" s="53"/>
      <c r="G7" s="53"/>
      <c r="H7" s="53"/>
      <c r="I7" s="53"/>
      <c r="J7" s="53"/>
      <c r="K7" s="53"/>
      <c r="L7" s="54"/>
      <c r="M7" s="55"/>
      <c r="N7" s="55"/>
      <c r="O7" s="56"/>
      <c r="P7" s="57"/>
      <c r="Q7" s="58"/>
      <c r="R7" s="59" t="s">
        <v>18</v>
      </c>
      <c r="S7" s="60" t="s">
        <v>19</v>
      </c>
      <c r="T7" s="61" t="s">
        <v>20</v>
      </c>
      <c r="U7" s="62" t="s">
        <v>21</v>
      </c>
      <c r="V7" s="61" t="s">
        <v>20</v>
      </c>
      <c r="W7" s="62" t="s">
        <v>21</v>
      </c>
      <c r="X7" s="55"/>
      <c r="Y7" s="24"/>
      <c r="Z7" s="25"/>
      <c r="AA7" s="63" t="s">
        <v>22</v>
      </c>
      <c r="AB7" s="64"/>
      <c r="AC7" s="65"/>
      <c r="AG7" s="9"/>
      <c r="AI7" s="66" t="s">
        <v>23</v>
      </c>
      <c r="AJ7" s="45"/>
      <c r="AK7" s="67" t="s">
        <v>24</v>
      </c>
      <c r="AL7" s="68"/>
      <c r="AM7" s="69"/>
      <c r="AS7" s="66" t="s">
        <v>23</v>
      </c>
      <c r="AT7" s="70"/>
      <c r="AV7" s="71">
        <f>U58</f>
        <v>38.367306382849527</v>
      </c>
      <c r="AW7" s="72"/>
      <c r="AX7" s="73"/>
      <c r="AY7" s="74"/>
      <c r="AZ7" s="29"/>
      <c r="BA7" s="58"/>
      <c r="BB7" s="75" t="s">
        <v>25</v>
      </c>
      <c r="BC7" s="55"/>
    </row>
    <row r="8" spans="1:55" x14ac:dyDescent="0.25">
      <c r="A8" s="76"/>
      <c r="B8" s="77">
        <v>1</v>
      </c>
      <c r="C8" s="78">
        <v>22</v>
      </c>
      <c r="D8" s="79"/>
      <c r="E8" s="79">
        <v>24</v>
      </c>
      <c r="F8" s="79">
        <v>20</v>
      </c>
      <c r="G8" s="79">
        <v>21</v>
      </c>
      <c r="H8" s="79">
        <v>21</v>
      </c>
      <c r="I8" s="79">
        <v>22</v>
      </c>
      <c r="J8" s="79"/>
      <c r="K8" s="79">
        <v>25</v>
      </c>
      <c r="L8" s="80">
        <v>24</v>
      </c>
      <c r="M8" s="81">
        <f>IFERROR(MAX(C8:L8)-AVERAGE(C8:L8),"")</f>
        <v>2.625</v>
      </c>
      <c r="N8" s="81">
        <f>IFERROR(AVERAGE(C8:L8)-MIN(C8:L8),"")</f>
        <v>2.375</v>
      </c>
      <c r="O8" s="82">
        <f>IFERROR(AVERAGE(C8:L8),"")</f>
        <v>22.375</v>
      </c>
      <c r="P8" s="83"/>
      <c r="Q8" s="84">
        <f>IFERROR(IF(SUM(O8:P8)=0,"",IF(SUM(O8:P8)&lt;=$O$58,1,2)),"")</f>
        <v>1</v>
      </c>
      <c r="R8" s="85">
        <v>349.8</v>
      </c>
      <c r="S8" s="86">
        <f>IF(R8="","",(IF($P$1=$B$1,((R8*$T$1)/$V$1)*$U$1,IF($P$1=$B$2,R8*$S$1,""))))</f>
        <v>33.230999999999995</v>
      </c>
      <c r="T8" s="87">
        <f t="shared" ref="T8:T39" si="0">IF(SUM(O8:P8)=0,"",$AF$8*SUM(O8:P8)+($AE$10))</f>
        <v>37.264884921119915</v>
      </c>
      <c r="U8" s="88">
        <f>IF(SUM(O8:P8)=0,"",$AP$8*SUM(O8:P8)+($AO$10))</f>
        <v>38.072799238416493</v>
      </c>
      <c r="V8" s="89">
        <f>IFERROR(((T8-S8)/$AI$58),"")</f>
        <v>0.82100317356971098</v>
      </c>
      <c r="W8" s="90">
        <f>IFERROR(((U8-S8)/$AS$58),"")</f>
        <v>0.97881767674523901</v>
      </c>
      <c r="X8" s="91" t="str">
        <f t="shared" ref="X8:X42" si="1">IF(COUNT(V8:W8)=0,"",IF(V8&gt;2,"Отбраковывается",IF(W8&gt;2,"Отбраковывается",IF(V8&lt;-2,"Отбраковывается",IF(W8&lt;-2,"Отбраковывается","")))))</f>
        <v/>
      </c>
      <c r="Y8" s="92">
        <v>1</v>
      </c>
      <c r="Z8" s="93"/>
      <c r="AA8" s="92">
        <v>1</v>
      </c>
      <c r="AB8" s="94">
        <f>IF(SUM(O8:P8)=0,"",(SUM(O8:P8)-$O$58)*(S8-$S$58))</f>
        <v>40.148300392128277</v>
      </c>
      <c r="AC8" s="88">
        <f t="shared" ref="AC8:AC13" si="2">IF(SUM(O8:P8)=0,"",POWER((SUM(O8:P8)-$P$58),2))</f>
        <v>500.640625</v>
      </c>
      <c r="AD8" s="95" t="s">
        <v>26</v>
      </c>
      <c r="AE8" s="96">
        <f>IF(AB58=0,"",AB58)</f>
        <v>420.05804238467766</v>
      </c>
      <c r="AF8" s="97">
        <f>IFERROR(AE8/AE9,"")</f>
        <v>1.2277362009359208E-2</v>
      </c>
      <c r="AG8" s="98"/>
      <c r="AH8" s="92">
        <v>1</v>
      </c>
      <c r="AI8" s="99">
        <f t="shared" ref="AI8:AI13" si="3">IFERROR(POWER(S8-T8,2),"")</f>
        <v>16.272227556838665</v>
      </c>
      <c r="AJ8" s="45"/>
      <c r="AK8" s="92">
        <v>1</v>
      </c>
      <c r="AL8" s="94">
        <f t="shared" ref="AL8:AL13" si="4">IF(SUM(O8:P8)=0,"",(SUM(O8:P8)-$P$58*(S8-$S$58)))</f>
        <v>22.375</v>
      </c>
      <c r="AM8" s="88">
        <f t="shared" ref="AM8:AM13" si="5">IF(SUM(O8:P8)=0,"",POWER((SUM(O8:P8)-$P$58),2))</f>
        <v>500.640625</v>
      </c>
      <c r="AN8" s="95" t="s">
        <v>26</v>
      </c>
      <c r="AO8" s="96">
        <f>IF(AL58=0,"",AL58)</f>
        <v>1053.8892857142857</v>
      </c>
      <c r="AP8" s="100">
        <f>IFERROR(AO8/AO9,"")</f>
        <v>3.0802839067297558E-2</v>
      </c>
      <c r="AR8" s="77">
        <v>1</v>
      </c>
      <c r="AS8" s="101">
        <f t="shared" ref="AS8:AS13" si="6">IFERROR(POWER(S8-U8,2),"")</f>
        <v>23.443019865130591</v>
      </c>
      <c r="AT8" s="102"/>
      <c r="AU8" s="92">
        <v>1</v>
      </c>
      <c r="AV8" s="87">
        <f t="shared" ref="AV8:AV13" si="7">IFERROR((U8-$U$58)*(S8-$U$58),"")</f>
        <v>1.512678925746181</v>
      </c>
      <c r="AW8" s="103">
        <f t="shared" ref="AW8:AW13" si="8">IFERROR(POWER((U8-$U$58),2),"")</f>
        <v>8.6734458122099845E-2</v>
      </c>
      <c r="AX8" s="88">
        <f t="shared" ref="AX8:AX13" si="9">IFERROR(POWER((S8-$U$58),2),"")</f>
        <v>26.381643258500851</v>
      </c>
      <c r="AY8" s="98"/>
      <c r="AZ8" s="104">
        <v>1</v>
      </c>
      <c r="BA8" s="105">
        <f t="shared" ref="BA8:BA39" si="10">IF(SUM(O8:P8)=0,"",SUM(O8:P8))</f>
        <v>22.375</v>
      </c>
      <c r="BB8" s="106">
        <f>IF(S8=0,"",S8)</f>
        <v>33.230999999999995</v>
      </c>
      <c r="BC8" s="107" t="str">
        <f t="shared" ref="BC8:BC57" si="11">IF(X8="Отбраковывается",S8,"")</f>
        <v/>
      </c>
    </row>
    <row r="9" spans="1:55" ht="13.5" thickBot="1" x14ac:dyDescent="0.3">
      <c r="A9" s="76"/>
      <c r="B9" s="108">
        <f>B8+1</f>
        <v>2</v>
      </c>
      <c r="C9" s="109">
        <v>22</v>
      </c>
      <c r="D9" s="110">
        <v>25</v>
      </c>
      <c r="E9" s="110"/>
      <c r="F9" s="110">
        <v>24</v>
      </c>
      <c r="G9" s="110">
        <v>22</v>
      </c>
      <c r="H9" s="110">
        <v>21</v>
      </c>
      <c r="I9" s="110">
        <v>23</v>
      </c>
      <c r="J9" s="110">
        <v>20</v>
      </c>
      <c r="K9" s="110">
        <v>19</v>
      </c>
      <c r="L9" s="111">
        <v>20</v>
      </c>
      <c r="M9" s="112">
        <f t="shared" ref="M9:M57" si="12">IFERROR(MAX(C9:L9)-AVERAGE(C9:L9),"")</f>
        <v>3.2222222222222214</v>
      </c>
      <c r="N9" s="112">
        <f t="shared" ref="N9:N57" si="13">IFERROR(AVERAGE(C9:L9)-MIN(C9:L9),"")</f>
        <v>2.7777777777777786</v>
      </c>
      <c r="O9" s="113">
        <f t="shared" ref="O9:O57" si="14">IFERROR(AVERAGE(C9:L9),"")</f>
        <v>21.777777777777779</v>
      </c>
      <c r="P9" s="114"/>
      <c r="Q9" s="115">
        <f t="shared" ref="Q9:Q57" si="15">IFERROR(IF(SUM(O9:P9)=0,"",IF(SUM(O9:P9)&lt;=$O$58,1,2)),"")</f>
        <v>1</v>
      </c>
      <c r="R9" s="116">
        <v>346.1</v>
      </c>
      <c r="S9" s="117">
        <f t="shared" ref="S9:S57" si="16">IF(R9="","",(IF($P$1=$B$1,((R9*$T$1)/$V$1)*$U$1,IF($P$1=$B$2,R9*$S$1,""))))</f>
        <v>32.8795</v>
      </c>
      <c r="T9" s="118">
        <f t="shared" si="0"/>
        <v>37.257552607697662</v>
      </c>
      <c r="U9" s="119">
        <f t="shared" ref="U9:U32" si="17">IF(SUM(O9:P9)=0,"",$AP$8*SUM(O9:P9)+($AO$10))</f>
        <v>38.054403098417964</v>
      </c>
      <c r="V9" s="120">
        <f t="shared" ref="V9:V57" si="18">IFERROR(((T9-S9)/$AI$58),"")</f>
        <v>0.8910504774580984</v>
      </c>
      <c r="W9" s="121">
        <f t="shared" ref="W9:W57" si="19">IFERROR(((U9-S9)/$AS$58),"")</f>
        <v>1.0461579216225005</v>
      </c>
      <c r="X9" s="122" t="str">
        <f t="shared" si="1"/>
        <v/>
      </c>
      <c r="Y9" s="123">
        <f>Y8+1</f>
        <v>2</v>
      </c>
      <c r="Z9" s="93"/>
      <c r="AA9" s="123">
        <f>AA8+1</f>
        <v>2</v>
      </c>
      <c r="AB9" s="124">
        <f t="shared" ref="AB9:AB13" si="20">IF(SUM(O9:P9)=0,"",(SUM(O9:P9)-$O$58)*(S9-$S$58))</f>
        <v>46.236635726595331</v>
      </c>
      <c r="AC9" s="119">
        <f t="shared" si="2"/>
        <v>474.27160493827165</v>
      </c>
      <c r="AD9" s="95"/>
      <c r="AE9" s="125">
        <f>IF(AC58=0,"",AC58)</f>
        <v>34214.030836955157</v>
      </c>
      <c r="AF9" s="126"/>
      <c r="AG9" s="98"/>
      <c r="AH9" s="123">
        <f>AH8+1</f>
        <v>2</v>
      </c>
      <c r="AI9" s="127">
        <f t="shared" si="3"/>
        <v>19.167344635768291</v>
      </c>
      <c r="AJ9" s="45"/>
      <c r="AK9" s="123">
        <f>AK8+1</f>
        <v>2</v>
      </c>
      <c r="AL9" s="124">
        <f t="shared" si="4"/>
        <v>21.777777777777779</v>
      </c>
      <c r="AM9" s="119">
        <f t="shared" si="5"/>
        <v>474.27160493827165</v>
      </c>
      <c r="AN9" s="95"/>
      <c r="AO9" s="125">
        <f>IF(AM58=0,"",AM58)</f>
        <v>34214.030836955157</v>
      </c>
      <c r="AP9" s="128"/>
      <c r="AR9" s="108">
        <f>AR8+1</f>
        <v>2</v>
      </c>
      <c r="AS9" s="129">
        <f t="shared" si="6"/>
        <v>26.779622078015844</v>
      </c>
      <c r="AT9" s="102"/>
      <c r="AU9" s="123">
        <f>AU8+1</f>
        <v>2</v>
      </c>
      <c r="AV9" s="130">
        <f t="shared" si="7"/>
        <v>1.7171526415181131</v>
      </c>
      <c r="AW9" s="131">
        <f t="shared" si="8"/>
        <v>9.7908465408059697E-2</v>
      </c>
      <c r="AX9" s="132">
        <f t="shared" si="9"/>
        <v>30.116018895644011</v>
      </c>
      <c r="AY9" s="98"/>
      <c r="AZ9" s="133">
        <f>AZ8+1</f>
        <v>2</v>
      </c>
      <c r="BA9" s="134">
        <f t="shared" si="10"/>
        <v>21.777777777777779</v>
      </c>
      <c r="BB9" s="135">
        <f t="shared" ref="BB9:BB57" si="21">IF(S9=0,"",S9)</f>
        <v>32.8795</v>
      </c>
      <c r="BC9" s="107" t="str">
        <f t="shared" si="11"/>
        <v/>
      </c>
    </row>
    <row r="10" spans="1:55" ht="13.5" thickBot="1" x14ac:dyDescent="0.3">
      <c r="A10" s="76"/>
      <c r="B10" s="108">
        <f>B9+1</f>
        <v>3</v>
      </c>
      <c r="C10" s="109"/>
      <c r="D10" s="110"/>
      <c r="E10" s="110">
        <v>28</v>
      </c>
      <c r="F10" s="110">
        <v>28</v>
      </c>
      <c r="G10" s="110"/>
      <c r="H10" s="110">
        <v>26</v>
      </c>
      <c r="I10" s="110">
        <v>26</v>
      </c>
      <c r="J10" s="110">
        <v>29</v>
      </c>
      <c r="K10" s="110">
        <v>27</v>
      </c>
      <c r="L10" s="111"/>
      <c r="M10" s="112">
        <f t="shared" si="12"/>
        <v>1.6666666666666679</v>
      </c>
      <c r="N10" s="112">
        <f t="shared" si="13"/>
        <v>1.3333333333333321</v>
      </c>
      <c r="O10" s="113">
        <f t="shared" si="14"/>
        <v>27.333333333333332</v>
      </c>
      <c r="P10" s="114"/>
      <c r="Q10" s="115">
        <f t="shared" si="15"/>
        <v>1</v>
      </c>
      <c r="R10" s="116">
        <v>374.9</v>
      </c>
      <c r="S10" s="136">
        <f t="shared" si="16"/>
        <v>35.615499999999997</v>
      </c>
      <c r="T10" s="118">
        <f t="shared" si="0"/>
        <v>37.325760174416324</v>
      </c>
      <c r="U10" s="119">
        <f t="shared" si="17"/>
        <v>38.225529982125174</v>
      </c>
      <c r="V10" s="120">
        <f t="shared" si="18"/>
        <v>0.34808356169859839</v>
      </c>
      <c r="W10" s="121">
        <f t="shared" si="19"/>
        <v>0.52764341467712461</v>
      </c>
      <c r="X10" s="122" t="str">
        <f t="shared" si="1"/>
        <v/>
      </c>
      <c r="Y10" s="123">
        <f>Y9+1</f>
        <v>3</v>
      </c>
      <c r="Z10" s="93"/>
      <c r="AA10" s="123">
        <f>AA9+1</f>
        <v>3</v>
      </c>
      <c r="AB10" s="124">
        <f t="shared" si="20"/>
        <v>8.3275634363459545</v>
      </c>
      <c r="AC10" s="119">
        <f t="shared" si="2"/>
        <v>747.11111111111109</v>
      </c>
      <c r="AD10" s="137" t="s">
        <v>27</v>
      </c>
      <c r="AE10" s="138">
        <f>IFERROR(S58-AF8*O58,"")</f>
        <v>36.990178946160505</v>
      </c>
      <c r="AH10" s="123">
        <f>AH9+1</f>
        <v>3</v>
      </c>
      <c r="AI10" s="127">
        <f t="shared" si="3"/>
        <v>2.924989864194564</v>
      </c>
      <c r="AJ10" s="45"/>
      <c r="AK10" s="123">
        <f>AK9+1</f>
        <v>3</v>
      </c>
      <c r="AL10" s="124">
        <f t="shared" si="4"/>
        <v>27.333333333333332</v>
      </c>
      <c r="AM10" s="119">
        <f t="shared" si="5"/>
        <v>747.11111111111109</v>
      </c>
      <c r="AN10" s="137" t="s">
        <v>27</v>
      </c>
      <c r="AO10" s="139">
        <f>IFERROR(S58-AP8*P58,"")</f>
        <v>37.383585714285708</v>
      </c>
      <c r="AR10" s="108">
        <f>AR9+1</f>
        <v>3</v>
      </c>
      <c r="AS10" s="129">
        <f t="shared" si="6"/>
        <v>6.81225650759235</v>
      </c>
      <c r="AT10" s="102"/>
      <c r="AU10" s="123">
        <f>AU9+1</f>
        <v>3</v>
      </c>
      <c r="AV10" s="130">
        <f t="shared" si="7"/>
        <v>0.39014120445070838</v>
      </c>
      <c r="AW10" s="131">
        <f t="shared" si="8"/>
        <v>2.0100547802352431E-2</v>
      </c>
      <c r="AX10" s="132">
        <f t="shared" si="9"/>
        <v>7.5724383686914143</v>
      </c>
      <c r="AY10" s="98"/>
      <c r="AZ10" s="133">
        <f>AZ9+1</f>
        <v>3</v>
      </c>
      <c r="BA10" s="134">
        <f t="shared" si="10"/>
        <v>27.333333333333332</v>
      </c>
      <c r="BB10" s="135">
        <f t="shared" si="21"/>
        <v>35.615499999999997</v>
      </c>
      <c r="BC10" s="107" t="str">
        <f t="shared" si="11"/>
        <v/>
      </c>
    </row>
    <row r="11" spans="1:55" ht="13.5" thickBot="1" x14ac:dyDescent="0.3">
      <c r="A11" s="76"/>
      <c r="B11" s="108">
        <f t="shared" ref="B11:B57" si="22">B10+1</f>
        <v>4</v>
      </c>
      <c r="C11" s="109"/>
      <c r="D11" s="110">
        <v>30</v>
      </c>
      <c r="E11" s="110"/>
      <c r="F11" s="110">
        <v>28</v>
      </c>
      <c r="G11" s="110"/>
      <c r="H11" s="110">
        <v>27</v>
      </c>
      <c r="I11" s="110">
        <v>26</v>
      </c>
      <c r="J11" s="110"/>
      <c r="K11" s="110">
        <v>27</v>
      </c>
      <c r="L11" s="111">
        <v>32</v>
      </c>
      <c r="M11" s="112">
        <f t="shared" si="12"/>
        <v>3.6666666666666679</v>
      </c>
      <c r="N11" s="112">
        <f t="shared" si="13"/>
        <v>2.3333333333333321</v>
      </c>
      <c r="O11" s="113">
        <f t="shared" si="14"/>
        <v>28.333333333333332</v>
      </c>
      <c r="P11" s="114"/>
      <c r="Q11" s="115">
        <f t="shared" si="15"/>
        <v>1</v>
      </c>
      <c r="R11" s="116">
        <v>353.2</v>
      </c>
      <c r="S11" s="136">
        <f t="shared" si="16"/>
        <v>33.554000000000002</v>
      </c>
      <c r="T11" s="118">
        <f t="shared" si="0"/>
        <v>37.338037536425681</v>
      </c>
      <c r="U11" s="119">
        <f t="shared" si="17"/>
        <v>38.256332821192473</v>
      </c>
      <c r="V11" s="120">
        <f t="shared" si="18"/>
        <v>0.7701525668337319</v>
      </c>
      <c r="W11" s="121">
        <f t="shared" si="19"/>
        <v>0.95062315901140337</v>
      </c>
      <c r="X11" s="122" t="str">
        <f t="shared" si="1"/>
        <v/>
      </c>
      <c r="Y11" s="123">
        <f t="shared" ref="Y11:Y57" si="23">Y10+1</f>
        <v>4</v>
      </c>
      <c r="Z11" s="93"/>
      <c r="AA11" s="123">
        <f t="shared" ref="AA11:AA57" si="24">AA10+1</f>
        <v>4</v>
      </c>
      <c r="AB11" s="124">
        <f t="shared" si="20"/>
        <v>14.207502483964992</v>
      </c>
      <c r="AC11" s="119">
        <f t="shared" si="2"/>
        <v>802.77777777777771</v>
      </c>
      <c r="AH11" s="123">
        <f t="shared" ref="AH11:AH57" si="25">AH10+1</f>
        <v>4</v>
      </c>
      <c r="AI11" s="127">
        <f t="shared" si="3"/>
        <v>14.318940077078519</v>
      </c>
      <c r="AJ11" s="45"/>
      <c r="AK11" s="123">
        <f t="shared" ref="AK11:AK57" si="26">AK10+1</f>
        <v>4</v>
      </c>
      <c r="AL11" s="124">
        <f t="shared" si="4"/>
        <v>28.333333333333332</v>
      </c>
      <c r="AM11" s="119">
        <f t="shared" si="5"/>
        <v>802.77777777777771</v>
      </c>
      <c r="AR11" s="108">
        <f t="shared" ref="AR11:AR57" si="27">AR10+1</f>
        <v>4</v>
      </c>
      <c r="AS11" s="129">
        <f t="shared" si="6"/>
        <v>22.11193396126394</v>
      </c>
      <c r="AT11" s="102"/>
      <c r="AU11" s="123">
        <f t="shared" ref="AU11:AU57" si="28">AU10+1</f>
        <v>4</v>
      </c>
      <c r="AV11" s="130">
        <f t="shared" si="7"/>
        <v>0.53414975265144637</v>
      </c>
      <c r="AW11" s="131">
        <f t="shared" si="8"/>
        <v>1.2315131386852106E-2</v>
      </c>
      <c r="AX11" s="132">
        <f t="shared" si="9"/>
        <v>23.16791833517998</v>
      </c>
      <c r="AY11" s="98"/>
      <c r="AZ11" s="133">
        <f t="shared" ref="AZ11:AZ57" si="29">AZ10+1</f>
        <v>4</v>
      </c>
      <c r="BA11" s="134">
        <f t="shared" si="10"/>
        <v>28.333333333333332</v>
      </c>
      <c r="BB11" s="135">
        <f t="shared" si="21"/>
        <v>33.554000000000002</v>
      </c>
      <c r="BC11" s="107" t="str">
        <f t="shared" si="11"/>
        <v/>
      </c>
    </row>
    <row r="12" spans="1:55" x14ac:dyDescent="0.25">
      <c r="A12" s="76"/>
      <c r="B12" s="108">
        <f t="shared" si="22"/>
        <v>5</v>
      </c>
      <c r="C12" s="109">
        <v>34</v>
      </c>
      <c r="D12" s="110"/>
      <c r="E12" s="110">
        <v>30</v>
      </c>
      <c r="F12" s="110">
        <v>29</v>
      </c>
      <c r="G12" s="110"/>
      <c r="H12" s="110">
        <v>30</v>
      </c>
      <c r="I12" s="110">
        <v>31</v>
      </c>
      <c r="J12" s="110">
        <v>34</v>
      </c>
      <c r="K12" s="110"/>
      <c r="L12" s="111">
        <v>34</v>
      </c>
      <c r="M12" s="112">
        <f t="shared" si="12"/>
        <v>2.2857142857142847</v>
      </c>
      <c r="N12" s="112">
        <f t="shared" si="13"/>
        <v>2.7142857142857153</v>
      </c>
      <c r="O12" s="113">
        <f t="shared" si="14"/>
        <v>31.714285714285715</v>
      </c>
      <c r="P12" s="114"/>
      <c r="Q12" s="115">
        <f t="shared" si="15"/>
        <v>1</v>
      </c>
      <c r="R12" s="116">
        <v>367.7</v>
      </c>
      <c r="S12" s="136">
        <f t="shared" si="16"/>
        <v>34.9315</v>
      </c>
      <c r="T12" s="118">
        <f t="shared" si="0"/>
        <v>37.379546712743043</v>
      </c>
      <c r="U12" s="119">
        <f t="shared" si="17"/>
        <v>38.360475753277143</v>
      </c>
      <c r="V12" s="120">
        <f t="shared" si="18"/>
        <v>0.49824280055340414</v>
      </c>
      <c r="W12" s="121">
        <f t="shared" si="19"/>
        <v>0.6932014144262979</v>
      </c>
      <c r="X12" s="122" t="str">
        <f t="shared" si="1"/>
        <v/>
      </c>
      <c r="Y12" s="123">
        <f t="shared" si="23"/>
        <v>5</v>
      </c>
      <c r="Z12" s="93"/>
      <c r="AA12" s="123">
        <f t="shared" si="24"/>
        <v>5</v>
      </c>
      <c r="AB12" s="124">
        <f t="shared" si="20"/>
        <v>0.8066861574344002</v>
      </c>
      <c r="AC12" s="119">
        <f t="shared" si="2"/>
        <v>1005.795918367347</v>
      </c>
      <c r="AD12" s="140" t="s">
        <v>28</v>
      </c>
      <c r="AE12" s="141"/>
      <c r="AF12" s="141"/>
      <c r="AG12" s="142"/>
      <c r="AH12" s="123">
        <f t="shared" si="25"/>
        <v>5</v>
      </c>
      <c r="AI12" s="127">
        <f t="shared" si="3"/>
        <v>5.9929327077720185</v>
      </c>
      <c r="AJ12" s="45"/>
      <c r="AK12" s="123">
        <f t="shared" si="26"/>
        <v>5</v>
      </c>
      <c r="AL12" s="124">
        <f t="shared" si="4"/>
        <v>31.714285714285715</v>
      </c>
      <c r="AM12" s="119">
        <f t="shared" si="5"/>
        <v>1005.795918367347</v>
      </c>
      <c r="AN12" s="140" t="s">
        <v>28</v>
      </c>
      <c r="AO12" s="141"/>
      <c r="AP12" s="141"/>
      <c r="AQ12" s="142"/>
      <c r="AR12" s="108">
        <f t="shared" si="27"/>
        <v>5</v>
      </c>
      <c r="AS12" s="129">
        <f t="shared" si="6"/>
        <v>11.757874716562553</v>
      </c>
      <c r="AT12" s="102"/>
      <c r="AU12" s="123">
        <f t="shared" si="28"/>
        <v>5</v>
      </c>
      <c r="AV12" s="130">
        <f t="shared" si="7"/>
        <v>2.3468720683678852E-2</v>
      </c>
      <c r="AW12" s="131">
        <f t="shared" si="8"/>
        <v>4.6657500355131457E-5</v>
      </c>
      <c r="AX12" s="132">
        <f t="shared" si="9"/>
        <v>11.804765500429554</v>
      </c>
      <c r="AY12" s="98"/>
      <c r="AZ12" s="133">
        <f t="shared" si="29"/>
        <v>5</v>
      </c>
      <c r="BA12" s="134">
        <f t="shared" si="10"/>
        <v>31.714285714285715</v>
      </c>
      <c r="BB12" s="135">
        <f t="shared" si="21"/>
        <v>34.9315</v>
      </c>
      <c r="BC12" s="107" t="str">
        <f t="shared" si="11"/>
        <v/>
      </c>
    </row>
    <row r="13" spans="1:55" ht="15" customHeight="1" thickBot="1" x14ac:dyDescent="0.3">
      <c r="A13" s="76"/>
      <c r="B13" s="108">
        <f t="shared" si="22"/>
        <v>6</v>
      </c>
      <c r="C13" s="109">
        <v>36</v>
      </c>
      <c r="D13" s="110"/>
      <c r="E13" s="110">
        <v>35</v>
      </c>
      <c r="F13" s="110">
        <v>38</v>
      </c>
      <c r="G13" s="110">
        <v>37</v>
      </c>
      <c r="H13" s="110">
        <v>33</v>
      </c>
      <c r="I13" s="110">
        <v>35</v>
      </c>
      <c r="J13" s="110">
        <v>35</v>
      </c>
      <c r="K13" s="110"/>
      <c r="L13" s="111">
        <v>35</v>
      </c>
      <c r="M13" s="112">
        <f t="shared" si="12"/>
        <v>2.5</v>
      </c>
      <c r="N13" s="112">
        <f t="shared" si="13"/>
        <v>2.5</v>
      </c>
      <c r="O13" s="113">
        <f t="shared" si="14"/>
        <v>35.5</v>
      </c>
      <c r="P13" s="114"/>
      <c r="Q13" s="115">
        <f t="shared" si="15"/>
        <v>2</v>
      </c>
      <c r="R13" s="116">
        <v>492</v>
      </c>
      <c r="S13" s="136">
        <f t="shared" si="16"/>
        <v>46.74</v>
      </c>
      <c r="T13" s="118">
        <f t="shared" si="0"/>
        <v>37.426025297492757</v>
      </c>
      <c r="U13" s="119">
        <f t="shared" si="17"/>
        <v>38.477086501174774</v>
      </c>
      <c r="V13" s="120">
        <f t="shared" si="18"/>
        <v>-1.8956422750858952</v>
      </c>
      <c r="W13" s="121">
        <f t="shared" si="19"/>
        <v>-1.670429812515752</v>
      </c>
      <c r="X13" s="122" t="str">
        <f t="shared" si="1"/>
        <v/>
      </c>
      <c r="Y13" s="123">
        <f t="shared" si="23"/>
        <v>6</v>
      </c>
      <c r="Z13" s="93"/>
      <c r="AA13" s="123">
        <f t="shared" si="24"/>
        <v>6</v>
      </c>
      <c r="AB13" s="124">
        <f t="shared" si="20"/>
        <v>32.342641871720133</v>
      </c>
      <c r="AC13" s="119">
        <f t="shared" si="2"/>
        <v>1260.25</v>
      </c>
      <c r="AD13" s="143"/>
      <c r="AE13" s="144"/>
      <c r="AF13" s="144"/>
      <c r="AG13" s="145"/>
      <c r="AH13" s="123">
        <f t="shared" si="25"/>
        <v>6</v>
      </c>
      <c r="AI13" s="127">
        <f t="shared" si="3"/>
        <v>86.750124758944921</v>
      </c>
      <c r="AJ13" s="45"/>
      <c r="AK13" s="123">
        <f t="shared" si="26"/>
        <v>6</v>
      </c>
      <c r="AL13" s="124">
        <f t="shared" si="4"/>
        <v>35.5</v>
      </c>
      <c r="AM13" s="119">
        <f t="shared" si="5"/>
        <v>1260.25</v>
      </c>
      <c r="AN13" s="143"/>
      <c r="AO13" s="144"/>
      <c r="AP13" s="144"/>
      <c r="AQ13" s="145"/>
      <c r="AR13" s="108">
        <f t="shared" si="27"/>
        <v>6</v>
      </c>
      <c r="AS13" s="129">
        <f t="shared" si="6"/>
        <v>68.275739489068158</v>
      </c>
      <c r="AT13" s="102"/>
      <c r="AU13" s="123">
        <f t="shared" si="28"/>
        <v>6</v>
      </c>
      <c r="AV13" s="130">
        <f t="shared" si="7"/>
        <v>0.91915529599182066</v>
      </c>
      <c r="AW13" s="131">
        <f t="shared" si="8"/>
        <v>1.2051674379505264E-2</v>
      </c>
      <c r="AX13" s="132">
        <f t="shared" si="9"/>
        <v>70.101998406672294</v>
      </c>
      <c r="AY13" s="98"/>
      <c r="AZ13" s="133">
        <f t="shared" si="29"/>
        <v>6</v>
      </c>
      <c r="BA13" s="134">
        <f t="shared" si="10"/>
        <v>35.5</v>
      </c>
      <c r="BB13" s="135">
        <f t="shared" si="21"/>
        <v>46.74</v>
      </c>
      <c r="BC13" s="107" t="str">
        <f t="shared" si="11"/>
        <v/>
      </c>
    </row>
    <row r="14" spans="1:55" x14ac:dyDescent="0.25">
      <c r="A14" s="76"/>
      <c r="B14" s="108">
        <f t="shared" si="22"/>
        <v>7</v>
      </c>
      <c r="C14" s="109">
        <v>31</v>
      </c>
      <c r="D14" s="110"/>
      <c r="E14" s="110">
        <v>35</v>
      </c>
      <c r="F14" s="110">
        <v>34</v>
      </c>
      <c r="G14" s="110">
        <v>37</v>
      </c>
      <c r="H14" s="110">
        <v>34</v>
      </c>
      <c r="I14" s="110">
        <v>31</v>
      </c>
      <c r="J14" s="110">
        <v>30</v>
      </c>
      <c r="K14" s="110">
        <v>33</v>
      </c>
      <c r="L14" s="111"/>
      <c r="M14" s="112">
        <f t="shared" si="12"/>
        <v>3.875</v>
      </c>
      <c r="N14" s="112">
        <f t="shared" si="13"/>
        <v>3.125</v>
      </c>
      <c r="O14" s="113">
        <f t="shared" si="14"/>
        <v>33.125</v>
      </c>
      <c r="P14" s="114"/>
      <c r="Q14" s="115">
        <f t="shared" si="15"/>
        <v>2</v>
      </c>
      <c r="R14" s="116">
        <v>517</v>
      </c>
      <c r="S14" s="136">
        <f t="shared" si="16"/>
        <v>49.115000000000002</v>
      </c>
      <c r="T14" s="118"/>
      <c r="U14" s="119"/>
      <c r="V14" s="120">
        <f t="shared" si="18"/>
        <v>-9.9962124994585597</v>
      </c>
      <c r="W14" s="121">
        <f t="shared" si="19"/>
        <v>-9.9290837612393705</v>
      </c>
      <c r="X14" s="122" t="str">
        <f t="shared" si="1"/>
        <v>Отбраковывается</v>
      </c>
      <c r="Y14" s="123">
        <f t="shared" si="23"/>
        <v>7</v>
      </c>
      <c r="Z14" s="93"/>
      <c r="AA14" s="123">
        <f t="shared" si="24"/>
        <v>7</v>
      </c>
      <c r="AB14" s="124"/>
      <c r="AC14" s="119"/>
      <c r="AD14" s="146" t="str">
        <f>"Rн = " &amp;   FIXED( AF8,2) &amp; " * H + " &amp; FIXED(AE10,2)</f>
        <v>Rн = 0,01 * H + 36,99</v>
      </c>
      <c r="AE14" s="147"/>
      <c r="AF14" s="147"/>
      <c r="AG14" s="148"/>
      <c r="AH14" s="123">
        <f t="shared" si="25"/>
        <v>7</v>
      </c>
      <c r="AI14" s="127"/>
      <c r="AJ14" s="45"/>
      <c r="AK14" s="123">
        <f t="shared" si="26"/>
        <v>7</v>
      </c>
      <c r="AL14" s="124"/>
      <c r="AM14" s="119"/>
      <c r="AN14" s="149" t="str">
        <f>"Rн = " &amp; FIXED(AP8,2) &amp; " * H + " &amp; FIXED(AO10,2)</f>
        <v>Rн = 0,03 * H + 37,38</v>
      </c>
      <c r="AO14" s="149"/>
      <c r="AP14" s="149"/>
      <c r="AQ14" s="149"/>
      <c r="AR14" s="108">
        <f t="shared" si="27"/>
        <v>7</v>
      </c>
      <c r="AS14" s="129"/>
      <c r="AT14" s="102"/>
      <c r="AU14" s="123">
        <f t="shared" si="28"/>
        <v>7</v>
      </c>
      <c r="AV14" s="130"/>
      <c r="AW14" s="131"/>
      <c r="AX14" s="132"/>
      <c r="AY14" s="98"/>
      <c r="AZ14" s="133">
        <f t="shared" si="29"/>
        <v>7</v>
      </c>
      <c r="BA14" s="134">
        <f t="shared" si="10"/>
        <v>33.125</v>
      </c>
      <c r="BB14" s="135">
        <f t="shared" si="21"/>
        <v>49.115000000000002</v>
      </c>
      <c r="BC14" s="107">
        <f t="shared" si="11"/>
        <v>49.115000000000002</v>
      </c>
    </row>
    <row r="15" spans="1:55" x14ac:dyDescent="0.25">
      <c r="A15" s="76"/>
      <c r="B15" s="108">
        <f t="shared" si="22"/>
        <v>8</v>
      </c>
      <c r="C15" s="109"/>
      <c r="D15" s="110">
        <v>32</v>
      </c>
      <c r="E15" s="110"/>
      <c r="F15" s="110">
        <v>31</v>
      </c>
      <c r="G15" s="110"/>
      <c r="H15" s="110">
        <v>37</v>
      </c>
      <c r="I15" s="110">
        <v>36</v>
      </c>
      <c r="J15" s="110">
        <v>34</v>
      </c>
      <c r="K15" s="110">
        <v>33</v>
      </c>
      <c r="L15" s="111">
        <v>36</v>
      </c>
      <c r="M15" s="112">
        <f t="shared" si="12"/>
        <v>2.8571428571428541</v>
      </c>
      <c r="N15" s="112">
        <f t="shared" si="13"/>
        <v>3.1428571428571459</v>
      </c>
      <c r="O15" s="113">
        <f t="shared" si="14"/>
        <v>34.142857142857146</v>
      </c>
      <c r="P15" s="114"/>
      <c r="Q15" s="115">
        <f t="shared" si="15"/>
        <v>2</v>
      </c>
      <c r="R15" s="116">
        <v>428</v>
      </c>
      <c r="S15" s="136">
        <f t="shared" si="16"/>
        <v>40.659999999999997</v>
      </c>
      <c r="T15" s="118">
        <f t="shared" si="0"/>
        <v>37.409363163337197</v>
      </c>
      <c r="U15" s="119">
        <f t="shared" si="17"/>
        <v>38.435282648154868</v>
      </c>
      <c r="V15" s="120">
        <f t="shared" si="18"/>
        <v>-0.66159129752314172</v>
      </c>
      <c r="W15" s="121">
        <f t="shared" si="19"/>
        <v>-0.44974864973130257</v>
      </c>
      <c r="X15" s="122" t="str">
        <f t="shared" si="1"/>
        <v/>
      </c>
      <c r="Y15" s="123">
        <f t="shared" si="23"/>
        <v>8</v>
      </c>
      <c r="Z15" s="93"/>
      <c r="AA15" s="123">
        <f t="shared" si="24"/>
        <v>8</v>
      </c>
      <c r="AB15" s="124">
        <f t="shared" ref="AB15:AB25" si="30">IF(SUM(O15:P15)=0,"",(SUM(O15:P15)-$O$58)*(S15-$S$58))</f>
        <v>6.8791326880466599</v>
      </c>
      <c r="AC15" s="119">
        <f t="shared" ref="AC15:AC25" si="31">IF(SUM(O15:P15)=0,"",POWER((SUM(O15:P15)-$P$58),2))</f>
        <v>1165.7346938775513</v>
      </c>
      <c r="AD15" s="150"/>
      <c r="AE15" s="151"/>
      <c r="AF15" s="151"/>
      <c r="AG15" s="152"/>
      <c r="AH15" s="123">
        <f t="shared" si="25"/>
        <v>8</v>
      </c>
      <c r="AI15" s="127">
        <f t="shared" ref="AI15:AI25" si="32">IFERROR(POWER(S15-T15,2),"")</f>
        <v>10.566639843869133</v>
      </c>
      <c r="AJ15" s="45"/>
      <c r="AK15" s="123">
        <f t="shared" si="26"/>
        <v>8</v>
      </c>
      <c r="AL15" s="124">
        <f t="shared" ref="AL15:AL25" si="33">IF(SUM(O15:P15)=0,"",(SUM(O15:P15)-$P$58*(S15-$S$58)))</f>
        <v>34.142857142857146</v>
      </c>
      <c r="AM15" s="119">
        <f t="shared" ref="AM15:AM25" si="34">IF(SUM(O15:P15)=0,"",POWER((SUM(O15:P15)-$P$58),2))</f>
        <v>1165.7346938775513</v>
      </c>
      <c r="AN15" s="153"/>
      <c r="AO15" s="153"/>
      <c r="AP15" s="153"/>
      <c r="AQ15" s="153"/>
      <c r="AR15" s="108">
        <f t="shared" si="27"/>
        <v>8</v>
      </c>
      <c r="AS15" s="129">
        <f t="shared" ref="AS15:AS25" si="35">IFERROR(POWER(S15-U15,2),"")</f>
        <v>4.9493672956008039</v>
      </c>
      <c r="AT15" s="102"/>
      <c r="AU15" s="123">
        <f t="shared" si="28"/>
        <v>8</v>
      </c>
      <c r="AV15" s="130">
        <f t="shared" ref="AV15:AV25" si="36">IFERROR((U15-$U$58)*(S15-$U$58),"")</f>
        <v>0.15584874958328032</v>
      </c>
      <c r="AW15" s="131">
        <f t="shared" ref="AW15:AW25" si="37">IFERROR(POWER((U15-$U$58),2),"")</f>
        <v>4.620772644861995E-3</v>
      </c>
      <c r="AX15" s="132">
        <f t="shared" ref="AX15:AX25" si="38">IFERROR(POWER((S15-$U$58),2),"")</f>
        <v>5.2564440221225022</v>
      </c>
      <c r="AY15" s="98"/>
      <c r="AZ15" s="133">
        <f t="shared" si="29"/>
        <v>8</v>
      </c>
      <c r="BA15" s="134">
        <f t="shared" si="10"/>
        <v>34.142857142857146</v>
      </c>
      <c r="BB15" s="135">
        <f t="shared" si="21"/>
        <v>40.659999999999997</v>
      </c>
      <c r="BC15" s="107" t="str">
        <f t="shared" si="11"/>
        <v/>
      </c>
    </row>
    <row r="16" spans="1:55" ht="13.5" thickBot="1" x14ac:dyDescent="0.3">
      <c r="A16" s="76"/>
      <c r="B16" s="108">
        <f t="shared" si="22"/>
        <v>9</v>
      </c>
      <c r="C16" s="109">
        <v>31</v>
      </c>
      <c r="D16" s="110">
        <v>28</v>
      </c>
      <c r="E16" s="110">
        <v>28</v>
      </c>
      <c r="F16" s="110">
        <v>33</v>
      </c>
      <c r="G16" s="110">
        <v>29</v>
      </c>
      <c r="H16" s="110">
        <v>34</v>
      </c>
      <c r="I16" s="110">
        <v>32</v>
      </c>
      <c r="J16" s="110"/>
      <c r="K16" s="110"/>
      <c r="L16" s="111">
        <v>32</v>
      </c>
      <c r="M16" s="112">
        <f t="shared" si="12"/>
        <v>3.125</v>
      </c>
      <c r="N16" s="112">
        <f t="shared" si="13"/>
        <v>2.875</v>
      </c>
      <c r="O16" s="113">
        <f t="shared" si="14"/>
        <v>30.875</v>
      </c>
      <c r="P16" s="114"/>
      <c r="Q16" s="115">
        <f t="shared" si="15"/>
        <v>1</v>
      </c>
      <c r="R16" s="116">
        <v>360.6</v>
      </c>
      <c r="S16" s="136">
        <f t="shared" si="16"/>
        <v>34.256999999999998</v>
      </c>
      <c r="T16" s="118">
        <f t="shared" si="0"/>
        <v>37.369242498199469</v>
      </c>
      <c r="U16" s="119">
        <f t="shared" si="17"/>
        <v>38.334623370488522</v>
      </c>
      <c r="V16" s="120">
        <f t="shared" si="18"/>
        <v>0.63342435838028477</v>
      </c>
      <c r="W16" s="121">
        <f t="shared" si="19"/>
        <v>0.82433195545897908</v>
      </c>
      <c r="X16" s="122" t="str">
        <f t="shared" si="1"/>
        <v/>
      </c>
      <c r="Y16" s="123">
        <f t="shared" si="23"/>
        <v>9</v>
      </c>
      <c r="Z16" s="93"/>
      <c r="AA16" s="123">
        <f t="shared" si="24"/>
        <v>9</v>
      </c>
      <c r="AB16" s="124">
        <f t="shared" si="30"/>
        <v>3.6526816166180738</v>
      </c>
      <c r="AC16" s="119">
        <f t="shared" si="31"/>
        <v>953.265625</v>
      </c>
      <c r="AD16" s="154"/>
      <c r="AE16" s="155"/>
      <c r="AF16" s="155"/>
      <c r="AG16" s="156"/>
      <c r="AH16" s="123">
        <f t="shared" si="25"/>
        <v>9</v>
      </c>
      <c r="AI16" s="127">
        <f t="shared" si="32"/>
        <v>9.6860533675988858</v>
      </c>
      <c r="AJ16" s="45"/>
      <c r="AK16" s="123">
        <f t="shared" si="26"/>
        <v>9</v>
      </c>
      <c r="AL16" s="124">
        <f t="shared" si="33"/>
        <v>30.875</v>
      </c>
      <c r="AM16" s="119">
        <f t="shared" si="34"/>
        <v>953.265625</v>
      </c>
      <c r="AN16" s="157"/>
      <c r="AO16" s="157"/>
      <c r="AP16" s="157"/>
      <c r="AQ16" s="157"/>
      <c r="AR16" s="108">
        <f t="shared" si="27"/>
        <v>9</v>
      </c>
      <c r="AS16" s="129">
        <f t="shared" si="35"/>
        <v>16.627012351554193</v>
      </c>
      <c r="AT16" s="102"/>
      <c r="AU16" s="123">
        <f t="shared" si="28"/>
        <v>9</v>
      </c>
      <c r="AV16" s="130">
        <f t="shared" si="36"/>
        <v>0.13433719431818944</v>
      </c>
      <c r="AW16" s="131">
        <f t="shared" si="37"/>
        <v>1.0681792969896139E-3</v>
      </c>
      <c r="AX16" s="132">
        <f t="shared" si="38"/>
        <v>16.894618560893583</v>
      </c>
      <c r="AY16" s="98"/>
      <c r="AZ16" s="133">
        <f t="shared" si="29"/>
        <v>9</v>
      </c>
      <c r="BA16" s="134">
        <f t="shared" si="10"/>
        <v>30.875</v>
      </c>
      <c r="BB16" s="135">
        <f t="shared" si="21"/>
        <v>34.256999999999998</v>
      </c>
      <c r="BC16" s="107" t="str">
        <f t="shared" si="11"/>
        <v/>
      </c>
    </row>
    <row r="17" spans="1:55" x14ac:dyDescent="0.25">
      <c r="A17" s="76"/>
      <c r="B17" s="108">
        <f t="shared" si="22"/>
        <v>10</v>
      </c>
      <c r="C17" s="109">
        <v>28</v>
      </c>
      <c r="D17" s="110"/>
      <c r="E17" s="110">
        <v>29</v>
      </c>
      <c r="F17" s="110">
        <v>32</v>
      </c>
      <c r="G17" s="110"/>
      <c r="H17" s="110">
        <v>29</v>
      </c>
      <c r="I17" s="110">
        <v>33</v>
      </c>
      <c r="J17" s="110">
        <v>29</v>
      </c>
      <c r="K17" s="110">
        <v>35</v>
      </c>
      <c r="L17" s="111">
        <v>34</v>
      </c>
      <c r="M17" s="112">
        <f t="shared" si="12"/>
        <v>3.875</v>
      </c>
      <c r="N17" s="112">
        <f t="shared" si="13"/>
        <v>3.125</v>
      </c>
      <c r="O17" s="113">
        <f t="shared" si="14"/>
        <v>31.125</v>
      </c>
      <c r="P17" s="114"/>
      <c r="Q17" s="115">
        <f t="shared" si="15"/>
        <v>1</v>
      </c>
      <c r="R17" s="116">
        <v>336</v>
      </c>
      <c r="S17" s="136">
        <f t="shared" si="16"/>
        <v>31.919999999999998</v>
      </c>
      <c r="T17" s="118">
        <f t="shared" si="0"/>
        <v>37.372311838701812</v>
      </c>
      <c r="U17" s="119">
        <f t="shared" si="17"/>
        <v>38.342324080255345</v>
      </c>
      <c r="V17" s="120">
        <f t="shared" si="18"/>
        <v>1.1096908837010475</v>
      </c>
      <c r="W17" s="121">
        <f t="shared" si="19"/>
        <v>1.2983364294956723</v>
      </c>
      <c r="X17" s="122" t="str">
        <f t="shared" si="1"/>
        <v/>
      </c>
      <c r="Y17" s="123">
        <f t="shared" si="23"/>
        <v>10</v>
      </c>
      <c r="Z17" s="93"/>
      <c r="AA17" s="123">
        <f t="shared" si="24"/>
        <v>10</v>
      </c>
      <c r="AB17" s="124">
        <f t="shared" si="30"/>
        <v>5.0170212084548114</v>
      </c>
      <c r="AC17" s="119">
        <f t="shared" si="31"/>
        <v>968.765625</v>
      </c>
      <c r="AH17" s="123">
        <f t="shared" si="25"/>
        <v>10</v>
      </c>
      <c r="AI17" s="127">
        <f t="shared" si="32"/>
        <v>29.727704386447954</v>
      </c>
      <c r="AJ17" s="45"/>
      <c r="AK17" s="123">
        <f t="shared" si="26"/>
        <v>10</v>
      </c>
      <c r="AL17" s="124">
        <f t="shared" si="33"/>
        <v>31.125</v>
      </c>
      <c r="AM17" s="119">
        <f t="shared" si="34"/>
        <v>968.765625</v>
      </c>
      <c r="AR17" s="108">
        <f t="shared" si="27"/>
        <v>10</v>
      </c>
      <c r="AS17" s="129">
        <f t="shared" si="35"/>
        <v>41.246246591827685</v>
      </c>
      <c r="AT17" s="102"/>
      <c r="AU17" s="123">
        <f t="shared" si="28"/>
        <v>10</v>
      </c>
      <c r="AV17" s="130">
        <f t="shared" si="36"/>
        <v>0.16106855897374936</v>
      </c>
      <c r="AW17" s="131">
        <f t="shared" si="37"/>
        <v>6.241154429072834E-4</v>
      </c>
      <c r="AX17" s="132">
        <f t="shared" si="38"/>
        <v>41.56775959433228</v>
      </c>
      <c r="AY17" s="98"/>
      <c r="AZ17" s="133">
        <f t="shared" si="29"/>
        <v>10</v>
      </c>
      <c r="BA17" s="134">
        <f t="shared" si="10"/>
        <v>31.125</v>
      </c>
      <c r="BB17" s="135">
        <f t="shared" si="21"/>
        <v>31.919999999999998</v>
      </c>
      <c r="BC17" s="107" t="str">
        <f t="shared" si="11"/>
        <v/>
      </c>
    </row>
    <row r="18" spans="1:55" x14ac:dyDescent="0.25">
      <c r="A18" s="76"/>
      <c r="B18" s="108">
        <f t="shared" si="22"/>
        <v>11</v>
      </c>
      <c r="C18" s="109">
        <v>32</v>
      </c>
      <c r="D18" s="110">
        <v>30</v>
      </c>
      <c r="E18" s="110">
        <v>30</v>
      </c>
      <c r="F18" s="110">
        <v>29</v>
      </c>
      <c r="G18" s="110">
        <v>29</v>
      </c>
      <c r="H18" s="110"/>
      <c r="I18" s="110">
        <v>30</v>
      </c>
      <c r="J18" s="110">
        <v>30</v>
      </c>
      <c r="K18" s="110">
        <v>29</v>
      </c>
      <c r="L18" s="111">
        <v>28</v>
      </c>
      <c r="M18" s="112">
        <f t="shared" si="12"/>
        <v>2.3333333333333321</v>
      </c>
      <c r="N18" s="112">
        <f t="shared" si="13"/>
        <v>1.6666666666666679</v>
      </c>
      <c r="O18" s="113">
        <f t="shared" si="14"/>
        <v>29.666666666666668</v>
      </c>
      <c r="P18" s="114"/>
      <c r="Q18" s="115">
        <f t="shared" si="15"/>
        <v>1</v>
      </c>
      <c r="R18" s="116">
        <v>364.6</v>
      </c>
      <c r="S18" s="136">
        <f t="shared" si="16"/>
        <v>34.637</v>
      </c>
      <c r="T18" s="118">
        <f t="shared" si="0"/>
        <v>37.354407352438159</v>
      </c>
      <c r="U18" s="119">
        <f t="shared" si="17"/>
        <v>38.2974032732822</v>
      </c>
      <c r="V18" s="120">
        <f t="shared" si="18"/>
        <v>0.55306487514125846</v>
      </c>
      <c r="W18" s="121">
        <f t="shared" si="19"/>
        <v>0.73998678001290286</v>
      </c>
      <c r="X18" s="122" t="str">
        <f t="shared" si="1"/>
        <v/>
      </c>
      <c r="Y18" s="123">
        <f t="shared" si="23"/>
        <v>11</v>
      </c>
      <c r="Z18" s="93"/>
      <c r="AA18" s="123">
        <f t="shared" si="24"/>
        <v>11</v>
      </c>
      <c r="AB18" s="124">
        <f t="shared" si="30"/>
        <v>6.5275318717201003</v>
      </c>
      <c r="AC18" s="119">
        <f t="shared" si="31"/>
        <v>880.1111111111112</v>
      </c>
      <c r="AH18" s="123">
        <f t="shared" si="25"/>
        <v>11</v>
      </c>
      <c r="AI18" s="127">
        <f t="shared" si="32"/>
        <v>7.3843027190849613</v>
      </c>
      <c r="AJ18" s="45"/>
      <c r="AK18" s="123">
        <f t="shared" si="26"/>
        <v>11</v>
      </c>
      <c r="AL18" s="124">
        <f t="shared" si="33"/>
        <v>29.666666666666668</v>
      </c>
      <c r="AM18" s="119">
        <f t="shared" si="34"/>
        <v>880.1111111111112</v>
      </c>
      <c r="AR18" s="108">
        <f t="shared" si="27"/>
        <v>11</v>
      </c>
      <c r="AS18" s="129">
        <f t="shared" si="35"/>
        <v>13.398552123055039</v>
      </c>
      <c r="AT18" s="102"/>
      <c r="AU18" s="123">
        <f t="shared" si="28"/>
        <v>11</v>
      </c>
      <c r="AV18" s="130">
        <f t="shared" si="36"/>
        <v>0.26076001580003239</v>
      </c>
      <c r="AW18" s="131">
        <f t="shared" si="37"/>
        <v>4.8864447271818219E-3</v>
      </c>
      <c r="AX18" s="132">
        <f t="shared" si="38"/>
        <v>13.91518570992792</v>
      </c>
      <c r="AY18" s="98"/>
      <c r="AZ18" s="133">
        <f t="shared" si="29"/>
        <v>11</v>
      </c>
      <c r="BA18" s="134">
        <f t="shared" si="10"/>
        <v>29.666666666666668</v>
      </c>
      <c r="BB18" s="135">
        <f t="shared" si="21"/>
        <v>34.637</v>
      </c>
      <c r="BC18" s="107" t="str">
        <f t="shared" si="11"/>
        <v/>
      </c>
    </row>
    <row r="19" spans="1:55" x14ac:dyDescent="0.25">
      <c r="A19" s="76"/>
      <c r="B19" s="108">
        <f t="shared" si="22"/>
        <v>12</v>
      </c>
      <c r="C19" s="109">
        <v>28</v>
      </c>
      <c r="D19" s="110"/>
      <c r="E19" s="110">
        <v>33</v>
      </c>
      <c r="F19" s="110">
        <v>28</v>
      </c>
      <c r="G19" s="110">
        <v>29</v>
      </c>
      <c r="H19" s="110">
        <v>35</v>
      </c>
      <c r="I19" s="110">
        <v>33</v>
      </c>
      <c r="J19" s="110">
        <v>34</v>
      </c>
      <c r="K19" s="110">
        <v>34</v>
      </c>
      <c r="L19" s="158">
        <v>34</v>
      </c>
      <c r="M19" s="112">
        <f t="shared" si="12"/>
        <v>3</v>
      </c>
      <c r="N19" s="112">
        <f t="shared" si="13"/>
        <v>4</v>
      </c>
      <c r="O19" s="113">
        <f t="shared" si="14"/>
        <v>32</v>
      </c>
      <c r="P19" s="114"/>
      <c r="Q19" s="115">
        <f t="shared" si="15"/>
        <v>1</v>
      </c>
      <c r="R19" s="116">
        <v>410</v>
      </c>
      <c r="S19" s="136">
        <f t="shared" si="16"/>
        <v>38.949999999999996</v>
      </c>
      <c r="T19" s="118">
        <f t="shared" si="0"/>
        <v>37.383054530460001</v>
      </c>
      <c r="U19" s="119">
        <f t="shared" si="17"/>
        <v>38.369276564439232</v>
      </c>
      <c r="V19" s="120">
        <f t="shared" si="18"/>
        <v>-0.31891519675426361</v>
      </c>
      <c r="W19" s="121">
        <f t="shared" si="19"/>
        <v>-0.11739899488542224</v>
      </c>
      <c r="X19" s="122" t="str">
        <f t="shared" si="1"/>
        <v/>
      </c>
      <c r="Y19" s="123">
        <f t="shared" si="23"/>
        <v>12</v>
      </c>
      <c r="Z19" s="159"/>
      <c r="AA19" s="123">
        <f t="shared" si="24"/>
        <v>12</v>
      </c>
      <c r="AB19" s="124">
        <f t="shared" si="30"/>
        <v>-6.7771393586007422E-2</v>
      </c>
      <c r="AC19" s="119">
        <f t="shared" si="31"/>
        <v>1024</v>
      </c>
      <c r="AH19" s="123">
        <f t="shared" si="25"/>
        <v>12</v>
      </c>
      <c r="AI19" s="127">
        <f t="shared" si="32"/>
        <v>2.4553181045119152</v>
      </c>
      <c r="AJ19" s="45"/>
      <c r="AK19" s="123">
        <f t="shared" si="26"/>
        <v>12</v>
      </c>
      <c r="AL19" s="124">
        <f t="shared" si="33"/>
        <v>32</v>
      </c>
      <c r="AM19" s="119">
        <f t="shared" si="34"/>
        <v>1024</v>
      </c>
      <c r="AR19" s="108">
        <f t="shared" si="27"/>
        <v>12</v>
      </c>
      <c r="AS19" s="129">
        <f t="shared" si="35"/>
        <v>0.33723970860949604</v>
      </c>
      <c r="AT19" s="102"/>
      <c r="AU19" s="123">
        <f t="shared" si="28"/>
        <v>12</v>
      </c>
      <c r="AV19" s="130">
        <f t="shared" si="36"/>
        <v>1.1480122369485119E-3</v>
      </c>
      <c r="AW19" s="131">
        <f t="shared" si="37"/>
        <v>3.8816154964128275E-6</v>
      </c>
      <c r="AX19" s="132">
        <f t="shared" si="38"/>
        <v>0.33953185146789666</v>
      </c>
      <c r="AY19" s="98"/>
      <c r="AZ19" s="133">
        <f t="shared" si="29"/>
        <v>12</v>
      </c>
      <c r="BA19" s="134">
        <f t="shared" si="10"/>
        <v>32</v>
      </c>
      <c r="BB19" s="135">
        <f t="shared" si="21"/>
        <v>38.949999999999996</v>
      </c>
      <c r="BC19" s="107" t="str">
        <f t="shared" si="11"/>
        <v/>
      </c>
    </row>
    <row r="20" spans="1:55" x14ac:dyDescent="0.25">
      <c r="A20" s="76"/>
      <c r="B20" s="108">
        <f t="shared" si="22"/>
        <v>13</v>
      </c>
      <c r="C20" s="109">
        <v>30</v>
      </c>
      <c r="D20" s="110">
        <v>25</v>
      </c>
      <c r="E20" s="110">
        <v>23</v>
      </c>
      <c r="F20" s="110">
        <v>26</v>
      </c>
      <c r="G20" s="110"/>
      <c r="H20" s="110">
        <v>30</v>
      </c>
      <c r="I20" s="110">
        <v>28</v>
      </c>
      <c r="J20" s="110"/>
      <c r="K20" s="110">
        <v>24</v>
      </c>
      <c r="L20" s="111">
        <v>28</v>
      </c>
      <c r="M20" s="112">
        <f t="shared" si="12"/>
        <v>3.25</v>
      </c>
      <c r="N20" s="112">
        <f t="shared" si="13"/>
        <v>3.75</v>
      </c>
      <c r="O20" s="113">
        <f t="shared" si="14"/>
        <v>26.75</v>
      </c>
      <c r="P20" s="114"/>
      <c r="Q20" s="115">
        <f t="shared" si="15"/>
        <v>1</v>
      </c>
      <c r="R20" s="116">
        <v>333.5</v>
      </c>
      <c r="S20" s="136">
        <f t="shared" si="16"/>
        <v>31.682500000000001</v>
      </c>
      <c r="T20" s="118">
        <f t="shared" si="0"/>
        <v>37.318598379910867</v>
      </c>
      <c r="U20" s="119">
        <f t="shared" si="17"/>
        <v>38.207561659335916</v>
      </c>
      <c r="V20" s="120">
        <f t="shared" si="18"/>
        <v>1.1470963468073527</v>
      </c>
      <c r="W20" s="121">
        <f t="shared" si="19"/>
        <v>1.3191058487793517</v>
      </c>
      <c r="X20" s="122" t="str">
        <f t="shared" si="1"/>
        <v/>
      </c>
      <c r="Y20" s="123">
        <f t="shared" si="23"/>
        <v>13</v>
      </c>
      <c r="Z20" s="160"/>
      <c r="AA20" s="123">
        <f t="shared" si="24"/>
        <v>13</v>
      </c>
      <c r="AB20" s="124">
        <f t="shared" si="30"/>
        <v>30.177359218658857</v>
      </c>
      <c r="AC20" s="119">
        <f t="shared" si="31"/>
        <v>715.5625</v>
      </c>
      <c r="AH20" s="123">
        <f t="shared" si="25"/>
        <v>13</v>
      </c>
      <c r="AI20" s="127">
        <f t="shared" si="32"/>
        <v>31.765604948033889</v>
      </c>
      <c r="AJ20" s="45"/>
      <c r="AK20" s="123">
        <f t="shared" si="26"/>
        <v>13</v>
      </c>
      <c r="AL20" s="124">
        <f t="shared" si="33"/>
        <v>26.75</v>
      </c>
      <c r="AM20" s="119">
        <f t="shared" si="34"/>
        <v>715.5625</v>
      </c>
      <c r="AR20" s="108">
        <f t="shared" si="27"/>
        <v>13</v>
      </c>
      <c r="AS20" s="129">
        <f t="shared" si="35"/>
        <v>42.576429658135559</v>
      </c>
      <c r="AT20" s="102"/>
      <c r="AU20" s="123">
        <f t="shared" si="28"/>
        <v>13</v>
      </c>
      <c r="AV20" s="130">
        <f t="shared" si="36"/>
        <v>1.0678625473703234</v>
      </c>
      <c r="AW20" s="131">
        <f t="shared" si="37"/>
        <v>2.5518376690440207E-2</v>
      </c>
      <c r="AX20" s="132">
        <f t="shared" si="38"/>
        <v>44.686636376185767</v>
      </c>
      <c r="AY20" s="98"/>
      <c r="AZ20" s="133">
        <f t="shared" si="29"/>
        <v>13</v>
      </c>
      <c r="BA20" s="134">
        <f t="shared" si="10"/>
        <v>26.75</v>
      </c>
      <c r="BB20" s="135">
        <f t="shared" si="21"/>
        <v>31.682500000000001</v>
      </c>
      <c r="BC20" s="107" t="str">
        <f t="shared" si="11"/>
        <v/>
      </c>
    </row>
    <row r="21" spans="1:55" x14ac:dyDescent="0.25">
      <c r="A21" s="76"/>
      <c r="B21" s="108">
        <f t="shared" si="22"/>
        <v>14</v>
      </c>
      <c r="C21" s="109">
        <v>26</v>
      </c>
      <c r="D21" s="110">
        <v>30</v>
      </c>
      <c r="E21" s="110">
        <v>29</v>
      </c>
      <c r="F21" s="110"/>
      <c r="G21" s="110"/>
      <c r="H21" s="110">
        <v>28</v>
      </c>
      <c r="I21" s="110">
        <v>28</v>
      </c>
      <c r="J21" s="110">
        <v>24</v>
      </c>
      <c r="K21" s="110">
        <v>28</v>
      </c>
      <c r="L21" s="111">
        <v>28</v>
      </c>
      <c r="M21" s="112">
        <f t="shared" si="12"/>
        <v>2.375</v>
      </c>
      <c r="N21" s="112">
        <f t="shared" si="13"/>
        <v>3.625</v>
      </c>
      <c r="O21" s="113">
        <f t="shared" si="14"/>
        <v>27.625</v>
      </c>
      <c r="P21" s="114"/>
      <c r="Q21" s="115">
        <f t="shared" si="15"/>
        <v>1</v>
      </c>
      <c r="R21" s="116">
        <v>352.6</v>
      </c>
      <c r="S21" s="136">
        <f t="shared" si="16"/>
        <v>33.497</v>
      </c>
      <c r="T21" s="118">
        <f t="shared" si="0"/>
        <v>37.329341071669056</v>
      </c>
      <c r="U21" s="119">
        <f t="shared" si="17"/>
        <v>38.234514143519803</v>
      </c>
      <c r="V21" s="120">
        <f t="shared" si="18"/>
        <v>0.77998362461176074</v>
      </c>
      <c r="W21" s="121">
        <f t="shared" si="19"/>
        <v>0.95773541181032928</v>
      </c>
      <c r="X21" s="122" t="str">
        <f t="shared" si="1"/>
        <v/>
      </c>
      <c r="Y21" s="123">
        <f t="shared" si="23"/>
        <v>14</v>
      </c>
      <c r="Z21" s="159"/>
      <c r="AA21" s="123">
        <f t="shared" si="24"/>
        <v>14</v>
      </c>
      <c r="AB21" s="124">
        <f t="shared" si="30"/>
        <v>17.171966820699684</v>
      </c>
      <c r="AC21" s="119">
        <f t="shared" si="31"/>
        <v>763.140625</v>
      </c>
      <c r="AH21" s="123">
        <f t="shared" si="25"/>
        <v>14</v>
      </c>
      <c r="AI21" s="127">
        <f t="shared" si="32"/>
        <v>14.68683808960153</v>
      </c>
      <c r="AJ21" s="45"/>
      <c r="AK21" s="123">
        <f t="shared" si="26"/>
        <v>14</v>
      </c>
      <c r="AL21" s="124">
        <f t="shared" si="33"/>
        <v>27.625</v>
      </c>
      <c r="AM21" s="119">
        <f t="shared" si="34"/>
        <v>763.140625</v>
      </c>
      <c r="AR21" s="108">
        <f t="shared" si="27"/>
        <v>14</v>
      </c>
      <c r="AS21" s="129">
        <f t="shared" si="35"/>
        <v>22.444040260050173</v>
      </c>
      <c r="AT21" s="102"/>
      <c r="AU21" s="123">
        <f t="shared" si="28"/>
        <v>14</v>
      </c>
      <c r="AV21" s="130">
        <f t="shared" si="36"/>
        <v>0.64673889080043823</v>
      </c>
      <c r="AW21" s="131">
        <f t="shared" si="37"/>
        <v>1.7633778826202772E-2</v>
      </c>
      <c r="AX21" s="132">
        <f t="shared" si="38"/>
        <v>23.719884262824849</v>
      </c>
      <c r="AY21" s="98"/>
      <c r="AZ21" s="133">
        <f t="shared" si="29"/>
        <v>14</v>
      </c>
      <c r="BA21" s="134">
        <f t="shared" si="10"/>
        <v>27.625</v>
      </c>
      <c r="BB21" s="135">
        <f t="shared" si="21"/>
        <v>33.497</v>
      </c>
      <c r="BC21" s="107" t="str">
        <f t="shared" si="11"/>
        <v/>
      </c>
    </row>
    <row r="22" spans="1:55" x14ac:dyDescent="0.25">
      <c r="A22" s="76"/>
      <c r="B22" s="108">
        <f t="shared" si="22"/>
        <v>15</v>
      </c>
      <c r="C22" s="109"/>
      <c r="D22" s="110">
        <v>37</v>
      </c>
      <c r="E22" s="110">
        <v>34</v>
      </c>
      <c r="F22" s="110">
        <v>33</v>
      </c>
      <c r="G22" s="110">
        <v>33</v>
      </c>
      <c r="H22" s="110">
        <v>38</v>
      </c>
      <c r="I22" s="110">
        <v>38</v>
      </c>
      <c r="J22" s="110">
        <v>35</v>
      </c>
      <c r="K22" s="110">
        <v>32</v>
      </c>
      <c r="L22" s="111"/>
      <c r="M22" s="112">
        <f t="shared" si="12"/>
        <v>3</v>
      </c>
      <c r="N22" s="112">
        <f t="shared" si="13"/>
        <v>3</v>
      </c>
      <c r="O22" s="113">
        <f t="shared" si="14"/>
        <v>35</v>
      </c>
      <c r="P22" s="114"/>
      <c r="Q22" s="115">
        <f t="shared" si="15"/>
        <v>2</v>
      </c>
      <c r="R22" s="116">
        <v>447</v>
      </c>
      <c r="S22" s="136">
        <f t="shared" si="16"/>
        <v>42.465000000000003</v>
      </c>
      <c r="T22" s="118">
        <f t="shared" si="0"/>
        <v>37.419886616488078</v>
      </c>
      <c r="U22" s="119">
        <f t="shared" si="17"/>
        <v>38.461685081641122</v>
      </c>
      <c r="V22" s="120">
        <f t="shared" si="18"/>
        <v>-1.0268151372380652</v>
      </c>
      <c r="W22" s="121">
        <f t="shared" si="19"/>
        <v>-0.80930976579465519</v>
      </c>
      <c r="X22" s="122" t="str">
        <f t="shared" si="1"/>
        <v/>
      </c>
      <c r="Y22" s="123">
        <f t="shared" si="23"/>
        <v>15</v>
      </c>
      <c r="Z22" s="159"/>
      <c r="AA22" s="123">
        <f t="shared" si="24"/>
        <v>15</v>
      </c>
      <c r="AB22" s="124">
        <f t="shared" si="30"/>
        <v>15.024393912536468</v>
      </c>
      <c r="AC22" s="119">
        <f t="shared" si="31"/>
        <v>1225</v>
      </c>
      <c r="AH22" s="123">
        <f t="shared" si="25"/>
        <v>15</v>
      </c>
      <c r="AI22" s="127">
        <f t="shared" si="32"/>
        <v>25.453169052491145</v>
      </c>
      <c r="AJ22" s="45"/>
      <c r="AK22" s="123">
        <f t="shared" si="26"/>
        <v>15</v>
      </c>
      <c r="AL22" s="124">
        <f t="shared" si="33"/>
        <v>35</v>
      </c>
      <c r="AM22" s="119">
        <f t="shared" si="34"/>
        <v>1225</v>
      </c>
      <c r="AR22" s="108">
        <f t="shared" si="27"/>
        <v>15</v>
      </c>
      <c r="AS22" s="129">
        <f t="shared" si="35"/>
        <v>16.026530335554781</v>
      </c>
      <c r="AT22" s="102"/>
      <c r="AU22" s="123">
        <f t="shared" si="28"/>
        <v>15</v>
      </c>
      <c r="AV22" s="130">
        <f t="shared" si="36"/>
        <v>0.38673499163328295</v>
      </c>
      <c r="AW22" s="131">
        <f t="shared" si="37"/>
        <v>8.9073387855944687E-3</v>
      </c>
      <c r="AX22" s="132">
        <f t="shared" si="38"/>
        <v>16.791092980035753</v>
      </c>
      <c r="AY22" s="98"/>
      <c r="AZ22" s="133">
        <f t="shared" si="29"/>
        <v>15</v>
      </c>
      <c r="BA22" s="134">
        <f t="shared" si="10"/>
        <v>35</v>
      </c>
      <c r="BB22" s="135">
        <f t="shared" si="21"/>
        <v>42.465000000000003</v>
      </c>
      <c r="BC22" s="107" t="str">
        <f t="shared" si="11"/>
        <v/>
      </c>
    </row>
    <row r="23" spans="1:55" x14ac:dyDescent="0.25">
      <c r="A23" s="76"/>
      <c r="B23" s="108">
        <f t="shared" si="22"/>
        <v>16</v>
      </c>
      <c r="C23" s="109">
        <v>36</v>
      </c>
      <c r="D23" s="110">
        <v>37</v>
      </c>
      <c r="E23" s="110">
        <v>36</v>
      </c>
      <c r="F23" s="110">
        <v>41</v>
      </c>
      <c r="G23" s="110">
        <v>36</v>
      </c>
      <c r="H23" s="110">
        <v>37</v>
      </c>
      <c r="I23" s="110">
        <v>42</v>
      </c>
      <c r="J23" s="110">
        <v>38</v>
      </c>
      <c r="K23" s="110">
        <v>37</v>
      </c>
      <c r="L23" s="111">
        <v>41</v>
      </c>
      <c r="M23" s="112">
        <f t="shared" si="12"/>
        <v>3.8999999999999986</v>
      </c>
      <c r="N23" s="112">
        <f t="shared" si="13"/>
        <v>2.1000000000000014</v>
      </c>
      <c r="O23" s="113">
        <f t="shared" si="14"/>
        <v>38.1</v>
      </c>
      <c r="P23" s="114"/>
      <c r="Q23" s="115">
        <f t="shared" si="15"/>
        <v>2</v>
      </c>
      <c r="R23" s="116">
        <v>460</v>
      </c>
      <c r="S23" s="136">
        <f t="shared" si="16"/>
        <v>43.699999999999996</v>
      </c>
      <c r="T23" s="118">
        <f t="shared" si="0"/>
        <v>37.457946438717087</v>
      </c>
      <c r="U23" s="119">
        <f t="shared" si="17"/>
        <v>38.557173882749744</v>
      </c>
      <c r="V23" s="120">
        <f t="shared" si="18"/>
        <v>-1.2704243883047139</v>
      </c>
      <c r="W23" s="121">
        <f t="shared" si="19"/>
        <v>-1.0396732421392079</v>
      </c>
      <c r="X23" s="122" t="str">
        <f t="shared" si="1"/>
        <v/>
      </c>
      <c r="Y23" s="123">
        <f t="shared" si="23"/>
        <v>16</v>
      </c>
      <c r="Z23" s="159"/>
      <c r="AA23" s="123">
        <f t="shared" si="24"/>
        <v>16</v>
      </c>
      <c r="AB23" s="124">
        <f t="shared" si="30"/>
        <v>38.25684554518952</v>
      </c>
      <c r="AC23" s="119">
        <f t="shared" si="31"/>
        <v>1451.6100000000001</v>
      </c>
      <c r="AH23" s="123">
        <f t="shared" si="25"/>
        <v>16</v>
      </c>
      <c r="AI23" s="127">
        <f t="shared" si="32"/>
        <v>38.963232661924643</v>
      </c>
      <c r="AJ23" s="45"/>
      <c r="AK23" s="123">
        <f t="shared" si="26"/>
        <v>16</v>
      </c>
      <c r="AL23" s="124">
        <f t="shared" si="33"/>
        <v>38.1</v>
      </c>
      <c r="AM23" s="119">
        <f t="shared" si="34"/>
        <v>1451.6100000000001</v>
      </c>
      <c r="AR23" s="108">
        <f t="shared" si="27"/>
        <v>16</v>
      </c>
      <c r="AS23" s="129">
        <f t="shared" si="35"/>
        <v>26.4486604722713</v>
      </c>
      <c r="AT23" s="102"/>
      <c r="AU23" s="123">
        <f t="shared" si="28"/>
        <v>16</v>
      </c>
      <c r="AV23" s="130">
        <f t="shared" si="36"/>
        <v>1.0125052048222032</v>
      </c>
      <c r="AW23" s="131">
        <f t="shared" si="37"/>
        <v>3.6049667518358822E-2</v>
      </c>
      <c r="AX23" s="132">
        <f t="shared" si="38"/>
        <v>28.437621214397346</v>
      </c>
      <c r="AY23" s="98"/>
      <c r="AZ23" s="133">
        <f t="shared" si="29"/>
        <v>16</v>
      </c>
      <c r="BA23" s="134">
        <f t="shared" si="10"/>
        <v>38.1</v>
      </c>
      <c r="BB23" s="135">
        <f t="shared" si="21"/>
        <v>43.699999999999996</v>
      </c>
      <c r="BC23" s="107" t="str">
        <f t="shared" si="11"/>
        <v/>
      </c>
    </row>
    <row r="24" spans="1:55" x14ac:dyDescent="0.25">
      <c r="A24" s="76"/>
      <c r="B24" s="108">
        <f t="shared" si="22"/>
        <v>17</v>
      </c>
      <c r="C24" s="109">
        <v>34</v>
      </c>
      <c r="D24" s="110"/>
      <c r="E24" s="110">
        <v>31</v>
      </c>
      <c r="F24" s="110">
        <v>33</v>
      </c>
      <c r="G24" s="110">
        <v>37</v>
      </c>
      <c r="H24" s="110">
        <v>35</v>
      </c>
      <c r="I24" s="110">
        <v>33</v>
      </c>
      <c r="J24" s="110">
        <v>34</v>
      </c>
      <c r="K24" s="110">
        <v>33</v>
      </c>
      <c r="L24" s="111">
        <v>35</v>
      </c>
      <c r="M24" s="112">
        <f t="shared" si="12"/>
        <v>3.1111111111111143</v>
      </c>
      <c r="N24" s="112">
        <f t="shared" si="13"/>
        <v>2.8888888888888857</v>
      </c>
      <c r="O24" s="113">
        <f t="shared" si="14"/>
        <v>33.888888888888886</v>
      </c>
      <c r="P24" s="114"/>
      <c r="Q24" s="115">
        <f t="shared" si="15"/>
        <v>2</v>
      </c>
      <c r="R24" s="116">
        <v>477</v>
      </c>
      <c r="S24" s="136">
        <f t="shared" si="16"/>
        <v>45.314999999999998</v>
      </c>
      <c r="T24" s="118">
        <f t="shared" si="0"/>
        <v>37.406245103144343</v>
      </c>
      <c r="U24" s="119">
        <f t="shared" si="17"/>
        <v>38.427459704899682</v>
      </c>
      <c r="V24" s="120">
        <f t="shared" si="18"/>
        <v>-1.6096425644935881</v>
      </c>
      <c r="W24" s="121">
        <f t="shared" si="19"/>
        <v>-1.3923844955504909</v>
      </c>
      <c r="X24" s="122" t="str">
        <f t="shared" si="1"/>
        <v/>
      </c>
      <c r="Y24" s="123">
        <f t="shared" si="23"/>
        <v>17</v>
      </c>
      <c r="Z24" s="159"/>
      <c r="AA24" s="123">
        <f t="shared" si="24"/>
        <v>17</v>
      </c>
      <c r="AB24" s="124">
        <f t="shared" si="30"/>
        <v>14.638405250404899</v>
      </c>
      <c r="AC24" s="119">
        <f t="shared" si="31"/>
        <v>1148.4567901234566</v>
      </c>
      <c r="AH24" s="123">
        <f t="shared" si="25"/>
        <v>17</v>
      </c>
      <c r="AI24" s="127">
        <f t="shared" si="32"/>
        <v>62.548404018538299</v>
      </c>
      <c r="AJ24" s="45"/>
      <c r="AK24" s="123">
        <f t="shared" si="26"/>
        <v>17</v>
      </c>
      <c r="AL24" s="124">
        <f t="shared" si="33"/>
        <v>33.888888888888886</v>
      </c>
      <c r="AM24" s="119">
        <f t="shared" si="34"/>
        <v>1148.4567901234566</v>
      </c>
      <c r="AR24" s="108">
        <f t="shared" si="27"/>
        <v>17</v>
      </c>
      <c r="AS24" s="129">
        <f t="shared" si="35"/>
        <v>47.438211316630536</v>
      </c>
      <c r="AT24" s="102"/>
      <c r="AU24" s="123">
        <f t="shared" si="28"/>
        <v>17</v>
      </c>
      <c r="AV24" s="130">
        <f t="shared" si="36"/>
        <v>0.41792685165825932</v>
      </c>
      <c r="AW24" s="131">
        <f t="shared" si="37"/>
        <v>3.6184221536696773E-3</v>
      </c>
      <c r="AX24" s="132">
        <f t="shared" si="38"/>
        <v>48.270446597793388</v>
      </c>
      <c r="AY24" s="98"/>
      <c r="AZ24" s="133">
        <f t="shared" si="29"/>
        <v>17</v>
      </c>
      <c r="BA24" s="134">
        <f t="shared" si="10"/>
        <v>33.888888888888886</v>
      </c>
      <c r="BB24" s="135">
        <f t="shared" si="21"/>
        <v>45.314999999999998</v>
      </c>
      <c r="BC24" s="107" t="str">
        <f t="shared" si="11"/>
        <v/>
      </c>
    </row>
    <row r="25" spans="1:55" x14ac:dyDescent="0.25">
      <c r="A25" s="76"/>
      <c r="B25" s="108">
        <f t="shared" si="22"/>
        <v>18</v>
      </c>
      <c r="C25" s="109">
        <v>36</v>
      </c>
      <c r="D25" s="110">
        <v>30</v>
      </c>
      <c r="E25" s="110">
        <v>30</v>
      </c>
      <c r="F25" s="110">
        <v>36</v>
      </c>
      <c r="G25" s="110">
        <v>30</v>
      </c>
      <c r="H25" s="110"/>
      <c r="I25" s="110"/>
      <c r="J25" s="110"/>
      <c r="K25" s="110">
        <v>35</v>
      </c>
      <c r="L25" s="111"/>
      <c r="M25" s="112">
        <f t="shared" si="12"/>
        <v>3.1666666666666643</v>
      </c>
      <c r="N25" s="112">
        <f t="shared" si="13"/>
        <v>2.8333333333333357</v>
      </c>
      <c r="O25" s="113">
        <f t="shared" si="14"/>
        <v>32.833333333333336</v>
      </c>
      <c r="P25" s="114"/>
      <c r="Q25" s="115">
        <f t="shared" si="15"/>
        <v>2</v>
      </c>
      <c r="R25" s="161">
        <v>373.4</v>
      </c>
      <c r="S25" s="136">
        <f t="shared" si="16"/>
        <v>35.472999999999999</v>
      </c>
      <c r="T25" s="118">
        <f t="shared" si="0"/>
        <v>37.393285665467801</v>
      </c>
      <c r="U25" s="119">
        <f t="shared" si="17"/>
        <v>38.394945596995314</v>
      </c>
      <c r="V25" s="120">
        <f t="shared" si="18"/>
        <v>0.39082935094533922</v>
      </c>
      <c r="W25" s="121">
        <f t="shared" si="19"/>
        <v>0.59070024591980164</v>
      </c>
      <c r="X25" s="122" t="str">
        <f t="shared" si="1"/>
        <v/>
      </c>
      <c r="Y25" s="123">
        <f t="shared" si="23"/>
        <v>18</v>
      </c>
      <c r="Z25" s="159"/>
      <c r="AA25" s="123">
        <f t="shared" si="24"/>
        <v>18</v>
      </c>
      <c r="AB25" s="124">
        <f t="shared" si="30"/>
        <v>-1.5094926861030111</v>
      </c>
      <c r="AC25" s="119">
        <f t="shared" si="31"/>
        <v>1078.0277777777778</v>
      </c>
      <c r="AH25" s="123">
        <f t="shared" si="25"/>
        <v>18</v>
      </c>
      <c r="AI25" s="127">
        <f t="shared" si="32"/>
        <v>3.6874970370011173</v>
      </c>
      <c r="AJ25" s="45"/>
      <c r="AK25" s="123">
        <f t="shared" si="26"/>
        <v>18</v>
      </c>
      <c r="AL25" s="124">
        <f t="shared" si="33"/>
        <v>32.833333333333336</v>
      </c>
      <c r="AM25" s="119">
        <f t="shared" si="34"/>
        <v>1078.0277777777778</v>
      </c>
      <c r="AR25" s="108">
        <f t="shared" si="27"/>
        <v>18</v>
      </c>
      <c r="AS25" s="129">
        <f t="shared" si="35"/>
        <v>8.5377660718003057</v>
      </c>
      <c r="AT25" s="102"/>
      <c r="AU25" s="123">
        <f t="shared" si="28"/>
        <v>18</v>
      </c>
      <c r="AV25" s="130">
        <f t="shared" si="36"/>
        <v>-7.9996353919093932E-2</v>
      </c>
      <c r="AW25" s="131">
        <f t="shared" si="37"/>
        <v>7.639261585966271E-4</v>
      </c>
      <c r="AX25" s="132">
        <f t="shared" si="38"/>
        <v>8.3770094378035207</v>
      </c>
      <c r="AY25" s="98"/>
      <c r="AZ25" s="133">
        <f t="shared" si="29"/>
        <v>18</v>
      </c>
      <c r="BA25" s="134">
        <f t="shared" si="10"/>
        <v>32.833333333333336</v>
      </c>
      <c r="BB25" s="135">
        <f t="shared" si="21"/>
        <v>35.472999999999999</v>
      </c>
      <c r="BC25" s="107" t="str">
        <f t="shared" si="11"/>
        <v/>
      </c>
    </row>
    <row r="26" spans="1:55" x14ac:dyDescent="0.25">
      <c r="A26" s="76"/>
      <c r="B26" s="108">
        <f t="shared" si="22"/>
        <v>19</v>
      </c>
      <c r="C26" s="109">
        <v>32</v>
      </c>
      <c r="D26" s="110">
        <v>37</v>
      </c>
      <c r="E26" s="110"/>
      <c r="F26" s="110">
        <v>34</v>
      </c>
      <c r="G26" s="110">
        <v>33</v>
      </c>
      <c r="H26" s="110">
        <v>34</v>
      </c>
      <c r="I26" s="110">
        <v>38</v>
      </c>
      <c r="J26" s="110">
        <v>34</v>
      </c>
      <c r="K26" s="110">
        <v>34</v>
      </c>
      <c r="L26" s="111"/>
      <c r="M26" s="112">
        <f t="shared" si="12"/>
        <v>3.5</v>
      </c>
      <c r="N26" s="112">
        <f t="shared" si="13"/>
        <v>2.5</v>
      </c>
      <c r="O26" s="113">
        <f t="shared" si="14"/>
        <v>34.5</v>
      </c>
      <c r="P26" s="114"/>
      <c r="Q26" s="115">
        <f t="shared" si="15"/>
        <v>2</v>
      </c>
      <c r="R26" s="116">
        <v>234.5</v>
      </c>
      <c r="S26" s="136">
        <f t="shared" si="16"/>
        <v>22.2775</v>
      </c>
      <c r="T26" s="118"/>
      <c r="U26" s="119"/>
      <c r="V26" s="120">
        <f t="shared" si="18"/>
        <v>-4.534065437375304</v>
      </c>
      <c r="W26" s="121">
        <f t="shared" si="19"/>
        <v>-4.5036172959586702</v>
      </c>
      <c r="X26" s="122" t="str">
        <f t="shared" si="1"/>
        <v>Отбраковывается</v>
      </c>
      <c r="Y26" s="123">
        <f t="shared" si="23"/>
        <v>19</v>
      </c>
      <c r="Z26" s="159"/>
      <c r="AA26" s="123">
        <f t="shared" si="24"/>
        <v>19</v>
      </c>
      <c r="AB26" s="124"/>
      <c r="AC26" s="119"/>
      <c r="AH26" s="123">
        <f t="shared" si="25"/>
        <v>19</v>
      </c>
      <c r="AI26" s="127"/>
      <c r="AJ26" s="45"/>
      <c r="AK26" s="123">
        <f t="shared" si="26"/>
        <v>19</v>
      </c>
      <c r="AL26" s="124"/>
      <c r="AM26" s="119"/>
      <c r="AR26" s="108">
        <f t="shared" si="27"/>
        <v>19</v>
      </c>
      <c r="AS26" s="129"/>
      <c r="AT26" s="102"/>
      <c r="AU26" s="123">
        <f t="shared" si="28"/>
        <v>19</v>
      </c>
      <c r="AV26" s="130"/>
      <c r="AW26" s="131"/>
      <c r="AX26" s="132"/>
      <c r="AY26" s="98"/>
      <c r="AZ26" s="133">
        <f t="shared" si="29"/>
        <v>19</v>
      </c>
      <c r="BA26" s="134">
        <f t="shared" si="10"/>
        <v>34.5</v>
      </c>
      <c r="BB26" s="135">
        <f t="shared" si="21"/>
        <v>22.2775</v>
      </c>
      <c r="BC26" s="107">
        <f t="shared" si="11"/>
        <v>22.2775</v>
      </c>
    </row>
    <row r="27" spans="1:55" x14ac:dyDescent="0.25">
      <c r="A27" s="76"/>
      <c r="B27" s="108">
        <f t="shared" si="22"/>
        <v>20</v>
      </c>
      <c r="C27" s="109">
        <v>34</v>
      </c>
      <c r="D27" s="110">
        <v>37</v>
      </c>
      <c r="E27" s="110">
        <v>39</v>
      </c>
      <c r="F27" s="110">
        <v>40</v>
      </c>
      <c r="G27" s="110">
        <v>36</v>
      </c>
      <c r="H27" s="110">
        <v>35</v>
      </c>
      <c r="I27" s="110">
        <v>38</v>
      </c>
      <c r="J27" s="110">
        <v>38</v>
      </c>
      <c r="K27" s="110"/>
      <c r="L27" s="111">
        <v>36</v>
      </c>
      <c r="M27" s="112">
        <f t="shared" si="12"/>
        <v>3</v>
      </c>
      <c r="N27" s="112">
        <f t="shared" si="13"/>
        <v>3</v>
      </c>
      <c r="O27" s="113">
        <f t="shared" si="14"/>
        <v>37</v>
      </c>
      <c r="P27" s="114"/>
      <c r="Q27" s="115">
        <f t="shared" si="15"/>
        <v>2</v>
      </c>
      <c r="R27" s="116">
        <v>413</v>
      </c>
      <c r="S27" s="136">
        <f t="shared" si="16"/>
        <v>39.234999999999992</v>
      </c>
      <c r="T27" s="118">
        <f t="shared" si="0"/>
        <v>37.444441340506799</v>
      </c>
      <c r="U27" s="119">
        <f t="shared" si="17"/>
        <v>38.523290759775719</v>
      </c>
      <c r="V27" s="120">
        <f t="shared" si="18"/>
        <v>-0.3644264451397663</v>
      </c>
      <c r="W27" s="121">
        <f t="shared" si="19"/>
        <v>-0.14387907278499118</v>
      </c>
      <c r="X27" s="122" t="str">
        <f t="shared" si="1"/>
        <v/>
      </c>
      <c r="Y27" s="123">
        <f t="shared" si="23"/>
        <v>20</v>
      </c>
      <c r="Z27" s="159"/>
      <c r="AA27" s="123">
        <f t="shared" si="24"/>
        <v>20</v>
      </c>
      <c r="AB27" s="124">
        <f t="shared" ref="AB27:AB57" si="39">IF(SUM(O27:P27)=0,"",(SUM(O27:P27)-$O$58)*(S27-$S$58))</f>
        <v>9.1769694227405161</v>
      </c>
      <c r="AC27" s="119">
        <f t="shared" ref="AC27:AC57" si="40">IF(SUM(O27:P27)=0,"",POWER((SUM(O27:P27)-$P$58),2))</f>
        <v>1369</v>
      </c>
      <c r="AH27" s="123">
        <f t="shared" si="25"/>
        <v>20</v>
      </c>
      <c r="AI27" s="127">
        <f t="shared" ref="AI27:AI57" si="41">IFERROR(POWER(S27-T27,2),"")</f>
        <v>3.2061003130860612</v>
      </c>
      <c r="AJ27" s="45"/>
      <c r="AK27" s="123">
        <f t="shared" si="26"/>
        <v>20</v>
      </c>
      <c r="AL27" s="124">
        <f t="shared" ref="AL27:AL57" si="42">IF(SUM(O27:P27)=0,"",(SUM(O27:P27)-$P$58*(S27-$S$58)))</f>
        <v>37</v>
      </c>
      <c r="AM27" s="119">
        <f t="shared" ref="AM27:AM57" si="43">IF(SUM(O27:P27)=0,"",POWER((SUM(O27:P27)-$P$58),2))</f>
        <v>1369</v>
      </c>
      <c r="AR27" s="108">
        <f t="shared" si="27"/>
        <v>20</v>
      </c>
      <c r="AS27" s="129">
        <f t="shared" ref="AS27:AS57" si="44">IFERROR(POWER(S27-U27,2),"")</f>
        <v>0.5065300426206123</v>
      </c>
      <c r="AT27" s="102"/>
      <c r="AU27" s="123">
        <f t="shared" si="28"/>
        <v>20</v>
      </c>
      <c r="AV27" s="130">
        <f t="shared" ref="AV27:AV57" si="45">IFERROR((U27-$U$58)*(S27-$U$58),"")</f>
        <v>0.13534664823404882</v>
      </c>
      <c r="AW27" s="131">
        <f t="shared" ref="AW27:AW57" si="46">IFERROR(POWER((U27-$U$58),2),"")</f>
        <v>2.4331125845052249E-2</v>
      </c>
      <c r="AX27" s="132">
        <f t="shared" ref="AX27:AX57" si="47">IFERROR(POWER((S27-$U$58),2),"")</f>
        <v>0.75289221324365774</v>
      </c>
      <c r="AY27" s="98"/>
      <c r="AZ27" s="133">
        <f t="shared" si="29"/>
        <v>20</v>
      </c>
      <c r="BA27" s="134">
        <f t="shared" si="10"/>
        <v>37</v>
      </c>
      <c r="BB27" s="135">
        <f t="shared" si="21"/>
        <v>39.234999999999992</v>
      </c>
      <c r="BC27" s="107" t="str">
        <f t="shared" si="11"/>
        <v/>
      </c>
    </row>
    <row r="28" spans="1:55" x14ac:dyDescent="0.25">
      <c r="A28" s="76"/>
      <c r="B28" s="108">
        <f t="shared" si="22"/>
        <v>21</v>
      </c>
      <c r="C28" s="109">
        <v>38</v>
      </c>
      <c r="D28" s="110">
        <v>39</v>
      </c>
      <c r="E28" s="110"/>
      <c r="F28" s="110">
        <v>42</v>
      </c>
      <c r="G28" s="110">
        <v>36</v>
      </c>
      <c r="H28" s="110">
        <v>38</v>
      </c>
      <c r="I28" s="110">
        <v>36</v>
      </c>
      <c r="J28" s="110">
        <v>41</v>
      </c>
      <c r="K28" s="110">
        <v>37</v>
      </c>
      <c r="L28" s="111">
        <v>38</v>
      </c>
      <c r="M28" s="112">
        <f t="shared" si="12"/>
        <v>3.6666666666666643</v>
      </c>
      <c r="N28" s="112">
        <f t="shared" si="13"/>
        <v>2.3333333333333357</v>
      </c>
      <c r="O28" s="113">
        <f t="shared" si="14"/>
        <v>38.333333333333336</v>
      </c>
      <c r="P28" s="114"/>
      <c r="Q28" s="115">
        <f t="shared" si="15"/>
        <v>2</v>
      </c>
      <c r="R28" s="116">
        <v>457</v>
      </c>
      <c r="S28" s="136">
        <f t="shared" si="16"/>
        <v>43.414999999999999</v>
      </c>
      <c r="T28" s="118">
        <f t="shared" si="0"/>
        <v>37.460811156519277</v>
      </c>
      <c r="U28" s="119">
        <f t="shared" si="17"/>
        <v>38.564361211865446</v>
      </c>
      <c r="V28" s="120">
        <f t="shared" si="18"/>
        <v>-1.2118362402797251</v>
      </c>
      <c r="W28" s="121">
        <f t="shared" si="19"/>
        <v>-0.98060467928137252</v>
      </c>
      <c r="X28" s="122" t="str">
        <f t="shared" si="1"/>
        <v/>
      </c>
      <c r="Y28" s="123">
        <f t="shared" si="23"/>
        <v>21</v>
      </c>
      <c r="Z28" s="159"/>
      <c r="AA28" s="123">
        <f t="shared" si="24"/>
        <v>21</v>
      </c>
      <c r="AB28" s="124">
        <f t="shared" si="39"/>
        <v>37.938006157434444</v>
      </c>
      <c r="AC28" s="119">
        <f t="shared" si="40"/>
        <v>1469.4444444444446</v>
      </c>
      <c r="AH28" s="123">
        <f t="shared" si="25"/>
        <v>21</v>
      </c>
      <c r="AI28" s="127">
        <f t="shared" si="41"/>
        <v>35.452364783830298</v>
      </c>
      <c r="AJ28" s="45"/>
      <c r="AK28" s="123">
        <f t="shared" si="26"/>
        <v>21</v>
      </c>
      <c r="AL28" s="124">
        <f t="shared" si="42"/>
        <v>38.333333333333336</v>
      </c>
      <c r="AM28" s="119">
        <f t="shared" si="43"/>
        <v>1469.4444444444446</v>
      </c>
      <c r="AR28" s="108">
        <f t="shared" si="27"/>
        <v>21</v>
      </c>
      <c r="AS28" s="129">
        <f t="shared" si="44"/>
        <v>23.528696652955446</v>
      </c>
      <c r="AT28" s="102"/>
      <c r="AU28" s="123">
        <f t="shared" si="28"/>
        <v>21</v>
      </c>
      <c r="AV28" s="130">
        <f t="shared" si="45"/>
        <v>0.99467240265233015</v>
      </c>
      <c r="AW28" s="131">
        <f t="shared" si="46"/>
        <v>3.8830605638492929E-2</v>
      </c>
      <c r="AX28" s="132">
        <f t="shared" si="47"/>
        <v>25.479210852621613</v>
      </c>
      <c r="AY28" s="98"/>
      <c r="AZ28" s="133">
        <f t="shared" si="29"/>
        <v>21</v>
      </c>
      <c r="BA28" s="134">
        <f t="shared" si="10"/>
        <v>38.333333333333336</v>
      </c>
      <c r="BB28" s="135">
        <f t="shared" si="21"/>
        <v>43.414999999999999</v>
      </c>
      <c r="BC28" s="107" t="str">
        <f t="shared" si="11"/>
        <v/>
      </c>
    </row>
    <row r="29" spans="1:55" x14ac:dyDescent="0.25">
      <c r="A29" s="76"/>
      <c r="B29" s="108">
        <f t="shared" si="22"/>
        <v>22</v>
      </c>
      <c r="C29" s="109">
        <v>34</v>
      </c>
      <c r="D29" s="110">
        <v>37</v>
      </c>
      <c r="E29" s="110">
        <v>34</v>
      </c>
      <c r="F29" s="110"/>
      <c r="G29" s="110">
        <v>33</v>
      </c>
      <c r="H29" s="110"/>
      <c r="I29" s="110">
        <v>35</v>
      </c>
      <c r="J29" s="110">
        <v>34</v>
      </c>
      <c r="K29" s="110"/>
      <c r="L29" s="111"/>
      <c r="M29" s="112">
        <f t="shared" si="12"/>
        <v>2.5</v>
      </c>
      <c r="N29" s="112">
        <f t="shared" si="13"/>
        <v>1.5</v>
      </c>
      <c r="O29" s="113">
        <f t="shared" si="14"/>
        <v>34.5</v>
      </c>
      <c r="P29" s="114"/>
      <c r="Q29" s="115">
        <f t="shared" si="15"/>
        <v>2</v>
      </c>
      <c r="R29" s="116">
        <v>362.9</v>
      </c>
      <c r="S29" s="136">
        <f t="shared" si="16"/>
        <v>34.475499999999997</v>
      </c>
      <c r="T29" s="118">
        <f t="shared" si="0"/>
        <v>37.4137479354834</v>
      </c>
      <c r="U29" s="119">
        <f t="shared" si="17"/>
        <v>38.446283662107476</v>
      </c>
      <c r="V29" s="120">
        <f t="shared" si="18"/>
        <v>0.59801182406978526</v>
      </c>
      <c r="W29" s="121">
        <f t="shared" si="19"/>
        <v>0.80273325010334873</v>
      </c>
      <c r="X29" s="122" t="str">
        <f t="shared" si="1"/>
        <v/>
      </c>
      <c r="Y29" s="123">
        <f t="shared" si="23"/>
        <v>22</v>
      </c>
      <c r="Z29" s="159"/>
      <c r="AA29" s="123">
        <f t="shared" si="24"/>
        <v>22</v>
      </c>
      <c r="AB29" s="124">
        <f t="shared" si="39"/>
        <v>-7.1443950670553837</v>
      </c>
      <c r="AC29" s="119">
        <f t="shared" si="40"/>
        <v>1190.25</v>
      </c>
      <c r="AH29" s="123">
        <f t="shared" si="25"/>
        <v>22</v>
      </c>
      <c r="AI29" s="127">
        <f t="shared" si="41"/>
        <v>8.6333009303724815</v>
      </c>
      <c r="AJ29" s="45"/>
      <c r="AK29" s="123">
        <f t="shared" si="26"/>
        <v>22</v>
      </c>
      <c r="AL29" s="124">
        <f t="shared" si="42"/>
        <v>34.5</v>
      </c>
      <c r="AM29" s="119">
        <f t="shared" si="43"/>
        <v>1190.25</v>
      </c>
      <c r="AR29" s="108">
        <f t="shared" si="27"/>
        <v>22</v>
      </c>
      <c r="AS29" s="129">
        <f t="shared" si="44"/>
        <v>15.767122891259682</v>
      </c>
      <c r="AT29" s="102"/>
      <c r="AU29" s="123">
        <f t="shared" si="28"/>
        <v>22</v>
      </c>
      <c r="AV29" s="130">
        <f t="shared" si="45"/>
        <v>-0.3073642795161734</v>
      </c>
      <c r="AW29" s="131">
        <f t="shared" si="46"/>
        <v>6.2374106389879664E-3</v>
      </c>
      <c r="AX29" s="132">
        <f t="shared" si="47"/>
        <v>15.146156921588346</v>
      </c>
      <c r="AY29" s="98"/>
      <c r="AZ29" s="133">
        <f t="shared" si="29"/>
        <v>22</v>
      </c>
      <c r="BA29" s="134">
        <f t="shared" si="10"/>
        <v>34.5</v>
      </c>
      <c r="BB29" s="135">
        <f t="shared" si="21"/>
        <v>34.475499999999997</v>
      </c>
      <c r="BC29" s="107" t="str">
        <f t="shared" si="11"/>
        <v/>
      </c>
    </row>
    <row r="30" spans="1:55" x14ac:dyDescent="0.25">
      <c r="A30" s="76"/>
      <c r="B30" s="108">
        <f t="shared" si="22"/>
        <v>23</v>
      </c>
      <c r="C30" s="109">
        <v>39</v>
      </c>
      <c r="D30" s="110">
        <v>36</v>
      </c>
      <c r="E30" s="110">
        <v>39</v>
      </c>
      <c r="F30" s="110">
        <v>36</v>
      </c>
      <c r="G30" s="110"/>
      <c r="H30" s="110">
        <v>37</v>
      </c>
      <c r="I30" s="110"/>
      <c r="J30" s="110">
        <v>39</v>
      </c>
      <c r="K30" s="110"/>
      <c r="L30" s="111">
        <v>40</v>
      </c>
      <c r="M30" s="112">
        <f t="shared" si="12"/>
        <v>2</v>
      </c>
      <c r="N30" s="112">
        <f t="shared" si="13"/>
        <v>2</v>
      </c>
      <c r="O30" s="113">
        <f t="shared" si="14"/>
        <v>38</v>
      </c>
      <c r="P30" s="114"/>
      <c r="Q30" s="115">
        <f t="shared" si="15"/>
        <v>2</v>
      </c>
      <c r="R30" s="116">
        <v>357.8</v>
      </c>
      <c r="S30" s="136">
        <f t="shared" si="16"/>
        <v>33.991</v>
      </c>
      <c r="T30" s="118">
        <f t="shared" si="0"/>
        <v>37.456718702516156</v>
      </c>
      <c r="U30" s="119">
        <f t="shared" si="17"/>
        <v>38.554093598843018</v>
      </c>
      <c r="V30" s="120">
        <f t="shared" si="18"/>
        <v>0.70536619390612443</v>
      </c>
      <c r="W30" s="121">
        <f t="shared" si="19"/>
        <v>0.92247457097195418</v>
      </c>
      <c r="X30" s="122" t="str">
        <f t="shared" si="1"/>
        <v/>
      </c>
      <c r="Y30" s="123">
        <f t="shared" si="23"/>
        <v>23</v>
      </c>
      <c r="Z30" s="159"/>
      <c r="AA30" s="123">
        <f t="shared" si="24"/>
        <v>23</v>
      </c>
      <c r="AB30" s="124">
        <f t="shared" si="39"/>
        <v>-20.208733026239027</v>
      </c>
      <c r="AC30" s="119">
        <f t="shared" si="40"/>
        <v>1444</v>
      </c>
      <c r="AH30" s="123">
        <f t="shared" si="25"/>
        <v>23</v>
      </c>
      <c r="AI30" s="127">
        <f t="shared" si="41"/>
        <v>12.011206124970268</v>
      </c>
      <c r="AJ30" s="45"/>
      <c r="AK30" s="123">
        <f t="shared" si="26"/>
        <v>23</v>
      </c>
      <c r="AL30" s="124">
        <f t="shared" si="42"/>
        <v>38</v>
      </c>
      <c r="AM30" s="119">
        <f t="shared" si="43"/>
        <v>1444</v>
      </c>
      <c r="AR30" s="108">
        <f t="shared" si="27"/>
        <v>23</v>
      </c>
      <c r="AS30" s="129">
        <f t="shared" si="44"/>
        <v>20.821823191802128</v>
      </c>
      <c r="AT30" s="102"/>
      <c r="AU30" s="123">
        <f t="shared" si="28"/>
        <v>23</v>
      </c>
      <c r="AV30" s="130">
        <f t="shared" si="45"/>
        <v>-0.8174380855870057</v>
      </c>
      <c r="AW30" s="131">
        <f t="shared" si="46"/>
        <v>3.4889464058598857E-2</v>
      </c>
      <c r="AX30" s="132">
        <f t="shared" si="47"/>
        <v>19.152057556569517</v>
      </c>
      <c r="AY30" s="98"/>
      <c r="AZ30" s="133">
        <f t="shared" si="29"/>
        <v>23</v>
      </c>
      <c r="BA30" s="134">
        <f t="shared" si="10"/>
        <v>38</v>
      </c>
      <c r="BB30" s="135">
        <f t="shared" si="21"/>
        <v>33.991</v>
      </c>
      <c r="BC30" s="107" t="str">
        <f t="shared" si="11"/>
        <v/>
      </c>
    </row>
    <row r="31" spans="1:55" x14ac:dyDescent="0.25">
      <c r="A31" s="76"/>
      <c r="B31" s="108">
        <f t="shared" si="22"/>
        <v>24</v>
      </c>
      <c r="C31" s="109">
        <v>29</v>
      </c>
      <c r="D31" s="110"/>
      <c r="E31" s="110">
        <v>30</v>
      </c>
      <c r="F31" s="110">
        <v>26</v>
      </c>
      <c r="G31" s="110"/>
      <c r="H31" s="110">
        <v>28</v>
      </c>
      <c r="I31" s="110">
        <v>28</v>
      </c>
      <c r="J31" s="110">
        <v>30</v>
      </c>
      <c r="K31" s="110">
        <v>28</v>
      </c>
      <c r="L31" s="111">
        <v>28</v>
      </c>
      <c r="M31" s="112">
        <f t="shared" si="12"/>
        <v>1.625</v>
      </c>
      <c r="N31" s="112">
        <f t="shared" si="13"/>
        <v>2.375</v>
      </c>
      <c r="O31" s="113">
        <f t="shared" si="14"/>
        <v>28.375</v>
      </c>
      <c r="P31" s="114"/>
      <c r="Q31" s="115">
        <f t="shared" si="15"/>
        <v>1</v>
      </c>
      <c r="R31" s="116">
        <v>312.5</v>
      </c>
      <c r="S31" s="136">
        <f t="shared" si="16"/>
        <v>29.6875</v>
      </c>
      <c r="T31" s="118">
        <f t="shared" si="0"/>
        <v>37.33854909317607</v>
      </c>
      <c r="U31" s="119">
        <f t="shared" si="17"/>
        <v>38.257616272820279</v>
      </c>
      <c r="V31" s="120">
        <f t="shared" si="18"/>
        <v>1.557192559893672</v>
      </c>
      <c r="W31" s="121">
        <f t="shared" si="19"/>
        <v>1.7325338962922348</v>
      </c>
      <c r="X31" s="122" t="str">
        <f t="shared" si="1"/>
        <v/>
      </c>
      <c r="Y31" s="123">
        <f t="shared" si="23"/>
        <v>24</v>
      </c>
      <c r="Z31" s="159"/>
      <c r="AA31" s="123">
        <f t="shared" si="24"/>
        <v>24</v>
      </c>
      <c r="AB31" s="124">
        <f t="shared" si="39"/>
        <v>28.231284218658878</v>
      </c>
      <c r="AC31" s="119">
        <f t="shared" si="40"/>
        <v>805.140625</v>
      </c>
      <c r="AH31" s="123">
        <f t="shared" si="25"/>
        <v>24</v>
      </c>
      <c r="AI31" s="127">
        <f t="shared" si="41"/>
        <v>58.538552226190362</v>
      </c>
      <c r="AJ31" s="45"/>
      <c r="AK31" s="123">
        <f t="shared" si="26"/>
        <v>24</v>
      </c>
      <c r="AL31" s="124">
        <f t="shared" si="42"/>
        <v>28.375</v>
      </c>
      <c r="AM31" s="119">
        <f t="shared" si="43"/>
        <v>805.140625</v>
      </c>
      <c r="AR31" s="108">
        <f t="shared" si="27"/>
        <v>24</v>
      </c>
      <c r="AS31" s="129">
        <f t="shared" si="44"/>
        <v>73.446892929658944</v>
      </c>
      <c r="AT31" s="102"/>
      <c r="AU31" s="123">
        <f t="shared" si="28"/>
        <v>24</v>
      </c>
      <c r="AV31" s="130">
        <f t="shared" si="45"/>
        <v>0.95208891716733757</v>
      </c>
      <c r="AW31" s="131">
        <f t="shared" si="46"/>
        <v>1.2031920238228629E-2</v>
      </c>
      <c r="AX31" s="132">
        <f t="shared" si="47"/>
        <v>75.33903884375539</v>
      </c>
      <c r="AY31" s="98"/>
      <c r="AZ31" s="133">
        <f t="shared" si="29"/>
        <v>24</v>
      </c>
      <c r="BA31" s="134">
        <f t="shared" si="10"/>
        <v>28.375</v>
      </c>
      <c r="BB31" s="135">
        <f t="shared" si="21"/>
        <v>29.6875</v>
      </c>
      <c r="BC31" s="107" t="str">
        <f t="shared" si="11"/>
        <v/>
      </c>
    </row>
    <row r="32" spans="1:55" x14ac:dyDescent="0.25">
      <c r="A32" s="76"/>
      <c r="B32" s="108">
        <f t="shared" si="22"/>
        <v>25</v>
      </c>
      <c r="C32" s="109">
        <v>28</v>
      </c>
      <c r="D32" s="110">
        <v>26</v>
      </c>
      <c r="E32" s="110">
        <v>30</v>
      </c>
      <c r="F32" s="110">
        <v>24</v>
      </c>
      <c r="G32" s="110">
        <v>26</v>
      </c>
      <c r="H32" s="110">
        <v>26</v>
      </c>
      <c r="I32" s="110"/>
      <c r="J32" s="110">
        <v>26</v>
      </c>
      <c r="K32" s="110">
        <v>29</v>
      </c>
      <c r="L32" s="111">
        <v>25</v>
      </c>
      <c r="M32" s="112">
        <f t="shared" si="12"/>
        <v>3.3333333333333321</v>
      </c>
      <c r="N32" s="112">
        <f t="shared" si="13"/>
        <v>2.6666666666666679</v>
      </c>
      <c r="O32" s="113">
        <f t="shared" si="14"/>
        <v>26.666666666666668</v>
      </c>
      <c r="P32" s="114"/>
      <c r="Q32" s="115">
        <f t="shared" si="15"/>
        <v>1</v>
      </c>
      <c r="R32" s="116">
        <v>312.8</v>
      </c>
      <c r="S32" s="136">
        <f t="shared" si="16"/>
        <v>29.716000000000001</v>
      </c>
      <c r="T32" s="118">
        <f t="shared" si="0"/>
        <v>37.317575266410081</v>
      </c>
      <c r="U32" s="119">
        <f t="shared" ref="U32:U57" si="48">IF(SUM(O32:P32)=0,"",$AP$8*SUM(O32:P32)+($AO$10))</f>
        <v>38.20499475608031</v>
      </c>
      <c r="V32" s="120">
        <f t="shared" si="18"/>
        <v>1.5471233165766767</v>
      </c>
      <c r="W32" s="121">
        <f t="shared" si="19"/>
        <v>1.7161343781297602</v>
      </c>
      <c r="X32" s="122" t="str">
        <f t="shared" si="1"/>
        <v/>
      </c>
      <c r="Y32" s="123">
        <f t="shared" si="23"/>
        <v>25</v>
      </c>
      <c r="Z32" s="159"/>
      <c r="AA32" s="123">
        <f t="shared" si="24"/>
        <v>25</v>
      </c>
      <c r="AB32" s="124">
        <f t="shared" si="39"/>
        <v>41.225530919339121</v>
      </c>
      <c r="AC32" s="119">
        <f t="shared" si="40"/>
        <v>711.1111111111112</v>
      </c>
      <c r="AH32" s="123">
        <f t="shared" si="25"/>
        <v>25</v>
      </c>
      <c r="AI32" s="127">
        <f t="shared" si="41"/>
        <v>57.783946530897481</v>
      </c>
      <c r="AJ32" s="45"/>
      <c r="AK32" s="123">
        <f t="shared" si="26"/>
        <v>25</v>
      </c>
      <c r="AL32" s="124">
        <f t="shared" si="42"/>
        <v>26.666666666666668</v>
      </c>
      <c r="AM32" s="119">
        <f t="shared" si="43"/>
        <v>711.1111111111112</v>
      </c>
      <c r="AR32" s="108">
        <f t="shared" si="27"/>
        <v>25</v>
      </c>
      <c r="AS32" s="129">
        <f t="shared" si="44"/>
        <v>72.063031968758992</v>
      </c>
      <c r="AT32" s="102"/>
      <c r="AU32" s="123">
        <f t="shared" si="28"/>
        <v>25</v>
      </c>
      <c r="AV32" s="130">
        <f t="shared" si="45"/>
        <v>1.4042076126792158</v>
      </c>
      <c r="AW32" s="131">
        <f t="shared" si="46"/>
        <v>2.6345064184469549E-2</v>
      </c>
      <c r="AX32" s="132">
        <f t="shared" si="47"/>
        <v>74.845102129932954</v>
      </c>
      <c r="AY32" s="98"/>
      <c r="AZ32" s="133">
        <f t="shared" si="29"/>
        <v>25</v>
      </c>
      <c r="BA32" s="134">
        <f t="shared" si="10"/>
        <v>26.666666666666668</v>
      </c>
      <c r="BB32" s="135">
        <f t="shared" si="21"/>
        <v>29.716000000000001</v>
      </c>
      <c r="BC32" s="107" t="str">
        <f t="shared" si="11"/>
        <v/>
      </c>
    </row>
    <row r="33" spans="1:55" x14ac:dyDescent="0.25">
      <c r="A33" s="76"/>
      <c r="B33" s="108">
        <f t="shared" si="22"/>
        <v>26</v>
      </c>
      <c r="C33" s="109">
        <v>38</v>
      </c>
      <c r="D33" s="110">
        <v>38</v>
      </c>
      <c r="E33" s="110">
        <v>34</v>
      </c>
      <c r="F33" s="110">
        <v>38</v>
      </c>
      <c r="G33" s="110">
        <v>37</v>
      </c>
      <c r="H33" s="110">
        <v>37</v>
      </c>
      <c r="I33" s="110">
        <v>36</v>
      </c>
      <c r="J33" s="110">
        <v>37</v>
      </c>
      <c r="K33" s="110">
        <v>35</v>
      </c>
      <c r="L33" s="111">
        <v>36</v>
      </c>
      <c r="M33" s="112">
        <f t="shared" si="12"/>
        <v>1.3999999999999986</v>
      </c>
      <c r="N33" s="112">
        <f t="shared" si="13"/>
        <v>2.6000000000000014</v>
      </c>
      <c r="O33" s="113">
        <f t="shared" si="14"/>
        <v>36.6</v>
      </c>
      <c r="P33" s="114"/>
      <c r="Q33" s="115">
        <f t="shared" si="15"/>
        <v>2</v>
      </c>
      <c r="R33" s="116">
        <v>458</v>
      </c>
      <c r="S33" s="136">
        <f t="shared" si="16"/>
        <v>43.51</v>
      </c>
      <c r="T33" s="118">
        <f t="shared" si="0"/>
        <v>37.439530395703052</v>
      </c>
      <c r="U33" s="119">
        <f t="shared" si="48"/>
        <v>38.5109696241488</v>
      </c>
      <c r="V33" s="120">
        <f t="shared" si="18"/>
        <v>-1.235502476556172</v>
      </c>
      <c r="W33" s="121">
        <f t="shared" si="19"/>
        <v>-1.0106035086390406</v>
      </c>
      <c r="X33" s="122" t="str">
        <f t="shared" si="1"/>
        <v/>
      </c>
      <c r="Y33" s="123">
        <f t="shared" si="23"/>
        <v>26</v>
      </c>
      <c r="Z33" s="159"/>
      <c r="AA33" s="123">
        <f t="shared" si="24"/>
        <v>26</v>
      </c>
      <c r="AB33" s="124">
        <f t="shared" si="39"/>
        <v>27.916444524781365</v>
      </c>
      <c r="AC33" s="119">
        <f t="shared" si="40"/>
        <v>1339.5600000000002</v>
      </c>
      <c r="AH33" s="123">
        <f t="shared" si="25"/>
        <v>26</v>
      </c>
      <c r="AI33" s="127">
        <f t="shared" si="41"/>
        <v>36.850601216693121</v>
      </c>
      <c r="AJ33" s="45"/>
      <c r="AK33" s="123">
        <f t="shared" si="26"/>
        <v>26</v>
      </c>
      <c r="AL33" s="124">
        <f t="shared" si="42"/>
        <v>36.6</v>
      </c>
      <c r="AM33" s="119">
        <f t="shared" si="43"/>
        <v>1339.5600000000002</v>
      </c>
      <c r="AR33" s="108">
        <f t="shared" si="27"/>
        <v>26</v>
      </c>
      <c r="AS33" s="129">
        <f t="shared" si="44"/>
        <v>24.990304698682973</v>
      </c>
      <c r="AT33" s="102"/>
      <c r="AU33" s="123">
        <f t="shared" si="28"/>
        <v>26</v>
      </c>
      <c r="AV33" s="130">
        <f t="shared" si="45"/>
        <v>0.73881603404891516</v>
      </c>
      <c r="AW33" s="131">
        <f t="shared" si="46"/>
        <v>2.0639126900612915E-2</v>
      </c>
      <c r="AX33" s="132">
        <f t="shared" si="47"/>
        <v>26.44729763988019</v>
      </c>
      <c r="AY33" s="98"/>
      <c r="AZ33" s="133">
        <f t="shared" si="29"/>
        <v>26</v>
      </c>
      <c r="BA33" s="134">
        <f t="shared" si="10"/>
        <v>36.6</v>
      </c>
      <c r="BB33" s="135">
        <f t="shared" si="21"/>
        <v>43.51</v>
      </c>
      <c r="BC33" s="107" t="str">
        <f t="shared" si="11"/>
        <v/>
      </c>
    </row>
    <row r="34" spans="1:55" x14ac:dyDescent="0.25">
      <c r="A34" s="76"/>
      <c r="B34" s="108">
        <f t="shared" si="22"/>
        <v>27</v>
      </c>
      <c r="C34" s="109">
        <v>33</v>
      </c>
      <c r="D34" s="110">
        <v>32</v>
      </c>
      <c r="E34" s="110">
        <v>30</v>
      </c>
      <c r="F34" s="110">
        <v>31</v>
      </c>
      <c r="G34" s="110">
        <v>32</v>
      </c>
      <c r="H34" s="110">
        <v>34</v>
      </c>
      <c r="I34" s="110"/>
      <c r="J34" s="110">
        <v>32</v>
      </c>
      <c r="K34" s="110"/>
      <c r="L34" s="111">
        <v>31</v>
      </c>
      <c r="M34" s="112">
        <f t="shared" si="12"/>
        <v>2.125</v>
      </c>
      <c r="N34" s="112">
        <f t="shared" si="13"/>
        <v>1.875</v>
      </c>
      <c r="O34" s="113">
        <f t="shared" si="14"/>
        <v>31.875</v>
      </c>
      <c r="P34" s="114"/>
      <c r="Q34" s="115">
        <f t="shared" si="15"/>
        <v>1</v>
      </c>
      <c r="R34" s="116">
        <v>433</v>
      </c>
      <c r="S34" s="136">
        <f t="shared" si="16"/>
        <v>41.134999999999998</v>
      </c>
      <c r="T34" s="118">
        <f t="shared" si="0"/>
        <v>37.381519860208833</v>
      </c>
      <c r="U34" s="119">
        <f t="shared" si="48"/>
        <v>38.365426209555821</v>
      </c>
      <c r="V34" s="120">
        <f t="shared" si="18"/>
        <v>-0.76393332158912564</v>
      </c>
      <c r="W34" s="121">
        <f t="shared" si="19"/>
        <v>-0.55989677589847198</v>
      </c>
      <c r="X34" s="122" t="str">
        <f t="shared" si="1"/>
        <v/>
      </c>
      <c r="Y34" s="123">
        <f t="shared" si="23"/>
        <v>27</v>
      </c>
      <c r="Z34" s="159"/>
      <c r="AA34" s="123">
        <f t="shared" si="24"/>
        <v>27</v>
      </c>
      <c r="AB34" s="124">
        <f t="shared" si="39"/>
        <v>-0.63123287317784693</v>
      </c>
      <c r="AC34" s="119">
        <f t="shared" si="40"/>
        <v>1016.015625</v>
      </c>
      <c r="AH34" s="123">
        <f t="shared" si="25"/>
        <v>27</v>
      </c>
      <c r="AI34" s="127">
        <f t="shared" si="41"/>
        <v>14.088613159806703</v>
      </c>
      <c r="AJ34" s="45"/>
      <c r="AK34" s="123">
        <f t="shared" si="26"/>
        <v>27</v>
      </c>
      <c r="AL34" s="124">
        <f t="shared" si="42"/>
        <v>31.875</v>
      </c>
      <c r="AM34" s="119">
        <f t="shared" si="43"/>
        <v>1016.015625</v>
      </c>
      <c r="AR34" s="108">
        <f t="shared" si="27"/>
        <v>27</v>
      </c>
      <c r="AS34" s="129">
        <f t="shared" si="44"/>
        <v>7.6705389807153264</v>
      </c>
      <c r="AT34" s="102"/>
      <c r="AU34" s="123">
        <f t="shared" si="28"/>
        <v>27</v>
      </c>
      <c r="AV34" s="130">
        <f t="shared" si="45"/>
        <v>-5.203743624127918E-3</v>
      </c>
      <c r="AW34" s="131">
        <f t="shared" si="46"/>
        <v>3.535051614366688E-6</v>
      </c>
      <c r="AX34" s="132">
        <f t="shared" si="47"/>
        <v>7.6601279584154565</v>
      </c>
      <c r="AY34" s="98"/>
      <c r="AZ34" s="133">
        <f t="shared" si="29"/>
        <v>27</v>
      </c>
      <c r="BA34" s="134">
        <f t="shared" si="10"/>
        <v>31.875</v>
      </c>
      <c r="BB34" s="135">
        <f t="shared" si="21"/>
        <v>41.134999999999998</v>
      </c>
      <c r="BC34" s="107" t="str">
        <f t="shared" si="11"/>
        <v/>
      </c>
    </row>
    <row r="35" spans="1:55" x14ac:dyDescent="0.25">
      <c r="A35" s="76"/>
      <c r="B35" s="108">
        <f t="shared" si="22"/>
        <v>28</v>
      </c>
      <c r="C35" s="109">
        <v>34</v>
      </c>
      <c r="D35" s="110"/>
      <c r="E35" s="110">
        <v>36</v>
      </c>
      <c r="F35" s="110">
        <v>32</v>
      </c>
      <c r="G35" s="110">
        <v>37</v>
      </c>
      <c r="H35" s="110">
        <v>36</v>
      </c>
      <c r="I35" s="110"/>
      <c r="J35" s="110"/>
      <c r="K35" s="110">
        <v>34</v>
      </c>
      <c r="L35" s="111">
        <v>34</v>
      </c>
      <c r="M35" s="112">
        <f t="shared" si="12"/>
        <v>2.2857142857142847</v>
      </c>
      <c r="N35" s="112">
        <f t="shared" si="13"/>
        <v>2.7142857142857153</v>
      </c>
      <c r="O35" s="113">
        <f t="shared" si="14"/>
        <v>34.714285714285715</v>
      </c>
      <c r="P35" s="114"/>
      <c r="Q35" s="115">
        <f t="shared" si="15"/>
        <v>2</v>
      </c>
      <c r="R35" s="116">
        <v>467</v>
      </c>
      <c r="S35" s="136">
        <f t="shared" si="16"/>
        <v>44.365000000000002</v>
      </c>
      <c r="T35" s="118">
        <f t="shared" si="0"/>
        <v>37.41637879877112</v>
      </c>
      <c r="U35" s="119">
        <f t="shared" si="48"/>
        <v>38.452884270479039</v>
      </c>
      <c r="V35" s="120">
        <f t="shared" si="18"/>
        <v>-1.4142297486659248</v>
      </c>
      <c r="W35" s="121">
        <f t="shared" si="19"/>
        <v>-1.1951927574988179</v>
      </c>
      <c r="X35" s="122" t="str">
        <f t="shared" si="1"/>
        <v/>
      </c>
      <c r="Y35" s="123">
        <f t="shared" si="23"/>
        <v>28</v>
      </c>
      <c r="Z35" s="159"/>
      <c r="AA35" s="123">
        <f t="shared" si="24"/>
        <v>28</v>
      </c>
      <c r="AB35" s="124">
        <f t="shared" si="39"/>
        <v>18.647500034985445</v>
      </c>
      <c r="AC35" s="119">
        <f t="shared" si="40"/>
        <v>1205.0816326530612</v>
      </c>
      <c r="AH35" s="123">
        <f t="shared" si="25"/>
        <v>28</v>
      </c>
      <c r="AI35" s="127">
        <f t="shared" si="41"/>
        <v>48.283336598167509</v>
      </c>
      <c r="AJ35" s="45"/>
      <c r="AK35" s="123">
        <f t="shared" si="26"/>
        <v>28</v>
      </c>
      <c r="AL35" s="124">
        <f t="shared" si="42"/>
        <v>34.714285714285715</v>
      </c>
      <c r="AM35" s="119">
        <f t="shared" si="43"/>
        <v>1205.0816326530612</v>
      </c>
      <c r="AR35" s="108">
        <f t="shared" si="27"/>
        <v>28</v>
      </c>
      <c r="AS35" s="129">
        <f t="shared" si="44"/>
        <v>34.953112399249186</v>
      </c>
      <c r="AT35" s="102"/>
      <c r="AU35" s="123">
        <f t="shared" si="28"/>
        <v>28</v>
      </c>
      <c r="AV35" s="130">
        <f t="shared" si="45"/>
        <v>0.5132699504047441</v>
      </c>
      <c r="AW35" s="131">
        <f t="shared" si="46"/>
        <v>7.3235748511293669E-3</v>
      </c>
      <c r="AX35" s="132">
        <f t="shared" si="47"/>
        <v>35.972328725207547</v>
      </c>
      <c r="AY35" s="98"/>
      <c r="AZ35" s="133">
        <f t="shared" si="29"/>
        <v>28</v>
      </c>
      <c r="BA35" s="134">
        <f t="shared" si="10"/>
        <v>34.714285714285715</v>
      </c>
      <c r="BB35" s="135">
        <f t="shared" si="21"/>
        <v>44.365000000000002</v>
      </c>
      <c r="BC35" s="107" t="str">
        <f t="shared" si="11"/>
        <v/>
      </c>
    </row>
    <row r="36" spans="1:55" x14ac:dyDescent="0.25">
      <c r="A36" s="76"/>
      <c r="B36" s="108">
        <f t="shared" si="22"/>
        <v>29</v>
      </c>
      <c r="C36" s="109">
        <v>28</v>
      </c>
      <c r="D36" s="110">
        <v>27</v>
      </c>
      <c r="E36" s="110">
        <v>31</v>
      </c>
      <c r="F36" s="110">
        <v>31</v>
      </c>
      <c r="G36" s="110">
        <v>29</v>
      </c>
      <c r="H36" s="110">
        <v>28</v>
      </c>
      <c r="I36" s="110"/>
      <c r="J36" s="110">
        <v>32</v>
      </c>
      <c r="K36" s="110">
        <v>28</v>
      </c>
      <c r="L36" s="111">
        <v>33</v>
      </c>
      <c r="M36" s="112">
        <f t="shared" si="12"/>
        <v>3.3333333333333321</v>
      </c>
      <c r="N36" s="112">
        <f t="shared" si="13"/>
        <v>2.6666666666666679</v>
      </c>
      <c r="O36" s="113">
        <f t="shared" si="14"/>
        <v>29.666666666666668</v>
      </c>
      <c r="P36" s="114"/>
      <c r="Q36" s="115">
        <f t="shared" si="15"/>
        <v>1</v>
      </c>
      <c r="R36" s="116">
        <v>377.4</v>
      </c>
      <c r="S36" s="136">
        <f t="shared" si="16"/>
        <v>35.853000000000002</v>
      </c>
      <c r="T36" s="118">
        <f t="shared" si="0"/>
        <v>37.354407352438159</v>
      </c>
      <c r="U36" s="119">
        <f t="shared" si="48"/>
        <v>38.2974032732822</v>
      </c>
      <c r="V36" s="120">
        <f t="shared" si="18"/>
        <v>0.30557644188580452</v>
      </c>
      <c r="W36" s="121">
        <f t="shared" si="19"/>
        <v>0.49416033486036115</v>
      </c>
      <c r="X36" s="122" t="str">
        <f t="shared" si="1"/>
        <v/>
      </c>
      <c r="Y36" s="123">
        <f t="shared" si="23"/>
        <v>29</v>
      </c>
      <c r="Z36" s="159"/>
      <c r="AA36" s="123">
        <f t="shared" si="24"/>
        <v>29</v>
      </c>
      <c r="AB36" s="124">
        <f t="shared" si="39"/>
        <v>3.6375879261418662</v>
      </c>
      <c r="AC36" s="119">
        <f t="shared" si="40"/>
        <v>880.1111111111112</v>
      </c>
      <c r="AH36" s="123">
        <f t="shared" si="25"/>
        <v>29</v>
      </c>
      <c r="AI36" s="127">
        <f t="shared" si="41"/>
        <v>2.2542240379553569</v>
      </c>
      <c r="AJ36" s="45"/>
      <c r="AK36" s="123">
        <f t="shared" si="26"/>
        <v>29</v>
      </c>
      <c r="AL36" s="124">
        <f t="shared" si="42"/>
        <v>29.666666666666668</v>
      </c>
      <c r="AM36" s="119">
        <f t="shared" si="43"/>
        <v>880.1111111111112</v>
      </c>
      <c r="AR36" s="108">
        <f t="shared" si="27"/>
        <v>29</v>
      </c>
      <c r="AS36" s="129">
        <f t="shared" si="44"/>
        <v>5.9751073624327242</v>
      </c>
      <c r="AT36" s="102"/>
      <c r="AU36" s="123">
        <f t="shared" si="28"/>
        <v>29</v>
      </c>
      <c r="AV36" s="130">
        <f t="shared" si="45"/>
        <v>0.17575783456616179</v>
      </c>
      <c r="AW36" s="131">
        <f t="shared" si="46"/>
        <v>4.8864447271818219E-3</v>
      </c>
      <c r="AX36" s="132">
        <f t="shared" si="47"/>
        <v>6.3217365868378659</v>
      </c>
      <c r="AY36" s="98"/>
      <c r="AZ36" s="133">
        <f t="shared" si="29"/>
        <v>29</v>
      </c>
      <c r="BA36" s="134">
        <f t="shared" si="10"/>
        <v>29.666666666666668</v>
      </c>
      <c r="BB36" s="135">
        <f t="shared" si="21"/>
        <v>35.853000000000002</v>
      </c>
      <c r="BC36" s="107" t="str">
        <f t="shared" si="11"/>
        <v/>
      </c>
    </row>
    <row r="37" spans="1:55" x14ac:dyDescent="0.25">
      <c r="A37" s="76"/>
      <c r="B37" s="108">
        <f t="shared" si="22"/>
        <v>30</v>
      </c>
      <c r="C37" s="109"/>
      <c r="D37" s="110"/>
      <c r="E37" s="110">
        <v>35</v>
      </c>
      <c r="F37" s="110">
        <v>34</v>
      </c>
      <c r="G37" s="110"/>
      <c r="H37" s="110"/>
      <c r="I37" s="110"/>
      <c r="J37" s="110">
        <v>33</v>
      </c>
      <c r="K37" s="110">
        <v>37</v>
      </c>
      <c r="L37" s="111">
        <v>36</v>
      </c>
      <c r="M37" s="112">
        <f t="shared" si="12"/>
        <v>2</v>
      </c>
      <c r="N37" s="112">
        <f t="shared" si="13"/>
        <v>2</v>
      </c>
      <c r="O37" s="113">
        <f t="shared" si="14"/>
        <v>35</v>
      </c>
      <c r="P37" s="114"/>
      <c r="Q37" s="115">
        <f t="shared" si="15"/>
        <v>2</v>
      </c>
      <c r="R37" s="116">
        <v>366.1</v>
      </c>
      <c r="S37" s="136">
        <f t="shared" si="16"/>
        <v>34.779499999999999</v>
      </c>
      <c r="T37" s="118">
        <f t="shared" si="0"/>
        <v>37.419886616488078</v>
      </c>
      <c r="U37" s="119">
        <f t="shared" si="48"/>
        <v>38.461685081641122</v>
      </c>
      <c r="V37" s="120">
        <f t="shared" si="18"/>
        <v>0.53738910107179549</v>
      </c>
      <c r="W37" s="121">
        <f t="shared" si="19"/>
        <v>0.744390188333518</v>
      </c>
      <c r="X37" s="122" t="str">
        <f t="shared" si="1"/>
        <v/>
      </c>
      <c r="Y37" s="123">
        <f t="shared" si="23"/>
        <v>30</v>
      </c>
      <c r="Z37" s="159"/>
      <c r="AA37" s="123">
        <f t="shared" si="24"/>
        <v>30</v>
      </c>
      <c r="AB37" s="124">
        <f t="shared" si="39"/>
        <v>-7.6995905772594577</v>
      </c>
      <c r="AC37" s="119">
        <f t="shared" si="40"/>
        <v>1225</v>
      </c>
      <c r="AH37" s="123">
        <f t="shared" si="25"/>
        <v>30</v>
      </c>
      <c r="AI37" s="127">
        <f t="shared" si="41"/>
        <v>6.9716414845293695</v>
      </c>
      <c r="AJ37" s="45"/>
      <c r="AK37" s="123">
        <f t="shared" si="26"/>
        <v>30</v>
      </c>
      <c r="AL37" s="124">
        <f t="shared" si="42"/>
        <v>35</v>
      </c>
      <c r="AM37" s="119">
        <f t="shared" si="43"/>
        <v>1225</v>
      </c>
      <c r="AR37" s="108">
        <f t="shared" si="27"/>
        <v>30</v>
      </c>
      <c r="AS37" s="129">
        <f t="shared" si="44"/>
        <v>13.558486975460442</v>
      </c>
      <c r="AT37" s="102"/>
      <c r="AU37" s="123">
        <f t="shared" si="28"/>
        <v>30</v>
      </c>
      <c r="AV37" s="130">
        <f t="shared" si="45"/>
        <v>-0.33861249792951481</v>
      </c>
      <c r="AW37" s="131">
        <f t="shared" si="46"/>
        <v>8.9073387855944687E-3</v>
      </c>
      <c r="AX37" s="132">
        <f t="shared" si="47"/>
        <v>12.872354640815818</v>
      </c>
      <c r="AY37" s="98"/>
      <c r="AZ37" s="133">
        <f t="shared" si="29"/>
        <v>30</v>
      </c>
      <c r="BA37" s="134">
        <f t="shared" si="10"/>
        <v>35</v>
      </c>
      <c r="BB37" s="135">
        <f t="shared" si="21"/>
        <v>34.779499999999999</v>
      </c>
      <c r="BC37" s="107" t="str">
        <f t="shared" si="11"/>
        <v/>
      </c>
    </row>
    <row r="38" spans="1:55" x14ac:dyDescent="0.25">
      <c r="A38" s="76"/>
      <c r="B38" s="108">
        <f t="shared" si="22"/>
        <v>31</v>
      </c>
      <c r="C38" s="109"/>
      <c r="D38" s="110">
        <v>32</v>
      </c>
      <c r="E38" s="110">
        <v>34</v>
      </c>
      <c r="F38" s="110">
        <v>34</v>
      </c>
      <c r="G38" s="110">
        <v>30</v>
      </c>
      <c r="H38" s="110">
        <v>35</v>
      </c>
      <c r="I38" s="110"/>
      <c r="J38" s="110">
        <v>30</v>
      </c>
      <c r="K38" s="110">
        <v>32</v>
      </c>
      <c r="L38" s="111">
        <v>32</v>
      </c>
      <c r="M38" s="112">
        <f t="shared" si="12"/>
        <v>2.625</v>
      </c>
      <c r="N38" s="112">
        <f t="shared" si="13"/>
        <v>2.375</v>
      </c>
      <c r="O38" s="113">
        <f t="shared" si="14"/>
        <v>32.375</v>
      </c>
      <c r="P38" s="114"/>
      <c r="Q38" s="115">
        <f t="shared" si="15"/>
        <v>2</v>
      </c>
      <c r="R38" s="116">
        <v>353.7</v>
      </c>
      <c r="S38" s="136">
        <f t="shared" si="16"/>
        <v>33.601499999999994</v>
      </c>
      <c r="T38" s="118">
        <f t="shared" si="0"/>
        <v>37.387658541213511</v>
      </c>
      <c r="U38" s="119">
        <f t="shared" si="48"/>
        <v>38.380827629089467</v>
      </c>
      <c r="V38" s="120">
        <f t="shared" si="18"/>
        <v>0.77058424787967716</v>
      </c>
      <c r="W38" s="121">
        <f t="shared" si="19"/>
        <v>0.96618842210393852</v>
      </c>
      <c r="X38" s="122" t="str">
        <f t="shared" si="1"/>
        <v/>
      </c>
      <c r="Y38" s="123">
        <f t="shared" si="23"/>
        <v>31</v>
      </c>
      <c r="Z38" s="159"/>
      <c r="AA38" s="123">
        <f t="shared" si="24"/>
        <v>31</v>
      </c>
      <c r="AB38" s="124">
        <f t="shared" si="39"/>
        <v>-1.2546490466472264</v>
      </c>
      <c r="AC38" s="119">
        <f t="shared" si="40"/>
        <v>1048.140625</v>
      </c>
      <c r="AH38" s="123">
        <f t="shared" si="25"/>
        <v>31</v>
      </c>
      <c r="AI38" s="127">
        <f t="shared" si="41"/>
        <v>14.334996499204067</v>
      </c>
      <c r="AJ38" s="45"/>
      <c r="AK38" s="123">
        <f t="shared" si="26"/>
        <v>31</v>
      </c>
      <c r="AL38" s="124">
        <f t="shared" si="42"/>
        <v>32.375</v>
      </c>
      <c r="AM38" s="119">
        <f t="shared" si="43"/>
        <v>1048.140625</v>
      </c>
      <c r="AR38" s="108">
        <f t="shared" si="27"/>
        <v>31</v>
      </c>
      <c r="AS38" s="129">
        <f t="shared" si="44"/>
        <v>22.841972586177999</v>
      </c>
      <c r="AT38" s="102"/>
      <c r="AU38" s="123">
        <f t="shared" si="28"/>
        <v>31</v>
      </c>
      <c r="AV38" s="130">
        <f t="shared" si="45"/>
        <v>-6.4439641634383649E-2</v>
      </c>
      <c r="AW38" s="131">
        <f t="shared" si="46"/>
        <v>1.8282409988107655E-4</v>
      </c>
      <c r="AX38" s="132">
        <f t="shared" si="47"/>
        <v>22.712910478809349</v>
      </c>
      <c r="AY38" s="98"/>
      <c r="AZ38" s="133">
        <f t="shared" si="29"/>
        <v>31</v>
      </c>
      <c r="BA38" s="134">
        <f t="shared" si="10"/>
        <v>32.375</v>
      </c>
      <c r="BB38" s="135">
        <f t="shared" si="21"/>
        <v>33.601499999999994</v>
      </c>
      <c r="BC38" s="107" t="str">
        <f t="shared" si="11"/>
        <v/>
      </c>
    </row>
    <row r="39" spans="1:55" x14ac:dyDescent="0.25">
      <c r="A39" s="76"/>
      <c r="B39" s="108">
        <f t="shared" si="22"/>
        <v>32</v>
      </c>
      <c r="C39" s="109">
        <v>30</v>
      </c>
      <c r="D39" s="110"/>
      <c r="E39" s="110">
        <v>32</v>
      </c>
      <c r="F39" s="110"/>
      <c r="G39" s="110">
        <v>30</v>
      </c>
      <c r="H39" s="110"/>
      <c r="I39" s="110">
        <v>33</v>
      </c>
      <c r="J39" s="110">
        <v>30</v>
      </c>
      <c r="K39" s="110">
        <v>32</v>
      </c>
      <c r="L39" s="111">
        <v>30</v>
      </c>
      <c r="M39" s="112">
        <f t="shared" si="12"/>
        <v>2</v>
      </c>
      <c r="N39" s="112">
        <f t="shared" si="13"/>
        <v>1</v>
      </c>
      <c r="O39" s="113">
        <f t="shared" si="14"/>
        <v>31</v>
      </c>
      <c r="P39" s="114"/>
      <c r="Q39" s="115">
        <f t="shared" si="15"/>
        <v>1</v>
      </c>
      <c r="R39" s="116">
        <v>454</v>
      </c>
      <c r="S39" s="136">
        <f t="shared" si="16"/>
        <v>43.129999999999995</v>
      </c>
      <c r="T39" s="118">
        <f t="shared" si="0"/>
        <v>37.370777168450637</v>
      </c>
      <c r="U39" s="119">
        <f t="shared" si="48"/>
        <v>38.338473725371934</v>
      </c>
      <c r="V39" s="120">
        <f t="shared" si="18"/>
        <v>-1.1721554567016352</v>
      </c>
      <c r="W39" s="121">
        <f t="shared" si="19"/>
        <v>-0.96865449913389523</v>
      </c>
      <c r="X39" s="122" t="str">
        <f t="shared" si="1"/>
        <v/>
      </c>
      <c r="Y39" s="123">
        <f t="shared" si="23"/>
        <v>32</v>
      </c>
      <c r="Z39" s="159"/>
      <c r="AA39" s="123">
        <f t="shared" si="24"/>
        <v>32</v>
      </c>
      <c r="AB39" s="124">
        <f t="shared" si="39"/>
        <v>-5.9950346588921359</v>
      </c>
      <c r="AC39" s="119">
        <f t="shared" si="40"/>
        <v>961</v>
      </c>
      <c r="AH39" s="123">
        <f t="shared" si="25"/>
        <v>32</v>
      </c>
      <c r="AI39" s="127">
        <f t="shared" si="41"/>
        <v>33.168647623439412</v>
      </c>
      <c r="AJ39" s="45"/>
      <c r="AK39" s="123">
        <f t="shared" si="26"/>
        <v>32</v>
      </c>
      <c r="AL39" s="124">
        <f t="shared" si="42"/>
        <v>31</v>
      </c>
      <c r="AM39" s="119">
        <f t="shared" si="43"/>
        <v>961</v>
      </c>
      <c r="AR39" s="108">
        <f t="shared" si="27"/>
        <v>32</v>
      </c>
      <c r="AS39" s="129">
        <f t="shared" si="44"/>
        <v>22.958724040451074</v>
      </c>
      <c r="AT39" s="102"/>
      <c r="AU39" s="123">
        <f t="shared" si="28"/>
        <v>32</v>
      </c>
      <c r="AV39" s="130">
        <f t="shared" si="45"/>
        <v>-0.13732111373402109</v>
      </c>
      <c r="AW39" s="131">
        <f t="shared" si="46"/>
        <v>8.3132213722023822E-4</v>
      </c>
      <c r="AX39" s="132">
        <f t="shared" si="47"/>
        <v>22.683250490845811</v>
      </c>
      <c r="AY39" s="98"/>
      <c r="AZ39" s="133">
        <f t="shared" si="29"/>
        <v>32</v>
      </c>
      <c r="BA39" s="134">
        <f t="shared" si="10"/>
        <v>31</v>
      </c>
      <c r="BB39" s="135">
        <f t="shared" si="21"/>
        <v>43.129999999999995</v>
      </c>
      <c r="BC39" s="107" t="str">
        <f t="shared" si="11"/>
        <v/>
      </c>
    </row>
    <row r="40" spans="1:55" x14ac:dyDescent="0.25">
      <c r="A40" s="76"/>
      <c r="B40" s="108">
        <f t="shared" si="22"/>
        <v>33</v>
      </c>
      <c r="C40" s="109">
        <v>37</v>
      </c>
      <c r="D40" s="110">
        <v>34</v>
      </c>
      <c r="E40" s="110">
        <v>33</v>
      </c>
      <c r="F40" s="110">
        <v>32</v>
      </c>
      <c r="G40" s="110">
        <v>34</v>
      </c>
      <c r="H40" s="110">
        <v>36</v>
      </c>
      <c r="I40" s="110">
        <v>30</v>
      </c>
      <c r="J40" s="110">
        <v>32</v>
      </c>
      <c r="K40" s="110">
        <v>35</v>
      </c>
      <c r="L40" s="111">
        <v>33</v>
      </c>
      <c r="M40" s="112">
        <f t="shared" si="12"/>
        <v>3.3999999999999986</v>
      </c>
      <c r="N40" s="112">
        <f t="shared" si="13"/>
        <v>3.6000000000000014</v>
      </c>
      <c r="O40" s="113">
        <f t="shared" si="14"/>
        <v>33.6</v>
      </c>
      <c r="P40" s="114"/>
      <c r="Q40" s="115">
        <f t="shared" si="15"/>
        <v>2</v>
      </c>
      <c r="R40" s="116">
        <v>423</v>
      </c>
      <c r="S40" s="136">
        <f t="shared" si="16"/>
        <v>40.184999999999995</v>
      </c>
      <c r="T40" s="118">
        <f t="shared" ref="T40:T57" si="49">IF(SUM(O40:P40)=0,"",$AF$8*SUM(O40:P40)+($AE$10))</f>
        <v>37.402698309674975</v>
      </c>
      <c r="U40" s="119">
        <f t="shared" si="48"/>
        <v>38.418561106946903</v>
      </c>
      <c r="V40" s="120">
        <f t="shared" si="18"/>
        <v>-0.56627260376853605</v>
      </c>
      <c r="W40" s="121">
        <f t="shared" si="19"/>
        <v>-0.35710311978489473</v>
      </c>
      <c r="X40" s="122" t="str">
        <f t="shared" si="1"/>
        <v/>
      </c>
      <c r="Y40" s="123">
        <f t="shared" si="23"/>
        <v>33</v>
      </c>
      <c r="Z40" s="159"/>
      <c r="AA40" s="123">
        <f t="shared" si="24"/>
        <v>33</v>
      </c>
      <c r="AB40" s="124">
        <f t="shared" si="39"/>
        <v>4.3610588104956305</v>
      </c>
      <c r="AC40" s="119">
        <f t="shared" si="40"/>
        <v>1128.96</v>
      </c>
      <c r="AH40" s="123">
        <f t="shared" si="25"/>
        <v>33</v>
      </c>
      <c r="AI40" s="127">
        <f t="shared" si="41"/>
        <v>7.741202695985467</v>
      </c>
      <c r="AJ40" s="45"/>
      <c r="AK40" s="123">
        <f t="shared" si="26"/>
        <v>33</v>
      </c>
      <c r="AL40" s="124">
        <f t="shared" si="42"/>
        <v>33.6</v>
      </c>
      <c r="AM40" s="119">
        <f t="shared" si="43"/>
        <v>1128.96</v>
      </c>
      <c r="AR40" s="108">
        <f t="shared" si="27"/>
        <v>33</v>
      </c>
      <c r="AS40" s="129">
        <f t="shared" si="44"/>
        <v>3.1203063628906325</v>
      </c>
      <c r="AT40" s="102"/>
      <c r="AU40" s="123">
        <f t="shared" si="28"/>
        <v>33</v>
      </c>
      <c r="AV40" s="130">
        <f t="shared" si="45"/>
        <v>9.3165384840608573E-2</v>
      </c>
      <c r="AW40" s="131">
        <f t="shared" si="46"/>
        <v>2.6270467422981328E-3</v>
      </c>
      <c r="AX40" s="132">
        <f t="shared" si="47"/>
        <v>3.3040100858295514</v>
      </c>
      <c r="AY40" s="98"/>
      <c r="AZ40" s="133">
        <f t="shared" si="29"/>
        <v>33</v>
      </c>
      <c r="BA40" s="134">
        <f t="shared" ref="BA40:BA57" si="50">IF(SUM(O40:P40)=0,"",SUM(O40:P40))</f>
        <v>33.6</v>
      </c>
      <c r="BB40" s="135">
        <f t="shared" si="21"/>
        <v>40.184999999999995</v>
      </c>
      <c r="BC40" s="107" t="str">
        <f t="shared" si="11"/>
        <v/>
      </c>
    </row>
    <row r="41" spans="1:55" x14ac:dyDescent="0.25">
      <c r="A41" s="76"/>
      <c r="B41" s="108">
        <f t="shared" si="22"/>
        <v>34</v>
      </c>
      <c r="C41" s="109">
        <v>34</v>
      </c>
      <c r="D41" s="110"/>
      <c r="E41" s="110"/>
      <c r="F41" s="110"/>
      <c r="G41" s="110">
        <v>32</v>
      </c>
      <c r="H41" s="110">
        <v>30</v>
      </c>
      <c r="I41" s="110">
        <v>35</v>
      </c>
      <c r="J41" s="110">
        <v>32</v>
      </c>
      <c r="K41" s="110">
        <v>30</v>
      </c>
      <c r="L41" s="111">
        <v>34</v>
      </c>
      <c r="M41" s="112">
        <f t="shared" si="12"/>
        <v>2.5714285714285694</v>
      </c>
      <c r="N41" s="112">
        <f t="shared" si="13"/>
        <v>2.4285714285714306</v>
      </c>
      <c r="O41" s="113">
        <f t="shared" si="14"/>
        <v>32.428571428571431</v>
      </c>
      <c r="P41" s="114"/>
      <c r="Q41" s="115">
        <f t="shared" si="15"/>
        <v>2</v>
      </c>
      <c r="R41" s="116">
        <v>398.8</v>
      </c>
      <c r="S41" s="136">
        <f t="shared" si="16"/>
        <v>37.886000000000003</v>
      </c>
      <c r="T41" s="118">
        <f t="shared" si="49"/>
        <v>37.388316257035441</v>
      </c>
      <c r="U41" s="119">
        <f t="shared" si="48"/>
        <v>38.382477781182359</v>
      </c>
      <c r="V41" s="120">
        <f t="shared" si="18"/>
        <v>-0.10129191595642204</v>
      </c>
      <c r="W41" s="121">
        <f t="shared" si="19"/>
        <v>0.10036790135302638</v>
      </c>
      <c r="X41" s="122" t="str">
        <f t="shared" si="1"/>
        <v/>
      </c>
      <c r="Y41" s="123">
        <f t="shared" si="23"/>
        <v>34</v>
      </c>
      <c r="Z41" s="159"/>
      <c r="AA41" s="123">
        <f t="shared" si="24"/>
        <v>34</v>
      </c>
      <c r="AB41" s="124">
        <f t="shared" si="39"/>
        <v>0.19358330029154922</v>
      </c>
      <c r="AC41" s="119">
        <f t="shared" si="40"/>
        <v>1051.6122448979593</v>
      </c>
      <c r="AH41" s="123">
        <f t="shared" si="25"/>
        <v>34</v>
      </c>
      <c r="AI41" s="127">
        <f t="shared" si="41"/>
        <v>0.24768910801121552</v>
      </c>
      <c r="AJ41" s="45"/>
      <c r="AK41" s="123">
        <f t="shared" si="26"/>
        <v>34</v>
      </c>
      <c r="AL41" s="124">
        <f t="shared" si="42"/>
        <v>32.428571428571431</v>
      </c>
      <c r="AM41" s="119">
        <f t="shared" si="43"/>
        <v>1051.6122448979593</v>
      </c>
      <c r="AR41" s="108">
        <f t="shared" si="27"/>
        <v>34</v>
      </c>
      <c r="AS41" s="129">
        <f t="shared" si="44"/>
        <v>0.24649018720775601</v>
      </c>
      <c r="AT41" s="102"/>
      <c r="AU41" s="123">
        <f t="shared" si="28"/>
        <v>34</v>
      </c>
      <c r="AV41" s="130">
        <f t="shared" si="45"/>
        <v>-7.3020908543447241E-3</v>
      </c>
      <c r="AW41" s="131">
        <f t="shared" si="46"/>
        <v>2.3017132737346055E-4</v>
      </c>
      <c r="AX41" s="132">
        <f t="shared" si="47"/>
        <v>0.23165583417169308</v>
      </c>
      <c r="AY41" s="98"/>
      <c r="AZ41" s="133">
        <f t="shared" si="29"/>
        <v>34</v>
      </c>
      <c r="BA41" s="134">
        <f t="shared" si="50"/>
        <v>32.428571428571431</v>
      </c>
      <c r="BB41" s="135">
        <f t="shared" si="21"/>
        <v>37.886000000000003</v>
      </c>
      <c r="BC41" s="107" t="str">
        <f t="shared" si="11"/>
        <v/>
      </c>
    </row>
    <row r="42" spans="1:55" x14ac:dyDescent="0.25">
      <c r="A42" s="76"/>
      <c r="B42" s="108">
        <f t="shared" si="22"/>
        <v>35</v>
      </c>
      <c r="C42" s="109"/>
      <c r="D42" s="110">
        <v>36</v>
      </c>
      <c r="E42" s="110"/>
      <c r="F42" s="110">
        <v>35</v>
      </c>
      <c r="G42" s="110">
        <v>34</v>
      </c>
      <c r="H42" s="110">
        <v>37</v>
      </c>
      <c r="I42" s="110">
        <v>31</v>
      </c>
      <c r="J42" s="110"/>
      <c r="K42" s="110">
        <v>34</v>
      </c>
      <c r="L42" s="111">
        <v>36</v>
      </c>
      <c r="M42" s="112">
        <f t="shared" si="12"/>
        <v>2.2857142857142847</v>
      </c>
      <c r="N42" s="112">
        <f t="shared" si="13"/>
        <v>3.7142857142857153</v>
      </c>
      <c r="O42" s="113">
        <f t="shared" si="14"/>
        <v>34.714285714285715</v>
      </c>
      <c r="P42" s="114"/>
      <c r="Q42" s="115">
        <f t="shared" si="15"/>
        <v>2</v>
      </c>
      <c r="R42" s="116">
        <v>448</v>
      </c>
      <c r="S42" s="136">
        <f t="shared" si="16"/>
        <v>42.559999999999995</v>
      </c>
      <c r="T42" s="118">
        <f t="shared" si="49"/>
        <v>37.41637879877112</v>
      </c>
      <c r="U42" s="119">
        <f t="shared" si="48"/>
        <v>38.452884270479039</v>
      </c>
      <c r="V42" s="120">
        <f t="shared" si="18"/>
        <v>-1.0468641055523593</v>
      </c>
      <c r="W42" s="121">
        <f t="shared" si="19"/>
        <v>-0.83029412797551283</v>
      </c>
      <c r="X42" s="122" t="str">
        <f t="shared" si="1"/>
        <v/>
      </c>
      <c r="Y42" s="123">
        <f t="shared" si="23"/>
        <v>35</v>
      </c>
      <c r="Z42" s="159"/>
      <c r="AA42" s="123">
        <f t="shared" si="24"/>
        <v>35</v>
      </c>
      <c r="AB42" s="124">
        <f t="shared" si="39"/>
        <v>13.826308198250732</v>
      </c>
      <c r="AC42" s="119">
        <f t="shared" si="40"/>
        <v>1205.0816326530612</v>
      </c>
      <c r="AH42" s="123">
        <f t="shared" si="25"/>
        <v>35</v>
      </c>
      <c r="AI42" s="127">
        <f t="shared" si="41"/>
        <v>26.456839061731174</v>
      </c>
      <c r="AJ42" s="45"/>
      <c r="AK42" s="123">
        <f t="shared" si="26"/>
        <v>35</v>
      </c>
      <c r="AL42" s="124">
        <f t="shared" si="42"/>
        <v>34.714285714285715</v>
      </c>
      <c r="AM42" s="119">
        <f t="shared" si="43"/>
        <v>1205.0816326530612</v>
      </c>
      <c r="AR42" s="108">
        <f t="shared" si="27"/>
        <v>35</v>
      </c>
      <c r="AS42" s="129">
        <f t="shared" si="44"/>
        <v>16.868399615678452</v>
      </c>
      <c r="AT42" s="102"/>
      <c r="AU42" s="123">
        <f t="shared" si="28"/>
        <v>35</v>
      </c>
      <c r="AV42" s="130">
        <f t="shared" si="45"/>
        <v>0.35880186323347457</v>
      </c>
      <c r="AW42" s="131">
        <f t="shared" si="46"/>
        <v>7.3235748511293669E-3</v>
      </c>
      <c r="AX42" s="132">
        <f t="shared" si="47"/>
        <v>17.578679767294275</v>
      </c>
      <c r="AY42" s="98"/>
      <c r="AZ42" s="133">
        <f t="shared" si="29"/>
        <v>35</v>
      </c>
      <c r="BA42" s="134">
        <f t="shared" si="50"/>
        <v>34.714285714285715</v>
      </c>
      <c r="BB42" s="135">
        <f t="shared" si="21"/>
        <v>42.559999999999995</v>
      </c>
      <c r="BC42" s="107" t="str">
        <f t="shared" si="11"/>
        <v/>
      </c>
    </row>
    <row r="43" spans="1:55" x14ac:dyDescent="0.25">
      <c r="A43" s="76"/>
      <c r="B43" s="108">
        <f t="shared" si="22"/>
        <v>36</v>
      </c>
      <c r="C43" s="109"/>
      <c r="D43" s="110"/>
      <c r="E43" s="110"/>
      <c r="F43" s="110"/>
      <c r="G43" s="110"/>
      <c r="H43" s="110"/>
      <c r="I43" s="110"/>
      <c r="J43" s="110"/>
      <c r="K43" s="110"/>
      <c r="L43" s="111"/>
      <c r="M43" s="112" t="str">
        <f t="shared" si="12"/>
        <v/>
      </c>
      <c r="N43" s="112" t="str">
        <f t="shared" si="13"/>
        <v/>
      </c>
      <c r="O43" s="113" t="str">
        <f t="shared" si="14"/>
        <v/>
      </c>
      <c r="P43" s="114" t="str">
        <f t="shared" ref="P43:P57" si="51">IFERROR(AVERAGE(C43:L43),"")</f>
        <v/>
      </c>
      <c r="Q43" s="115" t="str">
        <f t="shared" si="15"/>
        <v/>
      </c>
      <c r="R43" s="116"/>
      <c r="S43" s="136" t="str">
        <f t="shared" si="16"/>
        <v/>
      </c>
      <c r="T43" s="118" t="str">
        <f t="shared" si="49"/>
        <v/>
      </c>
      <c r="U43" s="119" t="str">
        <f t="shared" si="48"/>
        <v/>
      </c>
      <c r="V43" s="120" t="str">
        <f t="shared" si="18"/>
        <v/>
      </c>
      <c r="W43" s="121" t="str">
        <f t="shared" si="19"/>
        <v/>
      </c>
      <c r="X43" s="122" t="str">
        <f>IF(COUNT(V43:W43)=0,"",IF(V43&gt;2,"Отбраковывается",IF(W43&gt;2,"Отбраковывается",IF(V43&lt;-2,"Отбраковывается",IF(W43&lt;-2,"Отбраковывается","")))))</f>
        <v/>
      </c>
      <c r="Y43" s="123">
        <f t="shared" si="23"/>
        <v>36</v>
      </c>
      <c r="Z43" s="159"/>
      <c r="AA43" s="123">
        <f t="shared" si="24"/>
        <v>36</v>
      </c>
      <c r="AB43" s="124" t="str">
        <f t="shared" si="39"/>
        <v/>
      </c>
      <c r="AC43" s="119" t="str">
        <f t="shared" si="40"/>
        <v/>
      </c>
      <c r="AH43" s="123">
        <f t="shared" si="25"/>
        <v>36</v>
      </c>
      <c r="AI43" s="127" t="str">
        <f t="shared" si="41"/>
        <v/>
      </c>
      <c r="AJ43" s="45"/>
      <c r="AK43" s="123">
        <f t="shared" si="26"/>
        <v>36</v>
      </c>
      <c r="AL43" s="124" t="str">
        <f t="shared" si="42"/>
        <v/>
      </c>
      <c r="AM43" s="119" t="str">
        <f t="shared" si="43"/>
        <v/>
      </c>
      <c r="AR43" s="108">
        <f t="shared" si="27"/>
        <v>36</v>
      </c>
      <c r="AS43" s="129" t="str">
        <f t="shared" si="44"/>
        <v/>
      </c>
      <c r="AT43" s="102"/>
      <c r="AU43" s="123">
        <f t="shared" si="28"/>
        <v>36</v>
      </c>
      <c r="AV43" s="130" t="str">
        <f t="shared" si="45"/>
        <v/>
      </c>
      <c r="AW43" s="131" t="str">
        <f t="shared" si="46"/>
        <v/>
      </c>
      <c r="AX43" s="132" t="str">
        <f t="shared" si="47"/>
        <v/>
      </c>
      <c r="AY43" s="98"/>
      <c r="AZ43" s="133">
        <f t="shared" si="29"/>
        <v>36</v>
      </c>
      <c r="BA43" s="134" t="str">
        <f t="shared" si="50"/>
        <v/>
      </c>
      <c r="BB43" s="135" t="str">
        <f t="shared" si="21"/>
        <v/>
      </c>
      <c r="BC43" s="107" t="str">
        <f t="shared" si="11"/>
        <v/>
      </c>
    </row>
    <row r="44" spans="1:55" x14ac:dyDescent="0.25">
      <c r="A44" s="76"/>
      <c r="B44" s="108">
        <f t="shared" si="22"/>
        <v>37</v>
      </c>
      <c r="C44" s="109"/>
      <c r="D44" s="110"/>
      <c r="E44" s="110"/>
      <c r="F44" s="110"/>
      <c r="G44" s="110"/>
      <c r="H44" s="110"/>
      <c r="I44" s="110"/>
      <c r="J44" s="110"/>
      <c r="K44" s="110"/>
      <c r="L44" s="111"/>
      <c r="M44" s="112" t="str">
        <f t="shared" si="12"/>
        <v/>
      </c>
      <c r="N44" s="112" t="str">
        <f t="shared" si="13"/>
        <v/>
      </c>
      <c r="O44" s="113" t="str">
        <f t="shared" si="14"/>
        <v/>
      </c>
      <c r="P44" s="114" t="str">
        <f t="shared" si="51"/>
        <v/>
      </c>
      <c r="Q44" s="115" t="str">
        <f t="shared" si="15"/>
        <v/>
      </c>
      <c r="R44" s="116"/>
      <c r="S44" s="136" t="str">
        <f t="shared" si="16"/>
        <v/>
      </c>
      <c r="T44" s="118" t="str">
        <f t="shared" si="49"/>
        <v/>
      </c>
      <c r="U44" s="119" t="str">
        <f t="shared" si="48"/>
        <v/>
      </c>
      <c r="V44" s="120" t="str">
        <f t="shared" si="18"/>
        <v/>
      </c>
      <c r="W44" s="121" t="str">
        <f t="shared" si="19"/>
        <v/>
      </c>
      <c r="X44" s="122" t="str">
        <f t="shared" ref="X44:X57" si="52">IF(COUNT(V44:W44)=0,"",IF(V44&gt;2,"Отбраковывается",IF(W44&gt;2,"Отбраковывается",IF(V44&lt;-2,"Отбраковывается",IF(W44&lt;-2,"Отбраковывается","")))))</f>
        <v/>
      </c>
      <c r="Y44" s="123">
        <f t="shared" si="23"/>
        <v>37</v>
      </c>
      <c r="Z44" s="159"/>
      <c r="AA44" s="123">
        <f t="shared" si="24"/>
        <v>37</v>
      </c>
      <c r="AB44" s="124" t="str">
        <f t="shared" si="39"/>
        <v/>
      </c>
      <c r="AC44" s="119" t="str">
        <f t="shared" si="40"/>
        <v/>
      </c>
      <c r="AH44" s="123">
        <f t="shared" si="25"/>
        <v>37</v>
      </c>
      <c r="AI44" s="127" t="str">
        <f t="shared" si="41"/>
        <v/>
      </c>
      <c r="AJ44" s="45"/>
      <c r="AK44" s="123">
        <f t="shared" si="26"/>
        <v>37</v>
      </c>
      <c r="AL44" s="124" t="str">
        <f t="shared" si="42"/>
        <v/>
      </c>
      <c r="AM44" s="119" t="str">
        <f t="shared" si="43"/>
        <v/>
      </c>
      <c r="AR44" s="108">
        <f t="shared" si="27"/>
        <v>37</v>
      </c>
      <c r="AS44" s="129" t="str">
        <f t="shared" si="44"/>
        <v/>
      </c>
      <c r="AT44" s="102"/>
      <c r="AU44" s="123">
        <f t="shared" si="28"/>
        <v>37</v>
      </c>
      <c r="AV44" s="130" t="str">
        <f t="shared" si="45"/>
        <v/>
      </c>
      <c r="AW44" s="131" t="str">
        <f t="shared" si="46"/>
        <v/>
      </c>
      <c r="AX44" s="132" t="str">
        <f t="shared" si="47"/>
        <v/>
      </c>
      <c r="AY44" s="98"/>
      <c r="AZ44" s="133">
        <f t="shared" si="29"/>
        <v>37</v>
      </c>
      <c r="BA44" s="134" t="str">
        <f t="shared" si="50"/>
        <v/>
      </c>
      <c r="BB44" s="135" t="str">
        <f t="shared" si="21"/>
        <v/>
      </c>
      <c r="BC44" s="107" t="str">
        <f t="shared" si="11"/>
        <v/>
      </c>
    </row>
    <row r="45" spans="1:55" x14ac:dyDescent="0.25">
      <c r="A45" s="76"/>
      <c r="B45" s="108">
        <f t="shared" si="22"/>
        <v>38</v>
      </c>
      <c r="C45" s="109"/>
      <c r="D45" s="110"/>
      <c r="E45" s="110"/>
      <c r="F45" s="110"/>
      <c r="G45" s="110"/>
      <c r="H45" s="110"/>
      <c r="I45" s="110"/>
      <c r="J45" s="110"/>
      <c r="K45" s="110"/>
      <c r="L45" s="111"/>
      <c r="M45" s="112" t="str">
        <f t="shared" si="12"/>
        <v/>
      </c>
      <c r="N45" s="112" t="str">
        <f t="shared" si="13"/>
        <v/>
      </c>
      <c r="O45" s="113" t="str">
        <f t="shared" si="14"/>
        <v/>
      </c>
      <c r="P45" s="114" t="str">
        <f t="shared" si="51"/>
        <v/>
      </c>
      <c r="Q45" s="115" t="str">
        <f t="shared" si="15"/>
        <v/>
      </c>
      <c r="R45" s="116"/>
      <c r="S45" s="136" t="str">
        <f t="shared" si="16"/>
        <v/>
      </c>
      <c r="T45" s="118" t="str">
        <f t="shared" si="49"/>
        <v/>
      </c>
      <c r="U45" s="119" t="str">
        <f t="shared" si="48"/>
        <v/>
      </c>
      <c r="V45" s="120" t="str">
        <f t="shared" si="18"/>
        <v/>
      </c>
      <c r="W45" s="121" t="str">
        <f t="shared" si="19"/>
        <v/>
      </c>
      <c r="X45" s="122" t="str">
        <f t="shared" si="52"/>
        <v/>
      </c>
      <c r="Y45" s="123">
        <f t="shared" si="23"/>
        <v>38</v>
      </c>
      <c r="Z45" s="159"/>
      <c r="AA45" s="123">
        <f t="shared" si="24"/>
        <v>38</v>
      </c>
      <c r="AB45" s="124" t="str">
        <f t="shared" si="39"/>
        <v/>
      </c>
      <c r="AC45" s="119" t="str">
        <f t="shared" si="40"/>
        <v/>
      </c>
      <c r="AH45" s="123">
        <f t="shared" si="25"/>
        <v>38</v>
      </c>
      <c r="AI45" s="127" t="str">
        <f t="shared" si="41"/>
        <v/>
      </c>
      <c r="AJ45" s="45"/>
      <c r="AK45" s="123">
        <f t="shared" si="26"/>
        <v>38</v>
      </c>
      <c r="AL45" s="124" t="str">
        <f t="shared" si="42"/>
        <v/>
      </c>
      <c r="AM45" s="119" t="str">
        <f t="shared" si="43"/>
        <v/>
      </c>
      <c r="AR45" s="108">
        <f t="shared" si="27"/>
        <v>38</v>
      </c>
      <c r="AS45" s="129" t="str">
        <f t="shared" si="44"/>
        <v/>
      </c>
      <c r="AT45" s="102"/>
      <c r="AU45" s="123">
        <f t="shared" si="28"/>
        <v>38</v>
      </c>
      <c r="AV45" s="130" t="str">
        <f t="shared" si="45"/>
        <v/>
      </c>
      <c r="AW45" s="131" t="str">
        <f t="shared" si="46"/>
        <v/>
      </c>
      <c r="AX45" s="132" t="str">
        <f t="shared" si="47"/>
        <v/>
      </c>
      <c r="AY45" s="98"/>
      <c r="AZ45" s="133">
        <f t="shared" si="29"/>
        <v>38</v>
      </c>
      <c r="BA45" s="134" t="str">
        <f t="shared" si="50"/>
        <v/>
      </c>
      <c r="BB45" s="135" t="str">
        <f t="shared" si="21"/>
        <v/>
      </c>
      <c r="BC45" s="107" t="str">
        <f t="shared" si="11"/>
        <v/>
      </c>
    </row>
    <row r="46" spans="1:55" x14ac:dyDescent="0.25">
      <c r="A46" s="76"/>
      <c r="B46" s="108">
        <f t="shared" si="22"/>
        <v>39</v>
      </c>
      <c r="C46" s="109"/>
      <c r="D46" s="110"/>
      <c r="E46" s="110"/>
      <c r="F46" s="110"/>
      <c r="G46" s="110"/>
      <c r="H46" s="110"/>
      <c r="I46" s="110"/>
      <c r="J46" s="110"/>
      <c r="K46" s="110"/>
      <c r="L46" s="111"/>
      <c r="M46" s="112" t="str">
        <f t="shared" si="12"/>
        <v/>
      </c>
      <c r="N46" s="112" t="str">
        <f t="shared" si="13"/>
        <v/>
      </c>
      <c r="O46" s="113" t="str">
        <f t="shared" si="14"/>
        <v/>
      </c>
      <c r="P46" s="114" t="str">
        <f t="shared" si="51"/>
        <v/>
      </c>
      <c r="Q46" s="115" t="str">
        <f t="shared" si="15"/>
        <v/>
      </c>
      <c r="R46" s="116"/>
      <c r="S46" s="136" t="str">
        <f t="shared" si="16"/>
        <v/>
      </c>
      <c r="T46" s="118" t="str">
        <f t="shared" si="49"/>
        <v/>
      </c>
      <c r="U46" s="119" t="str">
        <f t="shared" si="48"/>
        <v/>
      </c>
      <c r="V46" s="120" t="str">
        <f t="shared" si="18"/>
        <v/>
      </c>
      <c r="W46" s="121" t="str">
        <f t="shared" si="19"/>
        <v/>
      </c>
      <c r="X46" s="122" t="str">
        <f t="shared" si="52"/>
        <v/>
      </c>
      <c r="Y46" s="123">
        <f t="shared" si="23"/>
        <v>39</v>
      </c>
      <c r="Z46" s="159"/>
      <c r="AA46" s="123">
        <f t="shared" si="24"/>
        <v>39</v>
      </c>
      <c r="AB46" s="124" t="str">
        <f t="shared" si="39"/>
        <v/>
      </c>
      <c r="AC46" s="119" t="str">
        <f t="shared" si="40"/>
        <v/>
      </c>
      <c r="AH46" s="123">
        <f t="shared" si="25"/>
        <v>39</v>
      </c>
      <c r="AI46" s="127" t="str">
        <f t="shared" si="41"/>
        <v/>
      </c>
      <c r="AJ46" s="45"/>
      <c r="AK46" s="123">
        <f t="shared" si="26"/>
        <v>39</v>
      </c>
      <c r="AL46" s="124" t="str">
        <f t="shared" si="42"/>
        <v/>
      </c>
      <c r="AM46" s="119" t="str">
        <f t="shared" si="43"/>
        <v/>
      </c>
      <c r="AR46" s="108">
        <f t="shared" si="27"/>
        <v>39</v>
      </c>
      <c r="AS46" s="129" t="str">
        <f t="shared" si="44"/>
        <v/>
      </c>
      <c r="AT46" s="102"/>
      <c r="AU46" s="123">
        <f t="shared" si="28"/>
        <v>39</v>
      </c>
      <c r="AV46" s="130" t="str">
        <f t="shared" si="45"/>
        <v/>
      </c>
      <c r="AW46" s="131" t="str">
        <f t="shared" si="46"/>
        <v/>
      </c>
      <c r="AX46" s="132" t="str">
        <f t="shared" si="47"/>
        <v/>
      </c>
      <c r="AY46" s="98"/>
      <c r="AZ46" s="133">
        <f t="shared" si="29"/>
        <v>39</v>
      </c>
      <c r="BA46" s="134" t="str">
        <f t="shared" si="50"/>
        <v/>
      </c>
      <c r="BB46" s="135" t="str">
        <f t="shared" si="21"/>
        <v/>
      </c>
      <c r="BC46" s="107" t="str">
        <f t="shared" si="11"/>
        <v/>
      </c>
    </row>
    <row r="47" spans="1:55" x14ac:dyDescent="0.25">
      <c r="A47" s="76"/>
      <c r="B47" s="108">
        <f t="shared" si="22"/>
        <v>40</v>
      </c>
      <c r="C47" s="109"/>
      <c r="D47" s="110"/>
      <c r="E47" s="110"/>
      <c r="F47" s="110"/>
      <c r="G47" s="110"/>
      <c r="H47" s="110"/>
      <c r="I47" s="110"/>
      <c r="J47" s="110"/>
      <c r="K47" s="110"/>
      <c r="L47" s="111"/>
      <c r="M47" s="112" t="str">
        <f t="shared" si="12"/>
        <v/>
      </c>
      <c r="N47" s="112" t="str">
        <f t="shared" si="13"/>
        <v/>
      </c>
      <c r="O47" s="113" t="str">
        <f t="shared" si="14"/>
        <v/>
      </c>
      <c r="P47" s="114" t="str">
        <f t="shared" si="51"/>
        <v/>
      </c>
      <c r="Q47" s="115" t="str">
        <f t="shared" si="15"/>
        <v/>
      </c>
      <c r="R47" s="116"/>
      <c r="S47" s="136" t="str">
        <f t="shared" si="16"/>
        <v/>
      </c>
      <c r="T47" s="118" t="str">
        <f t="shared" si="49"/>
        <v/>
      </c>
      <c r="U47" s="119" t="str">
        <f t="shared" si="48"/>
        <v/>
      </c>
      <c r="V47" s="120" t="str">
        <f t="shared" si="18"/>
        <v/>
      </c>
      <c r="W47" s="121" t="str">
        <f t="shared" si="19"/>
        <v/>
      </c>
      <c r="X47" s="122" t="str">
        <f t="shared" si="52"/>
        <v/>
      </c>
      <c r="Y47" s="123">
        <f t="shared" si="23"/>
        <v>40</v>
      </c>
      <c r="Z47" s="159"/>
      <c r="AA47" s="123">
        <f t="shared" si="24"/>
        <v>40</v>
      </c>
      <c r="AB47" s="124" t="str">
        <f t="shared" si="39"/>
        <v/>
      </c>
      <c r="AC47" s="119" t="str">
        <f t="shared" si="40"/>
        <v/>
      </c>
      <c r="AH47" s="123">
        <f t="shared" si="25"/>
        <v>40</v>
      </c>
      <c r="AI47" s="127" t="str">
        <f t="shared" si="41"/>
        <v/>
      </c>
      <c r="AJ47" s="45"/>
      <c r="AK47" s="123">
        <f t="shared" si="26"/>
        <v>40</v>
      </c>
      <c r="AL47" s="124" t="str">
        <f t="shared" si="42"/>
        <v/>
      </c>
      <c r="AM47" s="119" t="str">
        <f t="shared" si="43"/>
        <v/>
      </c>
      <c r="AR47" s="108">
        <f t="shared" si="27"/>
        <v>40</v>
      </c>
      <c r="AS47" s="129" t="str">
        <f t="shared" si="44"/>
        <v/>
      </c>
      <c r="AT47" s="102"/>
      <c r="AU47" s="123">
        <f t="shared" si="28"/>
        <v>40</v>
      </c>
      <c r="AV47" s="130" t="str">
        <f t="shared" si="45"/>
        <v/>
      </c>
      <c r="AW47" s="131" t="str">
        <f t="shared" si="46"/>
        <v/>
      </c>
      <c r="AX47" s="132" t="str">
        <f t="shared" si="47"/>
        <v/>
      </c>
      <c r="AY47" s="98"/>
      <c r="AZ47" s="133">
        <f t="shared" si="29"/>
        <v>40</v>
      </c>
      <c r="BA47" s="134" t="str">
        <f t="shared" si="50"/>
        <v/>
      </c>
      <c r="BB47" s="135" t="str">
        <f t="shared" si="21"/>
        <v/>
      </c>
      <c r="BC47" s="107" t="str">
        <f t="shared" si="11"/>
        <v/>
      </c>
    </row>
    <row r="48" spans="1:55" x14ac:dyDescent="0.25">
      <c r="A48" s="76"/>
      <c r="B48" s="108">
        <f t="shared" si="22"/>
        <v>41</v>
      </c>
      <c r="C48" s="109"/>
      <c r="D48" s="110"/>
      <c r="E48" s="110"/>
      <c r="F48" s="110"/>
      <c r="G48" s="110"/>
      <c r="H48" s="110"/>
      <c r="I48" s="110"/>
      <c r="J48" s="110"/>
      <c r="K48" s="110"/>
      <c r="L48" s="111"/>
      <c r="M48" s="112" t="str">
        <f t="shared" si="12"/>
        <v/>
      </c>
      <c r="N48" s="112" t="str">
        <f t="shared" si="13"/>
        <v/>
      </c>
      <c r="O48" s="162" t="str">
        <f t="shared" si="14"/>
        <v/>
      </c>
      <c r="P48" s="163" t="str">
        <f t="shared" si="51"/>
        <v/>
      </c>
      <c r="Q48" s="115" t="str">
        <f t="shared" si="15"/>
        <v/>
      </c>
      <c r="R48" s="164"/>
      <c r="S48" s="136" t="str">
        <f t="shared" si="16"/>
        <v/>
      </c>
      <c r="T48" s="118" t="str">
        <f t="shared" si="49"/>
        <v/>
      </c>
      <c r="U48" s="119" t="str">
        <f t="shared" si="48"/>
        <v/>
      </c>
      <c r="V48" s="120" t="str">
        <f t="shared" si="18"/>
        <v/>
      </c>
      <c r="W48" s="121" t="str">
        <f t="shared" si="19"/>
        <v/>
      </c>
      <c r="X48" s="122" t="str">
        <f t="shared" si="52"/>
        <v/>
      </c>
      <c r="Y48" s="123">
        <f t="shared" si="23"/>
        <v>41</v>
      </c>
      <c r="Z48" s="159"/>
      <c r="AA48" s="123">
        <f t="shared" si="24"/>
        <v>41</v>
      </c>
      <c r="AB48" s="124" t="str">
        <f t="shared" si="39"/>
        <v/>
      </c>
      <c r="AC48" s="119" t="str">
        <f t="shared" si="40"/>
        <v/>
      </c>
      <c r="AH48" s="123">
        <f t="shared" si="25"/>
        <v>41</v>
      </c>
      <c r="AI48" s="127" t="str">
        <f t="shared" si="41"/>
        <v/>
      </c>
      <c r="AJ48" s="45"/>
      <c r="AK48" s="123">
        <f t="shared" si="26"/>
        <v>41</v>
      </c>
      <c r="AL48" s="124" t="str">
        <f t="shared" si="42"/>
        <v/>
      </c>
      <c r="AM48" s="119" t="str">
        <f t="shared" si="43"/>
        <v/>
      </c>
      <c r="AR48" s="108">
        <f t="shared" si="27"/>
        <v>41</v>
      </c>
      <c r="AS48" s="129" t="str">
        <f t="shared" si="44"/>
        <v/>
      </c>
      <c r="AT48" s="102"/>
      <c r="AU48" s="123">
        <f t="shared" si="28"/>
        <v>41</v>
      </c>
      <c r="AV48" s="130" t="str">
        <f t="shared" si="45"/>
        <v/>
      </c>
      <c r="AW48" s="131" t="str">
        <f t="shared" si="46"/>
        <v/>
      </c>
      <c r="AX48" s="132" t="str">
        <f t="shared" si="47"/>
        <v/>
      </c>
      <c r="AY48" s="98"/>
      <c r="AZ48" s="133">
        <f t="shared" si="29"/>
        <v>41</v>
      </c>
      <c r="BA48" s="134" t="str">
        <f t="shared" si="50"/>
        <v/>
      </c>
      <c r="BB48" s="135" t="str">
        <f t="shared" si="21"/>
        <v/>
      </c>
      <c r="BC48" s="107" t="str">
        <f t="shared" si="11"/>
        <v/>
      </c>
    </row>
    <row r="49" spans="1:55" x14ac:dyDescent="0.25">
      <c r="A49" s="76"/>
      <c r="B49" s="108">
        <f t="shared" si="22"/>
        <v>42</v>
      </c>
      <c r="C49" s="109"/>
      <c r="D49" s="110"/>
      <c r="E49" s="110"/>
      <c r="F49" s="110"/>
      <c r="G49" s="110"/>
      <c r="H49" s="110"/>
      <c r="I49" s="110"/>
      <c r="J49" s="110"/>
      <c r="K49" s="110"/>
      <c r="L49" s="111"/>
      <c r="M49" s="112" t="str">
        <f t="shared" si="12"/>
        <v/>
      </c>
      <c r="N49" s="112" t="str">
        <f t="shared" si="13"/>
        <v/>
      </c>
      <c r="O49" s="162" t="str">
        <f t="shared" si="14"/>
        <v/>
      </c>
      <c r="P49" s="163" t="str">
        <f t="shared" si="51"/>
        <v/>
      </c>
      <c r="Q49" s="115" t="str">
        <f t="shared" si="15"/>
        <v/>
      </c>
      <c r="R49" s="165"/>
      <c r="S49" s="136" t="str">
        <f t="shared" si="16"/>
        <v/>
      </c>
      <c r="T49" s="118" t="str">
        <f t="shared" si="49"/>
        <v/>
      </c>
      <c r="U49" s="119" t="str">
        <f t="shared" si="48"/>
        <v/>
      </c>
      <c r="V49" s="120" t="str">
        <f t="shared" si="18"/>
        <v/>
      </c>
      <c r="W49" s="121" t="str">
        <f t="shared" si="19"/>
        <v/>
      </c>
      <c r="X49" s="122" t="str">
        <f t="shared" si="52"/>
        <v/>
      </c>
      <c r="Y49" s="123">
        <f t="shared" si="23"/>
        <v>42</v>
      </c>
      <c r="Z49" s="159"/>
      <c r="AA49" s="123">
        <f t="shared" si="24"/>
        <v>42</v>
      </c>
      <c r="AB49" s="124" t="str">
        <f t="shared" si="39"/>
        <v/>
      </c>
      <c r="AC49" s="119" t="str">
        <f t="shared" si="40"/>
        <v/>
      </c>
      <c r="AH49" s="123">
        <f t="shared" si="25"/>
        <v>42</v>
      </c>
      <c r="AI49" s="127" t="str">
        <f t="shared" si="41"/>
        <v/>
      </c>
      <c r="AJ49" s="45"/>
      <c r="AK49" s="123">
        <f t="shared" si="26"/>
        <v>42</v>
      </c>
      <c r="AL49" s="124" t="str">
        <f t="shared" si="42"/>
        <v/>
      </c>
      <c r="AM49" s="119" t="str">
        <f t="shared" si="43"/>
        <v/>
      </c>
      <c r="AR49" s="108">
        <f t="shared" si="27"/>
        <v>42</v>
      </c>
      <c r="AS49" s="129" t="str">
        <f t="shared" si="44"/>
        <v/>
      </c>
      <c r="AT49" s="102"/>
      <c r="AU49" s="123">
        <f t="shared" si="28"/>
        <v>42</v>
      </c>
      <c r="AV49" s="130" t="str">
        <f t="shared" si="45"/>
        <v/>
      </c>
      <c r="AW49" s="131" t="str">
        <f t="shared" si="46"/>
        <v/>
      </c>
      <c r="AX49" s="132" t="str">
        <f t="shared" si="47"/>
        <v/>
      </c>
      <c r="AY49" s="98"/>
      <c r="AZ49" s="133">
        <f t="shared" si="29"/>
        <v>42</v>
      </c>
      <c r="BA49" s="134" t="str">
        <f t="shared" si="50"/>
        <v/>
      </c>
      <c r="BB49" s="135" t="str">
        <f t="shared" si="21"/>
        <v/>
      </c>
      <c r="BC49" s="107" t="str">
        <f t="shared" si="11"/>
        <v/>
      </c>
    </row>
    <row r="50" spans="1:55" x14ac:dyDescent="0.25">
      <c r="A50" s="76"/>
      <c r="B50" s="108">
        <f t="shared" si="22"/>
        <v>43</v>
      </c>
      <c r="C50" s="109"/>
      <c r="D50" s="110"/>
      <c r="E50" s="110"/>
      <c r="F50" s="110"/>
      <c r="G50" s="110"/>
      <c r="H50" s="110"/>
      <c r="I50" s="110"/>
      <c r="J50" s="110"/>
      <c r="K50" s="110"/>
      <c r="L50" s="111"/>
      <c r="M50" s="112" t="str">
        <f t="shared" si="12"/>
        <v/>
      </c>
      <c r="N50" s="112" t="str">
        <f t="shared" si="13"/>
        <v/>
      </c>
      <c r="O50" s="162" t="str">
        <f t="shared" si="14"/>
        <v/>
      </c>
      <c r="P50" s="163" t="str">
        <f t="shared" si="51"/>
        <v/>
      </c>
      <c r="Q50" s="115" t="str">
        <f t="shared" si="15"/>
        <v/>
      </c>
      <c r="R50" s="165"/>
      <c r="S50" s="136" t="str">
        <f t="shared" si="16"/>
        <v/>
      </c>
      <c r="T50" s="118" t="str">
        <f t="shared" si="49"/>
        <v/>
      </c>
      <c r="U50" s="119" t="str">
        <f t="shared" si="48"/>
        <v/>
      </c>
      <c r="V50" s="120" t="str">
        <f t="shared" si="18"/>
        <v/>
      </c>
      <c r="W50" s="121" t="str">
        <f t="shared" si="19"/>
        <v/>
      </c>
      <c r="X50" s="122" t="str">
        <f t="shared" si="52"/>
        <v/>
      </c>
      <c r="Y50" s="123">
        <f t="shared" si="23"/>
        <v>43</v>
      </c>
      <c r="Z50" s="159"/>
      <c r="AA50" s="123">
        <f t="shared" si="24"/>
        <v>43</v>
      </c>
      <c r="AB50" s="124" t="str">
        <f t="shared" si="39"/>
        <v/>
      </c>
      <c r="AC50" s="119" t="str">
        <f t="shared" si="40"/>
        <v/>
      </c>
      <c r="AH50" s="123">
        <f t="shared" si="25"/>
        <v>43</v>
      </c>
      <c r="AI50" s="127" t="str">
        <f t="shared" si="41"/>
        <v/>
      </c>
      <c r="AJ50" s="45"/>
      <c r="AK50" s="123">
        <f t="shared" si="26"/>
        <v>43</v>
      </c>
      <c r="AL50" s="124" t="str">
        <f t="shared" si="42"/>
        <v/>
      </c>
      <c r="AM50" s="119" t="str">
        <f t="shared" si="43"/>
        <v/>
      </c>
      <c r="AR50" s="108">
        <f t="shared" si="27"/>
        <v>43</v>
      </c>
      <c r="AS50" s="129" t="str">
        <f t="shared" si="44"/>
        <v/>
      </c>
      <c r="AT50" s="102"/>
      <c r="AU50" s="123">
        <f t="shared" si="28"/>
        <v>43</v>
      </c>
      <c r="AV50" s="130" t="str">
        <f t="shared" si="45"/>
        <v/>
      </c>
      <c r="AW50" s="131" t="str">
        <f t="shared" si="46"/>
        <v/>
      </c>
      <c r="AX50" s="132" t="str">
        <f t="shared" si="47"/>
        <v/>
      </c>
      <c r="AY50" s="98"/>
      <c r="AZ50" s="133">
        <f t="shared" si="29"/>
        <v>43</v>
      </c>
      <c r="BA50" s="134" t="str">
        <f t="shared" si="50"/>
        <v/>
      </c>
      <c r="BB50" s="135" t="str">
        <f t="shared" si="21"/>
        <v/>
      </c>
      <c r="BC50" s="107" t="str">
        <f t="shared" si="11"/>
        <v/>
      </c>
    </row>
    <row r="51" spans="1:55" x14ac:dyDescent="0.25">
      <c r="A51" s="76"/>
      <c r="B51" s="108">
        <f t="shared" si="22"/>
        <v>44</v>
      </c>
      <c r="C51" s="109"/>
      <c r="D51" s="110"/>
      <c r="E51" s="110"/>
      <c r="F51" s="110"/>
      <c r="G51" s="110"/>
      <c r="H51" s="110"/>
      <c r="I51" s="110"/>
      <c r="J51" s="110"/>
      <c r="K51" s="110"/>
      <c r="L51" s="111"/>
      <c r="M51" s="112" t="str">
        <f t="shared" si="12"/>
        <v/>
      </c>
      <c r="N51" s="112" t="str">
        <f t="shared" si="13"/>
        <v/>
      </c>
      <c r="O51" s="162" t="str">
        <f t="shared" si="14"/>
        <v/>
      </c>
      <c r="P51" s="163" t="str">
        <f t="shared" si="51"/>
        <v/>
      </c>
      <c r="Q51" s="115" t="str">
        <f t="shared" si="15"/>
        <v/>
      </c>
      <c r="R51" s="166"/>
      <c r="S51" s="136" t="str">
        <f t="shared" si="16"/>
        <v/>
      </c>
      <c r="T51" s="118" t="str">
        <f t="shared" si="49"/>
        <v/>
      </c>
      <c r="U51" s="119" t="str">
        <f t="shared" si="48"/>
        <v/>
      </c>
      <c r="V51" s="120" t="str">
        <f t="shared" si="18"/>
        <v/>
      </c>
      <c r="W51" s="121" t="str">
        <f t="shared" si="19"/>
        <v/>
      </c>
      <c r="X51" s="122" t="str">
        <f t="shared" si="52"/>
        <v/>
      </c>
      <c r="Y51" s="123">
        <f t="shared" si="23"/>
        <v>44</v>
      </c>
      <c r="Z51" s="159"/>
      <c r="AA51" s="123">
        <f t="shared" si="24"/>
        <v>44</v>
      </c>
      <c r="AB51" s="124" t="str">
        <f t="shared" si="39"/>
        <v/>
      </c>
      <c r="AC51" s="119" t="str">
        <f t="shared" si="40"/>
        <v/>
      </c>
      <c r="AH51" s="123">
        <f t="shared" si="25"/>
        <v>44</v>
      </c>
      <c r="AI51" s="127" t="str">
        <f t="shared" si="41"/>
        <v/>
      </c>
      <c r="AJ51" s="45"/>
      <c r="AK51" s="123">
        <f t="shared" si="26"/>
        <v>44</v>
      </c>
      <c r="AL51" s="124" t="str">
        <f t="shared" si="42"/>
        <v/>
      </c>
      <c r="AM51" s="119" t="str">
        <f t="shared" si="43"/>
        <v/>
      </c>
      <c r="AR51" s="108">
        <f t="shared" si="27"/>
        <v>44</v>
      </c>
      <c r="AS51" s="129" t="str">
        <f t="shared" si="44"/>
        <v/>
      </c>
      <c r="AT51" s="102"/>
      <c r="AU51" s="123">
        <f t="shared" si="28"/>
        <v>44</v>
      </c>
      <c r="AV51" s="130" t="str">
        <f t="shared" si="45"/>
        <v/>
      </c>
      <c r="AW51" s="131" t="str">
        <f t="shared" si="46"/>
        <v/>
      </c>
      <c r="AX51" s="132" t="str">
        <f t="shared" si="47"/>
        <v/>
      </c>
      <c r="AY51" s="98"/>
      <c r="AZ51" s="133">
        <f t="shared" si="29"/>
        <v>44</v>
      </c>
      <c r="BA51" s="134" t="str">
        <f t="shared" si="50"/>
        <v/>
      </c>
      <c r="BB51" s="135" t="str">
        <f t="shared" si="21"/>
        <v/>
      </c>
      <c r="BC51" s="107" t="str">
        <f t="shared" si="11"/>
        <v/>
      </c>
    </row>
    <row r="52" spans="1:55" x14ac:dyDescent="0.25">
      <c r="A52" s="76"/>
      <c r="B52" s="108">
        <f t="shared" si="22"/>
        <v>45</v>
      </c>
      <c r="C52" s="109"/>
      <c r="D52" s="110"/>
      <c r="E52" s="110"/>
      <c r="F52" s="110"/>
      <c r="G52" s="110"/>
      <c r="H52" s="110"/>
      <c r="I52" s="110"/>
      <c r="J52" s="110"/>
      <c r="K52" s="110"/>
      <c r="L52" s="111"/>
      <c r="M52" s="112" t="str">
        <f t="shared" si="12"/>
        <v/>
      </c>
      <c r="N52" s="112" t="str">
        <f t="shared" si="13"/>
        <v/>
      </c>
      <c r="O52" s="162" t="str">
        <f t="shared" si="14"/>
        <v/>
      </c>
      <c r="P52" s="163" t="str">
        <f t="shared" si="51"/>
        <v/>
      </c>
      <c r="Q52" s="115" t="str">
        <f t="shared" si="15"/>
        <v/>
      </c>
      <c r="R52" s="166"/>
      <c r="S52" s="136" t="str">
        <f t="shared" si="16"/>
        <v/>
      </c>
      <c r="T52" s="118" t="str">
        <f t="shared" si="49"/>
        <v/>
      </c>
      <c r="U52" s="119" t="str">
        <f t="shared" si="48"/>
        <v/>
      </c>
      <c r="V52" s="120" t="str">
        <f t="shared" si="18"/>
        <v/>
      </c>
      <c r="W52" s="121" t="str">
        <f t="shared" si="19"/>
        <v/>
      </c>
      <c r="X52" s="122" t="str">
        <f t="shared" si="52"/>
        <v/>
      </c>
      <c r="Y52" s="123">
        <f t="shared" si="23"/>
        <v>45</v>
      </c>
      <c r="Z52" s="159"/>
      <c r="AA52" s="123">
        <f t="shared" si="24"/>
        <v>45</v>
      </c>
      <c r="AB52" s="124" t="str">
        <f t="shared" si="39"/>
        <v/>
      </c>
      <c r="AC52" s="119" t="str">
        <f t="shared" si="40"/>
        <v/>
      </c>
      <c r="AH52" s="123">
        <f t="shared" si="25"/>
        <v>45</v>
      </c>
      <c r="AI52" s="127" t="str">
        <f t="shared" si="41"/>
        <v/>
      </c>
      <c r="AJ52" s="45"/>
      <c r="AK52" s="123">
        <f t="shared" si="26"/>
        <v>45</v>
      </c>
      <c r="AL52" s="124" t="str">
        <f t="shared" si="42"/>
        <v/>
      </c>
      <c r="AM52" s="119" t="str">
        <f t="shared" si="43"/>
        <v/>
      </c>
      <c r="AR52" s="108">
        <f t="shared" si="27"/>
        <v>45</v>
      </c>
      <c r="AS52" s="129" t="str">
        <f t="shared" si="44"/>
        <v/>
      </c>
      <c r="AT52" s="102"/>
      <c r="AU52" s="123">
        <f t="shared" si="28"/>
        <v>45</v>
      </c>
      <c r="AV52" s="130" t="str">
        <f t="shared" si="45"/>
        <v/>
      </c>
      <c r="AW52" s="131" t="str">
        <f t="shared" si="46"/>
        <v/>
      </c>
      <c r="AX52" s="132" t="str">
        <f t="shared" si="47"/>
        <v/>
      </c>
      <c r="AY52" s="98"/>
      <c r="AZ52" s="133">
        <f t="shared" si="29"/>
        <v>45</v>
      </c>
      <c r="BA52" s="134" t="str">
        <f t="shared" si="50"/>
        <v/>
      </c>
      <c r="BB52" s="135" t="str">
        <f t="shared" si="21"/>
        <v/>
      </c>
      <c r="BC52" s="107" t="str">
        <f t="shared" si="11"/>
        <v/>
      </c>
    </row>
    <row r="53" spans="1:55" x14ac:dyDescent="0.25">
      <c r="A53" s="76"/>
      <c r="B53" s="108">
        <f t="shared" si="22"/>
        <v>46</v>
      </c>
      <c r="C53" s="109"/>
      <c r="D53" s="110"/>
      <c r="E53" s="110"/>
      <c r="F53" s="110"/>
      <c r="G53" s="110"/>
      <c r="H53" s="110"/>
      <c r="I53" s="110"/>
      <c r="J53" s="110"/>
      <c r="K53" s="110"/>
      <c r="L53" s="111"/>
      <c r="M53" s="112" t="str">
        <f t="shared" si="12"/>
        <v/>
      </c>
      <c r="N53" s="112" t="str">
        <f t="shared" si="13"/>
        <v/>
      </c>
      <c r="O53" s="162" t="str">
        <f t="shared" si="14"/>
        <v/>
      </c>
      <c r="P53" s="163" t="str">
        <f t="shared" si="51"/>
        <v/>
      </c>
      <c r="Q53" s="115" t="str">
        <f t="shared" si="15"/>
        <v/>
      </c>
      <c r="R53" s="166"/>
      <c r="S53" s="136" t="str">
        <f t="shared" si="16"/>
        <v/>
      </c>
      <c r="T53" s="118" t="str">
        <f t="shared" si="49"/>
        <v/>
      </c>
      <c r="U53" s="119" t="str">
        <f t="shared" si="48"/>
        <v/>
      </c>
      <c r="V53" s="120" t="str">
        <f t="shared" si="18"/>
        <v/>
      </c>
      <c r="W53" s="121" t="str">
        <f t="shared" si="19"/>
        <v/>
      </c>
      <c r="X53" s="122" t="str">
        <f t="shared" si="52"/>
        <v/>
      </c>
      <c r="Y53" s="123">
        <f t="shared" si="23"/>
        <v>46</v>
      </c>
      <c r="Z53" s="159"/>
      <c r="AA53" s="123">
        <f t="shared" si="24"/>
        <v>46</v>
      </c>
      <c r="AB53" s="124" t="str">
        <f t="shared" si="39"/>
        <v/>
      </c>
      <c r="AC53" s="119" t="str">
        <f t="shared" si="40"/>
        <v/>
      </c>
      <c r="AH53" s="123">
        <f t="shared" si="25"/>
        <v>46</v>
      </c>
      <c r="AI53" s="127" t="str">
        <f t="shared" si="41"/>
        <v/>
      </c>
      <c r="AJ53" s="45"/>
      <c r="AK53" s="123">
        <f t="shared" si="26"/>
        <v>46</v>
      </c>
      <c r="AL53" s="124" t="str">
        <f t="shared" si="42"/>
        <v/>
      </c>
      <c r="AM53" s="119" t="str">
        <f t="shared" si="43"/>
        <v/>
      </c>
      <c r="AR53" s="108">
        <f t="shared" si="27"/>
        <v>46</v>
      </c>
      <c r="AS53" s="129" t="str">
        <f t="shared" si="44"/>
        <v/>
      </c>
      <c r="AT53" s="102"/>
      <c r="AU53" s="123">
        <f t="shared" si="28"/>
        <v>46</v>
      </c>
      <c r="AV53" s="130" t="str">
        <f t="shared" si="45"/>
        <v/>
      </c>
      <c r="AW53" s="131" t="str">
        <f t="shared" si="46"/>
        <v/>
      </c>
      <c r="AX53" s="132" t="str">
        <f t="shared" si="47"/>
        <v/>
      </c>
      <c r="AY53" s="98"/>
      <c r="AZ53" s="133">
        <f t="shared" si="29"/>
        <v>46</v>
      </c>
      <c r="BA53" s="134" t="str">
        <f t="shared" si="50"/>
        <v/>
      </c>
      <c r="BB53" s="135" t="str">
        <f t="shared" si="21"/>
        <v/>
      </c>
      <c r="BC53" s="107" t="str">
        <f t="shared" si="11"/>
        <v/>
      </c>
    </row>
    <row r="54" spans="1:55" x14ac:dyDescent="0.25">
      <c r="A54" s="76"/>
      <c r="B54" s="108">
        <f t="shared" si="22"/>
        <v>47</v>
      </c>
      <c r="C54" s="109"/>
      <c r="D54" s="110"/>
      <c r="E54" s="110"/>
      <c r="F54" s="110"/>
      <c r="G54" s="110"/>
      <c r="H54" s="110"/>
      <c r="I54" s="110"/>
      <c r="J54" s="110"/>
      <c r="K54" s="110"/>
      <c r="L54" s="111"/>
      <c r="M54" s="112" t="str">
        <f t="shared" si="12"/>
        <v/>
      </c>
      <c r="N54" s="112" t="str">
        <f t="shared" si="13"/>
        <v/>
      </c>
      <c r="O54" s="162" t="str">
        <f t="shared" si="14"/>
        <v/>
      </c>
      <c r="P54" s="163" t="str">
        <f t="shared" si="51"/>
        <v/>
      </c>
      <c r="Q54" s="115" t="str">
        <f t="shared" si="15"/>
        <v/>
      </c>
      <c r="R54" s="166"/>
      <c r="S54" s="136" t="str">
        <f t="shared" si="16"/>
        <v/>
      </c>
      <c r="T54" s="118" t="str">
        <f t="shared" si="49"/>
        <v/>
      </c>
      <c r="U54" s="119" t="str">
        <f t="shared" si="48"/>
        <v/>
      </c>
      <c r="V54" s="120" t="str">
        <f t="shared" si="18"/>
        <v/>
      </c>
      <c r="W54" s="121" t="str">
        <f t="shared" si="19"/>
        <v/>
      </c>
      <c r="X54" s="122" t="str">
        <f t="shared" si="52"/>
        <v/>
      </c>
      <c r="Y54" s="123">
        <f t="shared" si="23"/>
        <v>47</v>
      </c>
      <c r="Z54" s="159"/>
      <c r="AA54" s="123">
        <f t="shared" si="24"/>
        <v>47</v>
      </c>
      <c r="AB54" s="124" t="str">
        <f t="shared" si="39"/>
        <v/>
      </c>
      <c r="AC54" s="119" t="str">
        <f t="shared" si="40"/>
        <v/>
      </c>
      <c r="AH54" s="123">
        <f t="shared" si="25"/>
        <v>47</v>
      </c>
      <c r="AI54" s="127" t="str">
        <f t="shared" si="41"/>
        <v/>
      </c>
      <c r="AJ54" s="45"/>
      <c r="AK54" s="123">
        <f t="shared" si="26"/>
        <v>47</v>
      </c>
      <c r="AL54" s="124" t="str">
        <f t="shared" si="42"/>
        <v/>
      </c>
      <c r="AM54" s="119" t="str">
        <f t="shared" si="43"/>
        <v/>
      </c>
      <c r="AR54" s="108">
        <f t="shared" si="27"/>
        <v>47</v>
      </c>
      <c r="AS54" s="129" t="str">
        <f t="shared" si="44"/>
        <v/>
      </c>
      <c r="AT54" s="102"/>
      <c r="AU54" s="123">
        <f t="shared" si="28"/>
        <v>47</v>
      </c>
      <c r="AV54" s="130" t="str">
        <f t="shared" si="45"/>
        <v/>
      </c>
      <c r="AW54" s="131" t="str">
        <f t="shared" si="46"/>
        <v/>
      </c>
      <c r="AX54" s="132" t="str">
        <f t="shared" si="47"/>
        <v/>
      </c>
      <c r="AY54" s="98"/>
      <c r="AZ54" s="133">
        <f t="shared" si="29"/>
        <v>47</v>
      </c>
      <c r="BA54" s="134" t="str">
        <f t="shared" si="50"/>
        <v/>
      </c>
      <c r="BB54" s="135" t="str">
        <f t="shared" si="21"/>
        <v/>
      </c>
      <c r="BC54" s="107" t="str">
        <f t="shared" si="11"/>
        <v/>
      </c>
    </row>
    <row r="55" spans="1:55" x14ac:dyDescent="0.25">
      <c r="A55" s="76"/>
      <c r="B55" s="108">
        <f t="shared" si="22"/>
        <v>48</v>
      </c>
      <c r="C55" s="109"/>
      <c r="D55" s="110"/>
      <c r="E55" s="110"/>
      <c r="F55" s="110"/>
      <c r="G55" s="110"/>
      <c r="H55" s="110"/>
      <c r="I55" s="110"/>
      <c r="J55" s="110"/>
      <c r="K55" s="110"/>
      <c r="L55" s="111"/>
      <c r="M55" s="112" t="str">
        <f t="shared" si="12"/>
        <v/>
      </c>
      <c r="N55" s="112" t="str">
        <f t="shared" si="13"/>
        <v/>
      </c>
      <c r="O55" s="162" t="str">
        <f t="shared" si="14"/>
        <v/>
      </c>
      <c r="P55" s="163" t="str">
        <f t="shared" si="51"/>
        <v/>
      </c>
      <c r="Q55" s="115" t="str">
        <f t="shared" si="15"/>
        <v/>
      </c>
      <c r="R55" s="166"/>
      <c r="S55" s="136" t="str">
        <f t="shared" si="16"/>
        <v/>
      </c>
      <c r="T55" s="118" t="str">
        <f t="shared" si="49"/>
        <v/>
      </c>
      <c r="U55" s="119" t="str">
        <f t="shared" si="48"/>
        <v/>
      </c>
      <c r="V55" s="120" t="str">
        <f t="shared" si="18"/>
        <v/>
      </c>
      <c r="W55" s="121" t="str">
        <f t="shared" si="19"/>
        <v/>
      </c>
      <c r="X55" s="122" t="str">
        <f t="shared" si="52"/>
        <v/>
      </c>
      <c r="Y55" s="123">
        <f t="shared" si="23"/>
        <v>48</v>
      </c>
      <c r="Z55" s="93"/>
      <c r="AA55" s="123">
        <f t="shared" si="24"/>
        <v>48</v>
      </c>
      <c r="AB55" s="124" t="str">
        <f t="shared" si="39"/>
        <v/>
      </c>
      <c r="AC55" s="119" t="str">
        <f t="shared" si="40"/>
        <v/>
      </c>
      <c r="AH55" s="123">
        <f t="shared" si="25"/>
        <v>48</v>
      </c>
      <c r="AI55" s="127" t="str">
        <f t="shared" si="41"/>
        <v/>
      </c>
      <c r="AJ55" s="45"/>
      <c r="AK55" s="123">
        <f t="shared" si="26"/>
        <v>48</v>
      </c>
      <c r="AL55" s="124" t="str">
        <f t="shared" si="42"/>
        <v/>
      </c>
      <c r="AM55" s="119" t="str">
        <f t="shared" si="43"/>
        <v/>
      </c>
      <c r="AR55" s="108">
        <f t="shared" si="27"/>
        <v>48</v>
      </c>
      <c r="AS55" s="129" t="str">
        <f t="shared" si="44"/>
        <v/>
      </c>
      <c r="AT55" s="102"/>
      <c r="AU55" s="123">
        <f t="shared" si="28"/>
        <v>48</v>
      </c>
      <c r="AV55" s="130" t="str">
        <f t="shared" si="45"/>
        <v/>
      </c>
      <c r="AW55" s="131" t="str">
        <f t="shared" si="46"/>
        <v/>
      </c>
      <c r="AX55" s="132" t="str">
        <f t="shared" si="47"/>
        <v/>
      </c>
      <c r="AY55" s="98"/>
      <c r="AZ55" s="133">
        <f t="shared" si="29"/>
        <v>48</v>
      </c>
      <c r="BA55" s="134" t="str">
        <f t="shared" si="50"/>
        <v/>
      </c>
      <c r="BB55" s="135" t="str">
        <f t="shared" si="21"/>
        <v/>
      </c>
      <c r="BC55" s="107" t="str">
        <f t="shared" si="11"/>
        <v/>
      </c>
    </row>
    <row r="56" spans="1:55" x14ac:dyDescent="0.25">
      <c r="A56" s="76"/>
      <c r="B56" s="108">
        <f t="shared" si="22"/>
        <v>49</v>
      </c>
      <c r="C56" s="109"/>
      <c r="D56" s="110"/>
      <c r="E56" s="110"/>
      <c r="F56" s="110"/>
      <c r="G56" s="110"/>
      <c r="H56" s="110"/>
      <c r="I56" s="110"/>
      <c r="J56" s="110"/>
      <c r="K56" s="110"/>
      <c r="L56" s="111"/>
      <c r="M56" s="112" t="str">
        <f t="shared" si="12"/>
        <v/>
      </c>
      <c r="N56" s="112" t="str">
        <f t="shared" si="13"/>
        <v/>
      </c>
      <c r="O56" s="162" t="str">
        <f t="shared" si="14"/>
        <v/>
      </c>
      <c r="P56" s="163" t="str">
        <f t="shared" si="51"/>
        <v/>
      </c>
      <c r="Q56" s="115" t="str">
        <f t="shared" si="15"/>
        <v/>
      </c>
      <c r="R56" s="166"/>
      <c r="S56" s="136" t="str">
        <f t="shared" si="16"/>
        <v/>
      </c>
      <c r="T56" s="118" t="str">
        <f t="shared" si="49"/>
        <v/>
      </c>
      <c r="U56" s="119" t="str">
        <f t="shared" si="48"/>
        <v/>
      </c>
      <c r="V56" s="120" t="str">
        <f t="shared" si="18"/>
        <v/>
      </c>
      <c r="W56" s="121" t="str">
        <f t="shared" si="19"/>
        <v/>
      </c>
      <c r="X56" s="122" t="str">
        <f t="shared" si="52"/>
        <v/>
      </c>
      <c r="Y56" s="123">
        <f t="shared" si="23"/>
        <v>49</v>
      </c>
      <c r="Z56" s="93"/>
      <c r="AA56" s="123">
        <f t="shared" si="24"/>
        <v>49</v>
      </c>
      <c r="AB56" s="124" t="str">
        <f t="shared" si="39"/>
        <v/>
      </c>
      <c r="AC56" s="119" t="str">
        <f t="shared" si="40"/>
        <v/>
      </c>
      <c r="AH56" s="123">
        <f t="shared" si="25"/>
        <v>49</v>
      </c>
      <c r="AI56" s="127" t="str">
        <f t="shared" si="41"/>
        <v/>
      </c>
      <c r="AJ56" s="45"/>
      <c r="AK56" s="123">
        <f t="shared" si="26"/>
        <v>49</v>
      </c>
      <c r="AL56" s="124" t="str">
        <f t="shared" si="42"/>
        <v/>
      </c>
      <c r="AM56" s="119" t="str">
        <f t="shared" si="43"/>
        <v/>
      </c>
      <c r="AR56" s="108">
        <f t="shared" si="27"/>
        <v>49</v>
      </c>
      <c r="AS56" s="129" t="str">
        <f t="shared" si="44"/>
        <v/>
      </c>
      <c r="AT56" s="102"/>
      <c r="AU56" s="123">
        <f t="shared" si="28"/>
        <v>49</v>
      </c>
      <c r="AV56" s="130" t="str">
        <f t="shared" si="45"/>
        <v/>
      </c>
      <c r="AW56" s="131" t="str">
        <f t="shared" si="46"/>
        <v/>
      </c>
      <c r="AX56" s="132" t="str">
        <f t="shared" si="47"/>
        <v/>
      </c>
      <c r="AY56" s="98"/>
      <c r="AZ56" s="133">
        <f t="shared" si="29"/>
        <v>49</v>
      </c>
      <c r="BA56" s="134" t="str">
        <f t="shared" si="50"/>
        <v/>
      </c>
      <c r="BB56" s="135" t="str">
        <f t="shared" si="21"/>
        <v/>
      </c>
      <c r="BC56" s="107" t="str">
        <f t="shared" si="11"/>
        <v/>
      </c>
    </row>
    <row r="57" spans="1:55" ht="13.5" thickBot="1" x14ac:dyDescent="0.3">
      <c r="A57" s="76"/>
      <c r="B57" s="167">
        <f t="shared" si="22"/>
        <v>50</v>
      </c>
      <c r="C57" s="168"/>
      <c r="D57" s="169"/>
      <c r="E57" s="169"/>
      <c r="F57" s="169"/>
      <c r="G57" s="169"/>
      <c r="H57" s="169"/>
      <c r="I57" s="169"/>
      <c r="J57" s="169"/>
      <c r="K57" s="169"/>
      <c r="L57" s="170"/>
      <c r="M57" s="112" t="str">
        <f t="shared" si="12"/>
        <v/>
      </c>
      <c r="N57" s="112" t="str">
        <f t="shared" si="13"/>
        <v/>
      </c>
      <c r="O57" s="162" t="str">
        <f t="shared" si="14"/>
        <v/>
      </c>
      <c r="P57" s="163" t="str">
        <f t="shared" si="51"/>
        <v/>
      </c>
      <c r="Q57" s="171" t="str">
        <f t="shared" si="15"/>
        <v/>
      </c>
      <c r="R57" s="172"/>
      <c r="S57" s="173" t="str">
        <f t="shared" si="16"/>
        <v/>
      </c>
      <c r="T57" s="174" t="str">
        <f t="shared" si="49"/>
        <v/>
      </c>
      <c r="U57" s="175" t="str">
        <f t="shared" si="48"/>
        <v/>
      </c>
      <c r="V57" s="176" t="str">
        <f t="shared" si="18"/>
        <v/>
      </c>
      <c r="W57" s="177" t="str">
        <f t="shared" si="19"/>
        <v/>
      </c>
      <c r="X57" s="178" t="str">
        <f t="shared" si="52"/>
        <v/>
      </c>
      <c r="Y57" s="179">
        <f t="shared" si="23"/>
        <v>50</v>
      </c>
      <c r="Z57" s="93"/>
      <c r="AA57" s="179">
        <f t="shared" si="24"/>
        <v>50</v>
      </c>
      <c r="AB57" s="180" t="str">
        <f t="shared" si="39"/>
        <v/>
      </c>
      <c r="AC57" s="175" t="str">
        <f t="shared" si="40"/>
        <v/>
      </c>
      <c r="AH57" s="179">
        <f t="shared" si="25"/>
        <v>50</v>
      </c>
      <c r="AI57" s="181" t="str">
        <f t="shared" si="41"/>
        <v/>
      </c>
      <c r="AJ57" s="45"/>
      <c r="AK57" s="179">
        <f t="shared" si="26"/>
        <v>50</v>
      </c>
      <c r="AL57" s="180" t="str">
        <f t="shared" si="42"/>
        <v/>
      </c>
      <c r="AM57" s="175" t="str">
        <f t="shared" si="43"/>
        <v/>
      </c>
      <c r="AN57" s="182"/>
      <c r="AO57" s="183"/>
      <c r="AR57" s="167">
        <f t="shared" si="27"/>
        <v>50</v>
      </c>
      <c r="AS57" s="184" t="str">
        <f t="shared" si="44"/>
        <v/>
      </c>
      <c r="AT57" s="102"/>
      <c r="AU57" s="179">
        <f t="shared" si="28"/>
        <v>50</v>
      </c>
      <c r="AV57" s="185" t="str">
        <f t="shared" si="45"/>
        <v/>
      </c>
      <c r="AW57" s="186" t="str">
        <f t="shared" si="46"/>
        <v/>
      </c>
      <c r="AX57" s="187" t="str">
        <f t="shared" si="47"/>
        <v/>
      </c>
      <c r="AY57" s="98"/>
      <c r="AZ57" s="188">
        <f t="shared" si="29"/>
        <v>50</v>
      </c>
      <c r="BA57" s="189" t="str">
        <f t="shared" si="50"/>
        <v/>
      </c>
      <c r="BB57" s="190" t="str">
        <f t="shared" si="21"/>
        <v/>
      </c>
      <c r="BC57" s="191" t="str">
        <f t="shared" si="11"/>
        <v/>
      </c>
    </row>
    <row r="58" spans="1:55" ht="15.75" customHeight="1" thickBot="1" x14ac:dyDescent="0.3">
      <c r="B58" s="192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4">
        <f>IFERROR(IFERROR(SUM(P8:P57)/COUNT(P8:P57),SUM(O8:O57)/COUNT(O8:O57)),"")</f>
        <v>32.04326530612245</v>
      </c>
      <c r="P58" s="195"/>
      <c r="Q58" s="98"/>
      <c r="S58" s="196">
        <f>IFERROR(SUM(S8:S57)/COUNT(S8:S57),"")</f>
        <v>37.383585714285708</v>
      </c>
      <c r="T58" s="197"/>
      <c r="U58" s="198">
        <f>IFERROR(SUM(U8:U57)/COUNT(U8:U57),"")</f>
        <v>38.367306382849527</v>
      </c>
      <c r="V58" s="199"/>
      <c r="W58" s="25"/>
      <c r="X58" s="25"/>
      <c r="Y58" s="24"/>
      <c r="Z58" s="25"/>
      <c r="AA58" s="93"/>
      <c r="AB58" s="200">
        <f>IF(SUM(AB8:AB57)=0,"",SUM(AB8:AB57))</f>
        <v>420.05804238467766</v>
      </c>
      <c r="AC58" s="201">
        <f>IF(SUM(AC8:AC57)=0,"",SUM(AC8:AC57))</f>
        <v>34214.030836955157</v>
      </c>
      <c r="AE58" s="183"/>
      <c r="AF58" s="183"/>
      <c r="AG58" s="183"/>
      <c r="AH58" s="202" t="s">
        <v>23</v>
      </c>
      <c r="AI58" s="196">
        <f>IF(SQRT(SUM(AI8:AI57)/(COUNT(AI8:AI57)-2))=0,"",SQRT(SUM(AI8:AI57)/(COUNT(AI8:AI57)-2)))</f>
        <v>4.9133609357204335</v>
      </c>
      <c r="AJ58" s="45"/>
      <c r="AK58" s="203"/>
      <c r="AL58" s="200">
        <f>IF(SUM(AL8:AL57)=0,"",SUM(AL8:AL57))</f>
        <v>1053.8892857142857</v>
      </c>
      <c r="AM58" s="201">
        <f>IF(SUM(AM8:AM57)=0,"",SUM(AM8:AM57))</f>
        <v>34214.030836955157</v>
      </c>
      <c r="AR58" s="202" t="s">
        <v>23</v>
      </c>
      <c r="AS58" s="196">
        <f>IF(SQRT(SUM(AS8:AS57)/(COUNT(AS8:AS57)-2))=0,"",SQRT(SUM(AS8:AS57)/(COUNT(AS8:AS57)-2)))</f>
        <v>4.9465792797249355</v>
      </c>
      <c r="AT58" s="98"/>
      <c r="AV58" s="204">
        <f>IF(SUM(AV8:AV57)=0,"",SUM(AV8:AV57))</f>
        <v>12.950126399266825</v>
      </c>
      <c r="AW58" s="205">
        <f>IF(SUM(AW8:AW57)=0,"",SUM(AW8:AW57))</f>
        <v>0.52847238853738954</v>
      </c>
      <c r="AX58" s="206">
        <f>IF(SUM(AX8:AX57)=0,"",SUM(AX8:AX57))</f>
        <v>783.89982409872198</v>
      </c>
      <c r="AY58" s="93"/>
    </row>
    <row r="59" spans="1:55" ht="13.5" thickBot="1" x14ac:dyDescent="0.3">
      <c r="B59" s="199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07" t="s">
        <v>29</v>
      </c>
      <c r="P59" s="208"/>
      <c r="Q59" s="24"/>
      <c r="S59" s="209" t="s">
        <v>30</v>
      </c>
      <c r="T59" s="199"/>
      <c r="U59" s="199"/>
      <c r="V59" s="199"/>
      <c r="W59" s="25"/>
      <c r="X59" s="25"/>
      <c r="Y59" s="24"/>
      <c r="Z59" s="25"/>
      <c r="AA59" s="93"/>
      <c r="AC59" s="1"/>
      <c r="AE59" s="183"/>
      <c r="AF59" s="183"/>
      <c r="AG59" s="183"/>
      <c r="AH59" s="210" t="s">
        <v>31</v>
      </c>
      <c r="AI59" s="211"/>
      <c r="AJ59" s="45"/>
      <c r="AK59" s="203"/>
      <c r="AR59" s="210" t="s">
        <v>31</v>
      </c>
      <c r="AS59" s="211"/>
      <c r="AV59" s="24"/>
      <c r="AW59" s="212">
        <f>IFERROR(SQRT(AW58),"")</f>
        <v>0.72696106397618676</v>
      </c>
      <c r="AX59" s="213">
        <f>IFERROR(SQRT(AX58),"")</f>
        <v>27.998211087473464</v>
      </c>
      <c r="AY59" s="214"/>
    </row>
    <row r="60" spans="1:55" ht="13.5" thickBot="1" x14ac:dyDescent="0.3">
      <c r="B60" s="199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98"/>
      <c r="T60" s="98"/>
      <c r="U60" s="199"/>
      <c r="V60" s="199"/>
      <c r="W60" s="25"/>
      <c r="X60" s="25"/>
      <c r="Y60" s="24"/>
      <c r="Z60" s="25"/>
      <c r="AA60" s="93"/>
      <c r="AC60" s="1"/>
      <c r="AE60" s="183"/>
      <c r="AF60" s="183"/>
      <c r="AG60" s="183"/>
      <c r="AH60" s="202" t="s">
        <v>32</v>
      </c>
      <c r="AI60" s="196">
        <f>IFERROR((AI58*1.5)-(SQRT(SUM(AI8:AI57)/(COUNT(AI8:AI57)-1))),"")</f>
        <v>2.5340610666150587</v>
      </c>
      <c r="AJ60" s="9"/>
      <c r="AK60" s="9"/>
      <c r="AL60" s="9"/>
      <c r="AR60" s="202" t="s">
        <v>32</v>
      </c>
      <c r="AS60" s="196">
        <f>IFERROR((AS58*1.5)-(SQRT(SUM(AS8:AS57)/(COUNT(AS8:AS57)-1))),"")</f>
        <v>2.5511933948401762</v>
      </c>
      <c r="AV60" s="24"/>
      <c r="AW60" s="215">
        <f>IFERROR(AW59*AX59,"")</f>
        <v>20.353609321579579</v>
      </c>
      <c r="AX60" s="93"/>
      <c r="AY60" s="93"/>
    </row>
    <row r="61" spans="1:55" ht="15" customHeight="1" thickBot="1" x14ac:dyDescent="0.3">
      <c r="B61" s="199"/>
      <c r="C61" s="25"/>
      <c r="D61" s="25"/>
      <c r="E61" s="25"/>
      <c r="F61" s="25"/>
      <c r="G61" s="25"/>
      <c r="H61" s="25"/>
      <c r="I61" s="25"/>
      <c r="J61" s="25"/>
      <c r="K61" s="25"/>
      <c r="L61" s="25"/>
      <c r="N61" s="216"/>
      <c r="O61" s="216"/>
      <c r="P61" s="216"/>
      <c r="Q61" s="216"/>
      <c r="R61" s="216"/>
      <c r="S61" s="216"/>
      <c r="T61" s="25"/>
      <c r="U61" s="203"/>
      <c r="V61" s="203"/>
      <c r="W61" s="25"/>
      <c r="X61" s="217"/>
      <c r="Y61" s="24"/>
      <c r="Z61" s="25"/>
      <c r="AA61" s="93"/>
      <c r="AB61" s="24"/>
      <c r="AC61" s="1"/>
      <c r="AE61" s="183"/>
      <c r="AF61" s="183"/>
      <c r="AU61" s="218">
        <f>IFERROR(AV58/AW60,"")</f>
        <v>0.63625699966328164</v>
      </c>
      <c r="AV61" s="219"/>
      <c r="AW61" s="219"/>
      <c r="AX61" s="220"/>
      <c r="AY61" s="221"/>
    </row>
    <row r="62" spans="1:55" ht="15.75" customHeight="1" thickBot="1" x14ac:dyDescent="0.3">
      <c r="B62" s="199"/>
      <c r="C62" s="25"/>
      <c r="D62" s="25"/>
      <c r="E62" s="25"/>
      <c r="F62" s="25"/>
      <c r="G62" s="25"/>
      <c r="H62" s="25"/>
      <c r="I62" s="25"/>
      <c r="J62" s="25"/>
      <c r="K62" s="25"/>
      <c r="L62" s="25"/>
      <c r="N62" s="216"/>
      <c r="O62" s="216"/>
      <c r="P62" s="216"/>
      <c r="Q62" s="216"/>
      <c r="R62" s="216"/>
      <c r="S62" s="216"/>
      <c r="T62" s="203"/>
      <c r="U62" s="197"/>
      <c r="V62" s="197"/>
      <c r="W62" s="25"/>
      <c r="X62" s="25"/>
      <c r="Y62" s="24"/>
      <c r="Z62" s="25"/>
      <c r="AA62" s="25"/>
      <c r="AB62" s="24"/>
      <c r="AC62" s="1"/>
      <c r="AE62" s="183"/>
      <c r="AF62" s="42" t="s">
        <v>33</v>
      </c>
      <c r="AG62" s="27"/>
      <c r="AH62" s="43"/>
      <c r="AI62" s="43"/>
      <c r="AJ62" s="43"/>
      <c r="AK62" s="43"/>
      <c r="AL62" s="43"/>
      <c r="AM62" s="44"/>
      <c r="AO62" s="222"/>
      <c r="AP62" s="222"/>
      <c r="AQ62" s="222"/>
      <c r="AR62" s="222"/>
      <c r="AS62" s="222"/>
      <c r="AT62" s="222"/>
      <c r="AU62" s="223" t="s">
        <v>34</v>
      </c>
      <c r="AV62" s="224"/>
      <c r="AW62" s="224"/>
      <c r="AX62" s="225"/>
      <c r="AY62" s="50"/>
    </row>
    <row r="63" spans="1:55" ht="15.75" customHeight="1" thickBot="1" x14ac:dyDescent="0.3">
      <c r="B63" s="199"/>
      <c r="C63" s="25"/>
      <c r="D63" s="25"/>
      <c r="E63" s="25"/>
      <c r="F63" s="25"/>
      <c r="G63" s="25"/>
      <c r="H63" s="25"/>
      <c r="I63" s="25"/>
      <c r="J63" s="25"/>
      <c r="K63" s="25"/>
      <c r="L63" s="25"/>
      <c r="N63" s="216"/>
      <c r="O63" s="216"/>
      <c r="P63" s="216"/>
      <c r="Q63" s="216"/>
      <c r="R63" s="216"/>
      <c r="S63" s="216"/>
      <c r="T63" s="24"/>
      <c r="U63" s="199"/>
      <c r="V63" s="199"/>
      <c r="W63" s="25"/>
      <c r="X63" s="25"/>
      <c r="Y63" s="24"/>
      <c r="Z63" s="25"/>
      <c r="AA63" s="25"/>
      <c r="AB63" s="24"/>
      <c r="AC63" s="1"/>
      <c r="AD63" s="183"/>
      <c r="AF63" s="226" t="s">
        <v>23</v>
      </c>
      <c r="AG63" s="138">
        <f>IF(AS58=0,"",AS58)</f>
        <v>4.9465792797249355</v>
      </c>
      <c r="AH63" s="227">
        <f>IFERROR(AG63/AG64*100,"")</f>
        <v>12.892693665709338</v>
      </c>
      <c r="AI63" s="228"/>
      <c r="AJ63" s="228"/>
      <c r="AK63" s="229"/>
      <c r="AL63" s="230" t="s">
        <v>35</v>
      </c>
      <c r="AM63" s="231"/>
      <c r="AO63" s="222"/>
      <c r="AP63" s="222"/>
      <c r="AQ63" s="222"/>
      <c r="AR63" s="222"/>
      <c r="AS63" s="222"/>
      <c r="AT63" s="222"/>
    </row>
    <row r="64" spans="1:55" ht="15.75" customHeight="1" thickBot="1" x14ac:dyDescent="0.3">
      <c r="B64" s="199"/>
      <c r="C64" s="25"/>
      <c r="D64" s="25"/>
      <c r="E64" s="25"/>
      <c r="F64" s="25"/>
      <c r="G64" s="25"/>
      <c r="H64" s="25"/>
      <c r="I64" s="25"/>
      <c r="J64" s="25"/>
      <c r="K64" s="25"/>
      <c r="L64" s="25"/>
      <c r="N64" s="232"/>
      <c r="Q64" s="24"/>
      <c r="R64" s="203"/>
      <c r="S64" s="93"/>
      <c r="T64" s="93"/>
      <c r="U64" s="199"/>
      <c r="V64" s="199"/>
      <c r="W64" s="25"/>
      <c r="X64" s="25"/>
      <c r="Y64" s="24"/>
      <c r="Z64" s="25"/>
      <c r="AA64" s="25"/>
      <c r="AB64" s="24"/>
      <c r="AC64" s="1"/>
      <c r="AD64" s="183"/>
      <c r="AF64" s="233" t="s">
        <v>36</v>
      </c>
      <c r="AG64" s="234">
        <f>IF(U58=0,"",U58)</f>
        <v>38.367306382849527</v>
      </c>
      <c r="AH64" s="235"/>
      <c r="AI64" s="236"/>
      <c r="AJ64" s="236"/>
      <c r="AK64" s="237"/>
      <c r="AL64" s="238" t="s">
        <v>37</v>
      </c>
      <c r="AM64" s="239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</row>
    <row r="65" spans="2:51" ht="15" customHeight="1" thickBot="1" x14ac:dyDescent="0.3">
      <c r="B65" s="199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32"/>
      <c r="Q65" s="24"/>
      <c r="R65" s="203"/>
      <c r="S65" s="93"/>
      <c r="T65" s="93"/>
      <c r="U65" s="199"/>
      <c r="V65" s="199"/>
      <c r="W65" s="25"/>
      <c r="X65" s="25"/>
      <c r="Y65" s="24"/>
      <c r="Z65" s="25"/>
      <c r="AA65" s="25"/>
      <c r="AB65" s="24"/>
      <c r="AC65" s="1"/>
      <c r="AD65" s="183"/>
      <c r="AE65" s="183"/>
      <c r="AF65" s="183"/>
      <c r="AH65" s="183"/>
      <c r="AJ65" s="9"/>
      <c r="AK65" s="9"/>
      <c r="AL65" s="9"/>
      <c r="AO65" s="222"/>
      <c r="AR65" s="222"/>
      <c r="AS65" s="222"/>
      <c r="AT65" s="222"/>
      <c r="AU65" s="222"/>
      <c r="AV65" s="222"/>
      <c r="AW65" s="222"/>
      <c r="AX65" s="222"/>
      <c r="AY65" s="222"/>
    </row>
    <row r="66" spans="2:51" ht="15.75" thickBot="1" x14ac:dyDescent="0.3">
      <c r="B66" s="199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40"/>
      <c r="O66" s="240"/>
      <c r="P66" s="240"/>
      <c r="Q66" s="240"/>
      <c r="R66" s="240"/>
      <c r="S66" s="240"/>
      <c r="T66" s="25"/>
      <c r="U66" s="199"/>
      <c r="V66" s="199"/>
      <c r="W66" s="25"/>
      <c r="Y66" s="24"/>
      <c r="Z66" s="25"/>
      <c r="AA66" s="25"/>
      <c r="AB66" s="24"/>
      <c r="AC66" s="1"/>
      <c r="AD66" s="183"/>
      <c r="AE66" s="182"/>
      <c r="AF66" s="241" t="s">
        <v>38</v>
      </c>
      <c r="AG66" s="242" t="s">
        <v>39</v>
      </c>
      <c r="AH66" s="182"/>
      <c r="AO66" s="222"/>
      <c r="AR66" s="222"/>
      <c r="AS66" s="222"/>
      <c r="AT66" s="222"/>
      <c r="AU66" s="222"/>
      <c r="AV66" s="222"/>
      <c r="AW66" s="222"/>
      <c r="AX66" s="222"/>
      <c r="AY66" s="222"/>
    </row>
    <row r="67" spans="2:51" ht="15" customHeight="1" x14ac:dyDescent="0.25">
      <c r="N67" s="25"/>
      <c r="O67" s="25"/>
      <c r="P67" s="25"/>
      <c r="Q67" s="25"/>
      <c r="R67" s="25"/>
      <c r="S67" s="25"/>
      <c r="T67" s="199"/>
      <c r="U67" s="199"/>
      <c r="X67" s="25"/>
      <c r="AA67" s="25"/>
      <c r="AB67" s="24"/>
      <c r="AC67" s="182"/>
      <c r="AD67" s="183"/>
      <c r="AE67" s="199"/>
      <c r="AF67" s="243">
        <v>5</v>
      </c>
      <c r="AG67" s="244">
        <f>IFERROR($AO$10+$AP$8*$AF$67,"")</f>
        <v>37.537599909622195</v>
      </c>
      <c r="AH67" s="199"/>
      <c r="AO67" s="222"/>
      <c r="AR67" s="222"/>
      <c r="AS67" s="222"/>
      <c r="AT67" s="222"/>
      <c r="AU67" s="222"/>
      <c r="AV67" s="222"/>
      <c r="AW67" s="222"/>
      <c r="AX67" s="222"/>
      <c r="AY67" s="222"/>
    </row>
    <row r="68" spans="2:51" ht="15" customHeight="1" x14ac:dyDescent="0.25">
      <c r="B68" s="199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45"/>
      <c r="O68" s="25"/>
      <c r="P68" s="25"/>
      <c r="Q68" s="25"/>
      <c r="R68" s="217"/>
      <c r="S68" s="217"/>
      <c r="T68" s="217"/>
      <c r="U68" s="199"/>
      <c r="V68" s="199"/>
      <c r="W68" s="25"/>
      <c r="X68" s="25"/>
      <c r="Y68" s="24"/>
      <c r="Z68" s="25"/>
      <c r="AA68" s="25"/>
      <c r="AB68" s="24"/>
      <c r="AC68" s="182"/>
      <c r="AD68" s="183"/>
      <c r="AE68" s="199"/>
      <c r="AF68" s="246">
        <v>10</v>
      </c>
      <c r="AG68" s="247">
        <f>IFERROR($AO$10+$AP$8*$AF$68,"")</f>
        <v>37.691614104958681</v>
      </c>
      <c r="AH68" s="199"/>
      <c r="AO68" s="222"/>
      <c r="AR68" s="222"/>
      <c r="AS68" s="222"/>
      <c r="AT68" s="222"/>
      <c r="AU68" s="222"/>
      <c r="AV68" s="222"/>
      <c r="AW68" s="222"/>
      <c r="AX68" s="222"/>
      <c r="AY68" s="222"/>
    </row>
    <row r="69" spans="2:51" ht="15" customHeight="1" x14ac:dyDescent="0.25">
      <c r="B69" s="199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45"/>
      <c r="O69" s="25"/>
      <c r="P69" s="25"/>
      <c r="Q69" s="25"/>
      <c r="R69" s="217"/>
      <c r="S69" s="217"/>
      <c r="T69" s="217"/>
      <c r="U69" s="199"/>
      <c r="V69" s="199"/>
      <c r="W69" s="25"/>
      <c r="X69" s="25"/>
      <c r="Y69" s="24"/>
      <c r="Z69" s="25"/>
      <c r="AA69" s="25"/>
      <c r="AB69" s="24"/>
      <c r="AC69" s="182"/>
      <c r="AD69" s="183"/>
      <c r="AE69" s="199"/>
      <c r="AF69" s="246">
        <v>15</v>
      </c>
      <c r="AG69" s="247">
        <f>IFERROR($AO$10+$AP$8*$AF$69,"")</f>
        <v>37.845628300295168</v>
      </c>
      <c r="AH69" s="199"/>
      <c r="AO69" s="222"/>
      <c r="AR69" s="222"/>
      <c r="AS69" s="222"/>
      <c r="AT69" s="222"/>
      <c r="AU69" s="222"/>
      <c r="AV69" s="222"/>
      <c r="AW69" s="222"/>
      <c r="AX69" s="222"/>
      <c r="AY69" s="222"/>
    </row>
    <row r="70" spans="2:51" ht="15" customHeight="1" x14ac:dyDescent="0.25">
      <c r="B70" s="199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45"/>
      <c r="O70" s="25"/>
      <c r="P70" s="25"/>
      <c r="Q70" s="25"/>
      <c r="R70" s="217"/>
      <c r="S70" s="217"/>
      <c r="T70" s="217"/>
      <c r="U70" s="199"/>
      <c r="V70" s="199"/>
      <c r="W70" s="25"/>
      <c r="X70" s="25"/>
      <c r="Y70" s="24"/>
      <c r="Z70" s="25"/>
      <c r="AA70" s="25"/>
      <c r="AB70" s="24"/>
      <c r="AC70" s="182"/>
      <c r="AD70" s="183"/>
      <c r="AE70" s="199"/>
      <c r="AF70" s="246">
        <v>20</v>
      </c>
      <c r="AG70" s="247">
        <f>IFERROR($AO$10+$AP$8*$AF$70,"")</f>
        <v>37.999642495631662</v>
      </c>
      <c r="AH70" s="199"/>
      <c r="AO70" s="222"/>
      <c r="AR70" s="222"/>
      <c r="AS70" s="222"/>
      <c r="AT70" s="222"/>
      <c r="AU70" s="222"/>
      <c r="AV70" s="222"/>
      <c r="AW70" s="222"/>
      <c r="AX70" s="222"/>
      <c r="AY70" s="222"/>
    </row>
    <row r="71" spans="2:51" ht="15" customHeight="1" x14ac:dyDescent="0.25">
      <c r="B71" s="199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199"/>
      <c r="U71" s="199"/>
      <c r="V71" s="199"/>
      <c r="W71" s="25"/>
      <c r="X71" s="25"/>
      <c r="Y71" s="24"/>
      <c r="Z71" s="25"/>
      <c r="AB71" s="1"/>
      <c r="AC71" s="182"/>
      <c r="AD71" s="183"/>
      <c r="AF71" s="246">
        <v>25</v>
      </c>
      <c r="AG71" s="247">
        <f>IFERROR($AO$10+$AP$8*$AF$71,"")</f>
        <v>38.153656690968148</v>
      </c>
      <c r="AO71" s="222"/>
      <c r="AR71" s="222"/>
      <c r="AS71" s="222"/>
      <c r="AT71" s="222"/>
      <c r="AU71" s="222"/>
      <c r="AV71" s="222"/>
      <c r="AW71" s="222"/>
      <c r="AX71" s="222"/>
      <c r="AY71" s="222"/>
    </row>
    <row r="72" spans="2:51" ht="15" customHeight="1" x14ac:dyDescent="0.25">
      <c r="B72" s="199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199"/>
      <c r="U72" s="199"/>
      <c r="V72" s="199"/>
      <c r="W72" s="25"/>
      <c r="X72" s="25"/>
      <c r="Y72" s="24"/>
      <c r="Z72" s="25"/>
      <c r="AA72" s="25"/>
      <c r="AB72" s="24"/>
      <c r="AC72" s="182"/>
      <c r="AD72" s="183"/>
      <c r="AE72" s="199"/>
      <c r="AF72" s="246">
        <v>30</v>
      </c>
      <c r="AG72" s="247">
        <f>IFERROR($AO$10+$AP$8*$AF$72,"")</f>
        <v>38.307670886304635</v>
      </c>
      <c r="AH72" s="199"/>
      <c r="AO72" s="222"/>
      <c r="AR72" s="222"/>
      <c r="AS72" s="222"/>
      <c r="AT72" s="222"/>
      <c r="AU72" s="222"/>
      <c r="AV72" s="222"/>
      <c r="AW72" s="222"/>
      <c r="AX72" s="222"/>
      <c r="AY72" s="222"/>
    </row>
    <row r="73" spans="2:51" ht="15" customHeight="1" x14ac:dyDescent="0.25">
      <c r="B73" s="199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199"/>
      <c r="U73" s="199"/>
      <c r="V73" s="199"/>
      <c r="W73" s="25"/>
      <c r="X73" s="25"/>
      <c r="Y73" s="24"/>
      <c r="Z73" s="25"/>
      <c r="AA73" s="25"/>
      <c r="AB73" s="24"/>
      <c r="AC73" s="182"/>
      <c r="AD73" s="183"/>
      <c r="AE73" s="199"/>
      <c r="AF73" s="246">
        <v>35</v>
      </c>
      <c r="AG73" s="247">
        <f>IFERROR($AO$10+$AP$8*$AF$73,"")</f>
        <v>38.461685081641122</v>
      </c>
      <c r="AH73" s="199"/>
      <c r="AO73" s="222"/>
      <c r="AR73" s="222"/>
      <c r="AS73" s="222"/>
      <c r="AT73" s="222"/>
      <c r="AU73" s="222"/>
      <c r="AV73" s="222"/>
      <c r="AW73" s="222"/>
      <c r="AX73" s="222"/>
      <c r="AY73" s="222"/>
    </row>
    <row r="74" spans="2:51" ht="15" customHeight="1" x14ac:dyDescent="0.25">
      <c r="B74" s="199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199"/>
      <c r="U74" s="199"/>
      <c r="V74" s="199"/>
      <c r="W74" s="25"/>
      <c r="X74" s="25"/>
      <c r="Y74" s="24"/>
      <c r="Z74" s="25"/>
      <c r="AA74" s="25"/>
      <c r="AB74" s="24"/>
      <c r="AC74" s="182"/>
      <c r="AD74" s="183"/>
      <c r="AE74" s="199"/>
      <c r="AF74" s="246">
        <v>40</v>
      </c>
      <c r="AG74" s="247">
        <f>IFERROR($AO$10+$AP$8*$AF$74,"")</f>
        <v>38.615699276977608</v>
      </c>
      <c r="AH74" s="199"/>
      <c r="AO74" s="222"/>
      <c r="AR74" s="222"/>
      <c r="AS74" s="222"/>
      <c r="AT74" s="222"/>
      <c r="AU74" s="222"/>
      <c r="AV74" s="222"/>
      <c r="AW74" s="222"/>
      <c r="AX74" s="222"/>
      <c r="AY74" s="222"/>
    </row>
    <row r="75" spans="2:51" ht="15" customHeight="1" x14ac:dyDescent="0.25">
      <c r="B75" s="199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199"/>
      <c r="U75" s="199"/>
      <c r="V75" s="199"/>
      <c r="W75" s="25"/>
      <c r="X75" s="25"/>
      <c r="Y75" s="24"/>
      <c r="Z75" s="25"/>
      <c r="AA75" s="25"/>
      <c r="AB75" s="24"/>
      <c r="AC75" s="182"/>
      <c r="AD75" s="183"/>
      <c r="AE75" s="199"/>
      <c r="AF75" s="246">
        <v>45</v>
      </c>
      <c r="AG75" s="247">
        <f>IFERROR($AO$10+$AP$8*$AF$75,"")</f>
        <v>38.769713472314095</v>
      </c>
      <c r="AH75" s="199"/>
      <c r="AO75" s="222"/>
      <c r="AR75" s="222"/>
      <c r="AS75" s="222"/>
      <c r="AT75" s="222"/>
      <c r="AU75" s="222"/>
      <c r="AV75" s="222"/>
      <c r="AW75" s="222"/>
      <c r="AX75" s="222"/>
      <c r="AY75" s="222"/>
    </row>
    <row r="76" spans="2:51" ht="15" customHeight="1" thickBot="1" x14ac:dyDescent="0.3">
      <c r="B76" s="199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199"/>
      <c r="U76" s="199"/>
      <c r="V76" s="199"/>
      <c r="W76" s="25"/>
      <c r="X76" s="25"/>
      <c r="Y76" s="24"/>
      <c r="Z76" s="25"/>
      <c r="AA76" s="25"/>
      <c r="AB76" s="24"/>
      <c r="AC76" s="182"/>
      <c r="AD76" s="183"/>
      <c r="AE76" s="199"/>
      <c r="AF76" s="248">
        <v>50</v>
      </c>
      <c r="AG76" s="249">
        <f>IFERROR($AO$10+$AP$8*$AF$76,"")</f>
        <v>38.923727667650589</v>
      </c>
      <c r="AH76" s="199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</row>
    <row r="77" spans="2:51" ht="15" customHeight="1" x14ac:dyDescent="0.25">
      <c r="B77" s="199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199"/>
      <c r="U77" s="199"/>
      <c r="V77" s="199"/>
      <c r="W77" s="25"/>
      <c r="X77" s="25"/>
      <c r="Y77" s="24"/>
      <c r="Z77" s="25"/>
      <c r="AA77" s="25"/>
      <c r="AB77" s="24"/>
      <c r="AC77" s="24"/>
      <c r="AD77" s="183"/>
      <c r="AE77" s="199"/>
      <c r="AF77" s="199"/>
      <c r="AG77" s="199"/>
      <c r="AH77" s="199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</row>
    <row r="78" spans="2:51" ht="15" customHeight="1" x14ac:dyDescent="0.25">
      <c r="B78" s="199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199"/>
      <c r="U78" s="199"/>
      <c r="V78" s="199"/>
      <c r="W78" s="25"/>
      <c r="X78" s="25"/>
      <c r="Y78" s="24"/>
      <c r="Z78" s="25"/>
      <c r="AA78" s="25"/>
      <c r="AB78" s="24"/>
      <c r="AC78" s="24"/>
      <c r="AD78" s="183"/>
      <c r="AE78" s="199"/>
      <c r="AF78" s="199"/>
      <c r="AG78" s="199"/>
      <c r="AH78" s="199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</row>
    <row r="79" spans="2:51" ht="15" customHeight="1" x14ac:dyDescent="0.25">
      <c r="B79" s="199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199"/>
      <c r="U79" s="199"/>
      <c r="V79" s="199"/>
      <c r="W79" s="25"/>
      <c r="X79" s="25"/>
      <c r="Y79" s="24"/>
      <c r="Z79" s="25"/>
      <c r="AA79" s="25"/>
      <c r="AB79" s="24"/>
      <c r="AC79" s="24"/>
      <c r="AD79" s="183"/>
      <c r="AE79" s="199"/>
      <c r="AF79" s="199"/>
      <c r="AG79" s="199"/>
      <c r="AH79" s="199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</row>
    <row r="80" spans="2:51" ht="15" customHeight="1" x14ac:dyDescent="0.25">
      <c r="B80" s="199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199"/>
      <c r="U80" s="199"/>
      <c r="V80" s="199"/>
      <c r="W80" s="25"/>
      <c r="X80" s="25"/>
      <c r="Y80" s="24"/>
      <c r="Z80" s="25"/>
      <c r="AA80" s="25"/>
      <c r="AB80" s="24"/>
      <c r="AC80" s="24"/>
      <c r="AD80" s="183"/>
      <c r="AE80" s="199"/>
      <c r="AF80" s="199"/>
      <c r="AG80" s="199"/>
      <c r="AH80" s="199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</row>
    <row r="81" spans="2:51" ht="15" customHeight="1" x14ac:dyDescent="0.25">
      <c r="B81" s="199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199"/>
      <c r="U81" s="199"/>
      <c r="V81" s="199"/>
      <c r="W81" s="25"/>
      <c r="X81" s="25"/>
      <c r="Y81" s="24"/>
      <c r="Z81" s="25"/>
      <c r="AA81" s="25"/>
      <c r="AB81" s="24"/>
      <c r="AC81" s="24"/>
      <c r="AD81" s="183"/>
      <c r="AE81" s="199"/>
      <c r="AF81" s="199"/>
      <c r="AG81" s="199"/>
      <c r="AH81" s="199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</row>
    <row r="82" spans="2:51" ht="15" customHeight="1" x14ac:dyDescent="0.25">
      <c r="B82" s="199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199"/>
      <c r="U82" s="199"/>
      <c r="V82" s="199"/>
      <c r="W82" s="25"/>
      <c r="X82" s="25"/>
      <c r="Y82" s="24"/>
      <c r="Z82" s="25"/>
      <c r="AA82" s="25"/>
      <c r="AB82" s="24"/>
      <c r="AC82" s="24"/>
      <c r="AD82" s="183"/>
      <c r="AE82" s="199"/>
      <c r="AF82" s="199"/>
      <c r="AG82" s="199"/>
      <c r="AH82" s="199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</row>
    <row r="83" spans="2:51" ht="15" customHeight="1" x14ac:dyDescent="0.25">
      <c r="B83" s="199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199"/>
      <c r="U83" s="199"/>
      <c r="V83" s="199"/>
      <c r="W83" s="25"/>
      <c r="X83" s="25"/>
      <c r="Y83" s="24"/>
      <c r="Z83" s="25"/>
      <c r="AA83" s="25"/>
      <c r="AB83" s="24"/>
      <c r="AC83" s="24"/>
      <c r="AD83" s="183"/>
      <c r="AE83" s="199"/>
      <c r="AF83" s="199"/>
      <c r="AG83" s="199"/>
      <c r="AH83" s="199"/>
      <c r="AO83" s="222"/>
      <c r="AP83" s="222"/>
      <c r="AQ83" s="222"/>
      <c r="AR83" s="222"/>
      <c r="AS83" s="222"/>
      <c r="AT83" s="222"/>
      <c r="AU83" s="222"/>
      <c r="AV83" s="222"/>
      <c r="AW83" s="222"/>
      <c r="AX83" s="222"/>
      <c r="AY83" s="222"/>
    </row>
    <row r="84" spans="2:51" ht="15" customHeight="1" x14ac:dyDescent="0.25">
      <c r="B84" s="199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199"/>
      <c r="U84" s="199"/>
      <c r="V84" s="199"/>
      <c r="W84" s="25"/>
      <c r="X84" s="25"/>
      <c r="Y84" s="24"/>
      <c r="Z84" s="25"/>
      <c r="AA84" s="25"/>
      <c r="AB84" s="24"/>
      <c r="AC84" s="24"/>
      <c r="AD84" s="183"/>
      <c r="AE84" s="199"/>
      <c r="AF84" s="199"/>
      <c r="AG84" s="199"/>
      <c r="AH84" s="199"/>
      <c r="AO84" s="222"/>
      <c r="AP84" s="222"/>
      <c r="AQ84" s="222"/>
      <c r="AR84" s="222"/>
      <c r="AS84" s="222"/>
      <c r="AT84" s="222"/>
      <c r="AU84" s="222"/>
      <c r="AV84" s="222"/>
      <c r="AW84" s="222"/>
      <c r="AX84" s="222"/>
      <c r="AY84" s="222"/>
    </row>
    <row r="85" spans="2:51" ht="15" customHeight="1" x14ac:dyDescent="0.25">
      <c r="B85" s="199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199"/>
      <c r="U85" s="199"/>
      <c r="V85" s="199"/>
      <c r="W85" s="25"/>
      <c r="X85" s="25"/>
      <c r="Y85" s="24"/>
      <c r="Z85" s="25"/>
      <c r="AA85" s="25"/>
      <c r="AB85" s="24"/>
      <c r="AC85" s="24"/>
      <c r="AD85" s="183"/>
      <c r="AE85" s="199"/>
      <c r="AF85" s="199"/>
      <c r="AG85" s="199"/>
      <c r="AH85" s="199"/>
      <c r="AO85" s="222"/>
      <c r="AP85" s="222"/>
      <c r="AQ85" s="222"/>
      <c r="AR85" s="222"/>
      <c r="AS85" s="222"/>
      <c r="AT85" s="222"/>
      <c r="AU85" s="222"/>
      <c r="AV85" s="222"/>
      <c r="AW85" s="222"/>
      <c r="AX85" s="222"/>
      <c r="AY85" s="222"/>
    </row>
    <row r="86" spans="2:51" ht="15" customHeight="1" x14ac:dyDescent="0.25">
      <c r="B86" s="199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199"/>
      <c r="U86" s="199"/>
      <c r="V86" s="199"/>
      <c r="W86" s="25"/>
      <c r="X86" s="25"/>
      <c r="Y86" s="24"/>
      <c r="Z86" s="25"/>
      <c r="AA86" s="25"/>
      <c r="AB86" s="24"/>
      <c r="AC86" s="24"/>
      <c r="AD86" s="183"/>
      <c r="AE86" s="199"/>
      <c r="AF86" s="199"/>
      <c r="AG86" s="199"/>
      <c r="AH86" s="199"/>
      <c r="AO86" s="222"/>
      <c r="AP86" s="222"/>
      <c r="AQ86" s="222"/>
      <c r="AR86" s="222"/>
      <c r="AS86" s="222"/>
      <c r="AT86" s="222"/>
      <c r="AU86" s="222"/>
      <c r="AV86" s="222"/>
      <c r="AW86" s="222"/>
      <c r="AX86" s="222"/>
      <c r="AY86" s="222"/>
    </row>
    <row r="87" spans="2:51" ht="15" customHeight="1" x14ac:dyDescent="0.25">
      <c r="B87" s="199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199"/>
      <c r="U87" s="199"/>
      <c r="V87" s="199"/>
      <c r="W87" s="25"/>
      <c r="X87" s="25"/>
      <c r="Y87" s="24"/>
      <c r="Z87" s="25"/>
      <c r="AA87" s="25"/>
      <c r="AB87" s="24"/>
      <c r="AC87" s="24"/>
      <c r="AD87" s="183"/>
      <c r="AE87" s="199"/>
      <c r="AF87" s="199"/>
      <c r="AG87" s="199"/>
      <c r="AH87" s="199"/>
      <c r="AO87" s="222"/>
      <c r="AP87" s="222"/>
      <c r="AQ87" s="222"/>
      <c r="AR87" s="222"/>
      <c r="AS87" s="222"/>
      <c r="AT87" s="222"/>
      <c r="AU87" s="222"/>
      <c r="AV87" s="222"/>
      <c r="AW87" s="222"/>
      <c r="AX87" s="222"/>
      <c r="AY87" s="222"/>
    </row>
    <row r="88" spans="2:51" ht="15" customHeight="1" x14ac:dyDescent="0.25">
      <c r="B88" s="199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199"/>
      <c r="U88" s="199"/>
      <c r="V88" s="199"/>
      <c r="W88" s="25"/>
      <c r="X88" s="25"/>
      <c r="Y88" s="24"/>
      <c r="Z88" s="25"/>
      <c r="AA88" s="25"/>
      <c r="AB88" s="24"/>
      <c r="AC88" s="24"/>
      <c r="AD88" s="183"/>
      <c r="AE88" s="199"/>
      <c r="AF88" s="199"/>
      <c r="AG88" s="199"/>
      <c r="AH88" s="199"/>
      <c r="AO88" s="222"/>
      <c r="AP88" s="222"/>
      <c r="AQ88" s="222"/>
      <c r="AR88" s="222"/>
      <c r="AS88" s="222"/>
      <c r="AT88" s="222"/>
      <c r="AU88" s="222"/>
      <c r="AV88" s="222"/>
      <c r="AW88" s="222"/>
      <c r="AX88" s="222"/>
      <c r="AY88" s="222"/>
    </row>
    <row r="89" spans="2:51" ht="15" customHeight="1" x14ac:dyDescent="0.25">
      <c r="B89" s="199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199"/>
      <c r="U89" s="199"/>
      <c r="V89" s="199"/>
      <c r="W89" s="25"/>
      <c r="X89" s="25"/>
      <c r="Y89" s="24"/>
      <c r="Z89" s="25"/>
      <c r="AA89" s="25"/>
      <c r="AB89" s="24"/>
      <c r="AC89" s="24"/>
      <c r="AD89" s="183"/>
      <c r="AE89" s="199"/>
      <c r="AF89" s="199"/>
      <c r="AG89" s="199"/>
      <c r="AH89" s="199"/>
      <c r="AO89" s="222"/>
      <c r="AP89" s="222"/>
      <c r="AQ89" s="222"/>
      <c r="AR89" s="222"/>
      <c r="AS89" s="222"/>
      <c r="AT89" s="222"/>
      <c r="AU89" s="222"/>
      <c r="AV89" s="222"/>
      <c r="AW89" s="222"/>
      <c r="AX89" s="222"/>
      <c r="AY89" s="222"/>
    </row>
    <row r="90" spans="2:51" ht="15" customHeight="1" x14ac:dyDescent="0.25">
      <c r="B90" s="199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199"/>
      <c r="U90" s="199"/>
      <c r="V90" s="199"/>
      <c r="W90" s="25"/>
      <c r="X90" s="25"/>
      <c r="Y90" s="24"/>
      <c r="Z90" s="25"/>
      <c r="AA90" s="25"/>
      <c r="AB90" s="24"/>
      <c r="AC90" s="24"/>
      <c r="AD90" s="183"/>
      <c r="AE90" s="199"/>
      <c r="AF90" s="199"/>
      <c r="AG90" s="199"/>
      <c r="AH90" s="199"/>
      <c r="AO90" s="222"/>
      <c r="AP90" s="222"/>
      <c r="AQ90" s="222"/>
      <c r="AR90" s="222"/>
      <c r="AS90" s="222"/>
      <c r="AT90" s="222"/>
      <c r="AU90" s="222"/>
      <c r="AV90" s="222"/>
      <c r="AW90" s="222"/>
      <c r="AX90" s="222"/>
      <c r="AY90" s="222"/>
    </row>
    <row r="91" spans="2:51" ht="15" customHeight="1" x14ac:dyDescent="0.25">
      <c r="B91" s="199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199"/>
      <c r="U91" s="199"/>
      <c r="V91" s="199"/>
      <c r="W91" s="25"/>
      <c r="X91" s="25"/>
      <c r="Y91" s="24"/>
      <c r="Z91" s="25"/>
      <c r="AA91" s="25"/>
      <c r="AB91" s="24"/>
      <c r="AC91" s="24"/>
      <c r="AD91" s="183"/>
      <c r="AE91" s="199"/>
      <c r="AF91" s="199"/>
      <c r="AG91" s="199"/>
      <c r="AH91" s="199"/>
      <c r="AO91" s="222"/>
      <c r="AP91" s="222"/>
      <c r="AQ91" s="222"/>
      <c r="AR91" s="222"/>
      <c r="AS91" s="222"/>
      <c r="AT91" s="222"/>
      <c r="AU91" s="222"/>
      <c r="AV91" s="222"/>
      <c r="AW91" s="222"/>
      <c r="AX91" s="222"/>
      <c r="AY91" s="222"/>
    </row>
    <row r="92" spans="2:51" ht="15.75" customHeight="1" x14ac:dyDescent="0.25">
      <c r="B92" s="199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199"/>
      <c r="U92" s="199"/>
      <c r="V92" s="199"/>
      <c r="W92" s="25"/>
      <c r="X92" s="25"/>
      <c r="Y92" s="24"/>
      <c r="Z92" s="25"/>
      <c r="AA92" s="25"/>
      <c r="AB92" s="24"/>
      <c r="AC92" s="24"/>
      <c r="AD92" s="183"/>
      <c r="AE92" s="199"/>
      <c r="AF92" s="199"/>
      <c r="AG92" s="199"/>
      <c r="AH92" s="199"/>
      <c r="AO92" s="222"/>
      <c r="AP92" s="222"/>
      <c r="AQ92" s="222"/>
      <c r="AR92" s="222"/>
      <c r="AS92" s="222"/>
      <c r="AT92" s="222"/>
      <c r="AU92" s="222"/>
      <c r="AV92" s="222"/>
      <c r="AW92" s="222"/>
      <c r="AX92" s="222"/>
      <c r="AY92" s="222"/>
    </row>
    <row r="93" spans="2:51" ht="15" customHeight="1" x14ac:dyDescent="0.25">
      <c r="B93" s="199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199"/>
      <c r="U93" s="199"/>
      <c r="V93" s="199"/>
      <c r="W93" s="25"/>
      <c r="X93" s="25"/>
      <c r="Y93" s="24"/>
      <c r="Z93" s="25"/>
      <c r="AA93" s="25"/>
      <c r="AB93" s="24"/>
      <c r="AC93" s="24"/>
      <c r="AD93" s="199"/>
      <c r="AE93" s="199"/>
      <c r="AF93" s="199"/>
      <c r="AG93" s="199"/>
      <c r="AH93" s="199"/>
      <c r="AO93" s="222"/>
      <c r="AP93" s="222"/>
      <c r="AQ93" s="222"/>
      <c r="AR93" s="222"/>
      <c r="AS93" s="222"/>
      <c r="AT93" s="222"/>
      <c r="AU93" s="222"/>
      <c r="AV93" s="222"/>
      <c r="AW93" s="222"/>
      <c r="AX93" s="222"/>
      <c r="AY93" s="222"/>
    </row>
    <row r="94" spans="2:51" ht="15" customHeight="1" x14ac:dyDescent="0.25">
      <c r="B94" s="199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199"/>
      <c r="U94" s="199"/>
      <c r="V94" s="199"/>
      <c r="W94" s="25"/>
      <c r="X94" s="25"/>
      <c r="Y94" s="24"/>
      <c r="Z94" s="25"/>
      <c r="AA94" s="25"/>
      <c r="AB94" s="24"/>
      <c r="AC94" s="24"/>
      <c r="AD94" s="199"/>
      <c r="AE94" s="199"/>
      <c r="AF94" s="199"/>
      <c r="AG94" s="199"/>
      <c r="AH94" s="199"/>
      <c r="AO94" s="222"/>
      <c r="AP94" s="222"/>
      <c r="AQ94" s="222"/>
      <c r="AR94" s="222"/>
      <c r="AS94" s="222"/>
      <c r="AT94" s="222"/>
      <c r="AU94" s="222"/>
      <c r="AV94" s="222"/>
      <c r="AW94" s="222"/>
      <c r="AX94" s="222"/>
      <c r="AY94" s="222"/>
    </row>
    <row r="95" spans="2:51" ht="15.75" customHeight="1" x14ac:dyDescent="0.25">
      <c r="B95" s="199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199"/>
      <c r="U95" s="199"/>
      <c r="V95" s="199"/>
      <c r="W95" s="25"/>
      <c r="X95" s="25"/>
      <c r="Y95" s="24"/>
      <c r="Z95" s="25"/>
      <c r="AA95" s="25"/>
      <c r="AB95" s="24"/>
      <c r="AC95" s="24"/>
      <c r="AD95" s="199"/>
      <c r="AE95" s="199"/>
      <c r="AF95" s="199"/>
      <c r="AG95" s="199"/>
      <c r="AH95" s="199"/>
      <c r="AO95" s="222"/>
      <c r="AP95" s="222"/>
      <c r="AQ95" s="222"/>
      <c r="AR95" s="222"/>
      <c r="AS95" s="222"/>
      <c r="AT95" s="222"/>
      <c r="AU95" s="222"/>
      <c r="AV95" s="222"/>
      <c r="AW95" s="222"/>
      <c r="AX95" s="222"/>
      <c r="AY95" s="222"/>
    </row>
    <row r="96" spans="2:51" ht="15" customHeight="1" x14ac:dyDescent="0.25">
      <c r="B96" s="199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199"/>
      <c r="U96" s="199"/>
      <c r="V96" s="199"/>
      <c r="W96" s="25"/>
      <c r="X96" s="25"/>
      <c r="Y96" s="24"/>
      <c r="Z96" s="25"/>
      <c r="AA96" s="25"/>
      <c r="AB96" s="24"/>
      <c r="AC96" s="24"/>
      <c r="AD96" s="199"/>
      <c r="AE96" s="199"/>
      <c r="AF96" s="199"/>
      <c r="AG96" s="199"/>
      <c r="AH96" s="199"/>
      <c r="AO96" s="222"/>
      <c r="AP96" s="222"/>
      <c r="AQ96" s="222"/>
      <c r="AR96" s="222"/>
      <c r="AS96" s="222"/>
      <c r="AT96" s="222"/>
      <c r="AU96" s="222"/>
      <c r="AV96" s="222"/>
      <c r="AW96" s="222"/>
      <c r="AX96" s="222"/>
      <c r="AY96" s="222"/>
    </row>
    <row r="97" spans="2:34" x14ac:dyDescent="0.25">
      <c r="B97" s="199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199"/>
      <c r="U97" s="199"/>
      <c r="V97" s="199"/>
      <c r="W97" s="25"/>
      <c r="X97" s="25"/>
      <c r="Y97" s="24"/>
      <c r="Z97" s="25"/>
      <c r="AA97" s="25"/>
      <c r="AB97" s="24"/>
      <c r="AC97" s="24"/>
      <c r="AD97" s="199"/>
      <c r="AE97" s="199"/>
      <c r="AF97" s="199"/>
      <c r="AG97" s="199"/>
      <c r="AH97" s="199"/>
    </row>
    <row r="98" spans="2:34" x14ac:dyDescent="0.25">
      <c r="B98" s="199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199"/>
      <c r="U98" s="199"/>
      <c r="V98" s="199"/>
      <c r="W98" s="25"/>
      <c r="X98" s="25"/>
      <c r="Y98" s="24"/>
      <c r="Z98" s="25"/>
      <c r="AA98" s="25"/>
      <c r="AB98" s="24"/>
      <c r="AC98" s="24"/>
      <c r="AD98" s="199"/>
      <c r="AE98" s="199"/>
      <c r="AF98" s="199"/>
      <c r="AG98" s="199"/>
      <c r="AH98" s="199"/>
    </row>
    <row r="99" spans="2:34" x14ac:dyDescent="0.25">
      <c r="B99" s="199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199"/>
      <c r="U99" s="199"/>
      <c r="V99" s="199"/>
      <c r="W99" s="25"/>
      <c r="X99" s="25"/>
      <c r="Y99" s="24"/>
      <c r="Z99" s="25"/>
      <c r="AA99" s="25"/>
      <c r="AB99" s="24"/>
      <c r="AC99" s="24"/>
      <c r="AD99" s="199"/>
      <c r="AE99" s="199"/>
      <c r="AF99" s="199"/>
      <c r="AG99" s="199"/>
      <c r="AH99" s="199"/>
    </row>
    <row r="100" spans="2:34" x14ac:dyDescent="0.25">
      <c r="B100" s="199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199"/>
      <c r="U100" s="199"/>
      <c r="V100" s="199"/>
      <c r="W100" s="25"/>
      <c r="X100" s="25"/>
      <c r="Y100" s="24"/>
      <c r="Z100" s="25"/>
      <c r="AA100" s="25"/>
      <c r="AB100" s="24"/>
      <c r="AC100" s="24"/>
      <c r="AD100" s="199"/>
      <c r="AE100" s="199"/>
      <c r="AF100" s="199"/>
      <c r="AG100" s="199"/>
      <c r="AH100" s="199"/>
    </row>
    <row r="101" spans="2:34" x14ac:dyDescent="0.25">
      <c r="B101" s="199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199"/>
      <c r="U101" s="199"/>
      <c r="V101" s="199"/>
      <c r="W101" s="25"/>
      <c r="X101" s="25"/>
      <c r="Y101" s="24"/>
      <c r="Z101" s="25"/>
      <c r="AA101" s="25"/>
      <c r="AB101" s="24"/>
      <c r="AC101" s="24"/>
      <c r="AD101" s="199"/>
      <c r="AE101" s="199"/>
      <c r="AF101" s="199"/>
      <c r="AG101" s="199"/>
      <c r="AH101" s="199"/>
    </row>
    <row r="102" spans="2:34" x14ac:dyDescent="0.25">
      <c r="B102" s="199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199"/>
      <c r="U102" s="199"/>
      <c r="V102" s="199"/>
      <c r="W102" s="25"/>
      <c r="X102" s="25"/>
      <c r="Y102" s="24"/>
      <c r="Z102" s="25"/>
      <c r="AA102" s="25"/>
      <c r="AB102" s="24"/>
      <c r="AC102" s="24"/>
      <c r="AD102" s="199"/>
      <c r="AE102" s="199"/>
      <c r="AF102" s="199"/>
      <c r="AG102" s="199"/>
      <c r="AH102" s="199"/>
    </row>
    <row r="103" spans="2:34" x14ac:dyDescent="0.25">
      <c r="B103" s="199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199"/>
      <c r="U103" s="199"/>
      <c r="V103" s="199"/>
      <c r="W103" s="25"/>
      <c r="X103" s="25"/>
      <c r="Y103" s="24"/>
      <c r="Z103" s="25"/>
      <c r="AA103" s="25"/>
      <c r="AB103" s="24"/>
      <c r="AC103" s="24"/>
      <c r="AD103" s="199"/>
      <c r="AE103" s="199"/>
      <c r="AF103" s="199"/>
      <c r="AG103" s="199"/>
      <c r="AH103" s="199"/>
    </row>
    <row r="104" spans="2:34" x14ac:dyDescent="0.25">
      <c r="B104" s="199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199"/>
      <c r="U104" s="199"/>
      <c r="V104" s="199"/>
      <c r="W104" s="25"/>
      <c r="X104" s="25"/>
      <c r="Y104" s="24"/>
      <c r="Z104" s="25"/>
      <c r="AA104" s="25"/>
      <c r="AB104" s="24"/>
      <c r="AC104" s="24"/>
      <c r="AD104" s="199"/>
      <c r="AE104" s="199"/>
      <c r="AF104" s="199"/>
      <c r="AG104" s="199"/>
      <c r="AH104" s="199"/>
    </row>
    <row r="105" spans="2:34" x14ac:dyDescent="0.25">
      <c r="B105" s="199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199"/>
      <c r="U105" s="199"/>
      <c r="V105" s="199"/>
      <c r="W105" s="25"/>
      <c r="X105" s="25"/>
      <c r="Y105" s="24"/>
      <c r="Z105" s="25"/>
      <c r="AA105" s="25"/>
      <c r="AB105" s="24"/>
      <c r="AC105" s="24"/>
      <c r="AD105" s="199"/>
      <c r="AE105" s="199"/>
      <c r="AF105" s="199"/>
      <c r="AG105" s="199"/>
      <c r="AH105" s="199"/>
    </row>
    <row r="106" spans="2:34" x14ac:dyDescent="0.25">
      <c r="B106" s="199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199"/>
      <c r="U106" s="199"/>
      <c r="V106" s="199"/>
      <c r="W106" s="25"/>
      <c r="X106" s="25"/>
      <c r="Y106" s="24"/>
      <c r="Z106" s="25"/>
      <c r="AA106" s="25"/>
      <c r="AB106" s="24"/>
      <c r="AC106" s="24"/>
      <c r="AD106" s="199"/>
      <c r="AE106" s="199"/>
      <c r="AF106" s="199"/>
      <c r="AG106" s="199"/>
      <c r="AH106" s="199"/>
    </row>
    <row r="107" spans="2:34" x14ac:dyDescent="0.25">
      <c r="B107" s="199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199"/>
      <c r="U107" s="199"/>
      <c r="V107" s="199"/>
      <c r="W107" s="25"/>
      <c r="X107" s="25"/>
      <c r="Y107" s="24"/>
      <c r="Z107" s="25"/>
      <c r="AA107" s="25"/>
      <c r="AB107" s="24"/>
      <c r="AC107" s="24"/>
      <c r="AD107" s="199"/>
      <c r="AE107" s="199"/>
      <c r="AF107" s="199"/>
      <c r="AG107" s="199"/>
      <c r="AH107" s="199"/>
    </row>
    <row r="108" spans="2:34" x14ac:dyDescent="0.25">
      <c r="B108" s="199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199"/>
      <c r="U108" s="199"/>
      <c r="V108" s="199"/>
      <c r="W108" s="25"/>
      <c r="X108" s="25"/>
      <c r="Y108" s="24"/>
      <c r="Z108" s="25"/>
      <c r="AA108" s="25"/>
      <c r="AB108" s="24"/>
      <c r="AC108" s="24"/>
      <c r="AD108" s="199"/>
      <c r="AE108" s="199"/>
      <c r="AF108" s="199"/>
      <c r="AG108" s="199"/>
      <c r="AH108" s="199"/>
    </row>
    <row r="109" spans="2:34" x14ac:dyDescent="0.25">
      <c r="B109" s="199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199"/>
      <c r="U109" s="199"/>
      <c r="V109" s="199"/>
      <c r="W109" s="25"/>
      <c r="X109" s="25"/>
      <c r="Y109" s="24"/>
      <c r="Z109" s="25"/>
      <c r="AA109" s="25"/>
      <c r="AB109" s="24"/>
      <c r="AC109" s="24"/>
      <c r="AD109" s="199"/>
      <c r="AE109" s="199"/>
      <c r="AF109" s="199"/>
      <c r="AG109" s="199"/>
      <c r="AH109" s="199"/>
    </row>
    <row r="110" spans="2:34" x14ac:dyDescent="0.25">
      <c r="B110" s="199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199"/>
      <c r="U110" s="199"/>
      <c r="V110" s="199"/>
      <c r="W110" s="25"/>
      <c r="X110" s="25"/>
      <c r="Y110" s="24"/>
      <c r="Z110" s="25"/>
      <c r="AA110" s="25"/>
      <c r="AB110" s="24"/>
      <c r="AC110" s="24"/>
      <c r="AD110" s="199"/>
      <c r="AE110" s="199"/>
      <c r="AF110" s="199"/>
      <c r="AG110" s="199"/>
      <c r="AH110" s="199"/>
    </row>
    <row r="111" spans="2:34" x14ac:dyDescent="0.25">
      <c r="B111" s="199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199"/>
      <c r="U111" s="199"/>
      <c r="V111" s="199"/>
      <c r="W111" s="25"/>
      <c r="X111" s="25"/>
      <c r="Y111" s="24"/>
      <c r="Z111" s="25"/>
      <c r="AA111" s="25"/>
      <c r="AB111" s="24"/>
      <c r="AC111" s="24"/>
      <c r="AD111" s="199"/>
      <c r="AE111" s="199"/>
      <c r="AF111" s="199"/>
      <c r="AG111" s="199"/>
      <c r="AH111" s="199"/>
    </row>
    <row r="112" spans="2:34" x14ac:dyDescent="0.25">
      <c r="B112" s="199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199"/>
      <c r="U112" s="199"/>
      <c r="V112" s="199"/>
      <c r="W112" s="25"/>
      <c r="X112" s="25"/>
      <c r="Y112" s="24"/>
      <c r="Z112" s="25"/>
      <c r="AA112" s="25"/>
      <c r="AB112" s="24"/>
      <c r="AC112" s="24"/>
      <c r="AD112" s="199"/>
      <c r="AE112" s="199"/>
      <c r="AF112" s="199"/>
      <c r="AG112" s="199"/>
      <c r="AH112" s="199"/>
    </row>
    <row r="113" spans="2:34" x14ac:dyDescent="0.25">
      <c r="B113" s="199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199"/>
      <c r="U113" s="199"/>
      <c r="V113" s="199"/>
      <c r="W113" s="25"/>
      <c r="X113" s="25"/>
      <c r="Y113" s="24"/>
      <c r="Z113" s="25"/>
      <c r="AA113" s="25"/>
      <c r="AB113" s="24"/>
      <c r="AC113" s="24"/>
      <c r="AD113" s="199"/>
      <c r="AE113" s="199"/>
      <c r="AF113" s="199"/>
      <c r="AG113" s="199"/>
      <c r="AH113" s="199"/>
    </row>
    <row r="114" spans="2:34" x14ac:dyDescent="0.25">
      <c r="B114" s="199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199"/>
      <c r="U114" s="199"/>
      <c r="V114" s="199"/>
      <c r="W114" s="25"/>
      <c r="X114" s="25"/>
      <c r="Y114" s="24"/>
      <c r="Z114" s="25"/>
      <c r="AA114" s="25"/>
      <c r="AB114" s="24"/>
      <c r="AC114" s="24"/>
      <c r="AD114" s="199"/>
      <c r="AE114" s="199"/>
      <c r="AF114" s="199"/>
      <c r="AG114" s="199"/>
      <c r="AH114" s="199"/>
    </row>
    <row r="115" spans="2:34" x14ac:dyDescent="0.25">
      <c r="B115" s="199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199"/>
      <c r="U115" s="199"/>
      <c r="V115" s="199"/>
      <c r="W115" s="25"/>
      <c r="X115" s="25"/>
      <c r="Y115" s="24"/>
      <c r="Z115" s="25"/>
      <c r="AA115" s="25"/>
      <c r="AB115" s="24"/>
      <c r="AC115" s="24"/>
      <c r="AD115" s="199"/>
      <c r="AE115" s="199"/>
      <c r="AF115" s="199"/>
      <c r="AG115" s="199"/>
      <c r="AH115" s="199"/>
    </row>
    <row r="116" spans="2:34" x14ac:dyDescent="0.25">
      <c r="B116" s="199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199"/>
      <c r="U116" s="199"/>
      <c r="V116" s="199"/>
      <c r="W116" s="25"/>
      <c r="X116" s="25"/>
      <c r="Y116" s="24"/>
      <c r="Z116" s="25"/>
      <c r="AA116" s="25"/>
      <c r="AB116" s="24"/>
      <c r="AC116" s="24"/>
      <c r="AD116" s="199"/>
      <c r="AE116" s="199"/>
      <c r="AF116" s="199"/>
      <c r="AG116" s="199"/>
      <c r="AH116" s="199"/>
    </row>
    <row r="117" spans="2:34" x14ac:dyDescent="0.25">
      <c r="B117" s="199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199"/>
      <c r="U117" s="199"/>
      <c r="V117" s="199"/>
      <c r="W117" s="25"/>
      <c r="X117" s="25"/>
      <c r="Y117" s="24"/>
      <c r="Z117" s="25"/>
      <c r="AA117" s="25"/>
      <c r="AB117" s="24"/>
      <c r="AC117" s="24"/>
      <c r="AD117" s="199"/>
      <c r="AE117" s="199"/>
      <c r="AF117" s="199"/>
      <c r="AG117" s="199"/>
      <c r="AH117" s="199"/>
    </row>
    <row r="118" spans="2:34" x14ac:dyDescent="0.25">
      <c r="B118" s="199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199"/>
      <c r="U118" s="199"/>
      <c r="V118" s="199"/>
      <c r="W118" s="25"/>
      <c r="X118" s="25"/>
      <c r="Y118" s="24"/>
      <c r="Z118" s="25"/>
      <c r="AA118" s="25"/>
      <c r="AB118" s="24"/>
      <c r="AC118" s="24"/>
      <c r="AD118" s="199"/>
      <c r="AE118" s="199"/>
      <c r="AF118" s="199"/>
      <c r="AG118" s="199"/>
      <c r="AH118" s="199"/>
    </row>
    <row r="119" spans="2:34" x14ac:dyDescent="0.25">
      <c r="B119" s="199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199"/>
      <c r="U119" s="199"/>
      <c r="V119" s="199"/>
      <c r="W119" s="25"/>
      <c r="X119" s="25"/>
      <c r="Y119" s="24"/>
      <c r="Z119" s="25"/>
      <c r="AA119" s="25"/>
      <c r="AB119" s="24"/>
      <c r="AC119" s="24"/>
      <c r="AD119" s="199"/>
      <c r="AE119" s="199"/>
      <c r="AF119" s="199"/>
      <c r="AG119" s="199"/>
      <c r="AH119" s="199"/>
    </row>
    <row r="120" spans="2:34" x14ac:dyDescent="0.25">
      <c r="B120" s="199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199"/>
      <c r="U120" s="199"/>
      <c r="V120" s="199"/>
      <c r="W120" s="25"/>
      <c r="X120" s="25"/>
      <c r="Y120" s="24"/>
      <c r="Z120" s="25"/>
      <c r="AA120" s="25"/>
      <c r="AB120" s="24"/>
      <c r="AC120" s="24"/>
      <c r="AD120" s="199"/>
      <c r="AE120" s="199"/>
      <c r="AF120" s="199"/>
      <c r="AG120" s="199"/>
      <c r="AH120" s="199"/>
    </row>
    <row r="121" spans="2:34" x14ac:dyDescent="0.25">
      <c r="B121" s="199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199"/>
      <c r="U121" s="199"/>
      <c r="V121" s="199"/>
      <c r="W121" s="25"/>
      <c r="X121" s="25"/>
      <c r="Y121" s="24"/>
      <c r="Z121" s="25"/>
      <c r="AA121" s="25"/>
      <c r="AB121" s="24"/>
      <c r="AC121" s="24"/>
      <c r="AD121" s="199"/>
      <c r="AE121" s="199"/>
      <c r="AF121" s="199"/>
      <c r="AG121" s="199"/>
      <c r="AH121" s="199"/>
    </row>
    <row r="122" spans="2:34" x14ac:dyDescent="0.25">
      <c r="B122" s="199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199"/>
      <c r="U122" s="199"/>
      <c r="V122" s="199"/>
      <c r="W122" s="25"/>
      <c r="X122" s="25"/>
      <c r="Y122" s="24"/>
      <c r="Z122" s="25"/>
      <c r="AA122" s="25"/>
      <c r="AB122" s="24"/>
      <c r="AC122" s="24"/>
      <c r="AD122" s="199"/>
      <c r="AE122" s="199"/>
      <c r="AF122" s="199"/>
      <c r="AG122" s="199"/>
      <c r="AH122" s="199"/>
    </row>
    <row r="123" spans="2:34" x14ac:dyDescent="0.25">
      <c r="B123" s="199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199"/>
      <c r="U123" s="199"/>
      <c r="V123" s="199"/>
      <c r="W123" s="25"/>
      <c r="X123" s="25"/>
      <c r="Y123" s="24"/>
      <c r="Z123" s="25"/>
      <c r="AA123" s="25"/>
      <c r="AB123" s="24"/>
      <c r="AC123" s="24"/>
      <c r="AD123" s="199"/>
      <c r="AE123" s="199"/>
      <c r="AF123" s="199"/>
      <c r="AG123" s="199"/>
      <c r="AH123" s="199"/>
    </row>
    <row r="124" spans="2:34" x14ac:dyDescent="0.25">
      <c r="B124" s="199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199"/>
      <c r="U124" s="199"/>
      <c r="V124" s="199"/>
      <c r="W124" s="25"/>
      <c r="X124" s="25"/>
      <c r="Y124" s="24"/>
      <c r="Z124" s="25"/>
      <c r="AA124" s="25"/>
      <c r="AB124" s="24"/>
      <c r="AC124" s="24"/>
      <c r="AD124" s="199"/>
      <c r="AE124" s="199"/>
      <c r="AF124" s="199"/>
      <c r="AG124" s="199"/>
      <c r="AH124" s="199"/>
    </row>
    <row r="125" spans="2:34" x14ac:dyDescent="0.25">
      <c r="B125" s="199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199"/>
      <c r="U125" s="199"/>
      <c r="V125" s="199"/>
      <c r="W125" s="25"/>
      <c r="X125" s="25"/>
      <c r="Y125" s="24"/>
      <c r="Z125" s="25"/>
      <c r="AA125" s="25"/>
      <c r="AB125" s="24"/>
      <c r="AC125" s="24"/>
      <c r="AD125" s="199"/>
      <c r="AE125" s="199"/>
      <c r="AF125" s="199"/>
      <c r="AG125" s="199"/>
      <c r="AH125" s="199"/>
    </row>
    <row r="126" spans="2:34" x14ac:dyDescent="0.25">
      <c r="B126" s="199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199"/>
      <c r="U126" s="199"/>
      <c r="V126" s="199"/>
      <c r="W126" s="25"/>
      <c r="X126" s="25"/>
      <c r="Y126" s="24"/>
      <c r="Z126" s="25"/>
      <c r="AA126" s="25"/>
      <c r="AB126" s="24"/>
      <c r="AC126" s="24"/>
      <c r="AD126" s="199"/>
      <c r="AE126" s="199"/>
      <c r="AF126" s="199"/>
      <c r="AG126" s="199"/>
      <c r="AH126" s="199"/>
    </row>
    <row r="127" spans="2:34" x14ac:dyDescent="0.25">
      <c r="B127" s="199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199"/>
      <c r="U127" s="199"/>
      <c r="V127" s="199"/>
      <c r="W127" s="25"/>
      <c r="X127" s="25"/>
      <c r="Y127" s="24"/>
      <c r="Z127" s="25"/>
      <c r="AA127" s="25"/>
      <c r="AB127" s="24"/>
      <c r="AC127" s="24"/>
      <c r="AD127" s="199"/>
      <c r="AE127" s="199"/>
      <c r="AF127" s="199"/>
      <c r="AG127" s="199"/>
      <c r="AH127" s="199"/>
    </row>
    <row r="128" spans="2:34" x14ac:dyDescent="0.25">
      <c r="B128" s="199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199"/>
      <c r="U128" s="199"/>
      <c r="V128" s="199"/>
      <c r="W128" s="25"/>
      <c r="X128" s="25"/>
      <c r="Y128" s="24"/>
      <c r="Z128" s="25"/>
      <c r="AA128" s="25"/>
      <c r="AB128" s="24"/>
      <c r="AC128" s="24"/>
      <c r="AD128" s="199"/>
      <c r="AE128" s="199"/>
      <c r="AF128" s="199"/>
      <c r="AG128" s="199"/>
      <c r="AH128" s="199"/>
    </row>
    <row r="129" spans="2:34" x14ac:dyDescent="0.25">
      <c r="B129" s="199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199"/>
      <c r="U129" s="199"/>
      <c r="V129" s="199"/>
      <c r="W129" s="25"/>
      <c r="X129" s="25"/>
      <c r="Y129" s="24"/>
      <c r="Z129" s="25"/>
      <c r="AA129" s="25"/>
      <c r="AB129" s="24"/>
      <c r="AC129" s="24"/>
      <c r="AD129" s="199"/>
      <c r="AE129" s="199"/>
      <c r="AF129" s="199"/>
      <c r="AG129" s="199"/>
      <c r="AH129" s="199"/>
    </row>
    <row r="130" spans="2:34" x14ac:dyDescent="0.25">
      <c r="B130" s="199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199"/>
      <c r="U130" s="199"/>
      <c r="V130" s="199"/>
      <c r="W130" s="25"/>
      <c r="X130" s="25"/>
      <c r="Y130" s="24"/>
      <c r="Z130" s="25"/>
      <c r="AA130" s="25"/>
      <c r="AB130" s="24"/>
      <c r="AC130" s="24"/>
      <c r="AD130" s="199"/>
      <c r="AE130" s="199"/>
      <c r="AF130" s="199"/>
      <c r="AG130" s="199"/>
      <c r="AH130" s="199"/>
    </row>
    <row r="131" spans="2:34" x14ac:dyDescent="0.25">
      <c r="B131" s="199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199"/>
      <c r="U131" s="199"/>
      <c r="V131" s="199"/>
      <c r="W131" s="25"/>
      <c r="X131" s="25"/>
      <c r="Y131" s="24"/>
      <c r="Z131" s="25"/>
      <c r="AA131" s="25"/>
      <c r="AB131" s="24"/>
      <c r="AC131" s="24"/>
      <c r="AD131" s="199"/>
      <c r="AE131" s="199"/>
      <c r="AF131" s="199"/>
      <c r="AG131" s="199"/>
      <c r="AH131" s="199"/>
    </row>
    <row r="132" spans="2:34" x14ac:dyDescent="0.25">
      <c r="B132" s="199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199"/>
      <c r="U132" s="199"/>
      <c r="V132" s="199"/>
      <c r="W132" s="25"/>
      <c r="Y132" s="24"/>
      <c r="Z132" s="25"/>
      <c r="AA132" s="25"/>
      <c r="AB132" s="24"/>
      <c r="AC132" s="24"/>
      <c r="AD132" s="199"/>
      <c r="AE132" s="199"/>
      <c r="AF132" s="199"/>
      <c r="AG132" s="199"/>
      <c r="AH132" s="199"/>
    </row>
  </sheetData>
  <mergeCells count="43">
    <mergeCell ref="AR59:AS59"/>
    <mergeCell ref="AU61:AX61"/>
    <mergeCell ref="AF62:AM62"/>
    <mergeCell ref="AU62:AX62"/>
    <mergeCell ref="AH63:AK64"/>
    <mergeCell ref="AL63:AM63"/>
    <mergeCell ref="AL64:AM64"/>
    <mergeCell ref="AD12:AG13"/>
    <mergeCell ref="AN12:AQ13"/>
    <mergeCell ref="AD14:AG16"/>
    <mergeCell ref="AN14:AQ16"/>
    <mergeCell ref="O58:P58"/>
    <mergeCell ref="O59:P59"/>
    <mergeCell ref="AH59:AI59"/>
    <mergeCell ref="BA6:BA7"/>
    <mergeCell ref="BC6:BC7"/>
    <mergeCell ref="AA7:AC7"/>
    <mergeCell ref="AK7:AM7"/>
    <mergeCell ref="AV7:AX7"/>
    <mergeCell ref="AD8:AD9"/>
    <mergeCell ref="AF8:AF9"/>
    <mergeCell ref="AN8:AN9"/>
    <mergeCell ref="AP8:AP9"/>
    <mergeCell ref="Q4:Q7"/>
    <mergeCell ref="R4:S6"/>
    <mergeCell ref="T4:U6"/>
    <mergeCell ref="V4:W6"/>
    <mergeCell ref="X4:X7"/>
    <mergeCell ref="AZ4:BC5"/>
    <mergeCell ref="AA6:AI6"/>
    <mergeCell ref="AK6:AS6"/>
    <mergeCell ref="AV6:AX6"/>
    <mergeCell ref="AZ6:AZ7"/>
    <mergeCell ref="P1:R2"/>
    <mergeCell ref="S1:S2"/>
    <mergeCell ref="T1:T2"/>
    <mergeCell ref="U1:U2"/>
    <mergeCell ref="V1:V2"/>
    <mergeCell ref="B4:B7"/>
    <mergeCell ref="C4:L7"/>
    <mergeCell ref="M4:M7"/>
    <mergeCell ref="N4:N7"/>
    <mergeCell ref="O4:P7"/>
  </mergeCells>
  <conditionalFormatting sqref="AH63">
    <cfRule type="expression" dxfId="20" priority="13">
      <formula>($AH$63&gt;15)*$AH$63</formula>
    </cfRule>
    <cfRule type="expression" dxfId="19" priority="14">
      <formula>($AH$63&lt;=12)*$AH$63</formula>
    </cfRule>
  </conditionalFormatting>
  <conditionalFormatting sqref="AU61">
    <cfRule type="expression" dxfId="18" priority="11">
      <formula>($AU$61&gt;=0.7)*$AU$61</formula>
    </cfRule>
    <cfRule type="expression" dxfId="17" priority="12">
      <formula>($AU$61&lt;0.7)*$AU$61</formula>
    </cfRule>
  </conditionalFormatting>
  <conditionalFormatting sqref="X8:X57">
    <cfRule type="containsText" dxfId="16" priority="6" operator="containsText" text="Отбраковывается">
      <formula>NOT(ISERROR(SEARCH("Отбраковывается",X8)))</formula>
    </cfRule>
  </conditionalFormatting>
  <conditionalFormatting sqref="M8:N12">
    <cfRule type="expression" dxfId="15" priority="5">
      <formula>(M8:N57&gt;4)*M8:N57</formula>
    </cfRule>
  </conditionalFormatting>
  <conditionalFormatting sqref="Q8:Q12">
    <cfRule type="expression" dxfId="14" priority="3">
      <formula>(Q8:Q57=1)*Q8:Q57</formula>
    </cfRule>
    <cfRule type="expression" dxfId="13" priority="4">
      <formula>(Q8:Q57=2)*Q8:Q57</formula>
    </cfRule>
  </conditionalFormatting>
  <conditionalFormatting sqref="V8:W12">
    <cfRule type="expression" dxfId="12" priority="7" stopIfTrue="1">
      <formula>(V8:W57&gt;2)*V8:W57</formula>
    </cfRule>
    <cfRule type="expression" dxfId="11" priority="8" stopIfTrue="1">
      <formula>(V8:W57&lt;-2)*V8:W57</formula>
    </cfRule>
  </conditionalFormatting>
  <conditionalFormatting sqref="AI60">
    <cfRule type="expression" dxfId="10" priority="9">
      <formula>($AS$60&gt;1.5)*$AS$60</formula>
    </cfRule>
    <cfRule type="expression" dxfId="9" priority="10">
      <formula>($AS$60&lt;=1.5)*$AS$60</formula>
    </cfRule>
  </conditionalFormatting>
  <conditionalFormatting sqref="AS60">
    <cfRule type="expression" dxfId="8" priority="1">
      <formula>($AS$60&lt;=1.5)*$AS$60</formula>
    </cfRule>
    <cfRule type="expression" dxfId="7" priority="2">
      <formula>($AS$60&gt;1.5)*$AS$60</formula>
    </cfRule>
  </conditionalFormatting>
  <conditionalFormatting sqref="AH63">
    <cfRule type="expression" dxfId="6" priority="15">
      <formula>($AH$63&lt;6)*$AH$63</formula>
    </cfRule>
    <cfRule type="expression" dxfId="5" priority="16">
      <formula>($AH$63&gt;12)*($AH$63&lt;15)*$AH$63</formula>
    </cfRule>
  </conditionalFormatting>
  <conditionalFormatting sqref="M13:N57">
    <cfRule type="expression" dxfId="4" priority="17">
      <formula>(M13:N61&gt;4)*M13:N61</formula>
    </cfRule>
  </conditionalFormatting>
  <conditionalFormatting sqref="Q13:Q57">
    <cfRule type="expression" dxfId="3" priority="18">
      <formula>(Q13:Q61=1)*Q13:Q61</formula>
    </cfRule>
    <cfRule type="expression" dxfId="2" priority="19">
      <formula>(Q13:Q61=2)*Q13:Q61</formula>
    </cfRule>
  </conditionalFormatting>
  <conditionalFormatting sqref="V13:W57">
    <cfRule type="expression" dxfId="1" priority="20" stopIfTrue="1">
      <formula>(V13:W61&gt;2)*V13:W61</formula>
    </cfRule>
    <cfRule type="expression" dxfId="0" priority="21" stopIfTrue="1">
      <formula>(V13:W61&lt;-2)*V13:W61</formula>
    </cfRule>
  </conditionalFormatting>
  <dataValidations count="1">
    <dataValidation type="list" allowBlank="1" showInputMessage="1" showErrorMessage="1" sqref="P1:R2">
      <formula1>Испытания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КИТАЕВ склерометр</vt:lpstr>
      <vt:lpstr>'КИТАЕВ склерометр'!Испытания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Анисимов Александр Сергеевич</cp:lastModifiedBy>
  <dcterms:created xsi:type="dcterms:W3CDTF">2016-03-28T09:53:44Z</dcterms:created>
  <dcterms:modified xsi:type="dcterms:W3CDTF">2016-03-28T09:53:53Z</dcterms:modified>
</cp:coreProperties>
</file>