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5895"/>
  </bookViews>
  <sheets>
    <sheet name="ОсновнойРасчет" sheetId="4" r:id="rId1"/>
    <sheet name="Корректировка1" sheetId="5" r:id="rId2"/>
    <sheet name="Корректировка2" sheetId="6" r:id="rId3"/>
    <sheet name="Корректировка3" sheetId="7" r:id="rId4"/>
  </sheets>
  <externalReferences>
    <externalReference r:id="rId5"/>
  </externalReferences>
  <definedNames>
    <definedName name="_xlnm._FilterDatabase" localSheetId="3" hidden="1">Корректировка3!$A$2:$K$2</definedName>
    <definedName name="Выплаты">[1]Филиалы!$H$2:$H$25</definedName>
    <definedName name="Специалист">[1]Филиалы!$J$1:$J$17</definedName>
  </definedNames>
  <calcPr calcId="144525"/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3" i="4"/>
  <c r="B4" i="5"/>
  <c r="C4" i="5"/>
  <c r="D4" i="5"/>
  <c r="E4" i="5" s="1"/>
  <c r="F4" i="5" s="1"/>
  <c r="B5" i="5"/>
  <c r="B5" i="6" s="1"/>
  <c r="B5" i="7" s="1"/>
  <c r="C5" i="5"/>
  <c r="D5" i="5"/>
  <c r="E5" i="5" s="1"/>
  <c r="F5" i="5" s="1"/>
  <c r="B6" i="5"/>
  <c r="C6" i="5"/>
  <c r="D6" i="5"/>
  <c r="E6" i="5" s="1"/>
  <c r="F6" i="5" s="1"/>
  <c r="B7" i="5"/>
  <c r="B7" i="6" s="1"/>
  <c r="B7" i="7" s="1"/>
  <c r="C7" i="5"/>
  <c r="D7" i="5"/>
  <c r="E7" i="5" s="1"/>
  <c r="F7" i="5" s="1"/>
  <c r="B8" i="5"/>
  <c r="C8" i="5"/>
  <c r="D8" i="5"/>
  <c r="E8" i="5" s="1"/>
  <c r="B9" i="5"/>
  <c r="B9" i="6" s="1"/>
  <c r="B9" i="7" s="1"/>
  <c r="C9" i="5"/>
  <c r="D9" i="5"/>
  <c r="E9" i="5" s="1"/>
  <c r="B10" i="5"/>
  <c r="C10" i="5"/>
  <c r="D10" i="5"/>
  <c r="B11" i="5"/>
  <c r="C11" i="5"/>
  <c r="D11" i="5"/>
  <c r="E11" i="5" s="1"/>
  <c r="B12" i="5"/>
  <c r="C12" i="5"/>
  <c r="D12" i="5"/>
  <c r="E12" i="5" s="1"/>
  <c r="B11" i="6" l="1"/>
  <c r="B11" i="7" s="1"/>
  <c r="B10" i="6"/>
  <c r="B10" i="7" s="1"/>
  <c r="B12" i="6"/>
  <c r="B12" i="7" s="1"/>
  <c r="B8" i="6"/>
  <c r="B8" i="7" s="1"/>
  <c r="B6" i="6"/>
  <c r="B6" i="7" s="1"/>
  <c r="B4" i="6"/>
  <c r="B4" i="7" s="1"/>
  <c r="F12" i="5"/>
  <c r="F11" i="5"/>
  <c r="F9" i="5"/>
  <c r="F8" i="5"/>
  <c r="G12" i="5"/>
  <c r="H12" i="5" s="1"/>
  <c r="G11" i="5"/>
  <c r="H11" i="5" s="1"/>
  <c r="E10" i="5"/>
  <c r="F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I5" i="5" l="1"/>
  <c r="I7" i="5"/>
  <c r="I9" i="5"/>
  <c r="G10" i="5"/>
  <c r="H10" i="5" s="1"/>
  <c r="I12" i="5"/>
  <c r="I4" i="5"/>
  <c r="I6" i="5"/>
  <c r="I8" i="5"/>
  <c r="I11" i="5"/>
  <c r="L3" i="4"/>
  <c r="C11" i="6" l="1"/>
  <c r="D11" i="6"/>
  <c r="D8" i="6"/>
  <c r="C8" i="6"/>
  <c r="D4" i="6"/>
  <c r="C4" i="6"/>
  <c r="D7" i="6"/>
  <c r="C7" i="6"/>
  <c r="D6" i="6"/>
  <c r="C6" i="6"/>
  <c r="D12" i="6"/>
  <c r="C12" i="6"/>
  <c r="D9" i="6"/>
  <c r="C9" i="6"/>
  <c r="D5" i="6"/>
  <c r="C5" i="6"/>
  <c r="I10" i="5"/>
  <c r="C3" i="4"/>
  <c r="B3" i="5"/>
  <c r="C5" i="4"/>
  <c r="C6" i="4"/>
  <c r="C8" i="4"/>
  <c r="C12" i="4"/>
  <c r="C10" i="4"/>
  <c r="C4" i="4"/>
  <c r="C7" i="4"/>
  <c r="C9" i="4"/>
  <c r="C11" i="4"/>
  <c r="C3" i="5"/>
  <c r="D3" i="4"/>
  <c r="D11" i="7" l="1"/>
  <c r="E11" i="6"/>
  <c r="F11" i="6" s="1"/>
  <c r="B3" i="6"/>
  <c r="B3" i="7" s="1"/>
  <c r="C10" i="6"/>
  <c r="D10" i="6"/>
  <c r="D5" i="7"/>
  <c r="E5" i="7" s="1"/>
  <c r="F5" i="7" s="1"/>
  <c r="E5" i="6"/>
  <c r="F5" i="6" s="1"/>
  <c r="D9" i="7"/>
  <c r="E9" i="7" s="1"/>
  <c r="F9" i="7" s="1"/>
  <c r="E9" i="6"/>
  <c r="F9" i="6" s="1"/>
  <c r="D12" i="7"/>
  <c r="E12" i="7" s="1"/>
  <c r="F12" i="7" s="1"/>
  <c r="E12" i="6"/>
  <c r="F12" i="6" s="1"/>
  <c r="D6" i="7"/>
  <c r="E6" i="7" s="1"/>
  <c r="F6" i="7" s="1"/>
  <c r="E6" i="6"/>
  <c r="F6" i="6" s="1"/>
  <c r="D7" i="7"/>
  <c r="E7" i="7" s="1"/>
  <c r="F7" i="7" s="1"/>
  <c r="E7" i="6"/>
  <c r="F7" i="6" s="1"/>
  <c r="D4" i="7"/>
  <c r="E4" i="7" s="1"/>
  <c r="F4" i="7" s="1"/>
  <c r="E4" i="6"/>
  <c r="F4" i="6" s="1"/>
  <c r="D8" i="7"/>
  <c r="E8" i="7" s="1"/>
  <c r="F8" i="7" s="1"/>
  <c r="E8" i="6"/>
  <c r="F8" i="6" s="1"/>
  <c r="G11" i="6"/>
  <c r="D11" i="4"/>
  <c r="D7" i="4"/>
  <c r="D10" i="4"/>
  <c r="D12" i="4"/>
  <c r="D9" i="4"/>
  <c r="D4" i="4"/>
  <c r="D8" i="4"/>
  <c r="D6" i="4"/>
  <c r="D5" i="4"/>
  <c r="E3" i="4"/>
  <c r="G3" i="4" s="1"/>
  <c r="H11" i="6" l="1"/>
  <c r="I11" i="6"/>
  <c r="C11" i="7" s="1"/>
  <c r="G8" i="6"/>
  <c r="G7" i="6"/>
  <c r="G12" i="6"/>
  <c r="D10" i="7"/>
  <c r="E10" i="7" s="1"/>
  <c r="F10" i="7" s="1"/>
  <c r="E10" i="6"/>
  <c r="F10" i="6" s="1"/>
  <c r="G9" i="6"/>
  <c r="E11" i="7"/>
  <c r="F11" i="7" s="1"/>
  <c r="G4" i="6"/>
  <c r="G6" i="6"/>
  <c r="G5" i="6"/>
  <c r="F3" i="4"/>
  <c r="E5" i="4"/>
  <c r="F5" i="4" s="1"/>
  <c r="E9" i="4"/>
  <c r="G9" i="4" s="1"/>
  <c r="E12" i="4"/>
  <c r="G12" i="4" s="1"/>
  <c r="E10" i="4"/>
  <c r="F10" i="4" s="1"/>
  <c r="E11" i="4"/>
  <c r="F11" i="4" s="1"/>
  <c r="E6" i="4"/>
  <c r="G6" i="4" s="1"/>
  <c r="E8" i="4"/>
  <c r="G8" i="4" s="1"/>
  <c r="E4" i="4"/>
  <c r="G4" i="4" s="1"/>
  <c r="B13" i="7"/>
  <c r="E7" i="4"/>
  <c r="G7" i="4" s="1"/>
  <c r="I6" i="4"/>
  <c r="I3" i="4"/>
  <c r="D3" i="5" s="1"/>
  <c r="G11" i="7" l="1"/>
  <c r="H5" i="6"/>
  <c r="I5" i="6"/>
  <c r="C5" i="7" s="1"/>
  <c r="G5" i="7" s="1"/>
  <c r="H4" i="6"/>
  <c r="I4" i="6"/>
  <c r="C4" i="7" s="1"/>
  <c r="G4" i="7" s="1"/>
  <c r="I12" i="6"/>
  <c r="C12" i="7" s="1"/>
  <c r="G12" i="7" s="1"/>
  <c r="H12" i="6"/>
  <c r="H8" i="6"/>
  <c r="I8" i="6"/>
  <c r="C8" i="7" s="1"/>
  <c r="G8" i="7" s="1"/>
  <c r="H6" i="6"/>
  <c r="I6" i="6"/>
  <c r="C6" i="7" s="1"/>
  <c r="G6" i="7" s="1"/>
  <c r="H9" i="6"/>
  <c r="I9" i="6"/>
  <c r="C9" i="7" s="1"/>
  <c r="G9" i="7" s="1"/>
  <c r="H7" i="6"/>
  <c r="I7" i="6"/>
  <c r="C7" i="7" s="1"/>
  <c r="G7" i="7" s="1"/>
  <c r="G10" i="6"/>
  <c r="F9" i="4"/>
  <c r="G5" i="4"/>
  <c r="F6" i="4"/>
  <c r="I7" i="4"/>
  <c r="I12" i="4"/>
  <c r="F7" i="4"/>
  <c r="F4" i="4"/>
  <c r="F8" i="4"/>
  <c r="G11" i="4"/>
  <c r="G10" i="4"/>
  <c r="F12" i="4"/>
  <c r="I9" i="4"/>
  <c r="I8" i="4"/>
  <c r="I4" i="4"/>
  <c r="E3" i="5"/>
  <c r="G3" i="5" s="1"/>
  <c r="H3" i="5" s="1"/>
  <c r="I7" i="7" l="1"/>
  <c r="H7" i="7"/>
  <c r="I6" i="7"/>
  <c r="H6" i="7"/>
  <c r="H10" i="6"/>
  <c r="I10" i="6"/>
  <c r="C10" i="7" s="1"/>
  <c r="G10" i="7" s="1"/>
  <c r="H12" i="7"/>
  <c r="I12" i="7"/>
  <c r="H9" i="7"/>
  <c r="I9" i="7"/>
  <c r="H8" i="7"/>
  <c r="I8" i="7"/>
  <c r="I4" i="7"/>
  <c r="H4" i="7"/>
  <c r="I5" i="7"/>
  <c r="H5" i="7"/>
  <c r="H11" i="7"/>
  <c r="I11" i="7"/>
  <c r="I10" i="4"/>
  <c r="I5" i="4"/>
  <c r="I11" i="4"/>
  <c r="F3" i="5"/>
  <c r="H10" i="7" l="1"/>
  <c r="I10" i="7"/>
  <c r="I3" i="5"/>
  <c r="C3" i="6" s="1"/>
  <c r="D3" i="6" l="1"/>
  <c r="D3" i="7" s="1"/>
  <c r="E3" i="7" l="1"/>
  <c r="F3" i="7" s="1"/>
  <c r="E3" i="6"/>
  <c r="G3" i="6" s="1"/>
  <c r="F3" i="6" l="1"/>
  <c r="I3" i="6"/>
  <c r="H3" i="6"/>
  <c r="C3" i="7" l="1"/>
  <c r="J6" i="7"/>
  <c r="J4" i="7" l="1"/>
  <c r="F13" i="7"/>
  <c r="E13" i="7"/>
  <c r="G3" i="7"/>
  <c r="D13" i="7"/>
  <c r="J10" i="7"/>
  <c r="J8" i="7"/>
  <c r="J5" i="7" l="1"/>
  <c r="H3" i="7"/>
  <c r="I3" i="7"/>
  <c r="J3" i="7" s="1"/>
  <c r="J11" i="7"/>
  <c r="J9" i="7"/>
  <c r="J7" i="7"/>
  <c r="J12" i="7" l="1"/>
  <c r="C13" i="7"/>
  <c r="C15" i="7" s="1"/>
  <c r="G13" i="7"/>
</calcChain>
</file>

<file path=xl/comments1.xml><?xml version="1.0" encoding="utf-8"?>
<comments xmlns="http://schemas.openxmlformats.org/spreadsheetml/2006/main">
  <authors>
    <author>Сергей</author>
  </authors>
  <commentList>
    <comment ref="B2" authorId="0">
      <text>
        <r>
          <rPr>
            <sz val="9"/>
            <color indexed="81"/>
            <rFont val="Tahoma"/>
            <family val="2"/>
            <charset val="204"/>
          </rPr>
          <t>Сумма, к-рую компания должна господину N и к-рая будет перечислена через банк на почту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  <charset val="204"/>
          </rPr>
          <t>Сумма, к-рую получит господин N</t>
        </r>
      </text>
    </comment>
  </commentList>
</comments>
</file>

<file path=xl/sharedStrings.xml><?xml version="1.0" encoding="utf-8"?>
<sst xmlns="http://schemas.openxmlformats.org/spreadsheetml/2006/main" count="43" uniqueCount="16">
  <si>
    <t xml:space="preserve">Комиссия </t>
  </si>
  <si>
    <t>НДС</t>
  </si>
  <si>
    <t>Комиссия + НДС</t>
  </si>
  <si>
    <t>Сумма выплаты
(расчетная)</t>
  </si>
  <si>
    <t>КОЭФФИЦИЕНТ</t>
  </si>
  <si>
    <t>№ п/п</t>
  </si>
  <si>
    <t>Расхождение</t>
  </si>
  <si>
    <t>Итого:</t>
  </si>
  <si>
    <t>Проверка</t>
  </si>
  <si>
    <t>Назначение платежа:</t>
  </si>
  <si>
    <t>Сумма выплаты</t>
  </si>
  <si>
    <t>Сумма в списке для почты</t>
  </si>
  <si>
    <t>Сумма выплаты  = Сумма выплаты (расчетная)</t>
  </si>
  <si>
    <t>Увеличиваем сумму комиссии на 0,01</t>
  </si>
  <si>
    <t>Уменьшаем сумму на руки на 0,01</t>
  </si>
  <si>
    <t>Увеличиваем сумму на руки на 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</si>
</sst>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2" fillId="2" borderId="1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3" fillId="0" borderId="2" xfId="2" applyBorder="1" applyAlignment="1">
      <alignment horizontal="center" vertical="center" wrapText="1"/>
    </xf>
    <xf numFmtId="0" fontId="3" fillId="0" borderId="0" xfId="2"/>
    <xf numFmtId="0" fontId="7" fillId="0" borderId="0" xfId="2" applyFont="1" applyFill="1"/>
    <xf numFmtId="164" fontId="8" fillId="0" borderId="3" xfId="2" applyNumberFormat="1" applyFont="1" applyFill="1" applyBorder="1"/>
    <xf numFmtId="0" fontId="7" fillId="0" borderId="2" xfId="2" applyFont="1" applyFill="1" applyBorder="1" applyAlignment="1">
      <alignment horizontal="center"/>
    </xf>
    <xf numFmtId="4" fontId="7" fillId="0" borderId="2" xfId="2" applyNumberFormat="1" applyFont="1" applyFill="1" applyBorder="1"/>
    <xf numFmtId="0" fontId="3" fillId="0" borderId="2" xfId="2" applyBorder="1" applyAlignment="1">
      <alignment horizontal="center"/>
    </xf>
    <xf numFmtId="0" fontId="8" fillId="0" borderId="2" xfId="2" applyFont="1" applyFill="1" applyBorder="1" applyAlignment="1">
      <alignment horizontal="center"/>
    </xf>
    <xf numFmtId="0" fontId="9" fillId="0" borderId="0" xfId="2" applyFont="1"/>
    <xf numFmtId="0" fontId="9" fillId="0" borderId="2" xfId="2" applyFont="1" applyBorder="1"/>
    <xf numFmtId="4" fontId="9" fillId="0" borderId="2" xfId="2" applyNumberFormat="1" applyFont="1" applyBorder="1"/>
    <xf numFmtId="0" fontId="3" fillId="0" borderId="0" xfId="2" applyAlignment="1">
      <alignment vertical="center"/>
    </xf>
    <xf numFmtId="0" fontId="7" fillId="0" borderId="0" xfId="2" applyFont="1" applyFill="1" applyAlignment="1">
      <alignment horizontal="center"/>
    </xf>
    <xf numFmtId="0" fontId="9" fillId="0" borderId="4" xfId="2" applyFont="1" applyBorder="1" applyAlignment="1">
      <alignment horizontal="center"/>
    </xf>
    <xf numFmtId="4" fontId="8" fillId="0" borderId="2" xfId="3" applyNumberFormat="1" applyFont="1" applyFill="1" applyBorder="1" applyAlignment="1">
      <alignment vertical="top"/>
    </xf>
    <xf numFmtId="4" fontId="8" fillId="0" borderId="2" xfId="2" applyNumberFormat="1" applyFont="1" applyFill="1" applyBorder="1" applyAlignment="1"/>
  </cellXfs>
  <cellStyles count="7">
    <cellStyle name="Обычный" xfId="0" builtinId="0"/>
    <cellStyle name="Обычный 2" xfId="1"/>
    <cellStyle name="Обычный 3" xfId="2"/>
    <cellStyle name="Обычный_Расчет комиссии" xfId="3"/>
    <cellStyle name="Примечание 2" xfId="4"/>
    <cellStyle name="Финансовый 2" xfId="5"/>
    <cellStyle name="Финансовый 3" xfId="6"/>
  </cellStyles>
  <dxfs count="4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m.adamova.CHER/&#1056;&#1072;&#1073;&#1086;&#1095;&#1080;&#1081;%20&#1089;&#1090;&#1086;&#1083;/&#1050;&#1086;&#1087;&#1080;&#1103;%20&#1056;&#1077;&#1077;&#1089;&#1090;&#1088;%20&#1089;%20&#1072;&#1074;&#1075;&#1091;&#1089;&#1090;&#1072;%20201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лиалы"/>
      <sheetName val="Сбер"/>
      <sheetName val="ВТБ"/>
      <sheetName val="Диапазон ПП"/>
      <sheetName val="Лист2"/>
    </sheetNames>
    <sheetDataSet>
      <sheetData sheetId="0">
        <row r="1">
          <cell r="A1" t="str">
            <v>№ филиала СБ</v>
          </cell>
          <cell r="J1" t="str">
            <v>Специалист</v>
          </cell>
        </row>
        <row r="2">
          <cell r="H2" t="str">
            <v>Выкупные суммы</v>
          </cell>
          <cell r="J2" t="str">
            <v>Минина Т.В.</v>
          </cell>
        </row>
        <row r="3">
          <cell r="H3" t="str">
            <v>Выплаты правопреемникам</v>
          </cell>
          <cell r="J3" t="str">
            <v>Адамова Т.М.</v>
          </cell>
        </row>
        <row r="4">
          <cell r="H4" t="str">
            <v>Доп.выплаты правопреемникам</v>
          </cell>
          <cell r="J4" t="str">
            <v>Морозова А.А.</v>
          </cell>
        </row>
        <row r="5">
          <cell r="H5" t="str">
            <v>Единовременные выплаты</v>
          </cell>
          <cell r="J5" t="str">
            <v>Павлова И.С.</v>
          </cell>
        </row>
        <row r="6">
          <cell r="H6" t="str">
            <v>Доплата к единовременной выплате</v>
          </cell>
          <cell r="J6" t="str">
            <v>Лужинская Г.М.</v>
          </cell>
        </row>
        <row r="7">
          <cell r="H7" t="str">
            <v>Ежемесячные выплаты</v>
          </cell>
          <cell r="J7" t="str">
            <v>Богачева И.В.</v>
          </cell>
        </row>
        <row r="8">
          <cell r="H8" t="str">
            <v>Ежеквартальные выплаты</v>
          </cell>
          <cell r="J8" t="str">
            <v>Бережная И.Е.</v>
          </cell>
        </row>
        <row r="9">
          <cell r="H9" t="str">
            <v>Наследуемые суммы</v>
          </cell>
          <cell r="J9" t="str">
            <v>Кузнецова О.Н.</v>
          </cell>
        </row>
        <row r="10">
          <cell r="H10" t="str">
            <v>Срочные пенсии по ОПС</v>
          </cell>
          <cell r="J10" t="str">
            <v>Виноградова А.А.</v>
          </cell>
        </row>
        <row r="11">
          <cell r="H11" t="str">
            <v>Пожизненные пенсии по ОПС</v>
          </cell>
        </row>
        <row r="12">
          <cell r="H12" t="str">
            <v>НДФЛ с пенсии</v>
          </cell>
        </row>
        <row r="13">
          <cell r="H13" t="str">
            <v>НДФЛ с выкупных сумм</v>
          </cell>
        </row>
        <row r="14">
          <cell r="H14" t="str">
            <v>НДФЛ с наследуемых сумм</v>
          </cell>
        </row>
        <row r="15">
          <cell r="H15" t="str">
            <v>Назначение платежа</v>
          </cell>
        </row>
        <row r="16">
          <cell r="H16" t="str">
            <v>Прочие поступления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12"/>
  <sheetViews>
    <sheetView tabSelected="1" workbookViewId="0">
      <selection activeCell="A2" sqref="A2"/>
    </sheetView>
  </sheetViews>
  <sheetFormatPr defaultRowHeight="15" x14ac:dyDescent="0.25"/>
  <cols>
    <col min="1" max="1" width="9.140625" style="4"/>
    <col min="2" max="2" width="20.28515625" style="4" bestFit="1" customWidth="1"/>
    <col min="3" max="3" width="19.28515625" style="4" bestFit="1" customWidth="1"/>
    <col min="4" max="4" width="10.7109375" style="4" bestFit="1" customWidth="1"/>
    <col min="5" max="5" width="8" style="4" bestFit="1" customWidth="1"/>
    <col min="6" max="6" width="16.5703125" style="4" bestFit="1" customWidth="1"/>
    <col min="7" max="7" width="20.7109375" style="4" bestFit="1" customWidth="1"/>
    <col min="8" max="8" width="17.7109375" style="4" customWidth="1"/>
    <col min="9" max="9" width="14.7109375" style="4" customWidth="1"/>
    <col min="10" max="11" width="9.140625" style="4"/>
    <col min="12" max="12" width="15.42578125" style="4" customWidth="1"/>
    <col min="13" max="16384" width="9.140625" style="4"/>
  </cols>
  <sheetData>
    <row r="2" spans="1:12" ht="45.75" thickBot="1" x14ac:dyDescent="0.3">
      <c r="A2" s="1" t="s">
        <v>5</v>
      </c>
      <c r="B2" s="1" t="s">
        <v>10</v>
      </c>
      <c r="C2" s="1" t="s">
        <v>11</v>
      </c>
      <c r="D2" s="2" t="s">
        <v>0</v>
      </c>
      <c r="E2" s="2" t="s">
        <v>1</v>
      </c>
      <c r="F2" s="2" t="s">
        <v>2</v>
      </c>
      <c r="G2" s="1" t="s">
        <v>3</v>
      </c>
      <c r="H2" s="3" t="s">
        <v>12</v>
      </c>
      <c r="I2" s="3" t="s">
        <v>6</v>
      </c>
      <c r="L2" s="4" t="s">
        <v>4</v>
      </c>
    </row>
    <row r="3" spans="1:12" s="5" customFormat="1" ht="16.5" thickBot="1" x14ac:dyDescent="0.3">
      <c r="A3" s="7">
        <v>1</v>
      </c>
      <c r="B3" s="17">
        <v>1000</v>
      </c>
      <c r="C3" s="18">
        <f>ROUND(B3/$L$3,2)</f>
        <v>954.93</v>
      </c>
      <c r="D3" s="18">
        <f>IF(ROUND(C3*4%,2)&gt;7,ROUND(C3*4%,2),7)</f>
        <v>38.200000000000003</v>
      </c>
      <c r="E3" s="18">
        <f>ROUND(D3*18%,2)</f>
        <v>6.88</v>
      </c>
      <c r="F3" s="18">
        <f>SUM(D3:E3)</f>
        <v>45.080000000000005</v>
      </c>
      <c r="G3" s="18">
        <f>SUM(C3:E3)</f>
        <v>1000.01</v>
      </c>
      <c r="H3" s="10" t="str">
        <f>IF(B3=G3,"Да","Нет")</f>
        <v>Нет</v>
      </c>
      <c r="I3" s="8">
        <f>IFERROR(ROUND(IFERROR(G3-B3,""),2),"")</f>
        <v>0.01</v>
      </c>
      <c r="L3" s="6">
        <f>1+0.04+0.04*0.18</f>
        <v>1.0472000000000001</v>
      </c>
    </row>
    <row r="4" spans="1:12" ht="15.75" x14ac:dyDescent="0.25">
      <c r="A4" s="7">
        <v>2</v>
      </c>
      <c r="B4" s="17">
        <v>589.42999999999995</v>
      </c>
      <c r="C4" s="18">
        <f t="shared" ref="C4:C12" si="0">ROUND(B4/$L$3,2)</f>
        <v>562.86</v>
      </c>
      <c r="D4" s="18">
        <f t="shared" ref="D4:D12" si="1">IF(ROUND(C4*4%,2)&gt;7,ROUND(C4*4%,2),7)</f>
        <v>22.51</v>
      </c>
      <c r="E4" s="18">
        <f t="shared" ref="E4:E12" si="2">ROUND(D4*18%,2)</f>
        <v>4.05</v>
      </c>
      <c r="F4" s="18">
        <f t="shared" ref="F4:F12" si="3">SUM(D4:E4)</f>
        <v>26.560000000000002</v>
      </c>
      <c r="G4" s="18">
        <f t="shared" ref="G4:G12" si="4">SUM(C4:E4)</f>
        <v>589.41999999999996</v>
      </c>
      <c r="H4" s="10" t="str">
        <f t="shared" ref="H4:H12" si="5">IF(B4=G4,"Да","Нет")</f>
        <v>Нет</v>
      </c>
      <c r="I4" s="8">
        <f t="shared" ref="I4:I12" si="6">IFERROR(ROUND(IFERROR(G4-B4,""),2),"")</f>
        <v>-0.01</v>
      </c>
    </row>
    <row r="5" spans="1:12" ht="15.75" x14ac:dyDescent="0.25">
      <c r="A5" s="7">
        <v>3</v>
      </c>
      <c r="B5" s="17">
        <v>1998.89</v>
      </c>
      <c r="C5" s="18">
        <f t="shared" si="0"/>
        <v>1908.79</v>
      </c>
      <c r="D5" s="18">
        <f t="shared" si="1"/>
        <v>76.349999999999994</v>
      </c>
      <c r="E5" s="18">
        <f t="shared" si="2"/>
        <v>13.74</v>
      </c>
      <c r="F5" s="18">
        <f t="shared" si="3"/>
        <v>90.089999999999989</v>
      </c>
      <c r="G5" s="18">
        <f t="shared" si="4"/>
        <v>1998.8799999999999</v>
      </c>
      <c r="H5" s="10" t="str">
        <f t="shared" si="5"/>
        <v>Нет</v>
      </c>
      <c r="I5" s="8">
        <f t="shared" si="6"/>
        <v>-0.01</v>
      </c>
    </row>
    <row r="6" spans="1:12" ht="15.75" x14ac:dyDescent="0.25">
      <c r="A6" s="7">
        <v>4</v>
      </c>
      <c r="B6" s="17">
        <v>1257.28</v>
      </c>
      <c r="C6" s="18">
        <f t="shared" si="0"/>
        <v>1200.6099999999999</v>
      </c>
      <c r="D6" s="18">
        <f t="shared" si="1"/>
        <v>48.02</v>
      </c>
      <c r="E6" s="18">
        <f t="shared" si="2"/>
        <v>8.64</v>
      </c>
      <c r="F6" s="18">
        <f t="shared" si="3"/>
        <v>56.660000000000004</v>
      </c>
      <c r="G6" s="18">
        <f t="shared" si="4"/>
        <v>1257.27</v>
      </c>
      <c r="H6" s="10" t="str">
        <f t="shared" si="5"/>
        <v>Нет</v>
      </c>
      <c r="I6" s="8">
        <f t="shared" si="6"/>
        <v>-0.01</v>
      </c>
    </row>
    <row r="7" spans="1:12" ht="15.75" x14ac:dyDescent="0.25">
      <c r="A7" s="7">
        <v>5</v>
      </c>
      <c r="B7" s="17">
        <v>1921.78</v>
      </c>
      <c r="C7" s="18">
        <f t="shared" si="0"/>
        <v>1835.16</v>
      </c>
      <c r="D7" s="18">
        <f t="shared" si="1"/>
        <v>73.41</v>
      </c>
      <c r="E7" s="18">
        <f t="shared" si="2"/>
        <v>13.21</v>
      </c>
      <c r="F7" s="18">
        <f t="shared" si="3"/>
        <v>86.62</v>
      </c>
      <c r="G7" s="18">
        <f t="shared" si="4"/>
        <v>1921.7800000000002</v>
      </c>
      <c r="H7" s="10" t="str">
        <f t="shared" si="5"/>
        <v>Да</v>
      </c>
      <c r="I7" s="8">
        <f t="shared" si="6"/>
        <v>0</v>
      </c>
    </row>
    <row r="8" spans="1:12" ht="15.75" x14ac:dyDescent="0.25">
      <c r="A8" s="7">
        <v>6</v>
      </c>
      <c r="B8" s="17">
        <v>60.52</v>
      </c>
      <c r="C8" s="18">
        <f t="shared" si="0"/>
        <v>57.79</v>
      </c>
      <c r="D8" s="18">
        <f t="shared" si="1"/>
        <v>7</v>
      </c>
      <c r="E8" s="18">
        <f t="shared" si="2"/>
        <v>1.26</v>
      </c>
      <c r="F8" s="18">
        <f t="shared" si="3"/>
        <v>8.26</v>
      </c>
      <c r="G8" s="18">
        <f t="shared" si="4"/>
        <v>66.05</v>
      </c>
      <c r="H8" s="10" t="str">
        <f t="shared" si="5"/>
        <v>Нет</v>
      </c>
      <c r="I8" s="8">
        <f t="shared" si="6"/>
        <v>5.53</v>
      </c>
    </row>
    <row r="9" spans="1:12" ht="15.75" x14ac:dyDescent="0.25">
      <c r="A9" s="7">
        <v>7</v>
      </c>
      <c r="B9" s="17">
        <v>2061.13</v>
      </c>
      <c r="C9" s="18">
        <f t="shared" si="0"/>
        <v>1968.23</v>
      </c>
      <c r="D9" s="18">
        <f t="shared" si="1"/>
        <v>78.73</v>
      </c>
      <c r="E9" s="18">
        <f t="shared" si="2"/>
        <v>14.17</v>
      </c>
      <c r="F9" s="18">
        <f t="shared" si="3"/>
        <v>92.9</v>
      </c>
      <c r="G9" s="18">
        <f t="shared" si="4"/>
        <v>2061.13</v>
      </c>
      <c r="H9" s="10" t="str">
        <f t="shared" si="5"/>
        <v>Да</v>
      </c>
      <c r="I9" s="8">
        <f t="shared" si="6"/>
        <v>0</v>
      </c>
    </row>
    <row r="10" spans="1:12" ht="15.75" x14ac:dyDescent="0.25">
      <c r="A10" s="7">
        <v>8</v>
      </c>
      <c r="B10" s="17">
        <v>17540</v>
      </c>
      <c r="C10" s="18">
        <f t="shared" si="0"/>
        <v>16749.43</v>
      </c>
      <c r="D10" s="18">
        <f t="shared" si="1"/>
        <v>669.98</v>
      </c>
      <c r="E10" s="18">
        <f t="shared" si="2"/>
        <v>120.6</v>
      </c>
      <c r="F10" s="18">
        <f t="shared" si="3"/>
        <v>790.58</v>
      </c>
      <c r="G10" s="18">
        <f t="shared" si="4"/>
        <v>17540.009999999998</v>
      </c>
      <c r="H10" s="10" t="str">
        <f t="shared" si="5"/>
        <v>Нет</v>
      </c>
      <c r="I10" s="8">
        <f t="shared" si="6"/>
        <v>0.01</v>
      </c>
    </row>
    <row r="11" spans="1:12" ht="15.75" x14ac:dyDescent="0.25">
      <c r="A11" s="7">
        <v>9</v>
      </c>
      <c r="B11" s="17">
        <v>2095.17</v>
      </c>
      <c r="C11" s="18">
        <f t="shared" si="0"/>
        <v>2000.74</v>
      </c>
      <c r="D11" s="18">
        <f t="shared" si="1"/>
        <v>80.03</v>
      </c>
      <c r="E11" s="18">
        <f t="shared" si="2"/>
        <v>14.41</v>
      </c>
      <c r="F11" s="18">
        <f t="shared" si="3"/>
        <v>94.44</v>
      </c>
      <c r="G11" s="18">
        <f t="shared" si="4"/>
        <v>2095.1799999999998</v>
      </c>
      <c r="H11" s="10" t="str">
        <f t="shared" si="5"/>
        <v>Нет</v>
      </c>
      <c r="I11" s="8">
        <f t="shared" si="6"/>
        <v>0.01</v>
      </c>
    </row>
    <row r="12" spans="1:12" ht="15.75" x14ac:dyDescent="0.25">
      <c r="A12" s="7">
        <v>10</v>
      </c>
      <c r="B12" s="17">
        <v>2095.17</v>
      </c>
      <c r="C12" s="18">
        <f t="shared" si="0"/>
        <v>2000.74</v>
      </c>
      <c r="D12" s="18">
        <f t="shared" si="1"/>
        <v>80.03</v>
      </c>
      <c r="E12" s="18">
        <f t="shared" si="2"/>
        <v>14.41</v>
      </c>
      <c r="F12" s="18">
        <f t="shared" si="3"/>
        <v>94.44</v>
      </c>
      <c r="G12" s="18">
        <f t="shared" si="4"/>
        <v>2095.1799999999998</v>
      </c>
      <c r="H12" s="10" t="str">
        <f t="shared" si="5"/>
        <v>Нет</v>
      </c>
      <c r="I12" s="8">
        <f t="shared" si="6"/>
        <v>0.01</v>
      </c>
    </row>
  </sheetData>
  <conditionalFormatting sqref="I3:I12">
    <cfRule type="expression" dxfId="23" priority="1" stopIfTrue="1">
      <formula>I3=""</formula>
    </cfRule>
    <cfRule type="cellIs" dxfId="22" priority="5" operator="greaterThan">
      <formula>0.01</formula>
    </cfRule>
    <cfRule type="cellIs" dxfId="21" priority="6" operator="lessThan">
      <formula>-0.01</formula>
    </cfRule>
    <cfRule type="cellIs" dxfId="20" priority="7" operator="equal">
      <formula>0.01</formula>
    </cfRule>
    <cfRule type="cellIs" dxfId="19" priority="8" operator="equal">
      <formula>-0.01</formula>
    </cfRule>
    <cfRule type="cellIs" dxfId="18" priority="9" operator="equal">
      <formula>0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"/>
    </sheetView>
  </sheetViews>
  <sheetFormatPr defaultRowHeight="15" x14ac:dyDescent="0.25"/>
  <cols>
    <col min="1" max="1" width="9.140625" style="4"/>
    <col min="2" max="2" width="20.28515625" style="4" bestFit="1" customWidth="1"/>
    <col min="3" max="3" width="19.28515625" style="4" bestFit="1" customWidth="1"/>
    <col min="4" max="4" width="10.7109375" style="4" bestFit="1" customWidth="1"/>
    <col min="5" max="5" width="8" style="4" bestFit="1" customWidth="1"/>
    <col min="6" max="6" width="16.5703125" style="4" bestFit="1" customWidth="1"/>
    <col min="7" max="7" width="20.7109375" style="4" bestFit="1" customWidth="1"/>
    <col min="8" max="8" width="17.7109375" style="4" customWidth="1"/>
    <col min="9" max="9" width="14.7109375" style="4" customWidth="1"/>
    <col min="10" max="16384" width="9.140625" style="4"/>
  </cols>
  <sheetData>
    <row r="1" spans="1:9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2" spans="1:9" ht="45" x14ac:dyDescent="0.25">
      <c r="A2" s="1" t="s">
        <v>5</v>
      </c>
      <c r="B2" s="1" t="s">
        <v>10</v>
      </c>
      <c r="C2" s="1" t="s">
        <v>11</v>
      </c>
      <c r="D2" s="2" t="s">
        <v>0</v>
      </c>
      <c r="E2" s="2" t="s">
        <v>1</v>
      </c>
      <c r="F2" s="2" t="s">
        <v>2</v>
      </c>
      <c r="G2" s="1" t="s">
        <v>3</v>
      </c>
      <c r="H2" s="3" t="s">
        <v>12</v>
      </c>
      <c r="I2" s="3" t="s">
        <v>6</v>
      </c>
    </row>
    <row r="3" spans="1:9" s="5" customFormat="1" ht="15.75" x14ac:dyDescent="0.25">
      <c r="A3" s="7">
        <v>1</v>
      </c>
      <c r="B3" s="17">
        <f>ОсновнойРасчет!B3</f>
        <v>1000</v>
      </c>
      <c r="C3" s="18">
        <f>ОсновнойРасчет!C3</f>
        <v>954.93</v>
      </c>
      <c r="D3" s="18">
        <f>IF(AND(ОсновнойРасчет!I3&lt;&gt;0,ОсновнойРасчет!D3&gt;7),ОсновнойРасчет!D3+0.01,ОсновнойРасчет!D3)</f>
        <v>38.21</v>
      </c>
      <c r="E3" s="18">
        <f>ROUND(D3*18%,2)</f>
        <v>6.88</v>
      </c>
      <c r="F3" s="18">
        <f>SUM(D3:E3)</f>
        <v>45.09</v>
      </c>
      <c r="G3" s="18">
        <f>SUM(C3:E3)</f>
        <v>1000.02</v>
      </c>
      <c r="H3" s="10" t="str">
        <f>IF(B3=G3,"Да","Нет")</f>
        <v>Нет</v>
      </c>
      <c r="I3" s="8">
        <f>IFERROR(ROUND(IFERROR(G3-B3,""),2),"")</f>
        <v>0.02</v>
      </c>
    </row>
    <row r="4" spans="1:9" ht="15.75" x14ac:dyDescent="0.25">
      <c r="A4" s="9">
        <v>2</v>
      </c>
      <c r="B4" s="17">
        <f>ОсновнойРасчет!B4</f>
        <v>589.42999999999995</v>
      </c>
      <c r="C4" s="18">
        <f>ОсновнойРасчет!C4</f>
        <v>562.86</v>
      </c>
      <c r="D4" s="18">
        <f>IF(AND(ОсновнойРасчет!I4&lt;&gt;0,ОсновнойРасчет!D4&gt;7),ОсновнойРасчет!D4+0.01,ОсновнойРасчет!D4)</f>
        <v>22.520000000000003</v>
      </c>
      <c r="E4" s="18">
        <f t="shared" ref="E4:E12" si="0">ROUND(D4*18%,2)</f>
        <v>4.05</v>
      </c>
      <c r="F4" s="18">
        <f t="shared" ref="F4:F12" si="1">SUM(D4:E4)</f>
        <v>26.570000000000004</v>
      </c>
      <c r="G4" s="18">
        <f t="shared" ref="G4:G12" si="2">SUM(C4:E4)</f>
        <v>589.42999999999995</v>
      </c>
      <c r="H4" s="10" t="str">
        <f t="shared" ref="H4:H12" si="3">IF(B4=G4,"Да","Нет")</f>
        <v>Да</v>
      </c>
      <c r="I4" s="8">
        <f t="shared" ref="I4:I12" si="4">IFERROR(ROUND(IFERROR(G4-B4,""),2),"")</f>
        <v>0</v>
      </c>
    </row>
    <row r="5" spans="1:9" ht="15.75" x14ac:dyDescent="0.25">
      <c r="A5" s="9">
        <v>3</v>
      </c>
      <c r="B5" s="17">
        <f>ОсновнойРасчет!B5</f>
        <v>1998.89</v>
      </c>
      <c r="C5" s="18">
        <f>ОсновнойРасчет!C5</f>
        <v>1908.79</v>
      </c>
      <c r="D5" s="18">
        <f>IF(AND(ОсновнойРасчет!I5&lt;&gt;0,ОсновнойРасчет!D5&gt;7),ОсновнойРасчет!D5+0.01,ОсновнойРасчет!D5)</f>
        <v>76.36</v>
      </c>
      <c r="E5" s="18">
        <f t="shared" si="0"/>
        <v>13.74</v>
      </c>
      <c r="F5" s="18">
        <f t="shared" si="1"/>
        <v>90.1</v>
      </c>
      <c r="G5" s="18">
        <f t="shared" si="2"/>
        <v>1998.8899999999999</v>
      </c>
      <c r="H5" s="10" t="str">
        <f t="shared" si="3"/>
        <v>Да</v>
      </c>
      <c r="I5" s="8">
        <f t="shared" si="4"/>
        <v>0</v>
      </c>
    </row>
    <row r="6" spans="1:9" ht="15.75" x14ac:dyDescent="0.25">
      <c r="A6" s="9">
        <v>4</v>
      </c>
      <c r="B6" s="17">
        <f>ОсновнойРасчет!B6</f>
        <v>1257.28</v>
      </c>
      <c r="C6" s="18">
        <f>ОсновнойРасчет!C6</f>
        <v>1200.6099999999999</v>
      </c>
      <c r="D6" s="18">
        <f>IF(AND(ОсновнойРасчет!I6&lt;&gt;0,ОсновнойРасчет!D6&gt;7),ОсновнойРасчет!D6+0.01,ОсновнойРасчет!D6)</f>
        <v>48.03</v>
      </c>
      <c r="E6" s="18">
        <f t="shared" si="0"/>
        <v>8.65</v>
      </c>
      <c r="F6" s="18">
        <f t="shared" si="1"/>
        <v>56.68</v>
      </c>
      <c r="G6" s="18">
        <f t="shared" si="2"/>
        <v>1257.29</v>
      </c>
      <c r="H6" s="10" t="str">
        <f t="shared" si="3"/>
        <v>Нет</v>
      </c>
      <c r="I6" s="8">
        <f t="shared" si="4"/>
        <v>0.01</v>
      </c>
    </row>
    <row r="7" spans="1:9" ht="15.75" x14ac:dyDescent="0.25">
      <c r="A7" s="9">
        <v>5</v>
      </c>
      <c r="B7" s="17">
        <f>ОсновнойРасчет!B7</f>
        <v>1921.78</v>
      </c>
      <c r="C7" s="18">
        <f>ОсновнойРасчет!C7</f>
        <v>1835.16</v>
      </c>
      <c r="D7" s="18">
        <f>IF(AND(ОсновнойРасчет!I7&lt;&gt;0,ОсновнойРасчет!D7&gt;7),ОсновнойРасчет!D7+0.01,ОсновнойРасчет!D7)</f>
        <v>73.41</v>
      </c>
      <c r="E7" s="18">
        <f t="shared" si="0"/>
        <v>13.21</v>
      </c>
      <c r="F7" s="18">
        <f t="shared" si="1"/>
        <v>86.62</v>
      </c>
      <c r="G7" s="18">
        <f t="shared" si="2"/>
        <v>1921.7800000000002</v>
      </c>
      <c r="H7" s="10" t="str">
        <f t="shared" si="3"/>
        <v>Да</v>
      </c>
      <c r="I7" s="8">
        <f t="shared" si="4"/>
        <v>0</v>
      </c>
    </row>
    <row r="8" spans="1:9" ht="15.75" x14ac:dyDescent="0.25">
      <c r="A8" s="9">
        <v>6</v>
      </c>
      <c r="B8" s="17">
        <f>ОсновнойРасчет!B8</f>
        <v>60.52</v>
      </c>
      <c r="C8" s="18">
        <f>ОсновнойРасчет!C8</f>
        <v>57.79</v>
      </c>
      <c r="D8" s="18">
        <f>IF(AND(ОсновнойРасчет!I8&lt;&gt;0,ОсновнойРасчет!D8&gt;7),ОсновнойРасчет!D8+0.01,ОсновнойРасчет!D8)</f>
        <v>7</v>
      </c>
      <c r="E8" s="18">
        <f t="shared" si="0"/>
        <v>1.26</v>
      </c>
      <c r="F8" s="18">
        <f t="shared" si="1"/>
        <v>8.26</v>
      </c>
      <c r="G8" s="18">
        <f t="shared" si="2"/>
        <v>66.05</v>
      </c>
      <c r="H8" s="10" t="str">
        <f t="shared" si="3"/>
        <v>Нет</v>
      </c>
      <c r="I8" s="8">
        <f t="shared" si="4"/>
        <v>5.53</v>
      </c>
    </row>
    <row r="9" spans="1:9" ht="15.75" x14ac:dyDescent="0.25">
      <c r="A9" s="9">
        <v>7</v>
      </c>
      <c r="B9" s="17">
        <f>ОсновнойРасчет!B9</f>
        <v>2061.13</v>
      </c>
      <c r="C9" s="18">
        <f>ОсновнойРасчет!C9</f>
        <v>1968.23</v>
      </c>
      <c r="D9" s="18">
        <f>IF(AND(ОсновнойРасчет!I9&lt;&gt;0,ОсновнойРасчет!D9&gt;7),ОсновнойРасчет!D9+0.01,ОсновнойРасчет!D9)</f>
        <v>78.73</v>
      </c>
      <c r="E9" s="18">
        <f t="shared" si="0"/>
        <v>14.17</v>
      </c>
      <c r="F9" s="18">
        <f t="shared" si="1"/>
        <v>92.9</v>
      </c>
      <c r="G9" s="18">
        <f t="shared" si="2"/>
        <v>2061.13</v>
      </c>
      <c r="H9" s="10" t="str">
        <f t="shared" si="3"/>
        <v>Да</v>
      </c>
      <c r="I9" s="8">
        <f t="shared" si="4"/>
        <v>0</v>
      </c>
    </row>
    <row r="10" spans="1:9" ht="15.75" x14ac:dyDescent="0.25">
      <c r="A10" s="9">
        <v>8</v>
      </c>
      <c r="B10" s="17">
        <f>ОсновнойРасчет!B10</f>
        <v>17540</v>
      </c>
      <c r="C10" s="18">
        <f>ОсновнойРасчет!C10</f>
        <v>16749.43</v>
      </c>
      <c r="D10" s="18">
        <f>IF(AND(ОсновнойРасчет!I10&lt;&gt;0,ОсновнойРасчет!D10&gt;7),ОсновнойРасчет!D10+0.01,ОсновнойРасчет!D10)</f>
        <v>669.99</v>
      </c>
      <c r="E10" s="18">
        <f t="shared" si="0"/>
        <v>120.6</v>
      </c>
      <c r="F10" s="18">
        <f t="shared" si="1"/>
        <v>790.59</v>
      </c>
      <c r="G10" s="18">
        <f t="shared" si="2"/>
        <v>17540.02</v>
      </c>
      <c r="H10" s="10" t="str">
        <f t="shared" si="3"/>
        <v>Нет</v>
      </c>
      <c r="I10" s="8">
        <f t="shared" si="4"/>
        <v>0.02</v>
      </c>
    </row>
    <row r="11" spans="1:9" ht="15.75" x14ac:dyDescent="0.25">
      <c r="A11" s="9">
        <v>9</v>
      </c>
      <c r="B11" s="17">
        <f>ОсновнойРасчет!B11</f>
        <v>2095.17</v>
      </c>
      <c r="C11" s="18">
        <f>ОсновнойРасчет!C11</f>
        <v>2000.74</v>
      </c>
      <c r="D11" s="18">
        <f>IF(AND(ОсновнойРасчет!I11&lt;&gt;0,ОсновнойРасчет!D11&gt;7),ОсновнойРасчет!D11+0.01,ОсновнойРасчет!D11)</f>
        <v>80.040000000000006</v>
      </c>
      <c r="E11" s="18">
        <f t="shared" si="0"/>
        <v>14.41</v>
      </c>
      <c r="F11" s="18">
        <f t="shared" si="1"/>
        <v>94.45</v>
      </c>
      <c r="G11" s="18">
        <f t="shared" si="2"/>
        <v>2095.19</v>
      </c>
      <c r="H11" s="10" t="str">
        <f t="shared" si="3"/>
        <v>Нет</v>
      </c>
      <c r="I11" s="8">
        <f t="shared" si="4"/>
        <v>0.02</v>
      </c>
    </row>
    <row r="12" spans="1:9" ht="15.75" x14ac:dyDescent="0.25">
      <c r="A12" s="9">
        <v>10</v>
      </c>
      <c r="B12" s="17">
        <f>ОсновнойРасчет!B12</f>
        <v>2095.17</v>
      </c>
      <c r="C12" s="18">
        <f>ОсновнойРасчет!C12</f>
        <v>2000.74</v>
      </c>
      <c r="D12" s="18">
        <f>IF(AND(ОсновнойРасчет!I12&lt;&gt;0,ОсновнойРасчет!D12&gt;7),ОсновнойРасчет!D12+0.01,ОсновнойРасчет!D12)</f>
        <v>80.040000000000006</v>
      </c>
      <c r="E12" s="18">
        <f t="shared" si="0"/>
        <v>14.41</v>
      </c>
      <c r="F12" s="18">
        <f t="shared" si="1"/>
        <v>94.45</v>
      </c>
      <c r="G12" s="18">
        <f t="shared" si="2"/>
        <v>2095.19</v>
      </c>
      <c r="H12" s="10" t="str">
        <f t="shared" si="3"/>
        <v>Нет</v>
      </c>
      <c r="I12" s="8">
        <f t="shared" si="4"/>
        <v>0.02</v>
      </c>
    </row>
  </sheetData>
  <mergeCells count="1">
    <mergeCell ref="A1:I1"/>
  </mergeCells>
  <conditionalFormatting sqref="I3:I12">
    <cfRule type="expression" dxfId="17" priority="1" stopIfTrue="1">
      <formula>I3=""</formula>
    </cfRule>
    <cfRule type="cellIs" dxfId="16" priority="2" operator="greaterThan">
      <formula>0.01</formula>
    </cfRule>
    <cfRule type="cellIs" dxfId="15" priority="3" operator="lessThan">
      <formula>-0.01</formula>
    </cfRule>
    <cfRule type="cellIs" dxfId="14" priority="4" operator="equal">
      <formula>0.01</formula>
    </cfRule>
    <cfRule type="cellIs" dxfId="13" priority="5" operator="equal">
      <formula>-0.01</formula>
    </cfRule>
    <cfRule type="cellIs" dxfId="12" priority="6" operator="equal">
      <formula>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2" sqref="A2"/>
    </sheetView>
  </sheetViews>
  <sheetFormatPr defaultRowHeight="15" x14ac:dyDescent="0.25"/>
  <cols>
    <col min="1" max="1" width="9.140625" style="4"/>
    <col min="2" max="2" width="20.28515625" style="4" bestFit="1" customWidth="1"/>
    <col min="3" max="3" width="19.28515625" style="4" bestFit="1" customWidth="1"/>
    <col min="4" max="4" width="10.7109375" style="4" bestFit="1" customWidth="1"/>
    <col min="5" max="5" width="8" style="4" bestFit="1" customWidth="1"/>
    <col min="6" max="6" width="16.5703125" style="4" bestFit="1" customWidth="1"/>
    <col min="7" max="7" width="20.7109375" style="4" bestFit="1" customWidth="1"/>
    <col min="8" max="8" width="17.7109375" style="4" customWidth="1"/>
    <col min="9" max="9" width="14.7109375" style="4" customWidth="1"/>
    <col min="10" max="16384" width="9.140625" style="4"/>
  </cols>
  <sheetData>
    <row r="1" spans="1:9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</row>
    <row r="2" spans="1:9" ht="45" x14ac:dyDescent="0.25">
      <c r="A2" s="1" t="s">
        <v>5</v>
      </c>
      <c r="B2" s="1" t="s">
        <v>10</v>
      </c>
      <c r="C2" s="1" t="s">
        <v>11</v>
      </c>
      <c r="D2" s="2" t="s">
        <v>0</v>
      </c>
      <c r="E2" s="2" t="s">
        <v>1</v>
      </c>
      <c r="F2" s="2" t="s">
        <v>2</v>
      </c>
      <c r="G2" s="1" t="s">
        <v>3</v>
      </c>
      <c r="H2" s="3" t="s">
        <v>12</v>
      </c>
      <c r="I2" s="3" t="s">
        <v>6</v>
      </c>
    </row>
    <row r="3" spans="1:9" s="5" customFormat="1" ht="15.75" x14ac:dyDescent="0.25">
      <c r="A3" s="7">
        <v>1</v>
      </c>
      <c r="B3" s="17">
        <f>Корректировка1!B3</f>
        <v>1000</v>
      </c>
      <c r="C3" s="18">
        <f>IF(AND(Корректировка1!I3&lt;&gt;0,ОсновнойРасчет!D3&gt;7),ОсновнойРасчет!C3-0.01,ОсновнойРасчет!C3)</f>
        <v>954.92</v>
      </c>
      <c r="D3" s="18">
        <f>IF(Корректировка1!I3=0,Корректировка1!D3,ОсновнойРасчет!D3)</f>
        <v>38.200000000000003</v>
      </c>
      <c r="E3" s="18">
        <f>ROUND(D3*18%,2)</f>
        <v>6.88</v>
      </c>
      <c r="F3" s="18">
        <f>SUM(D3:E3)</f>
        <v>45.080000000000005</v>
      </c>
      <c r="G3" s="18">
        <f>SUM(C3:E3)</f>
        <v>1000</v>
      </c>
      <c r="H3" s="10" t="str">
        <f>IF(B3&lt;&gt;"",IF(B3=G3,"Да","Нет"),"")</f>
        <v>Да</v>
      </c>
      <c r="I3" s="8">
        <f>IFERROR(ROUND(IFERROR(G3-B3,""),2),"")</f>
        <v>0</v>
      </c>
    </row>
    <row r="4" spans="1:9" ht="15.75" x14ac:dyDescent="0.25">
      <c r="A4" s="9">
        <v>2</v>
      </c>
      <c r="B4" s="17">
        <f>Корректировка1!B4</f>
        <v>589.42999999999995</v>
      </c>
      <c r="C4" s="18">
        <f>IF(AND(Корректировка1!I4&lt;&gt;0,ОсновнойРасчет!D4&gt;7),ОсновнойРасчет!C4-0.01,ОсновнойРасчет!C4)</f>
        <v>562.86</v>
      </c>
      <c r="D4" s="18">
        <f>IF(Корректировка1!I4=0,Корректировка1!D4,ОсновнойРасчет!D4)</f>
        <v>22.520000000000003</v>
      </c>
      <c r="E4" s="18">
        <f t="shared" ref="E4:E12" si="0">ROUND(D4*18%,2)</f>
        <v>4.05</v>
      </c>
      <c r="F4" s="18">
        <f t="shared" ref="F4:F12" si="1">SUM(D4:E4)</f>
        <v>26.570000000000004</v>
      </c>
      <c r="G4" s="18">
        <f t="shared" ref="G4:G12" si="2">SUM(C4:E4)</f>
        <v>589.42999999999995</v>
      </c>
      <c r="H4" s="10" t="str">
        <f t="shared" ref="H4:H12" si="3">IF(B4&lt;&gt;"",IF(B4=G4,"Да","Нет"),"")</f>
        <v>Да</v>
      </c>
      <c r="I4" s="8">
        <f t="shared" ref="I4:I12" si="4">IFERROR(ROUND(IFERROR(G4-B4,""),2),"")</f>
        <v>0</v>
      </c>
    </row>
    <row r="5" spans="1:9" ht="15.75" x14ac:dyDescent="0.25">
      <c r="A5" s="9">
        <v>3</v>
      </c>
      <c r="B5" s="17">
        <f>Корректировка1!B5</f>
        <v>1998.89</v>
      </c>
      <c r="C5" s="18">
        <f>IF(AND(Корректировка1!I5&lt;&gt;0,ОсновнойРасчет!D5&gt;7),ОсновнойРасчет!C5-0.01,ОсновнойРасчет!C5)</f>
        <v>1908.79</v>
      </c>
      <c r="D5" s="18">
        <f>IF(Корректировка1!I5=0,Корректировка1!D5,ОсновнойРасчет!D5)</f>
        <v>76.36</v>
      </c>
      <c r="E5" s="18">
        <f t="shared" si="0"/>
        <v>13.74</v>
      </c>
      <c r="F5" s="18">
        <f t="shared" si="1"/>
        <v>90.1</v>
      </c>
      <c r="G5" s="18">
        <f t="shared" si="2"/>
        <v>1998.8899999999999</v>
      </c>
      <c r="H5" s="10" t="str">
        <f t="shared" si="3"/>
        <v>Да</v>
      </c>
      <c r="I5" s="8">
        <f t="shared" si="4"/>
        <v>0</v>
      </c>
    </row>
    <row r="6" spans="1:9" ht="15.75" x14ac:dyDescent="0.25">
      <c r="A6" s="9">
        <v>4</v>
      </c>
      <c r="B6" s="17">
        <f>Корректировка1!B6</f>
        <v>1257.28</v>
      </c>
      <c r="C6" s="18">
        <f>IF(AND(Корректировка1!I6&lt;&gt;0,ОсновнойРасчет!D6&gt;7),ОсновнойРасчет!C6-0.01,ОсновнойРасчет!C6)</f>
        <v>1200.5999999999999</v>
      </c>
      <c r="D6" s="18">
        <f>IF(Корректировка1!I6=0,Корректировка1!D6,ОсновнойРасчет!D6)</f>
        <v>48.02</v>
      </c>
      <c r="E6" s="18">
        <f t="shared" si="0"/>
        <v>8.64</v>
      </c>
      <c r="F6" s="18">
        <f t="shared" si="1"/>
        <v>56.660000000000004</v>
      </c>
      <c r="G6" s="18">
        <f t="shared" si="2"/>
        <v>1257.26</v>
      </c>
      <c r="H6" s="10" t="str">
        <f t="shared" si="3"/>
        <v>Нет</v>
      </c>
      <c r="I6" s="8">
        <f t="shared" si="4"/>
        <v>-0.02</v>
      </c>
    </row>
    <row r="7" spans="1:9" ht="15.75" x14ac:dyDescent="0.25">
      <c r="A7" s="9">
        <v>5</v>
      </c>
      <c r="B7" s="17">
        <f>Корректировка1!B7</f>
        <v>1921.78</v>
      </c>
      <c r="C7" s="18">
        <f>IF(AND(Корректировка1!I7&lt;&gt;0,ОсновнойРасчет!D7&gt;7),ОсновнойРасчет!C7-0.01,ОсновнойРасчет!C7)</f>
        <v>1835.16</v>
      </c>
      <c r="D7" s="18">
        <f>IF(Корректировка1!I7=0,Корректировка1!D7,ОсновнойРасчет!D7)</f>
        <v>73.41</v>
      </c>
      <c r="E7" s="18">
        <f t="shared" si="0"/>
        <v>13.21</v>
      </c>
      <c r="F7" s="18">
        <f t="shared" si="1"/>
        <v>86.62</v>
      </c>
      <c r="G7" s="18">
        <f t="shared" si="2"/>
        <v>1921.7800000000002</v>
      </c>
      <c r="H7" s="10" t="str">
        <f t="shared" si="3"/>
        <v>Да</v>
      </c>
      <c r="I7" s="8">
        <f t="shared" si="4"/>
        <v>0</v>
      </c>
    </row>
    <row r="8" spans="1:9" ht="15.75" x14ac:dyDescent="0.25">
      <c r="A8" s="9">
        <v>6</v>
      </c>
      <c r="B8" s="17">
        <f>Корректировка1!B8</f>
        <v>60.52</v>
      </c>
      <c r="C8" s="18">
        <f>IF(AND(Корректировка1!I8&lt;&gt;0,ОсновнойРасчет!D8&gt;7),ОсновнойРасчет!C8-0.01,ОсновнойРасчет!C8)</f>
        <v>57.79</v>
      </c>
      <c r="D8" s="18">
        <f>IF(Корректировка1!I8=0,Корректировка1!D8,ОсновнойРасчет!D8)</f>
        <v>7</v>
      </c>
      <c r="E8" s="18">
        <f t="shared" si="0"/>
        <v>1.26</v>
      </c>
      <c r="F8" s="18">
        <f t="shared" si="1"/>
        <v>8.26</v>
      </c>
      <c r="G8" s="18">
        <f t="shared" si="2"/>
        <v>66.05</v>
      </c>
      <c r="H8" s="10" t="str">
        <f t="shared" si="3"/>
        <v>Нет</v>
      </c>
      <c r="I8" s="8">
        <f t="shared" si="4"/>
        <v>5.53</v>
      </c>
    </row>
    <row r="9" spans="1:9" ht="15.75" x14ac:dyDescent="0.25">
      <c r="A9" s="9">
        <v>7</v>
      </c>
      <c r="B9" s="17">
        <f>Корректировка1!B9</f>
        <v>2061.13</v>
      </c>
      <c r="C9" s="18">
        <f>IF(AND(Корректировка1!I9&lt;&gt;0,ОсновнойРасчет!D9&gt;7),ОсновнойРасчет!C9-0.01,ОсновнойРасчет!C9)</f>
        <v>1968.23</v>
      </c>
      <c r="D9" s="18">
        <f>IF(Корректировка1!I9=0,Корректировка1!D9,ОсновнойРасчет!D9)</f>
        <v>78.73</v>
      </c>
      <c r="E9" s="18">
        <f t="shared" si="0"/>
        <v>14.17</v>
      </c>
      <c r="F9" s="18">
        <f t="shared" si="1"/>
        <v>92.9</v>
      </c>
      <c r="G9" s="18">
        <f t="shared" si="2"/>
        <v>2061.13</v>
      </c>
      <c r="H9" s="10" t="str">
        <f t="shared" si="3"/>
        <v>Да</v>
      </c>
      <c r="I9" s="8">
        <f t="shared" si="4"/>
        <v>0</v>
      </c>
    </row>
    <row r="10" spans="1:9" ht="15.75" x14ac:dyDescent="0.25">
      <c r="A10" s="9">
        <v>8</v>
      </c>
      <c r="B10" s="17">
        <f>Корректировка1!B10</f>
        <v>17540</v>
      </c>
      <c r="C10" s="18">
        <f>IF(AND(Корректировка1!I10&lt;&gt;0,ОсновнойРасчет!D10&gt;7),ОсновнойРасчет!C10-0.01,ОсновнойРасчет!C10)</f>
        <v>16749.420000000002</v>
      </c>
      <c r="D10" s="18">
        <f>IF(Корректировка1!I10=0,Корректировка1!D10,ОсновнойРасчет!D10)</f>
        <v>669.98</v>
      </c>
      <c r="E10" s="18">
        <f t="shared" si="0"/>
        <v>120.6</v>
      </c>
      <c r="F10" s="18">
        <f t="shared" si="1"/>
        <v>790.58</v>
      </c>
      <c r="G10" s="18">
        <f t="shared" si="2"/>
        <v>17540</v>
      </c>
      <c r="H10" s="10" t="str">
        <f t="shared" si="3"/>
        <v>Да</v>
      </c>
      <c r="I10" s="8">
        <f t="shared" si="4"/>
        <v>0</v>
      </c>
    </row>
    <row r="11" spans="1:9" ht="15.75" x14ac:dyDescent="0.25">
      <c r="A11" s="9">
        <v>9</v>
      </c>
      <c r="B11" s="17">
        <f>Корректировка1!B11</f>
        <v>2095.17</v>
      </c>
      <c r="C11" s="18">
        <f>IF(AND(Корректировка1!I11&lt;&gt;0,ОсновнойРасчет!D11&gt;7),ОсновнойРасчет!C11-0.01,ОсновнойРасчет!C11)</f>
        <v>2000.73</v>
      </c>
      <c r="D11" s="18">
        <f>IF(Корректировка1!I11=0,Корректировка1!D11,ОсновнойРасчет!D11)</f>
        <v>80.03</v>
      </c>
      <c r="E11" s="18">
        <f t="shared" si="0"/>
        <v>14.41</v>
      </c>
      <c r="F11" s="18">
        <f t="shared" si="1"/>
        <v>94.44</v>
      </c>
      <c r="G11" s="18">
        <f t="shared" si="2"/>
        <v>2095.17</v>
      </c>
      <c r="H11" s="10" t="str">
        <f t="shared" si="3"/>
        <v>Да</v>
      </c>
      <c r="I11" s="8">
        <f t="shared" si="4"/>
        <v>0</v>
      </c>
    </row>
    <row r="12" spans="1:9" ht="15.75" x14ac:dyDescent="0.25">
      <c r="A12" s="9">
        <v>10</v>
      </c>
      <c r="B12" s="17">
        <f>Корректировка1!B12</f>
        <v>2095.17</v>
      </c>
      <c r="C12" s="18">
        <f>IF(AND(Корректировка1!I12&lt;&gt;0,ОсновнойРасчет!D12&gt;7),ОсновнойРасчет!C12-0.01,ОсновнойРасчет!C12)</f>
        <v>2000.73</v>
      </c>
      <c r="D12" s="18">
        <f>IF(Корректировка1!I12=0,Корректировка1!D12,ОсновнойРасчет!D12)</f>
        <v>80.03</v>
      </c>
      <c r="E12" s="18">
        <f t="shared" si="0"/>
        <v>14.41</v>
      </c>
      <c r="F12" s="18">
        <f t="shared" si="1"/>
        <v>94.44</v>
      </c>
      <c r="G12" s="18">
        <f t="shared" si="2"/>
        <v>2095.17</v>
      </c>
      <c r="H12" s="10" t="str">
        <f t="shared" si="3"/>
        <v>Да</v>
      </c>
      <c r="I12" s="8">
        <f t="shared" si="4"/>
        <v>0</v>
      </c>
    </row>
  </sheetData>
  <mergeCells count="1">
    <mergeCell ref="A1:I1"/>
  </mergeCells>
  <conditionalFormatting sqref="I3:I12">
    <cfRule type="expression" dxfId="11" priority="1" stopIfTrue="1">
      <formula>I3=""</formula>
    </cfRule>
    <cfRule type="cellIs" dxfId="10" priority="2" operator="greaterThan">
      <formula>0.01</formula>
    </cfRule>
    <cfRule type="cellIs" dxfId="9" priority="3" operator="lessThan">
      <formula>-0.01</formula>
    </cfRule>
    <cfRule type="cellIs" dxfId="8" priority="4" operator="equal">
      <formula>0.01</formula>
    </cfRule>
    <cfRule type="cellIs" dxfId="7" priority="5" operator="equal">
      <formula>-0.01</formula>
    </cfRule>
    <cfRule type="cellIs" dxfId="6" priority="6" operator="equal">
      <formula>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2" sqref="A2"/>
    </sheetView>
  </sheetViews>
  <sheetFormatPr defaultRowHeight="15" x14ac:dyDescent="0.25"/>
  <cols>
    <col min="1" max="1" width="9.140625" style="4"/>
    <col min="2" max="2" width="20.28515625" style="4" bestFit="1" customWidth="1"/>
    <col min="3" max="3" width="19.28515625" style="4" bestFit="1" customWidth="1"/>
    <col min="4" max="4" width="10.7109375" style="4" bestFit="1" customWidth="1"/>
    <col min="5" max="5" width="8" style="4" bestFit="1" customWidth="1"/>
    <col min="6" max="6" width="16.5703125" style="4" bestFit="1" customWidth="1"/>
    <col min="7" max="7" width="20.7109375" style="4" bestFit="1" customWidth="1"/>
    <col min="8" max="8" width="17.7109375" style="4" customWidth="1"/>
    <col min="9" max="9" width="14.7109375" style="4" customWidth="1"/>
    <col min="10" max="10" width="10.7109375" style="4" customWidth="1"/>
    <col min="11" max="16384" width="9.140625" style="4"/>
  </cols>
  <sheetData>
    <row r="1" spans="1:10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</row>
    <row r="2" spans="1:10" ht="45" x14ac:dyDescent="0.25">
      <c r="A2" s="1" t="s">
        <v>5</v>
      </c>
      <c r="B2" s="1" t="s">
        <v>10</v>
      </c>
      <c r="C2" s="1" t="s">
        <v>11</v>
      </c>
      <c r="D2" s="2" t="s">
        <v>0</v>
      </c>
      <c r="E2" s="2" t="s">
        <v>1</v>
      </c>
      <c r="F2" s="2" t="s">
        <v>2</v>
      </c>
      <c r="G2" s="1" t="s">
        <v>3</v>
      </c>
      <c r="H2" s="3" t="s">
        <v>12</v>
      </c>
      <c r="I2" s="3" t="s">
        <v>6</v>
      </c>
      <c r="J2" s="14" t="s">
        <v>8</v>
      </c>
    </row>
    <row r="3" spans="1:10" s="5" customFormat="1" ht="15.75" x14ac:dyDescent="0.25">
      <c r="A3" s="7">
        <v>1</v>
      </c>
      <c r="B3" s="17">
        <f>Корректировка2!B3</f>
        <v>1000</v>
      </c>
      <c r="C3" s="18">
        <f>IFERROR(IF(AND(Корректировка2!I3&lt;&gt;0,ОсновнойРасчет!D3&gt;7),ОсновнойРасчет!C3+0.01,Корректировка2!C3),"")</f>
        <v>954.92</v>
      </c>
      <c r="D3" s="18">
        <f>IFERROR(Корректировка2!D3,"")</f>
        <v>38.200000000000003</v>
      </c>
      <c r="E3" s="18">
        <f>IFERROR(ROUND(D3*18%,2),"")</f>
        <v>6.88</v>
      </c>
      <c r="F3" s="18">
        <f>IF(SUM(D3:E3)&lt;&gt;0,SUM(D3:E3),"")</f>
        <v>45.080000000000005</v>
      </c>
      <c r="G3" s="18">
        <f>IF(SUM(C3:E3)&lt;&gt;0,SUM(C3:E3),"")</f>
        <v>1000</v>
      </c>
      <c r="H3" s="10" t="str">
        <f>IF(B3&lt;&gt;"",IF(B3=G3,"Да","Нет"),"")</f>
        <v>Да</v>
      </c>
      <c r="I3" s="8">
        <f>IFERROR(ROUND(IFERROR(G3-B3,""),2),"")</f>
        <v>0</v>
      </c>
      <c r="J3" s="15" t="str">
        <f>IF(I3&lt;&gt;"",IF(OR(I3=0,D3=7),"ок","ошибка"),"")</f>
        <v>ок</v>
      </c>
    </row>
    <row r="4" spans="1:10" ht="15.75" x14ac:dyDescent="0.25">
      <c r="A4" s="9">
        <v>2</v>
      </c>
      <c r="B4" s="17">
        <f>Корректировка2!B4</f>
        <v>589.42999999999995</v>
      </c>
      <c r="C4" s="18">
        <f>IFERROR(IF(AND(Корректировка2!I4&lt;&gt;0,ОсновнойРасчет!D4&gt;7),ОсновнойРасчет!C4+0.01,Корректировка2!C4),"")</f>
        <v>562.86</v>
      </c>
      <c r="D4" s="18">
        <f>IFERROR(Корректировка2!D4,"")</f>
        <v>22.520000000000003</v>
      </c>
      <c r="E4" s="18">
        <f t="shared" ref="E4:E12" si="0">IFERROR(ROUND(D4*18%,2),"")</f>
        <v>4.05</v>
      </c>
      <c r="F4" s="18">
        <f t="shared" ref="F4:F12" si="1">IF(SUM(D4:E4)&lt;&gt;0,SUM(D4:E4),"")</f>
        <v>26.570000000000004</v>
      </c>
      <c r="G4" s="18">
        <f t="shared" ref="G4:G12" si="2">IF(SUM(C4:E4)&lt;&gt;0,SUM(C4:E4),"")</f>
        <v>589.42999999999995</v>
      </c>
      <c r="H4" s="10" t="str">
        <f t="shared" ref="H4:H12" si="3">IF(B4&lt;&gt;"",IF(B4=G4,"Да","Нет"),"")</f>
        <v>Да</v>
      </c>
      <c r="I4" s="8">
        <f t="shared" ref="I4:I12" si="4">IFERROR(ROUND(IFERROR(G4-B4,""),2),"")</f>
        <v>0</v>
      </c>
      <c r="J4" s="15" t="str">
        <f t="shared" ref="J4:J12" si="5">IF(I4&lt;&gt;"",IF(OR(I4=0,D4=7),"ок","ошибка"),"")</f>
        <v>ок</v>
      </c>
    </row>
    <row r="5" spans="1:10" ht="15.75" x14ac:dyDescent="0.25">
      <c r="A5" s="9">
        <v>3</v>
      </c>
      <c r="B5" s="17">
        <f>Корректировка2!B5</f>
        <v>1998.89</v>
      </c>
      <c r="C5" s="18">
        <f>IFERROR(IF(AND(Корректировка2!I5&lt;&gt;0,ОсновнойРасчет!D5&gt;7),ОсновнойРасчет!C5+0.01,Корректировка2!C5),"")</f>
        <v>1908.79</v>
      </c>
      <c r="D5" s="18">
        <f>IFERROR(Корректировка2!D5,"")</f>
        <v>76.36</v>
      </c>
      <c r="E5" s="18">
        <f t="shared" si="0"/>
        <v>13.74</v>
      </c>
      <c r="F5" s="18">
        <f t="shared" si="1"/>
        <v>90.1</v>
      </c>
      <c r="G5" s="18">
        <f t="shared" si="2"/>
        <v>1998.8899999999999</v>
      </c>
      <c r="H5" s="10" t="str">
        <f t="shared" si="3"/>
        <v>Да</v>
      </c>
      <c r="I5" s="8">
        <f t="shared" si="4"/>
        <v>0</v>
      </c>
      <c r="J5" s="15" t="str">
        <f t="shared" si="5"/>
        <v>ок</v>
      </c>
    </row>
    <row r="6" spans="1:10" ht="15.75" x14ac:dyDescent="0.25">
      <c r="A6" s="9">
        <v>4</v>
      </c>
      <c r="B6" s="17">
        <f>Корректировка2!B6</f>
        <v>1257.28</v>
      </c>
      <c r="C6" s="18">
        <f>IFERROR(IF(AND(Корректировка2!I6&lt;&gt;0,ОсновнойРасчет!D6&gt;7),ОсновнойРасчет!C6+0.01,Корректировка2!C6),"")</f>
        <v>1200.6199999999999</v>
      </c>
      <c r="D6" s="18">
        <f>IFERROR(Корректировка2!D6,"")</f>
        <v>48.02</v>
      </c>
      <c r="E6" s="18">
        <f t="shared" si="0"/>
        <v>8.64</v>
      </c>
      <c r="F6" s="18">
        <f t="shared" si="1"/>
        <v>56.660000000000004</v>
      </c>
      <c r="G6" s="18">
        <f t="shared" si="2"/>
        <v>1257.28</v>
      </c>
      <c r="H6" s="10" t="str">
        <f t="shared" si="3"/>
        <v>Да</v>
      </c>
      <c r="I6" s="8">
        <f t="shared" si="4"/>
        <v>0</v>
      </c>
      <c r="J6" s="15" t="str">
        <f t="shared" si="5"/>
        <v>ок</v>
      </c>
    </row>
    <row r="7" spans="1:10" ht="15.75" x14ac:dyDescent="0.25">
      <c r="A7" s="9">
        <v>5</v>
      </c>
      <c r="B7" s="17">
        <f>Корректировка2!B7</f>
        <v>1921.78</v>
      </c>
      <c r="C7" s="18">
        <f>IFERROR(IF(AND(Корректировка2!I7&lt;&gt;0,ОсновнойРасчет!D7&gt;7),ОсновнойРасчет!C7+0.01,Корректировка2!C7),"")</f>
        <v>1835.16</v>
      </c>
      <c r="D7" s="18">
        <f>IFERROR(Корректировка2!D7,"")</f>
        <v>73.41</v>
      </c>
      <c r="E7" s="18">
        <f t="shared" si="0"/>
        <v>13.21</v>
      </c>
      <c r="F7" s="18">
        <f t="shared" si="1"/>
        <v>86.62</v>
      </c>
      <c r="G7" s="18">
        <f t="shared" si="2"/>
        <v>1921.7800000000002</v>
      </c>
      <c r="H7" s="10" t="str">
        <f t="shared" si="3"/>
        <v>Да</v>
      </c>
      <c r="I7" s="8">
        <f t="shared" si="4"/>
        <v>0</v>
      </c>
      <c r="J7" s="15" t="str">
        <f t="shared" si="5"/>
        <v>ок</v>
      </c>
    </row>
    <row r="8" spans="1:10" ht="15.75" x14ac:dyDescent="0.25">
      <c r="A8" s="9">
        <v>6</v>
      </c>
      <c r="B8" s="17">
        <f>Корректировка2!B8</f>
        <v>60.52</v>
      </c>
      <c r="C8" s="18">
        <f>IFERROR(IF(AND(Корректировка2!I8&lt;&gt;0,ОсновнойРасчет!D8&gt;7),ОсновнойРасчет!C8+0.01,Корректировка2!C8),"")</f>
        <v>57.79</v>
      </c>
      <c r="D8" s="18">
        <f>IFERROR(Корректировка2!D8,"")</f>
        <v>7</v>
      </c>
      <c r="E8" s="18">
        <f t="shared" si="0"/>
        <v>1.26</v>
      </c>
      <c r="F8" s="18">
        <f t="shared" si="1"/>
        <v>8.26</v>
      </c>
      <c r="G8" s="18">
        <f t="shared" si="2"/>
        <v>66.05</v>
      </c>
      <c r="H8" s="10" t="str">
        <f t="shared" si="3"/>
        <v>Нет</v>
      </c>
      <c r="I8" s="8">
        <f t="shared" si="4"/>
        <v>5.53</v>
      </c>
      <c r="J8" s="15" t="str">
        <f t="shared" si="5"/>
        <v>ок</v>
      </c>
    </row>
    <row r="9" spans="1:10" ht="15.75" x14ac:dyDescent="0.25">
      <c r="A9" s="9">
        <v>7</v>
      </c>
      <c r="B9" s="17">
        <f>Корректировка2!B9</f>
        <v>2061.13</v>
      </c>
      <c r="C9" s="18">
        <f>IFERROR(IF(AND(Корректировка2!I9&lt;&gt;0,ОсновнойРасчет!D9&gt;7),ОсновнойРасчет!C9+0.01,Корректировка2!C9),"")</f>
        <v>1968.23</v>
      </c>
      <c r="D9" s="18">
        <f>IFERROR(Корректировка2!D9,"")</f>
        <v>78.73</v>
      </c>
      <c r="E9" s="18">
        <f t="shared" si="0"/>
        <v>14.17</v>
      </c>
      <c r="F9" s="18">
        <f t="shared" si="1"/>
        <v>92.9</v>
      </c>
      <c r="G9" s="18">
        <f t="shared" si="2"/>
        <v>2061.13</v>
      </c>
      <c r="H9" s="10" t="str">
        <f t="shared" si="3"/>
        <v>Да</v>
      </c>
      <c r="I9" s="8">
        <f t="shared" si="4"/>
        <v>0</v>
      </c>
      <c r="J9" s="15" t="str">
        <f t="shared" si="5"/>
        <v>ок</v>
      </c>
    </row>
    <row r="10" spans="1:10" ht="15.75" x14ac:dyDescent="0.25">
      <c r="A10" s="9">
        <v>8</v>
      </c>
      <c r="B10" s="17">
        <f>Корректировка2!B10</f>
        <v>17540</v>
      </c>
      <c r="C10" s="18">
        <f>IFERROR(IF(AND(Корректировка2!I10&lt;&gt;0,ОсновнойРасчет!D10&gt;7),ОсновнойРасчет!C10+0.01,Корректировка2!C10),"")</f>
        <v>16749.420000000002</v>
      </c>
      <c r="D10" s="18">
        <f>IFERROR(Корректировка2!D10,"")</f>
        <v>669.98</v>
      </c>
      <c r="E10" s="18">
        <f t="shared" si="0"/>
        <v>120.6</v>
      </c>
      <c r="F10" s="18">
        <f t="shared" si="1"/>
        <v>790.58</v>
      </c>
      <c r="G10" s="18">
        <f t="shared" si="2"/>
        <v>17540</v>
      </c>
      <c r="H10" s="10" t="str">
        <f t="shared" si="3"/>
        <v>Да</v>
      </c>
      <c r="I10" s="8">
        <f t="shared" si="4"/>
        <v>0</v>
      </c>
      <c r="J10" s="15" t="str">
        <f t="shared" si="5"/>
        <v>ок</v>
      </c>
    </row>
    <row r="11" spans="1:10" ht="15.75" x14ac:dyDescent="0.25">
      <c r="A11" s="9">
        <v>9</v>
      </c>
      <c r="B11" s="17">
        <f>Корректировка2!B11</f>
        <v>2095.17</v>
      </c>
      <c r="C11" s="18">
        <f>IFERROR(IF(AND(Корректировка2!I11&lt;&gt;0,ОсновнойРасчет!D11&gt;7),ОсновнойРасчет!C11+0.01,Корректировка2!C11),"")</f>
        <v>2000.73</v>
      </c>
      <c r="D11" s="18">
        <f>IFERROR(Корректировка2!D11,"")</f>
        <v>80.03</v>
      </c>
      <c r="E11" s="18">
        <f t="shared" si="0"/>
        <v>14.41</v>
      </c>
      <c r="F11" s="18">
        <f t="shared" si="1"/>
        <v>94.44</v>
      </c>
      <c r="G11" s="18">
        <f t="shared" si="2"/>
        <v>2095.17</v>
      </c>
      <c r="H11" s="10" t="str">
        <f t="shared" si="3"/>
        <v>Да</v>
      </c>
      <c r="I11" s="8">
        <f t="shared" si="4"/>
        <v>0</v>
      </c>
      <c r="J11" s="15" t="str">
        <f t="shared" si="5"/>
        <v>ок</v>
      </c>
    </row>
    <row r="12" spans="1:10" ht="15.75" x14ac:dyDescent="0.25">
      <c r="A12" s="9">
        <v>10</v>
      </c>
      <c r="B12" s="17">
        <f>Корректировка2!B12</f>
        <v>2095.17</v>
      </c>
      <c r="C12" s="18">
        <f>IFERROR(IF(AND(Корректировка2!I12&lt;&gt;0,ОсновнойРасчет!D12&gt;7),ОсновнойРасчет!C12+0.01,Корректировка2!C12),"")</f>
        <v>2000.73</v>
      </c>
      <c r="D12" s="18">
        <f>IFERROR(Корректировка2!D12,"")</f>
        <v>80.03</v>
      </c>
      <c r="E12" s="18">
        <f t="shared" si="0"/>
        <v>14.41</v>
      </c>
      <c r="F12" s="18">
        <f t="shared" si="1"/>
        <v>94.44</v>
      </c>
      <c r="G12" s="18">
        <f t="shared" si="2"/>
        <v>2095.17</v>
      </c>
      <c r="H12" s="10" t="str">
        <f t="shared" si="3"/>
        <v>Да</v>
      </c>
      <c r="I12" s="8">
        <f t="shared" si="4"/>
        <v>0</v>
      </c>
      <c r="J12" s="15" t="str">
        <f t="shared" si="5"/>
        <v>ок</v>
      </c>
    </row>
    <row r="13" spans="1:10" s="11" customFormat="1" x14ac:dyDescent="0.25">
      <c r="A13" s="12" t="s">
        <v>7</v>
      </c>
      <c r="B13" s="13">
        <f>SUM(B3:B12)</f>
        <v>30619.369999999995</v>
      </c>
      <c r="C13" s="13">
        <f>SUM(C3:C12)</f>
        <v>29239.25</v>
      </c>
      <c r="D13" s="13">
        <f>SUM(D3:D12)</f>
        <v>1174.28</v>
      </c>
      <c r="E13" s="13">
        <f>SUM(E3:E12)</f>
        <v>211.37</v>
      </c>
      <c r="F13" s="13">
        <f>SUM(F3:F12)</f>
        <v>1385.65</v>
      </c>
      <c r="G13" s="13">
        <f>SUM(G3:G12)</f>
        <v>30624.899999999994</v>
      </c>
      <c r="H13" s="13"/>
      <c r="I13" s="13"/>
    </row>
    <row r="15" spans="1:10" x14ac:dyDescent="0.25">
      <c r="A15" s="4" t="s">
        <v>9</v>
      </c>
      <c r="C15" s="4" t="str">
        <f>CONCATENATE("Выплаты физ. лицам  - ",C13,", плата за перевод - ",F13,", в т.ч. НДС - ",E13)</f>
        <v>Выплаты физ. лицам  - 29239,25, плата за перевод - 1385,65, в т.ч. НДС - 211,37</v>
      </c>
    </row>
  </sheetData>
  <mergeCells count="1">
    <mergeCell ref="A1:I1"/>
  </mergeCells>
  <conditionalFormatting sqref="I3:I12">
    <cfRule type="expression" dxfId="5" priority="1" stopIfTrue="1">
      <formula>I3=""</formula>
    </cfRule>
    <cfRule type="cellIs" dxfId="4" priority="2" operator="greaterThan">
      <formula>0.01</formula>
    </cfRule>
    <cfRule type="cellIs" dxfId="3" priority="3" operator="lessThan">
      <formula>-0.01</formula>
    </cfRule>
    <cfRule type="cellIs" dxfId="2" priority="4" operator="equal">
      <formula>0.01</formula>
    </cfRule>
    <cfRule type="cellIs" dxfId="1" priority="5" operator="equal">
      <formula>-0.01</formula>
    </cfRule>
    <cfRule type="cellIs" dxfId="0" priority="6" operator="equal">
      <formula>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ОсновнойРасчет</vt:lpstr>
      <vt:lpstr>Корректировка1</vt:lpstr>
      <vt:lpstr>Корректировка2</vt:lpstr>
      <vt:lpstr>Корректировка3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2016-04-14T17:28:09Z</dcterms:created>
  <dcterms:modified xsi:type="dcterms:W3CDTF">2016-04-15T18:53:05Z</dcterms:modified>
</cp:coreProperties>
</file>