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im.ghalachyan\Documents\ВСМ\Ковров\последнее\Новая папка\"/>
    </mc:Choice>
  </mc:AlternateContent>
  <bookViews>
    <workbookView xWindow="0" yWindow="0" windowWidth="28800" windowHeight="12435" activeTab="1"/>
  </bookViews>
  <sheets>
    <sheet name="Формы отчетности ПК" sheetId="1" r:id="rId1"/>
    <sheet name="расчеты" sheetId="2" r:id="rId2"/>
    <sheet name="вводные" sheetId="3" r:id="rId3"/>
    <sheet name="Индексы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IntlFixup" hidden="1">TRUE</definedName>
    <definedName name="_1__123Graph_ACHART_4" localSheetId="3" hidden="1">#REF!</definedName>
    <definedName name="_1__123Graph_ACHART_4" localSheetId="1" hidden="1">#REF!</definedName>
    <definedName name="_1__123Graph_ACHART_4" hidden="1">#REF!</definedName>
    <definedName name="_2__123Graph_XCHART_3" localSheetId="3" hidden="1">#REF!</definedName>
    <definedName name="_2__123Graph_XCHART_3" localSheetId="1" hidden="1">#REF!</definedName>
    <definedName name="_2__123Graph_XCHART_3" hidden="1">#REF!</definedName>
    <definedName name="_3__123Graph_XCHART_4" localSheetId="3" hidden="1">#REF!</definedName>
    <definedName name="_3__123Graph_XCHART_4" localSheetId="1" hidden="1">#REF!</definedName>
    <definedName name="_3__123Graph_XCHART_4" hidden="1">#REF!</definedName>
    <definedName name="_6aaa" localSheetId="3" hidden="1">{#N/A,#N/A,FALSE,"Aging Summary";#N/A,#N/A,FALSE,"Ratio Analysis";#N/A,#N/A,FALSE,"Test 120 Day Accts";#N/A,#N/A,FALSE,"Tickmarks"}</definedName>
    <definedName name="_6aaa" hidden="1">{#N/A,#N/A,FALSE,"Aging Summary";#N/A,#N/A,FALSE,"Ratio Analysis";#N/A,#N/A,FALSE,"Test 120 Day Accts";#N/A,#N/A,FALSE,"Tickmarks"}</definedName>
    <definedName name="_Fill" localSheetId="3" hidden="1">#REF!</definedName>
    <definedName name="_Fill" localSheetId="1" hidden="1">#REF!</definedName>
    <definedName name="_Fill" hidden="1">#REF!</definedName>
    <definedName name="_Key1" localSheetId="3" hidden="1">'[2]Natl Consult Reg.'!#REF!</definedName>
    <definedName name="_Key1" localSheetId="1" hidden="1">'[2]Natl Consult Reg.'!#REF!</definedName>
    <definedName name="_Key1" hidden="1">'[2]Natl Consult Reg.'!#REF!</definedName>
    <definedName name="_Key2" localSheetId="3" hidden="1">'[2]Natl Consult Reg.'!#REF!</definedName>
    <definedName name="_Key2" localSheetId="1" hidden="1">'[2]Natl Consult Reg.'!#REF!</definedName>
    <definedName name="_Key2" hidden="1">'[2]Natl Consult Reg.'!#REF!</definedName>
    <definedName name="_Order1" hidden="1">255</definedName>
    <definedName name="_Order2" hidden="1">255</definedName>
    <definedName name="_Regression_Int" hidden="1">1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In2" localSheetId="3" hidden="1">#REF!</definedName>
    <definedName name="_Table2_In2" localSheetId="1" hidden="1">#REF!</definedName>
    <definedName name="_Table2_In2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_Table3_In2" localSheetId="3" hidden="1">#REF!</definedName>
    <definedName name="_Table3_In2" localSheetId="1" hidden="1">#REF!</definedName>
    <definedName name="_Table3_In2" hidden="1">#REF!</definedName>
    <definedName name="_wrn2" localSheetId="3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3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бааб" localSheetId="3" hidden="1">{#N/A,#N/A,FALSE,"Aging Summary";#N/A,#N/A,FALSE,"Ratio Analysis";#N/A,#N/A,FALSE,"Test 120 Day Accts";#N/A,#N/A,FALSE,"Tickmarks"}</definedName>
    <definedName name="_бааб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3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3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localSheetId="3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cc">0.001</definedName>
    <definedName name="antonio" localSheetId="3" hidden="1">{#N/A,"70% Success",FALSE,"Sales Forecast";#N/A,#N/A,FALSE,"Sheet2"}</definedName>
    <definedName name="antonio" hidden="1">{#N/A,"70% Success",FALSE,"Sales Forecast";#N/A,#N/A,FALSE,"Sheet2"}</definedName>
    <definedName name="AS2DocOpenMode" hidden="1">"AS2DocumentEdit"</definedName>
    <definedName name="b" localSheetId="3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localSheetId="3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3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LPH1" hidden="1">[3]GLC_ratios_Jun!$D$15</definedName>
    <definedName name="BLPH2" hidden="1">[3]GLC_ratios_Jun!$Z$15</definedName>
    <definedName name="carlos" localSheetId="3" hidden="1">{#N/A,"10% Success",FALSE,"Sales Forecast";#N/A,#N/A,FALSE,"Sheet2"}</definedName>
    <definedName name="carlos" hidden="1">{#N/A,"10% Success",FALSE,"Sales Forecast";#N/A,#N/A,FALSE,"Sheet2"}</definedName>
    <definedName name="claudia" localSheetId="3" hidden="1">{#N/A,"70% Success",FALSE,"Sales Forecast";#N/A,#N/A,FALSE,"Sheet2"}</definedName>
    <definedName name="claudia" hidden="1">{#N/A,"70% Success",FALSE,"Sales Forecast";#N/A,#N/A,FALSE,"Sheet2"}</definedName>
    <definedName name="cu00.UserArea" hidden="1">[4]cus_HK1033!$B$2:$P$192</definedName>
    <definedName name="CUSPassword" hidden="1">"MDL238GBWP678SDA16)E^CBC"</definedName>
    <definedName name="d" localSheetId="3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TA_01" localSheetId="3" hidden="1">#REF!</definedName>
    <definedName name="DATA_01" localSheetId="1" hidden="1">#REF!</definedName>
    <definedName name="DATA_01" hidden="1">#REF!</definedName>
    <definedName name="DATA_02" localSheetId="3" hidden="1">#REF!</definedName>
    <definedName name="DATA_02" localSheetId="1" hidden="1">#REF!</definedName>
    <definedName name="DATA_02" hidden="1">#REF!</definedName>
    <definedName name="DATA_03" localSheetId="3" hidden="1">#REF!</definedName>
    <definedName name="DATA_03" localSheetId="1" hidden="1">#REF!</definedName>
    <definedName name="DATA_03" hidden="1">#REF!</definedName>
    <definedName name="DATA_04" localSheetId="3" hidden="1">#REF!</definedName>
    <definedName name="DATA_04" localSheetId="1" hidden="1">#REF!</definedName>
    <definedName name="DATA_04" hidden="1">#REF!</definedName>
    <definedName name="DATA_05" localSheetId="3" hidden="1">#REF!</definedName>
    <definedName name="DATA_05" localSheetId="1" hidden="1">#REF!</definedName>
    <definedName name="DATA_05" hidden="1">#REF!</definedName>
    <definedName name="DATA_06" localSheetId="3" hidden="1">#REF!</definedName>
    <definedName name="DATA_06" localSheetId="1" hidden="1">#REF!</definedName>
    <definedName name="DATA_06" hidden="1">#REF!</definedName>
    <definedName name="DATA_07" localSheetId="3" hidden="1">#REF!</definedName>
    <definedName name="DATA_07" localSheetId="1" hidden="1">#REF!</definedName>
    <definedName name="DATA_07" hidden="1">#REF!</definedName>
    <definedName name="DATA_08" localSheetId="3" hidden="1">#REF!</definedName>
    <definedName name="DATA_08" localSheetId="1" hidden="1">#REF!</definedName>
    <definedName name="DATA_08" hidden="1">#REF!</definedName>
    <definedName name="dfg" localSheetId="3" hidden="1">{#N/A,#N/A,FALSE,"Aging Summary";#N/A,#N/A,FALSE,"Ratio Analysis";#N/A,#N/A,FALSE,"Test 120 Day Accts";#N/A,#N/A,FALSE,"Tickmarks"}</definedName>
    <definedName name="dfg" hidden="1">{#N/A,#N/A,FALSE,"Aging Summary";#N/A,#N/A,FALSE,"Ratio Analysis";#N/A,#N/A,FALSE,"Test 120 Day Accts";#N/A,#N/A,FALSE,"Tickmarks"}</definedName>
    <definedName name="dsfd" localSheetId="3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IRR1">вводные!$C$28</definedName>
    <definedName name="ert" localSheetId="3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[5]comps!$A$47</definedName>
    <definedName name="F_TV_Eq">[6]Inputs!$C$196</definedName>
    <definedName name="fad" localSheetId="3" hidden="1">{#N/A,"70% Success",FALSE,"Sales Forecast";#N/A,#N/A,FALSE,"Sheet2"}</definedName>
    <definedName name="fad" hidden="1">{#N/A,"70% Success",FALSE,"Sales Forecast";#N/A,#N/A,FALSE,"Sheet2"}</definedName>
    <definedName name="fff" localSheetId="3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general_exp." localSheetId="3" hidden="1">{#N/A,"100% Success",TRUE,"Sales Forecast";#N/A,#N/A,TRUE,"Sheet2"}</definedName>
    <definedName name="general_exp." hidden="1">{#N/A,"100% Success",TRUE,"Sales Forecast";#N/A,#N/A,TRUE,"Sheet2"}</definedName>
    <definedName name="ggg" localSheetId="3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HTLM" localSheetId="3" hidden="1">{"'РП (2)'!$A$5:$S$150"}</definedName>
    <definedName name="HTLM" hidden="1">{"'РП (2)'!$A$5:$S$150"}</definedName>
    <definedName name="HTML_CodePage" hidden="1">1251</definedName>
    <definedName name="HTML_Control" localSheetId="3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Title" hidden="1">"DIAG_RSK"</definedName>
    <definedName name="jad" localSheetId="3" hidden="1">{#N/A,"30% Success",TRUE,"Sales Forecast";#N/A,#N/A,TRUE,"Sheet2"}</definedName>
    <definedName name="jad" hidden="1">{#N/A,"30% Success",TRUE,"Sales Forecast";#N/A,#N/A,TRUE,"Sheet2"}</definedName>
    <definedName name="jkhbjih" localSheetId="3" hidden="1">{#N/A,#N/A,FALSE,"Aging Summary";#N/A,#N/A,FALSE,"Ratio Analysis";#N/A,#N/A,FALSE,"Test 120 Day Accts";#N/A,#N/A,FALSE,"Tickmarks"}</definedName>
    <definedName name="jkhbjih" hidden="1">{#N/A,#N/A,FALSE,"Aging Summary";#N/A,#N/A,FALSE,"Ratio Analysis";#N/A,#N/A,FALSE,"Test 120 Day Accts";#N/A,#N/A,FALSE,"Tickmarks"}</definedName>
    <definedName name="joaquim" localSheetId="3" hidden="1">{#N/A,"100% Success",TRUE,"Sales Forecast";#N/A,#N/A,TRUE,"Sheet2"}</definedName>
    <definedName name="joaquim" hidden="1">{#N/A,"100% Success",TRUE,"Sales Forecast";#N/A,#N/A,TRUE,"Sheet2"}</definedName>
    <definedName name="kBNT" localSheetId="3" hidden="1">{"'РП (2)'!$A$5:$S$150"}</definedName>
    <definedName name="kBNT" hidden="1">{"'РП (2)'!$A$5:$S$150"}</definedName>
    <definedName name="ktzuk" localSheetId="3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lkj" localSheetId="3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market" localSheetId="3" hidden="1">{#N/A,"70% Success",FALSE,"Sales Forecast";#N/A,#N/A,FALSE,"Sheet2"}</definedName>
    <definedName name="market" hidden="1">{#N/A,"70% Success",FALSE,"Sales Forecast";#N/A,#N/A,FALSE,"Sheet2"}</definedName>
    <definedName name="name" localSheetId="3" hidden="1">{#N/A,#N/A,FALSE,"Aging Summary";#N/A,#N/A,FALSE,"Ratio Analysis";#N/A,#N/A,FALSE,"Test 120 Day Accts";#N/A,#N/A,FALSE,"Tickmarks"}</definedName>
    <definedName name="name" hidden="1">{#N/A,#N/A,FALSE,"Aging Summary";#N/A,#N/A,FALSE,"Ratio Analysis";#N/A,#N/A,FALSE,"Test 120 Day Accts";#N/A,#N/A,FALSE,"Tickmarks"}</definedName>
    <definedName name="pedro" localSheetId="3" hidden="1">{#N/A,"30% Success",TRUE,"Sales Forecast";#N/A,#N/A,TRUE,"Sheet2"}</definedName>
    <definedName name="pedro" hidden="1">{#N/A,"30% Success",TRUE,"Sales Forecast";#N/A,#N/A,TRUE,"Sheet2"}</definedName>
    <definedName name="PIRR1">расчеты!$C$62</definedName>
    <definedName name="PNPV1">расчеты!$C$60</definedName>
    <definedName name="rt" localSheetId="3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rty" localSheetId="3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olver_lin" hidden="1">0</definedName>
    <definedName name="summary2" localSheetId="3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tanya" localSheetId="3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3" hidden="1">#REF!</definedName>
    <definedName name="Template" localSheetId="1" hidden="1">#REF!</definedName>
    <definedName name="Template" hidden="1">#REF!</definedName>
    <definedName name="Term_g">Индексы!$L$3</definedName>
    <definedName name="tertw" localSheetId="3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rurtgf" localSheetId="3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VAT_Rate">18%</definedName>
    <definedName name="WACC">вводные!$C$27</definedName>
    <definedName name="wer" localSheetId="3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rn" localSheetId="3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0._.Per._.Cent._.Success." localSheetId="3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3" hidden="1">{#N/A,"100% Success",TRUE,"Sales Forecast";#N/A,#N/A,TRUE,"Sheet2"}</definedName>
    <definedName name="wrn.100._.Per._.Cent._.Success." hidden="1">{#N/A,"100% Success",TRUE,"Sales Forecast";#N/A,#N/A,TRUE,"Sheet2"}</definedName>
    <definedName name="wrn.30._.Per._.Cent." localSheetId="3" hidden="1">{#N/A,"30% Success",TRUE,"Sales Forecast";#N/A,#N/A,TRUE,"Sheet2"}</definedName>
    <definedName name="wrn.30._.Per._.Cent." hidden="1">{#N/A,"30% Success",TRUE,"Sales Forecast";#N/A,#N/A,TRUE,"Sheet2"}</definedName>
    <definedName name="wrn.70._.Per._.Cent._.Success." localSheetId="3" hidden="1">{#N/A,"70% Success",FALSE,"Sales Forecast";#N/A,#N/A,FALSE,"Sheet2"}</definedName>
    <definedName name="wrn.70._.Per._.Cent._.Success." hidden="1">{#N/A,"70% Success",FALSE,"Sales Forecast";#N/A,#N/A,FALSE,"Sheet2"}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3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3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3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_.without._.data." localSheetId="3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localSheetId="3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3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s" localSheetId="3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3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localSheetId="3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Z" localSheetId="3" hidden="1">#REF!</definedName>
    <definedName name="Z" localSheetId="1" hidden="1">#REF!</definedName>
    <definedName name="Z" hidden="1">#REF!</definedName>
    <definedName name="Z_37A59B27_C76D_4E84_8164_B3D5C7AFADBB_.wvu.Cols" localSheetId="3" hidden="1">#REF!</definedName>
    <definedName name="Z_37A59B27_C76D_4E84_8164_B3D5C7AFADBB_.wvu.Cols" localSheetId="1" hidden="1">#REF!</definedName>
    <definedName name="Z_37A59B27_C76D_4E84_8164_B3D5C7AFADBB_.wvu.Cols" hidden="1">#REF!</definedName>
    <definedName name="Z_A6168485_6886_4592_BB13_07B9E683E6FB_.wvu.Cols" localSheetId="3" hidden="1">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3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3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3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3" hidden="1">#REF!,#REF!,#REF!,#REF!,#REF!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D0FC81D9_872A_11D6_B808_0010DC239F6A_.wvu.Cols" localSheetId="3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3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3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3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3" hidden="1">#REF!,#REF!,#REF!,#REF!,#REF!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FA0D2A17_1C02_11D8_848D_00021BF19BDB_.wvu.FilterData" localSheetId="3" hidden="1">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sd" localSheetId="3" hidden="1">{#N/A,#N/A,FALSE,"Aging Summary";#N/A,#N/A,FALSE,"Ratio Analysis";#N/A,#N/A,FALSE,"Test 120 Day Accts";#N/A,#N/A,FALSE,"Tickmarks"}</definedName>
    <definedName name="zsd" hidden="1">{#N/A,#N/A,FALSE,"Aging Summary";#N/A,#N/A,FALSE,"Ratio Analysis";#N/A,#N/A,FALSE,"Test 120 Day Accts";#N/A,#N/A,FALSE,"Tickmarks"}</definedName>
    <definedName name="А" localSheetId="3" hidden="1">{#N/A,#N/A,FALSE,"Aging Summary";#N/A,#N/A,FALSE,"Ratio Analysis";#N/A,#N/A,FALSE,"Test 120 Day Accts";#N/A,#N/A,FALSE,"Tickmarks"}</definedName>
    <definedName name="А" hidden="1">{#N/A,#N/A,FALSE,"Aging Summary";#N/A,#N/A,FALSE,"Ratio Analysis";#N/A,#N/A,FALSE,"Test 120 Day Accts";#N/A,#N/A,FALSE,"Tickmarks"}</definedName>
    <definedName name="ааааа" localSheetId="3" hidden="1">{"'РП (2)'!$A$5:$S$150"}</definedName>
    <definedName name="ааааа" hidden="1">{"'РП (2)'!$A$5:$S$150"}</definedName>
    <definedName name="абс" localSheetId="3" hidden="1">{#N/A,#N/A,FALSE,"Aging Summary";#N/A,#N/A,FALSE,"Ratio Analysis";#N/A,#N/A,FALSE,"Test 120 Day Accts";#N/A,#N/A,FALSE,"Tickmarks"}</definedName>
    <definedName name="абс" hidden="1">{#N/A,#N/A,FALSE,"Aging Summary";#N/A,#N/A,FALSE,"Ratio Analysis";#N/A,#N/A,FALSE,"Test 120 Day Accts";#N/A,#N/A,FALSE,"Tickmarks"}</definedName>
    <definedName name="антонио" localSheetId="3" hidden="1">{#N/A,"70% Success",FALSE,"Sales Forecast";#N/A,#N/A,FALSE,"Sheet2"}</definedName>
    <definedName name="антонио" hidden="1">{#N/A,"70% Success",FALSE,"Sales Forecast";#N/A,#N/A,FALSE,"Sheet2"}</definedName>
    <definedName name="Б" localSheetId="3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баааш" localSheetId="3" hidden="1">{#N/A,#N/A,FALSE,"Aging Summary";#N/A,#N/A,FALSE,"Ratio Analysis";#N/A,#N/A,FALSE,"Test 120 Day Accts";#N/A,#N/A,FALSE,"Tickmarks"}</definedName>
    <definedName name="баааш" hidden="1">{#N/A,#N/A,FALSE,"Aging Summary";#N/A,#N/A,FALSE,"Ratio Analysis";#N/A,#N/A,FALSE,"Test 120 Day Accts";#N/A,#N/A,FALSE,"Tickmarks"}</definedName>
    <definedName name="ББ" localSheetId="3" hidden="1">{"assets",#N/A,FALSE,"historicBS";"liab",#N/A,FALSE,"historicBS";"is",#N/A,FALSE,"historicIS";"ratios",#N/A,FALSE,"ratios"}</definedName>
    <definedName name="ББ" hidden="1">{"assets",#N/A,FALSE,"historicBS";"liab",#N/A,FALSE,"historicBS";"is",#N/A,FALSE,"historicIS";"ratios",#N/A,FALSE,"ratios"}</definedName>
    <definedName name="бдр" localSheetId="3" hidden="1">{"'РП (2)'!$A$5:$S$150"}</definedName>
    <definedName name="бдр" hidden="1">{"'РП (2)'!$A$5:$S$150"}</definedName>
    <definedName name="бюджет" localSheetId="3" hidden="1">{"'РП (2)'!$A$5:$S$150"}</definedName>
    <definedName name="бюджет" hidden="1">{"'РП (2)'!$A$5:$S$150"}</definedName>
    <definedName name="в" localSheetId="3" hidden="1">{#N/A,#N/A,FALSE,"Aging Summary";#N/A,#N/A,FALSE,"Ratio Analysis";#N/A,#N/A,FALSE,"Test 120 Day Accts";#N/A,#N/A,FALSE,"Tickmarks"}</definedName>
    <definedName name="в" hidden="1">{#N/A,#N/A,FALSE,"Aging Summary";#N/A,#N/A,FALSE,"Ratio Analysis";#N/A,#N/A,FALSE,"Test 120 Day Accts";#N/A,#N/A,FALSE,"Tickmarks"}</definedName>
    <definedName name="ваф" localSheetId="3" hidden="1">{"'РП (2)'!$A$5:$S$150"}</definedName>
    <definedName name="ваф" hidden="1">{"'РП (2)'!$A$5:$S$150"}</definedName>
    <definedName name="ВВ" localSheetId="3" hidden="1">{"assets",#N/A,FALSE,"historicBS";"liab",#N/A,FALSE,"historicBS";"is",#N/A,FALSE,"historicIS";"ratios",#N/A,FALSE,"ratios"}</definedName>
    <definedName name="ВВ" hidden="1">{"assets",#N/A,FALSE,"historicBS";"liab",#N/A,FALSE,"historicBS";"is",#N/A,FALSE,"historicIS";"ratios",#N/A,FALSE,"ratios"}</definedName>
    <definedName name="ввввв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ла" localSheetId="3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с" localSheetId="3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Г" localSheetId="3" hidden="1">{"'РП (2)'!$A$5:$S$150"}</definedName>
    <definedName name="Г" hidden="1">{"'РП (2)'!$A$5:$S$150"}</definedName>
    <definedName name="ГГ" localSheetId="3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ГГ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Д" localSheetId="3" hidden="1">{"'РП (2)'!$A$5:$S$150"}</definedName>
    <definedName name="Д" hidden="1">{"'РП (2)'!$A$5:$S$150"}</definedName>
    <definedName name="ДД" localSheetId="3" hidden="1">{"glcbs",#N/A,FALSE,"GLCBS";"glccsbs",#N/A,FALSE,"GLCCSBS";"glcis",#N/A,FALSE,"GLCIS";"glccsis",#N/A,FALSE,"GLCCSIS";"glcrat1",#N/A,FALSE,"GLC-ratios1"}</definedName>
    <definedName name="ДД" hidden="1">{"glcbs",#N/A,FALSE,"GLCBS";"glccsbs",#N/A,FALSE,"GLCCSBS";"glcis",#N/A,FALSE,"GLCIS";"glccsis",#N/A,FALSE,"GLCCSIS";"glcrat1",#N/A,FALSE,"GLC-ratios1"}</definedName>
    <definedName name="Е" localSheetId="3" hidden="1">{#N/A,"30% Success",TRUE,"Sales Forecast";#N/A,#N/A,TRUE,"Sheet2"}</definedName>
    <definedName name="Е" hidden="1">{#N/A,"30% Success",TRUE,"Sales Forecast";#N/A,#N/A,TRUE,"Sheet2"}</definedName>
    <definedName name="Ё" localSheetId="3" hidden="1">{#N/A,#N/A,FALSE,"Aging Summary";#N/A,#N/A,FALSE,"Ratio Analysis";#N/A,#N/A,FALSE,"Test 120 Day Accts";#N/A,#N/A,FALSE,"Tickmarks"}</definedName>
    <definedName name="Ё" hidden="1">{#N/A,#N/A,FALSE,"Aging Summary";#N/A,#N/A,FALSE,"Ratio Analysis";#N/A,#N/A,FALSE,"Test 120 Day Accts";#N/A,#N/A,FALSE,"Tickmarks"}</definedName>
    <definedName name="ЕЕ" localSheetId="3" hidden="1">{"glc1",#N/A,FALSE,"GLC";"glc2",#N/A,FALSE,"GLC";"glc3",#N/A,FALSE,"GLC";"glc4",#N/A,FALSE,"GLC";"glc5",#N/A,FALSE,"GLC"}</definedName>
    <definedName name="ЕЕ" hidden="1">{"glc1",#N/A,FALSE,"GLC";"glc2",#N/A,FALSE,"GLC";"glc3",#N/A,FALSE,"GLC";"glc4",#N/A,FALSE,"GLC";"glc5",#N/A,FALSE,"GLC"}</definedName>
    <definedName name="ЁЁ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ЁЁ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Ж" localSheetId="3" hidden="1">{#N/A,"100% Success",TRUE,"Sales Forecast";#N/A,#N/A,TRUE,"Sheet2"}</definedName>
    <definedName name="Ж" hidden="1">{#N/A,"100% Success",TRUE,"Sales Forecast";#N/A,#N/A,TRUE,"Sheet2"}</definedName>
    <definedName name="ЖЖ" localSheetId="3" hidden="1">{#N/A,#N/A,FALSE,"Aging Summary";#N/A,#N/A,FALSE,"Ratio Analysis";#N/A,#N/A,FALSE,"Test 120 Day Accts";#N/A,#N/A,FALSE,"Tickmarks"}</definedName>
    <definedName name="ЖЖ" hidden="1">{#N/A,#N/A,FALSE,"Aging Summary";#N/A,#N/A,FALSE,"Ratio Analysis";#N/A,#N/A,FALSE,"Test 120 Day Accts";#N/A,#N/A,FALSE,"Tickmarks"}</definedName>
    <definedName name="З" localSheetId="3" hidden="1">{"'РП (2)'!$A$5:$S$150"}</definedName>
    <definedName name="З" hidden="1">{"'РП (2)'!$A$5:$S$150"}</definedName>
    <definedName name="ЗЗ" localSheetId="3" hidden="1">{#N/A,#N/A,FALSE,"Aging Summary";#N/A,#N/A,FALSE,"Ratio Analysis";#N/A,#N/A,FALSE,"Test 120 Day Accts";#N/A,#N/A,FALSE,"Tickmarks"}</definedName>
    <definedName name="ЗЗ" hidden="1">{#N/A,#N/A,FALSE,"Aging Summary";#N/A,#N/A,FALSE,"Ratio Analysis";#N/A,#N/A,FALSE,"Test 120 Day Accts";#N/A,#N/A,FALSE,"Tickmarks"}</definedName>
    <definedName name="И" localSheetId="3" hidden="1">{#N/A,#N/A,FALSE,"Aging Summary";#N/A,#N/A,FALSE,"Ratio Analysis";#N/A,#N/A,FALSE,"Test 120 Day Accts";#N/A,#N/A,FALSE,"Tickmarks"}</definedName>
    <definedName name="И" hidden="1">{#N/A,#N/A,FALSE,"Aging Summary";#N/A,#N/A,FALSE,"Ratio Analysis";#N/A,#N/A,FALSE,"Test 120 Day Accts";#N/A,#N/A,FALSE,"Tickmarks"}</definedName>
    <definedName name="й" localSheetId="3" hidden="1">{"'РП (2)'!$A$5:$S$150"}</definedName>
    <definedName name="й" hidden="1">{"'РП (2)'!$A$5:$S$150"}</definedName>
    <definedName name="ИИ" localSheetId="3" hidden="1">{#N/A,#N/A,FALSE,"Aging Summary";#N/A,#N/A,FALSE,"Ratio Analysis";#N/A,#N/A,FALSE,"Test 120 Day Accts";#N/A,#N/A,FALSE,"Tickmarks"}</definedName>
    <definedName name="ИИ" hidden="1">{#N/A,#N/A,FALSE,"Aging Summary";#N/A,#N/A,FALSE,"Ratio Analysis";#N/A,#N/A,FALSE,"Test 120 Day Accts";#N/A,#N/A,FALSE,"Tickmarks"}</definedName>
    <definedName name="ЙЙ" localSheetId="3" hidden="1">{#N/A,#N/A,FALSE,"Aging Summary";#N/A,#N/A,FALSE,"Ratio Analysis";#N/A,#N/A,FALSE,"Test 120 Day Accts";#N/A,#N/A,FALSE,"Tickmarks"}</definedName>
    <definedName name="ЙЙ" hidden="1">{#N/A,#N/A,FALSE,"Aging Summary";#N/A,#N/A,FALSE,"Ratio Analysis";#N/A,#N/A,FALSE,"Test 120 Day Accts";#N/A,#N/A,FALSE,"Tickmarks"}</definedName>
    <definedName name="К" localSheetId="3" hidden="1">{#N/A,#N/A,FALSE,"Aging Summary";#N/A,#N/A,FALSE,"Ratio Analysis";#N/A,#N/A,FALSE,"Test 120 Day Accts";#N/A,#N/A,FALSE,"Tickmarks"}</definedName>
    <definedName name="К" hidden="1">{#N/A,#N/A,FALSE,"Aging Summary";#N/A,#N/A,FALSE,"Ratio Analysis";#N/A,#N/A,FALSE,"Test 120 Day Accts";#N/A,#N/A,FALSE,"Tickmarks"}</definedName>
    <definedName name="КК" localSheetId="3" hidden="1">{"'РП (2)'!$A$5:$S$150"}</definedName>
    <definedName name="КК" hidden="1">{"'РП (2)'!$A$5:$S$150"}</definedName>
    <definedName name="конф" localSheetId="3" hidden="1">{"'РП (2)'!$A$5:$S$150"}</definedName>
    <definedName name="конф" hidden="1">{"'РП (2)'!$A$5:$S$150"}</definedName>
    <definedName name="КРАСНОЯРСК" localSheetId="3" hidden="1">{"'РП (2)'!$A$5:$S$150"}</definedName>
    <definedName name="КРАСНОЯРСК" hidden="1">{"'РП (2)'!$A$5:$S$150"}</definedName>
    <definedName name="Л" localSheetId="3" hidden="1">{#N/A,"70% Success",FALSE,"Sales Forecast";#N/A,#N/A,FALSE,"Sheet2"}</definedName>
    <definedName name="Л" hidden="1">{#N/A,"70% Success",FALSE,"Sales Forecast";#N/A,#N/A,FALSE,"Sheet2"}</definedName>
    <definedName name="ЛЛ" localSheetId="3" hidden="1">{"'РП (2)'!$A$5:$S$150"}</definedName>
    <definedName name="ЛЛ" hidden="1">{"'РП (2)'!$A$5:$S$150"}</definedName>
    <definedName name="лрорполр" localSheetId="3" hidden="1">{#N/A,#N/A,FALSE,"Aging Summary";#N/A,#N/A,FALSE,"Ratio Analysis";#N/A,#N/A,FALSE,"Test 120 Day Accts";#N/A,#N/A,FALSE,"Tickmarks"}</definedName>
    <definedName name="лрорполр" hidden="1">{#N/A,#N/A,FALSE,"Aging Summary";#N/A,#N/A,FALSE,"Ratio Analysis";#N/A,#N/A,FALSE,"Test 120 Day Accts";#N/A,#N/A,FALSE,"Tickmarks"}</definedName>
    <definedName name="М" localSheetId="3" hidden="1">{#N/A,#N/A,FALSE,"Aging Summary";#N/A,#N/A,FALSE,"Ratio Analysis";#N/A,#N/A,FALSE,"Test 120 Day Accts";#N/A,#N/A,FALSE,"Tickmarks"}</definedName>
    <definedName name="М" hidden="1">{#N/A,#N/A,FALSE,"Aging Summary";#N/A,#N/A,FALSE,"Ratio Analysis";#N/A,#N/A,FALSE,"Test 120 Day Accts";#N/A,#N/A,FALSE,"Tickmarks"}</definedName>
    <definedName name="миотим" localSheetId="3" hidden="1">{#N/A,#N/A,FALSE,"Aging Summary";#N/A,#N/A,FALSE,"Ratio Analysis";#N/A,#N/A,FALSE,"Test 120 Day Accts";#N/A,#N/A,FALSE,"Tickmarks"}</definedName>
    <definedName name="миотим" hidden="1">{#N/A,#N/A,FALSE,"Aging Summary";#N/A,#N/A,FALSE,"Ratio Analysis";#N/A,#N/A,FALSE,"Test 120 Day Accts";#N/A,#N/A,FALSE,"Tickmarks"}</definedName>
    <definedName name="ММ" localSheetId="3" hidden="1">{"'РП (2)'!$A$5:$S$150"}</definedName>
    <definedName name="ММ" hidden="1">{"'РП (2)'!$A$5:$S$150"}</definedName>
    <definedName name="Н" localSheetId="3" hidden="1">{#N/A,"30% Success",TRUE,"Sales Forecast";#N/A,#N/A,TRUE,"Sheet2"}</definedName>
    <definedName name="Н" hidden="1">{#N/A,"30% Success",TRUE,"Sales Forecast";#N/A,#N/A,TRUE,"Sheet2"}</definedName>
    <definedName name="НН" localSheetId="3" hidden="1">{#N/A,#N/A,FALSE,"Aging Summary";#N/A,#N/A,FALSE,"Ratio Analysis";#N/A,#N/A,FALSE,"Test 120 Day Accts";#N/A,#N/A,FALSE,"Tickmarks"}</definedName>
    <definedName name="НН" hidden="1">{#N/A,#N/A,FALSE,"Aging Summary";#N/A,#N/A,FALSE,"Ratio Analysis";#N/A,#N/A,FALSE,"Test 120 Day Accts";#N/A,#N/A,FALSE,"Tickmarks"}</definedName>
    <definedName name="О" localSheetId="3" hidden="1">{#N/A,#N/A,FALSE,"Aging Summary";#N/A,#N/A,FALSE,"Ratio Analysis";#N/A,#N/A,FALSE,"Test 120 Day Accts";#N/A,#N/A,FALSE,"Tickmarks"}</definedName>
    <definedName name="О" hidden="1">{#N/A,#N/A,FALSE,"Aging Summary";#N/A,#N/A,FALSE,"Ratio Analysis";#N/A,#N/A,FALSE,"Test 120 Day Accts";#N/A,#N/A,FALSE,"Tickmarks"}</definedName>
    <definedName name="олдол" localSheetId="3" hidden="1">{#N/A,#N/A,FALSE,"Aging Summary";#N/A,#N/A,FALSE,"Ratio Analysis";#N/A,#N/A,FALSE,"Test 120 Day Accts";#N/A,#N/A,FALSE,"Tickmarks"}</definedName>
    <definedName name="олдол" hidden="1">{#N/A,#N/A,FALSE,"Aging Summary";#N/A,#N/A,FALSE,"Ratio Analysis";#N/A,#N/A,FALSE,"Test 120 Day Accts";#N/A,#N/A,FALSE,"Tickmarks"}</definedName>
    <definedName name="ОО" localSheetId="3" hidden="1">{"'РП (2)'!$A$5:$S$150"}</definedName>
    <definedName name="ОО" hidden="1">{"'РП (2)'!$A$5:$S$150"}</definedName>
    <definedName name="П" localSheetId="3" hidden="1">{#N/A,#N/A,FALSE,"Aging Summary";#N/A,#N/A,FALSE,"Ratio Analysis";#N/A,#N/A,FALSE,"Test 120 Day Accts";#N/A,#N/A,FALSE,"Tickmarks"}</definedName>
    <definedName name="П" hidden="1">{#N/A,#N/A,FALSE,"Aging Summary";#N/A,#N/A,FALSE,"Ratio Analysis";#N/A,#N/A,FALSE,"Test 120 Day Accts";#N/A,#N/A,FALSE,"Tickmarks"}</definedName>
    <definedName name="ПП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ПП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Р" localSheetId="3" hidden="1">{#N/A,#N/A,FALSE,"Aging Summary";#N/A,#N/A,FALSE,"Ratio Analysis";#N/A,#N/A,FALSE,"Test 120 Day Accts";#N/A,#N/A,FALSE,"Tickmarks"}</definedName>
    <definedName name="Р" hidden="1">{#N/A,#N/A,FALSE,"Aging Summary";#N/A,#N/A,FALSE,"Ratio Analysis";#N/A,#N/A,FALSE,"Test 120 Day Accts";#N/A,#N/A,FALSE,"Tickmarks"}</definedName>
    <definedName name="РР" localSheetId="3" hidden="1">{#N/A,#N/A,FALSE,"Aging Summary";#N/A,#N/A,FALSE,"Ratio Analysis";#N/A,#N/A,FALSE,"Test 120 Day Accts";#N/A,#N/A,FALSE,"Tickmarks"}</definedName>
    <definedName name="РР" hidden="1">{#N/A,#N/A,FALSE,"Aging Summary";#N/A,#N/A,FALSE,"Ratio Analysis";#N/A,#N/A,FALSE,"Test 120 Day Accts";#N/A,#N/A,FALSE,"Tickmarks"}</definedName>
    <definedName name="с" localSheetId="3" hidden="1">{"'РП (2)'!$A$5:$S$150"}</definedName>
    <definedName name="с" hidden="1">{"'РП (2)'!$A$5:$S$150"}</definedName>
    <definedName name="СС" localSheetId="3" hidden="1">{#N/A,#N/A,FALSE,"Aging Summary";#N/A,#N/A,FALSE,"Ratio Analysis";#N/A,#N/A,FALSE,"Test 120 Day Accts";#N/A,#N/A,FALSE,"Tickmarks"}</definedName>
    <definedName name="СС" hidden="1">{#N/A,#N/A,FALSE,"Aging Summary";#N/A,#N/A,FALSE,"Ratio Analysis";#N/A,#N/A,FALSE,"Test 120 Day Accts";#N/A,#N/A,FALSE,"Tickmarks"}</definedName>
    <definedName name="Т" localSheetId="3" hidden="1">{#N/A,#N/A,FALSE,"Aging Summary";#N/A,#N/A,FALSE,"Ratio Analysis";#N/A,#N/A,FALSE,"Test 120 Day Accts";#N/A,#N/A,FALSE,"Tickmarks"}</definedName>
    <definedName name="Т" hidden="1">{#N/A,#N/A,FALSE,"Aging Summary";#N/A,#N/A,FALSE,"Ratio Analysis";#N/A,#N/A,FALSE,"Test 120 Day Accts";#N/A,#N/A,FALSE,"Tickmarks"}</definedName>
    <definedName name="ТТ" localSheetId="3" hidden="1">{"'РП (2)'!$A$5:$S$150"}</definedName>
    <definedName name="ТТ" hidden="1">{"'РП (2)'!$A$5:$S$150"}</definedName>
    <definedName name="ттт" localSheetId="3" hidden="1">{"glc1",#N/A,FALSE,"GLC";"glc2",#N/A,FALSE,"GLC";"glc3",#N/A,FALSE,"GLC";"glc4",#N/A,FALSE,"GLC";"glc5",#N/A,FALSE,"GLC"}</definedName>
    <definedName name="ттт" hidden="1">{"glc1",#N/A,FALSE,"GLC";"glc2",#N/A,FALSE,"GLC";"glc3",#N/A,FALSE,"GLC";"glc4",#N/A,FALSE,"GLC";"glc5",#N/A,FALSE,"GLC"}</definedName>
    <definedName name="У" localSheetId="3" hidden="1">{#N/A,#N/A,FALSE,"Aging Summary";#N/A,#N/A,FALSE,"Ratio Analysis";#N/A,#N/A,FALSE,"Test 120 Day Accts";#N/A,#N/A,FALSE,"Tickmarks"}</definedName>
    <definedName name="У" hidden="1">{#N/A,#N/A,FALSE,"Aging Summary";#N/A,#N/A,FALSE,"Ratio Analysis";#N/A,#N/A,FALSE,"Test 120 Day Accts";#N/A,#N/A,FALSE,"Tickmarks"}</definedName>
    <definedName name="УУ" localSheetId="3" hidden="1">{"'РП (2)'!$A$5:$S$150"}</definedName>
    <definedName name="УУ" hidden="1">{"'РП (2)'!$A$5:$S$150"}</definedName>
    <definedName name="ф" localSheetId="3" hidden="1">{#N/A,#N/A,FALSE,"Aging Summary";#N/A,#N/A,FALSE,"Ratio Analysis";#N/A,#N/A,FALSE,"Test 120 Day Accts";#N/A,#N/A,FALSE,"Tickmarks"}</definedName>
    <definedName name="ф" hidden="1">{#N/A,#N/A,FALSE,"Aging Summary";#N/A,#N/A,FALSE,"Ratio Analysis";#N/A,#N/A,FALSE,"Test 120 Day Accts";#N/A,#N/A,FALSE,"Tickmarks"}</definedName>
    <definedName name="ФФ" localSheetId="3" hidden="1">{"'РП (2)'!$A$5:$S$150"}</definedName>
    <definedName name="ФФ" hidden="1">{"'РП (2)'!$A$5:$S$150"}</definedName>
    <definedName name="фц" localSheetId="3" hidden="1">{"'РП (2)'!$A$5:$S$150"}</definedName>
    <definedName name="фц" hidden="1">{"'РП (2)'!$A$5:$S$150"}</definedName>
    <definedName name="Х" localSheetId="3" hidden="1">{#N/A,#N/A,FALSE,"Aging Summary";#N/A,#N/A,FALSE,"Ratio Analysis";#N/A,#N/A,FALSE,"Test 120 Day Accts";#N/A,#N/A,FALSE,"Tickmarks"}</definedName>
    <definedName name="Х" hidden="1">{#N/A,#N/A,FALSE,"Aging Summary";#N/A,#N/A,FALSE,"Ratio Analysis";#N/A,#N/A,FALSE,"Test 120 Day Accts";#N/A,#N/A,FALSE,"Tickmarks"}</definedName>
    <definedName name="ХХ" localSheetId="3" hidden="1">{#N/A,#N/A,FALSE,"Aging Summary";#N/A,#N/A,FALSE,"Ratio Analysis";#N/A,#N/A,FALSE,"Test 120 Day Accts";#N/A,#N/A,FALSE,"Tickmarks"}</definedName>
    <definedName name="ХХ" hidden="1">{#N/A,#N/A,FALSE,"Aging Summary";#N/A,#N/A,FALSE,"Ratio Analysis";#N/A,#N/A,FALSE,"Test 120 Day Accts";#N/A,#N/A,FALSE,"Tickmarks"}</definedName>
    <definedName name="Ц" localSheetId="3" hidden="1">{#N/A,#N/A,FALSE,"Aging Summary";#N/A,#N/A,FALSE,"Ratio Analysis";#N/A,#N/A,FALSE,"Test 120 Day Accts";#N/A,#N/A,FALSE,"Tickmarks"}</definedName>
    <definedName name="Ц" hidden="1">{#N/A,#N/A,FALSE,"Aging Summary";#N/A,#N/A,FALSE,"Ratio Analysis";#N/A,#N/A,FALSE,"Test 120 Day Accts";#N/A,#N/A,FALSE,"Tickmarks"}</definedName>
    <definedName name="ЦЦ" localSheetId="3" hidden="1">{#N/A,#N/A,FALSE,"Aging Summary";#N/A,#N/A,FALSE,"Ratio Analysis";#N/A,#N/A,FALSE,"Test 120 Day Accts";#N/A,#N/A,FALSE,"Tickmarks"}</definedName>
    <definedName name="ЦЦ" hidden="1">{#N/A,#N/A,FALSE,"Aging Summary";#N/A,#N/A,FALSE,"Ratio Analysis";#N/A,#N/A,FALSE,"Test 120 Day Accts";#N/A,#N/A,FALSE,"Tickmarks"}</definedName>
    <definedName name="Ч" localSheetId="3" hidden="1">{#N/A,#N/A,FALSE,"Aging Summary";#N/A,#N/A,FALSE,"Ratio Analysis";#N/A,#N/A,FALSE,"Test 120 Day Accts";#N/A,#N/A,FALSE,"Tickmarks"}</definedName>
    <definedName name="Ч" hidden="1">{#N/A,#N/A,FALSE,"Aging Summary";#N/A,#N/A,FALSE,"Ratio Analysis";#N/A,#N/A,FALSE,"Test 120 Day Accts";#N/A,#N/A,FALSE,"Tickmarks"}</definedName>
    <definedName name="ЧЧ" localSheetId="3" hidden="1">{#N/A,#N/A,FALSE,"Aging Summary";#N/A,#N/A,FALSE,"Ratio Analysis";#N/A,#N/A,FALSE,"Test 120 Day Accts";#N/A,#N/A,FALSE,"Tickmarks"}</definedName>
    <definedName name="ЧЧ" hidden="1">{#N/A,#N/A,FALSE,"Aging Summary";#N/A,#N/A,FALSE,"Ratio Analysis";#N/A,#N/A,FALSE,"Test 120 Day Accts";#N/A,#N/A,FALSE,"Tickmarks"}</definedName>
    <definedName name="Ш" localSheetId="3" hidden="1">{"glc1",#N/A,FALSE,"GLC";"glc2",#N/A,FALSE,"GLC";"glc3",#N/A,FALSE,"GLC";"glc4",#N/A,FALSE,"GLC";"glc5",#N/A,FALSE,"GLC"}</definedName>
    <definedName name="Ш" hidden="1">{"glc1",#N/A,FALSE,"GLC";"glc2",#N/A,FALSE,"GLC";"glc3",#N/A,FALSE,"GLC";"glc4",#N/A,FALSE,"GLC";"glc5",#N/A,FALSE,"GLC"}</definedName>
    <definedName name="ШШ" localSheetId="3" hidden="1">{"'РП (2)'!$A$5:$S$150"}</definedName>
    <definedName name="ШШ" hidden="1">{"'РП (2)'!$A$5:$S$150"}</definedName>
    <definedName name="щ" localSheetId="3" hidden="1">{#N/A,#N/A,FALSE,"Aging Summary";#N/A,#N/A,FALSE,"Ratio Analysis";#N/A,#N/A,FALSE,"Test 120 Day Accts";#N/A,#N/A,FALSE,"Tickmarks"}</definedName>
    <definedName name="щ" hidden="1">{#N/A,#N/A,FALSE,"Aging Summary";#N/A,#N/A,FALSE,"Ratio Analysis";#N/A,#N/A,FALSE,"Test 120 Day Accts";#N/A,#N/A,FALSE,"Tickmarks"}</definedName>
    <definedName name="ЩЩ" localSheetId="3" hidden="1">{#N/A,#N/A,FALSE,"Aging Summary";#N/A,#N/A,FALSE,"Ratio Analysis";#N/A,#N/A,FALSE,"Test 120 Day Accts";#N/A,#N/A,FALSE,"Tickmarks"}</definedName>
    <definedName name="ЩЩ" hidden="1">{#N/A,#N/A,FALSE,"Aging Summary";#N/A,#N/A,FALSE,"Ratio Analysis";#N/A,#N/A,FALSE,"Test 120 Day Accts";#N/A,#N/A,FALSE,"Tickmarks"}</definedName>
    <definedName name="Ъ" localSheetId="3" hidden="1">{#N/A,"10% Success",FALSE,"Sales Forecast";#N/A,#N/A,FALSE,"Sheet2"}</definedName>
    <definedName name="Ъ" hidden="1">{#N/A,"10% Success",FALSE,"Sales Forecast";#N/A,#N/A,FALSE,"Sheet2"}</definedName>
    <definedName name="Ы" localSheetId="3" hidden="1">{#N/A,"100% Success",TRUE,"Sales Forecast";#N/A,#N/A,TRUE,"Sheet2"}</definedName>
    <definedName name="Ы" hidden="1">{#N/A,"100% Success",TRUE,"Sales Forecast";#N/A,#N/A,TRUE,"Sheet2"}</definedName>
    <definedName name="Ыгь" localSheetId="3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ыы" localSheetId="3" hidden="1">{"'РП (2)'!$A$5:$S$150"}</definedName>
    <definedName name="ыыы" hidden="1">{"'РП (2)'!$A$5:$S$150"}</definedName>
    <definedName name="Ь" localSheetId="3" hidden="1">{#N/A,"30% Success",TRUE,"Sales Forecast";#N/A,#N/A,TRUE,"Sheet2"}</definedName>
    <definedName name="Ь" hidden="1">{#N/A,"30% Success",TRUE,"Sales Forecast";#N/A,#N/A,TRUE,"Sheet2"}</definedName>
    <definedName name="ььь" localSheetId="3" hidden="1">{"glc1",#N/A,FALSE,"GLC";"glc2",#N/A,FALSE,"GLC";"glc3",#N/A,FALSE,"GLC";"glc4",#N/A,FALSE,"GLC";"glc5",#N/A,FALSE,"GLC"}</definedName>
    <definedName name="ььь" hidden="1">{"glc1",#N/A,FALSE,"GLC";"glc2",#N/A,FALSE,"GLC";"glc3",#N/A,FALSE,"GLC";"glc4",#N/A,FALSE,"GLC";"glc5",#N/A,FALSE,"GLC"}</definedName>
    <definedName name="Э" localSheetId="3" hidden="1">{#N/A,"70% Success",FALSE,"Sales Forecast";#N/A,#N/A,FALSE,"Sheet2"}</definedName>
    <definedName name="Э" hidden="1">{#N/A,"70% Success",FALSE,"Sales Forecast";#N/A,#N/A,FALSE,"Sheet2"}</definedName>
    <definedName name="ЭЭ" localSheetId="3" hidden="1">{"'РП (2)'!$A$5:$S$150"}</definedName>
    <definedName name="ЭЭ" hidden="1">{"'РП (2)'!$A$5:$S$150"}</definedName>
    <definedName name="Ю" localSheetId="3" hidden="1">{#N/A,#N/A,FALSE,"Aging Summary";#N/A,#N/A,FALSE,"Ratio Analysis";#N/A,#N/A,FALSE,"Test 120 Day Accts";#N/A,#N/A,FALSE,"Tickmarks"}</definedName>
    <definedName name="Ю" hidden="1">{#N/A,#N/A,FALSE,"Aging Summary";#N/A,#N/A,FALSE,"Ratio Analysis";#N/A,#N/A,FALSE,"Test 120 Day Accts";#N/A,#N/A,FALSE,"Tickmarks"}</definedName>
    <definedName name="ЮЮ" localSheetId="3" hidden="1">{#N/A,#N/A,FALSE,"Aging Summary";#N/A,#N/A,FALSE,"Ratio Analysis";#N/A,#N/A,FALSE,"Test 120 Day Accts";#N/A,#N/A,FALSE,"Tickmarks"}</definedName>
    <definedName name="ЮЮ" hidden="1">{#N/A,#N/A,FALSE,"Aging Summary";#N/A,#N/A,FALSE,"Ratio Analysis";#N/A,#N/A,FALSE,"Test 120 Day Accts";#N/A,#N/A,FALSE,"Tickmarks"}</definedName>
    <definedName name="Я" localSheetId="3" hidden="1">{#N/A,#N/A,FALSE,"Aging Summary";#N/A,#N/A,FALSE,"Ratio Analysis";#N/A,#N/A,FALSE,"Test 120 Day Accts";#N/A,#N/A,FALSE,"Tickmarks"}</definedName>
    <definedName name="Я" hidden="1">{#N/A,#N/A,FALSE,"Aging Summary";#N/A,#N/A,FALSE,"Ratio Analysis";#N/A,#N/A,FALSE,"Test 120 Day Accts";#N/A,#N/A,FALSE,"Tickmarks"}</definedName>
    <definedName name="ЯЯ" localSheetId="3" hidden="1">{#N/A,#N/A,FALSE,"Aging Summary";#N/A,#N/A,FALSE,"Ratio Analysis";#N/A,#N/A,FALSE,"Test 120 Day Accts";#N/A,#N/A,FALSE,"Tickmarks"}</definedName>
    <definedName name="ЯЯ" hidden="1">{#N/A,#N/A,FALSE,"Aging Summary";#N/A,#N/A,FALSE,"Ratio Analysis";#N/A,#N/A,FALSE,"Test 120 Day Accts";#N/A,#N/A,FALSE,"Tickmarks"}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D6" i="4"/>
  <c r="C6" i="4"/>
  <c r="C7" i="4" s="1"/>
  <c r="E5" i="4"/>
  <c r="D5" i="4"/>
  <c r="C5" i="4"/>
  <c r="I4" i="4"/>
  <c r="J4" i="4" s="1"/>
  <c r="K4" i="4" s="1"/>
  <c r="L4" i="4" s="1"/>
  <c r="G4" i="4"/>
  <c r="H4" i="4" s="1"/>
  <c r="E4" i="4"/>
  <c r="F4" i="4" s="1"/>
  <c r="D4" i="4"/>
  <c r="F3" i="4"/>
  <c r="D22" i="3"/>
  <c r="G11" i="3"/>
  <c r="E11" i="3"/>
  <c r="G10" i="3"/>
  <c r="E10" i="3"/>
  <c r="C7" i="3"/>
  <c r="D6" i="3"/>
  <c r="D5" i="3"/>
  <c r="F11" i="3" s="1"/>
  <c r="E4" i="3"/>
  <c r="D4" i="3"/>
  <c r="F10" i="3" s="1"/>
  <c r="D3" i="3"/>
  <c r="E14" i="2"/>
  <c r="D6" i="2"/>
  <c r="E5" i="2"/>
  <c r="D5" i="2"/>
  <c r="G72" i="1"/>
  <c r="H72" i="1" s="1"/>
  <c r="I72" i="1" s="1"/>
  <c r="J72" i="1" s="1"/>
  <c r="K72" i="1" s="1"/>
  <c r="L72" i="1" s="1"/>
  <c r="M72" i="1" s="1"/>
  <c r="N72" i="1" s="1"/>
  <c r="D72" i="1"/>
  <c r="E72" i="1" s="1"/>
  <c r="F72" i="1" s="1"/>
  <c r="K69" i="1"/>
  <c r="J69" i="1"/>
  <c r="G69" i="1"/>
  <c r="N67" i="1"/>
  <c r="N69" i="1" s="1"/>
  <c r="M67" i="1"/>
  <c r="M69" i="1" s="1"/>
  <c r="L67" i="1"/>
  <c r="L69" i="1" s="1"/>
  <c r="K67" i="1"/>
  <c r="J67" i="1"/>
  <c r="I67" i="1"/>
  <c r="I69" i="1" s="1"/>
  <c r="H67" i="1"/>
  <c r="H69" i="1" s="1"/>
  <c r="G67" i="1"/>
  <c r="F67" i="1"/>
  <c r="F69" i="1" s="1"/>
  <c r="E67" i="1"/>
  <c r="E69" i="1" s="1"/>
  <c r="D67" i="1"/>
  <c r="D69" i="1" s="1"/>
  <c r="N60" i="1"/>
  <c r="M60" i="1"/>
  <c r="L60" i="1"/>
  <c r="K60" i="1"/>
  <c r="J60" i="1"/>
  <c r="I60" i="1"/>
  <c r="H60" i="1"/>
  <c r="G60" i="1"/>
  <c r="F60" i="1"/>
  <c r="E60" i="1"/>
  <c r="D60" i="1"/>
  <c r="F58" i="1"/>
  <c r="N57" i="1"/>
  <c r="M57" i="1"/>
  <c r="L57" i="1"/>
  <c r="K57" i="1"/>
  <c r="J57" i="1"/>
  <c r="I57" i="1"/>
  <c r="H57" i="1"/>
  <c r="G57" i="1"/>
  <c r="F57" i="1"/>
  <c r="E57" i="1"/>
  <c r="D57" i="1"/>
  <c r="M56" i="1"/>
  <c r="M58" i="1" s="1"/>
  <c r="L56" i="1"/>
  <c r="L58" i="1" s="1"/>
  <c r="I56" i="1"/>
  <c r="I58" i="1" s="1"/>
  <c r="H56" i="1"/>
  <c r="H58" i="1" s="1"/>
  <c r="E56" i="1"/>
  <c r="E58" i="1" s="1"/>
  <c r="D56" i="1"/>
  <c r="D58" i="1" s="1"/>
  <c r="N55" i="1"/>
  <c r="N56" i="1" s="1"/>
  <c r="N58" i="1" s="1"/>
  <c r="M55" i="1"/>
  <c r="L55" i="1"/>
  <c r="K55" i="1"/>
  <c r="K56" i="1" s="1"/>
  <c r="K58" i="1" s="1"/>
  <c r="J55" i="1"/>
  <c r="J56" i="1" s="1"/>
  <c r="J58" i="1" s="1"/>
  <c r="I55" i="1"/>
  <c r="H55" i="1"/>
  <c r="G55" i="1"/>
  <c r="G56" i="1" s="1"/>
  <c r="G58" i="1" s="1"/>
  <c r="F55" i="1"/>
  <c r="F56" i="1" s="1"/>
  <c r="E55" i="1"/>
  <c r="D55" i="1"/>
  <c r="D33" i="1"/>
  <c r="D37" i="1" s="1"/>
  <c r="D41" i="1" s="1"/>
  <c r="D45" i="1" s="1"/>
  <c r="D25" i="1"/>
  <c r="N18" i="1"/>
  <c r="M18" i="1"/>
  <c r="L18" i="1"/>
  <c r="K18" i="1"/>
  <c r="J18" i="1"/>
  <c r="I18" i="1"/>
  <c r="H18" i="1"/>
  <c r="G18" i="1"/>
  <c r="F18" i="1"/>
  <c r="E18" i="1"/>
  <c r="D18" i="1"/>
  <c r="N14" i="1"/>
  <c r="M14" i="1"/>
  <c r="J14" i="1"/>
  <c r="F14" i="1"/>
  <c r="E14" i="1"/>
  <c r="N13" i="1"/>
  <c r="M13" i="1"/>
  <c r="L13" i="1"/>
  <c r="L14" i="1" s="1"/>
  <c r="K13" i="1"/>
  <c r="K14" i="1" s="1"/>
  <c r="J13" i="1"/>
  <c r="I13" i="1"/>
  <c r="I14" i="1" s="1"/>
  <c r="H13" i="1"/>
  <c r="H14" i="1" s="1"/>
  <c r="G13" i="1"/>
  <c r="G14" i="1" s="1"/>
  <c r="F13" i="1"/>
  <c r="E13" i="1"/>
  <c r="D13" i="1"/>
  <c r="D14" i="1" s="1"/>
  <c r="D11" i="1"/>
  <c r="D16" i="1" s="1"/>
  <c r="D8" i="1"/>
  <c r="D5" i="1"/>
  <c r="D22" i="1" l="1"/>
  <c r="D48" i="1" s="1"/>
  <c r="D49" i="1" s="1"/>
  <c r="D54" i="2"/>
  <c r="F9" i="3"/>
  <c r="D7" i="3"/>
  <c r="G9" i="3"/>
  <c r="E9" i="3"/>
  <c r="F12" i="3"/>
  <c r="G12" i="3"/>
  <c r="E12" i="3"/>
  <c r="L78" i="1"/>
  <c r="H78" i="1"/>
  <c r="D78" i="1"/>
  <c r="K78" i="1"/>
  <c r="G78" i="1"/>
  <c r="N78" i="1"/>
  <c r="F78" i="1"/>
  <c r="M78" i="1"/>
  <c r="E78" i="1"/>
  <c r="J78" i="1"/>
  <c r="I78" i="1"/>
  <c r="D7" i="4"/>
  <c r="D11" i="3"/>
  <c r="D10" i="3"/>
  <c r="F6" i="4"/>
  <c r="G3" i="4"/>
  <c r="F5" i="4"/>
  <c r="D32" i="2"/>
  <c r="D79" i="1" l="1"/>
  <c r="E47" i="1"/>
  <c r="H3" i="4"/>
  <c r="G5" i="4"/>
  <c r="G6" i="4"/>
  <c r="D80" i="1"/>
  <c r="D48" i="2"/>
  <c r="F14" i="2"/>
  <c r="E7" i="4"/>
  <c r="D9" i="3"/>
  <c r="D24" i="1"/>
  <c r="D26" i="1" s="1"/>
  <c r="D27" i="1" s="1"/>
  <c r="D12" i="3"/>
  <c r="F7" i="4" l="1"/>
  <c r="G14" i="2"/>
  <c r="G13" i="2"/>
  <c r="G15" i="2" s="1"/>
  <c r="H5" i="4"/>
  <c r="H6" i="4"/>
  <c r="I3" i="4"/>
  <c r="D61" i="1"/>
  <c r="D62" i="1" s="1"/>
  <c r="D63" i="1" s="1"/>
  <c r="D74" i="1" s="1"/>
  <c r="D82" i="1" s="1"/>
  <c r="D83" i="1" s="1"/>
  <c r="D84" i="1" s="1"/>
  <c r="E25" i="1"/>
  <c r="D13" i="3"/>
  <c r="D14" i="3" s="1"/>
  <c r="G31" i="1" l="1"/>
  <c r="G6" i="1"/>
  <c r="G37" i="2"/>
  <c r="I5" i="4"/>
  <c r="J3" i="4"/>
  <c r="I6" i="4"/>
  <c r="E13" i="2"/>
  <c r="E15" i="2" s="1"/>
  <c r="F13" i="2"/>
  <c r="F15" i="2" s="1"/>
  <c r="H13" i="2"/>
  <c r="G7" i="4"/>
  <c r="H14" i="2"/>
  <c r="E31" i="1" l="1"/>
  <c r="E6" i="1"/>
  <c r="E29" i="2"/>
  <c r="E10" i="2" s="1"/>
  <c r="F29" i="2" s="1"/>
  <c r="F10" i="2" s="1"/>
  <c r="E37" i="2"/>
  <c r="G43" i="2"/>
  <c r="H7" i="4"/>
  <c r="I13" i="2"/>
  <c r="I14" i="2"/>
  <c r="H15" i="2"/>
  <c r="J6" i="4"/>
  <c r="K3" i="4"/>
  <c r="J5" i="4"/>
  <c r="F31" i="1"/>
  <c r="F6" i="1"/>
  <c r="F37" i="2"/>
  <c r="F11" i="2" l="1"/>
  <c r="H6" i="1"/>
  <c r="H31" i="1"/>
  <c r="H37" i="2"/>
  <c r="E43" i="2"/>
  <c r="E44" i="2"/>
  <c r="E38" i="2" s="1"/>
  <c r="E39" i="2"/>
  <c r="E47" i="2" s="1"/>
  <c r="E32" i="2" s="1"/>
  <c r="F43" i="2"/>
  <c r="K6" i="4"/>
  <c r="K5" i="4"/>
  <c r="L3" i="4"/>
  <c r="I15" i="2"/>
  <c r="E11" i="2"/>
  <c r="J14" i="2"/>
  <c r="I7" i="4"/>
  <c r="J13" i="2"/>
  <c r="J15" i="2" s="1"/>
  <c r="G29" i="2"/>
  <c r="G10" i="2" s="1"/>
  <c r="L5" i="4" l="1"/>
  <c r="L6" i="4"/>
  <c r="G11" i="2"/>
  <c r="J7" i="4"/>
  <c r="K14" i="2"/>
  <c r="K13" i="2"/>
  <c r="K15" i="2" s="1"/>
  <c r="H29" i="2"/>
  <c r="H10" i="2" s="1"/>
  <c r="E45" i="2"/>
  <c r="F42" i="2" s="1"/>
  <c r="J31" i="1"/>
  <c r="J6" i="1"/>
  <c r="J37" i="2"/>
  <c r="E30" i="1"/>
  <c r="E33" i="1" s="1"/>
  <c r="E37" i="1" s="1"/>
  <c r="E41" i="1" s="1"/>
  <c r="E5" i="1"/>
  <c r="I31" i="1"/>
  <c r="I6" i="1"/>
  <c r="I37" i="2"/>
  <c r="H43" i="2"/>
  <c r="F5" i="1"/>
  <c r="F30" i="1"/>
  <c r="F33" i="1" s="1"/>
  <c r="F37" i="1" s="1"/>
  <c r="F41" i="1" s="1"/>
  <c r="I43" i="2" l="1"/>
  <c r="E17" i="2"/>
  <c r="K31" i="1"/>
  <c r="K6" i="1"/>
  <c r="K37" i="2"/>
  <c r="G30" i="1"/>
  <c r="G33" i="1" s="1"/>
  <c r="G37" i="1" s="1"/>
  <c r="G41" i="1" s="1"/>
  <c r="G5" i="1"/>
  <c r="F45" i="2"/>
  <c r="G42" i="2" s="1"/>
  <c r="F44" i="2"/>
  <c r="F38" i="2" s="1"/>
  <c r="F39" i="2" s="1"/>
  <c r="F47" i="2" s="1"/>
  <c r="F32" i="2" s="1"/>
  <c r="F17" i="2"/>
  <c r="J43" i="2"/>
  <c r="H11" i="2"/>
  <c r="K7" i="4"/>
  <c r="L14" i="2"/>
  <c r="L13" i="2"/>
  <c r="L15" i="2" s="1"/>
  <c r="I29" i="2"/>
  <c r="I10" i="2" s="1"/>
  <c r="G45" i="2" l="1"/>
  <c r="H42" i="2" s="1"/>
  <c r="G44" i="2"/>
  <c r="G38" i="2" s="1"/>
  <c r="G39" i="2" s="1"/>
  <c r="G47" i="2" s="1"/>
  <c r="G32" i="2" s="1"/>
  <c r="K43" i="2"/>
  <c r="E24" i="2"/>
  <c r="E18" i="2" s="1"/>
  <c r="E23" i="2"/>
  <c r="E25" i="2" s="1"/>
  <c r="F22" i="2" s="1"/>
  <c r="E19" i="2"/>
  <c r="E27" i="2" s="1"/>
  <c r="L6" i="1"/>
  <c r="L31" i="1"/>
  <c r="L37" i="2"/>
  <c r="H30" i="1"/>
  <c r="H33" i="1" s="1"/>
  <c r="H37" i="1" s="1"/>
  <c r="H41" i="1" s="1"/>
  <c r="H5" i="1"/>
  <c r="F23" i="2"/>
  <c r="F24" i="2"/>
  <c r="F18" i="2" s="1"/>
  <c r="F19" i="2" s="1"/>
  <c r="F27" i="2" s="1"/>
  <c r="I11" i="2"/>
  <c r="J29" i="2"/>
  <c r="J10" i="2" s="1"/>
  <c r="L7" i="4"/>
  <c r="M13" i="2"/>
  <c r="M14" i="2"/>
  <c r="G17" i="2"/>
  <c r="F43" i="1" l="1"/>
  <c r="F45" i="1" s="1"/>
  <c r="F8" i="1"/>
  <c r="F11" i="1" s="1"/>
  <c r="F16" i="1" s="1"/>
  <c r="J11" i="2"/>
  <c r="K29" i="2"/>
  <c r="K10" i="2" s="1"/>
  <c r="H17" i="2"/>
  <c r="G23" i="2"/>
  <c r="F25" i="2"/>
  <c r="G22" i="2" s="1"/>
  <c r="M15" i="2"/>
  <c r="I30" i="1"/>
  <c r="I33" i="1" s="1"/>
  <c r="I37" i="1" s="1"/>
  <c r="I41" i="1" s="1"/>
  <c r="I5" i="1"/>
  <c r="E8" i="1"/>
  <c r="E11" i="1" s="1"/>
  <c r="E16" i="1" s="1"/>
  <c r="E43" i="1"/>
  <c r="E45" i="1" s="1"/>
  <c r="L43" i="2"/>
  <c r="N14" i="2"/>
  <c r="N13" i="2"/>
  <c r="H44" i="2"/>
  <c r="H38" i="2" s="1"/>
  <c r="H39" i="2" s="1"/>
  <c r="H47" i="2" s="1"/>
  <c r="H32" i="2" s="1"/>
  <c r="M31" i="1" l="1"/>
  <c r="M6" i="1"/>
  <c r="M37" i="2"/>
  <c r="J5" i="1"/>
  <c r="J30" i="1"/>
  <c r="J33" i="1" s="1"/>
  <c r="J37" i="1" s="1"/>
  <c r="J41" i="1" s="1"/>
  <c r="H45" i="2"/>
  <c r="I42" i="2" s="1"/>
  <c r="E54" i="2"/>
  <c r="E22" i="1"/>
  <c r="H23" i="2"/>
  <c r="F54" i="2"/>
  <c r="N15" i="2"/>
  <c r="I17" i="2"/>
  <c r="G24" i="2"/>
  <c r="G18" i="2" s="1"/>
  <c r="G19" i="2" s="1"/>
  <c r="G27" i="2" s="1"/>
  <c r="K11" i="2"/>
  <c r="L29" i="2"/>
  <c r="L10" i="2" s="1"/>
  <c r="M29" i="2" s="1"/>
  <c r="M10" i="2" s="1"/>
  <c r="M11" i="2" l="1"/>
  <c r="K30" i="1"/>
  <c r="K33" i="1" s="1"/>
  <c r="K37" i="1" s="1"/>
  <c r="K41" i="1" s="1"/>
  <c r="K5" i="1"/>
  <c r="N31" i="1"/>
  <c r="N6" i="1"/>
  <c r="N37" i="2"/>
  <c r="F63" i="2"/>
  <c r="F62" i="2"/>
  <c r="F55" i="2" s="1"/>
  <c r="F56" i="2" s="1"/>
  <c r="E55" i="2"/>
  <c r="E59" i="2"/>
  <c r="E62" i="2"/>
  <c r="E63" i="2"/>
  <c r="N29" i="2"/>
  <c r="N10" i="2" s="1"/>
  <c r="G43" i="1"/>
  <c r="G45" i="1" s="1"/>
  <c r="G8" i="1"/>
  <c r="G11" i="1" s="1"/>
  <c r="G16" i="1" s="1"/>
  <c r="G25" i="2"/>
  <c r="H22" i="2" s="1"/>
  <c r="I44" i="2"/>
  <c r="I38" i="2" s="1"/>
  <c r="I39" i="2" s="1"/>
  <c r="I47" i="2" s="1"/>
  <c r="I32" i="2" s="1"/>
  <c r="I23" i="2"/>
  <c r="L11" i="2"/>
  <c r="E48" i="1"/>
  <c r="E24" i="1"/>
  <c r="E26" i="1" s="1"/>
  <c r="E27" i="1" s="1"/>
  <c r="J17" i="2"/>
  <c r="M43" i="2"/>
  <c r="H25" i="2" l="1"/>
  <c r="I22" i="2" s="1"/>
  <c r="H24" i="2"/>
  <c r="H18" i="2" s="1"/>
  <c r="H19" i="2" s="1"/>
  <c r="H27" i="2" s="1"/>
  <c r="F59" i="2"/>
  <c r="N43" i="2"/>
  <c r="G54" i="2"/>
  <c r="K17" i="2"/>
  <c r="E48" i="2"/>
  <c r="E49" i="1"/>
  <c r="J23" i="2"/>
  <c r="L30" i="1"/>
  <c r="L33" i="1" s="1"/>
  <c r="L37" i="1" s="1"/>
  <c r="L41" i="1" s="1"/>
  <c r="L5" i="1"/>
  <c r="M30" i="1"/>
  <c r="M33" i="1" s="1"/>
  <c r="M37" i="1" s="1"/>
  <c r="M41" i="1" s="1"/>
  <c r="M5" i="1"/>
  <c r="E61" i="1"/>
  <c r="E62" i="1" s="1"/>
  <c r="E63" i="1" s="1"/>
  <c r="E74" i="1" s="1"/>
  <c r="F25" i="1"/>
  <c r="I45" i="2"/>
  <c r="J42" i="2" s="1"/>
  <c r="N11" i="2"/>
  <c r="E56" i="2"/>
  <c r="N5" i="1" l="1"/>
  <c r="N30" i="1"/>
  <c r="N33" i="1" s="1"/>
  <c r="N37" i="1" s="1"/>
  <c r="N41" i="1" s="1"/>
  <c r="E82" i="1"/>
  <c r="E83" i="1" s="1"/>
  <c r="E84" i="1" s="1"/>
  <c r="K23" i="2"/>
  <c r="J44" i="2"/>
  <c r="J38" i="2" s="1"/>
  <c r="J39" i="2" s="1"/>
  <c r="J47" i="2" s="1"/>
  <c r="J32" i="2" s="1"/>
  <c r="L17" i="2"/>
  <c r="E79" i="1"/>
  <c r="E80" i="1" s="1"/>
  <c r="F47" i="1"/>
  <c r="H43" i="1"/>
  <c r="H45" i="1" s="1"/>
  <c r="H8" i="1"/>
  <c r="H11" i="1" s="1"/>
  <c r="H16" i="1" s="1"/>
  <c r="G62" i="2"/>
  <c r="G59" i="2" s="1"/>
  <c r="G63" i="2"/>
  <c r="M17" i="2"/>
  <c r="I24" i="2"/>
  <c r="I18" i="2" s="1"/>
  <c r="I19" i="2" s="1"/>
  <c r="I27" i="2" s="1"/>
  <c r="I8" i="1" l="1"/>
  <c r="I11" i="1" s="1"/>
  <c r="I16" i="1" s="1"/>
  <c r="I43" i="1"/>
  <c r="I45" i="1" s="1"/>
  <c r="M23" i="2"/>
  <c r="G55" i="2"/>
  <c r="F22" i="1"/>
  <c r="N17" i="2"/>
  <c r="I25" i="2"/>
  <c r="J22" i="2" s="1"/>
  <c r="L23" i="2"/>
  <c r="H54" i="2"/>
  <c r="J45" i="2"/>
  <c r="K42" i="2" s="1"/>
  <c r="I54" i="2" l="1"/>
  <c r="F48" i="1"/>
  <c r="F24" i="1"/>
  <c r="F26" i="1" s="1"/>
  <c r="F27" i="1" s="1"/>
  <c r="K44" i="2"/>
  <c r="K38" i="2" s="1"/>
  <c r="K39" i="2" s="1"/>
  <c r="K47" i="2" s="1"/>
  <c r="K32" i="2" s="1"/>
  <c r="J25" i="2"/>
  <c r="K22" i="2" s="1"/>
  <c r="J24" i="2"/>
  <c r="J18" i="2" s="1"/>
  <c r="J19" i="2" s="1"/>
  <c r="J27" i="2" s="1"/>
  <c r="N23" i="2"/>
  <c r="H62" i="2"/>
  <c r="H63" i="2"/>
  <c r="H59" i="2"/>
  <c r="H55" i="2"/>
  <c r="H56" i="2" s="1"/>
  <c r="G56" i="2"/>
  <c r="K25" i="2" l="1"/>
  <c r="L22" i="2" s="1"/>
  <c r="K24" i="2"/>
  <c r="K18" i="2" s="1"/>
  <c r="K19" i="2" s="1"/>
  <c r="K27" i="2" s="1"/>
  <c r="K45" i="2"/>
  <c r="L42" i="2" s="1"/>
  <c r="F48" i="2"/>
  <c r="F49" i="1"/>
  <c r="J43" i="1"/>
  <c r="J45" i="1" s="1"/>
  <c r="J8" i="1"/>
  <c r="J11" i="1" s="1"/>
  <c r="J16" i="1" s="1"/>
  <c r="F61" i="1"/>
  <c r="F62" i="1" s="1"/>
  <c r="F63" i="1" s="1"/>
  <c r="F74" i="1" s="1"/>
  <c r="G25" i="1"/>
  <c r="I63" i="2"/>
  <c r="I62" i="2"/>
  <c r="I55" i="2" s="1"/>
  <c r="I56" i="2" l="1"/>
  <c r="G47" i="1"/>
  <c r="F79" i="1"/>
  <c r="F80" i="1" s="1"/>
  <c r="I59" i="2"/>
  <c r="F82" i="1"/>
  <c r="F83" i="1" s="1"/>
  <c r="F84" i="1" s="1"/>
  <c r="J54" i="2"/>
  <c r="L45" i="2"/>
  <c r="M42" i="2" s="1"/>
  <c r="L44" i="2"/>
  <c r="L38" i="2" s="1"/>
  <c r="L39" i="2" s="1"/>
  <c r="L47" i="2" s="1"/>
  <c r="L32" i="2" s="1"/>
  <c r="K43" i="1"/>
  <c r="K45" i="1" s="1"/>
  <c r="K8" i="1"/>
  <c r="K11" i="1" s="1"/>
  <c r="K16" i="1" s="1"/>
  <c r="L24" i="2"/>
  <c r="L18" i="2" s="1"/>
  <c r="L19" i="2" s="1"/>
  <c r="L27" i="2" s="1"/>
  <c r="J63" i="2" l="1"/>
  <c r="J62" i="2"/>
  <c r="J59" i="2"/>
  <c r="J55" i="2"/>
  <c r="G22" i="1"/>
  <c r="L25" i="2"/>
  <c r="M22" i="2" s="1"/>
  <c r="K54" i="2"/>
  <c r="L43" i="1"/>
  <c r="L45" i="1" s="1"/>
  <c r="L8" i="1"/>
  <c r="L11" i="1" s="1"/>
  <c r="L16" i="1" s="1"/>
  <c r="M45" i="2"/>
  <c r="N42" i="2" s="1"/>
  <c r="M44" i="2"/>
  <c r="M38" i="2" s="1"/>
  <c r="M39" i="2" s="1"/>
  <c r="M47" i="2" s="1"/>
  <c r="M32" i="2" s="1"/>
  <c r="N44" i="2" l="1"/>
  <c r="N38" i="2" s="1"/>
  <c r="N39" i="2" s="1"/>
  <c r="N47" i="2" s="1"/>
  <c r="N32" i="2" s="1"/>
  <c r="M25" i="2"/>
  <c r="N22" i="2" s="1"/>
  <c r="M24" i="2"/>
  <c r="M18" i="2" s="1"/>
  <c r="M19" i="2" s="1"/>
  <c r="M27" i="2" s="1"/>
  <c r="J56" i="2"/>
  <c r="L54" i="2"/>
  <c r="K59" i="2"/>
  <c r="K55" i="2"/>
  <c r="K56" i="2" s="1"/>
  <c r="K63" i="2"/>
  <c r="K62" i="2"/>
  <c r="G48" i="1"/>
  <c r="G24" i="1"/>
  <c r="G26" i="1" s="1"/>
  <c r="G27" i="1" s="1"/>
  <c r="L62" i="2" l="1"/>
  <c r="L63" i="2"/>
  <c r="L55" i="2"/>
  <c r="L56" i="2" s="1"/>
  <c r="L59" i="2"/>
  <c r="N25" i="2"/>
  <c r="N24" i="2"/>
  <c r="N18" i="2" s="1"/>
  <c r="N19" i="2" s="1"/>
  <c r="N27" i="2" s="1"/>
  <c r="C33" i="2"/>
  <c r="C34" i="2"/>
  <c r="H25" i="1"/>
  <c r="G61" i="1"/>
  <c r="G62" i="1" s="1"/>
  <c r="G63" i="1" s="1"/>
  <c r="G74" i="1" s="1"/>
  <c r="N45" i="2"/>
  <c r="G48" i="2"/>
  <c r="G49" i="1"/>
  <c r="M8" i="1"/>
  <c r="M11" i="1" s="1"/>
  <c r="M16" i="1" s="1"/>
  <c r="M43" i="1"/>
  <c r="M45" i="1" s="1"/>
  <c r="G79" i="1" l="1"/>
  <c r="G80" i="1" s="1"/>
  <c r="G82" i="1" s="1"/>
  <c r="G83" i="1" s="1"/>
  <c r="G84" i="1" s="1"/>
  <c r="H47" i="1"/>
  <c r="N43" i="1"/>
  <c r="N45" i="1" s="1"/>
  <c r="N8" i="1"/>
  <c r="N11" i="1" s="1"/>
  <c r="N16" i="1" s="1"/>
  <c r="M54" i="2"/>
  <c r="M62" i="2" l="1"/>
  <c r="M55" i="2" s="1"/>
  <c r="M56" i="2" s="1"/>
  <c r="M63" i="2"/>
  <c r="H22" i="1"/>
  <c r="N54" i="2"/>
  <c r="H48" i="1" l="1"/>
  <c r="H24" i="1"/>
  <c r="H26" i="1" s="1"/>
  <c r="H27" i="1" s="1"/>
  <c r="M59" i="2"/>
  <c r="N63" i="2"/>
  <c r="N62" i="2"/>
  <c r="N55" i="2" s="1"/>
  <c r="N56" i="2" l="1"/>
  <c r="C57" i="2"/>
  <c r="N59" i="2"/>
  <c r="H61" i="1"/>
  <c r="H62" i="1" s="1"/>
  <c r="H63" i="1" s="1"/>
  <c r="H74" i="1" s="1"/>
  <c r="I25" i="1"/>
  <c r="H48" i="2"/>
  <c r="H49" i="1"/>
  <c r="C59" i="2" l="1"/>
  <c r="C60" i="2"/>
  <c r="H79" i="1"/>
  <c r="H80" i="1" s="1"/>
  <c r="H82" i="1" s="1"/>
  <c r="H83" i="1" s="1"/>
  <c r="H84" i="1" s="1"/>
  <c r="I47" i="1"/>
  <c r="I22" i="1" l="1"/>
  <c r="I48" i="1" l="1"/>
  <c r="I24" i="1"/>
  <c r="I26" i="1" s="1"/>
  <c r="I27" i="1" s="1"/>
  <c r="I61" i="1" l="1"/>
  <c r="I62" i="1" s="1"/>
  <c r="I63" i="1" s="1"/>
  <c r="I74" i="1" s="1"/>
  <c r="J25" i="1"/>
  <c r="I48" i="2"/>
  <c r="I49" i="1"/>
  <c r="I79" i="1" l="1"/>
  <c r="I80" i="1" s="1"/>
  <c r="I82" i="1" s="1"/>
  <c r="I83" i="1" s="1"/>
  <c r="I84" i="1" s="1"/>
  <c r="J47" i="1"/>
  <c r="J22" i="1" l="1"/>
  <c r="J48" i="1" l="1"/>
  <c r="J24" i="1"/>
  <c r="J26" i="1" s="1"/>
  <c r="J27" i="1" s="1"/>
  <c r="K25" i="1" l="1"/>
  <c r="J61" i="1"/>
  <c r="J62" i="1" s="1"/>
  <c r="J63" i="1" s="1"/>
  <c r="J74" i="1" s="1"/>
  <c r="J48" i="2"/>
  <c r="J49" i="1"/>
  <c r="K47" i="1" l="1"/>
  <c r="J79" i="1"/>
  <c r="J80" i="1" s="1"/>
  <c r="J82" i="1" s="1"/>
  <c r="J83" i="1" s="1"/>
  <c r="J84" i="1" s="1"/>
  <c r="K22" i="1" l="1"/>
  <c r="K48" i="1" l="1"/>
  <c r="K24" i="1"/>
  <c r="K26" i="1" s="1"/>
  <c r="K27" i="1" s="1"/>
  <c r="K61" i="1" l="1"/>
  <c r="K62" i="1" s="1"/>
  <c r="K63" i="1" s="1"/>
  <c r="K74" i="1" s="1"/>
  <c r="L25" i="1"/>
  <c r="K48" i="2"/>
  <c r="K49" i="1"/>
  <c r="K79" i="1" l="1"/>
  <c r="K80" i="1" s="1"/>
  <c r="L47" i="1"/>
  <c r="K82" i="1"/>
  <c r="K83" i="1" s="1"/>
  <c r="K84" i="1" s="1"/>
  <c r="L22" i="1" l="1"/>
  <c r="L48" i="1" l="1"/>
  <c r="L24" i="1"/>
  <c r="L26" i="1" s="1"/>
  <c r="L27" i="1" s="1"/>
  <c r="L48" i="2" l="1"/>
  <c r="L49" i="1"/>
  <c r="L61" i="1"/>
  <c r="L62" i="1" s="1"/>
  <c r="L63" i="1" s="1"/>
  <c r="L74" i="1" s="1"/>
  <c r="M25" i="1"/>
  <c r="L82" i="1" l="1"/>
  <c r="L83" i="1" s="1"/>
  <c r="L84" i="1" s="1"/>
  <c r="L79" i="1"/>
  <c r="L80" i="1" s="1"/>
  <c r="M47" i="1"/>
  <c r="M22" i="1" l="1"/>
  <c r="M48" i="1" l="1"/>
  <c r="M24" i="1"/>
  <c r="M26" i="1" s="1"/>
  <c r="M27" i="1" s="1"/>
  <c r="M48" i="2" l="1"/>
  <c r="M49" i="1"/>
  <c r="M61" i="1"/>
  <c r="M62" i="1" s="1"/>
  <c r="M63" i="1" s="1"/>
  <c r="M74" i="1" s="1"/>
  <c r="N25" i="1"/>
  <c r="M82" i="1" l="1"/>
  <c r="M83" i="1" s="1"/>
  <c r="M84" i="1" s="1"/>
  <c r="M79" i="1"/>
  <c r="M80" i="1" s="1"/>
  <c r="N47" i="1"/>
  <c r="N22" i="1" l="1"/>
  <c r="N48" i="1" l="1"/>
  <c r="N24" i="1"/>
  <c r="N26" i="1" s="1"/>
  <c r="N27" i="1" s="1"/>
  <c r="N61" i="1" s="1"/>
  <c r="N62" i="1" s="1"/>
  <c r="N63" i="1" s="1"/>
  <c r="N74" i="1" s="1"/>
  <c r="N82" i="1" l="1"/>
  <c r="N83" i="1" s="1"/>
  <c r="N84" i="1" s="1"/>
  <c r="N48" i="2"/>
  <c r="N49" i="1"/>
  <c r="N79" i="1" s="1"/>
  <c r="N80" i="1" s="1"/>
  <c r="C50" i="2" l="1"/>
  <c r="C49" i="2"/>
</calcChain>
</file>

<file path=xl/sharedStrings.xml><?xml version="1.0" encoding="utf-8"?>
<sst xmlns="http://schemas.openxmlformats.org/spreadsheetml/2006/main" count="182" uniqueCount="137">
  <si>
    <t>0-й год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</si>
  <si>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</si>
  <si>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</si>
  <si>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</si>
  <si>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</si>
  <si>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</si>
  <si>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</si>
  <si>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</si>
  <si>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</si>
  <si>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</si>
  <si>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</si>
  <si>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ОДДС</t>
  </si>
  <si>
    <t>Операционная деятельность</t>
  </si>
  <si>
    <t>Выручка от основной деятельности, оплаченная</t>
  </si>
  <si>
    <t>Операционные расходы, оплаченные</t>
  </si>
  <si>
    <t>Проценты по долговым обязательствам</t>
  </si>
  <si>
    <t>Налог на прибыль</t>
  </si>
  <si>
    <t>Прочее</t>
  </si>
  <si>
    <t>Итого операционный денежный поток</t>
  </si>
  <si>
    <t>Инвестиционная деятельность</t>
  </si>
  <si>
    <t>Итого инвестиционный денежный поток</t>
  </si>
  <si>
    <t>Денежный поток до финансирования</t>
  </si>
  <si>
    <t>Итого денежный поток до финансирования</t>
  </si>
  <si>
    <t>Финансовая деятельность</t>
  </si>
  <si>
    <t>Взносы в УК</t>
  </si>
  <si>
    <t>Привлечение долгосрочного заемного финансирования</t>
  </si>
  <si>
    <t>Возврат долгосрочного заемного финансирования</t>
  </si>
  <si>
    <t>Дивиденды</t>
  </si>
  <si>
    <t>Итого финансовый денежный поток</t>
  </si>
  <si>
    <t>Остаток ден. средств, н.п.</t>
  </si>
  <si>
    <t>Ден. поток, итого</t>
  </si>
  <si>
    <t>Остаток ден. средств, к.п.</t>
  </si>
  <si>
    <t>ОПиУ</t>
  </si>
  <si>
    <t>Выручка от основной деятельности, начисленная</t>
  </si>
  <si>
    <t>Операционные расходы, начисленные</t>
  </si>
  <si>
    <t>Операционная прибыль до амортизации</t>
  </si>
  <si>
    <t>Амортизация активов</t>
  </si>
  <si>
    <t>Операционная прибыль</t>
  </si>
  <si>
    <t xml:space="preserve">Проценты и комиссии уплаченные </t>
  </si>
  <si>
    <t>Прибыль до налогообложения</t>
  </si>
  <si>
    <t>Чистая прибыль</t>
  </si>
  <si>
    <t>Нераспределённая прибыль на начало периода</t>
  </si>
  <si>
    <t>Дивиденды уплаченные</t>
  </si>
  <si>
    <t>Нераспределённая прибыль на конец периода</t>
  </si>
  <si>
    <t>Баланс</t>
  </si>
  <si>
    <t>Внеоборотные активы</t>
  </si>
  <si>
    <t>Первоначальная стоимость ОС</t>
  </si>
  <si>
    <t xml:space="preserve">Накопленная амортизация </t>
  </si>
  <si>
    <t>Чистые внеоборотные активы</t>
  </si>
  <si>
    <t>Итого ВОА</t>
  </si>
  <si>
    <t>Оборотные активы</t>
  </si>
  <si>
    <t>Налоговый актив</t>
  </si>
  <si>
    <t>Денежные средства, к.п.</t>
  </si>
  <si>
    <t>Итого ОА</t>
  </si>
  <si>
    <t>Итого активы</t>
  </si>
  <si>
    <t>Краткосрочные обязательства</t>
  </si>
  <si>
    <t>Налоговые обязательства</t>
  </si>
  <si>
    <t>Итого КО</t>
  </si>
  <si>
    <t>Долгосрочные обязательства</t>
  </si>
  <si>
    <t>Долгосрочные займы</t>
  </si>
  <si>
    <t>Активы за вычетом обязательств</t>
  </si>
  <si>
    <t>Капиталы и резервы</t>
  </si>
  <si>
    <t>УК</t>
  </si>
  <si>
    <t>Нераспределенная прибыль</t>
  </si>
  <si>
    <t>Итого капиталы и резервы</t>
  </si>
  <si>
    <t xml:space="preserve">Изменение </t>
  </si>
  <si>
    <t>Половина изменения</t>
  </si>
  <si>
    <t>Расчеты</t>
  </si>
  <si>
    <t>Взнос в УК</t>
  </si>
  <si>
    <t>Итого доходы</t>
  </si>
  <si>
    <t>Расходы на заработную плату</t>
  </si>
  <si>
    <t>Прочие расходы</t>
  </si>
  <si>
    <t>Итого расходы</t>
  </si>
  <si>
    <t>Налогооблагаемая прибыль/убыток</t>
  </si>
  <si>
    <t>Зачет убытка прошлых лет</t>
  </si>
  <si>
    <t>Прибыль до налогообложения за вычетом накопленных убытков</t>
  </si>
  <si>
    <t>Налоговые убытки</t>
  </si>
  <si>
    <t>Накопленный убыток на начало периода</t>
  </si>
  <si>
    <t xml:space="preserve"> + Убыток за период</t>
  </si>
  <si>
    <t xml:space="preserve"> - Использование убытка</t>
  </si>
  <si>
    <t>Накопленный убыток на конец периода</t>
  </si>
  <si>
    <t>Итого налог на прибыль</t>
  </si>
  <si>
    <t>Потребность в доп. финансировании</t>
  </si>
  <si>
    <t>Расчет показателей эффективности</t>
  </si>
  <si>
    <t>Денежный поток проекта</t>
  </si>
  <si>
    <t>ВНД проекта</t>
  </si>
  <si>
    <t>ЧПС проекта</t>
  </si>
  <si>
    <t>Расчет налога на прибыль для включения в расчет ВНД проекта</t>
  </si>
  <si>
    <t>Денежный поток акционеров</t>
  </si>
  <si>
    <t>ВНД акционеров без учета терминальной стоимости</t>
  </si>
  <si>
    <t>ЧПС проекта без учета терминальной стоимости</t>
  </si>
  <si>
    <t>ВНД Проекта</t>
  </si>
  <si>
    <t>Денежный поток до финансирования и после налогообложения</t>
  </si>
  <si>
    <t>Номинальный</t>
  </si>
  <si>
    <t>Реальный</t>
  </si>
  <si>
    <t>NPV проекта (на основе фиксированной WACC)</t>
  </si>
  <si>
    <t>Номинальный (для расчёта IRR)</t>
  </si>
  <si>
    <t>NPV проекта (для расчёта IRR)</t>
  </si>
  <si>
    <t>FFCF (постпрогнозное значение, для расчёта ВНД)</t>
  </si>
  <si>
    <t>FFCF (на основе фиксированного WACC)</t>
  </si>
  <si>
    <t>Должность</t>
  </si>
  <si>
    <t>В мес.</t>
  </si>
  <si>
    <t>В год.</t>
  </si>
  <si>
    <t>Генеральный директор</t>
  </si>
  <si>
    <t>Главный бухгалтер</t>
  </si>
  <si>
    <t>Руководитель проекта</t>
  </si>
  <si>
    <t>Менеджер проекта</t>
  </si>
  <si>
    <t>Итого ФОТ</t>
  </si>
  <si>
    <t>Взносы в государственные внебюджетные фонды</t>
  </si>
  <si>
    <t>Итого</t>
  </si>
  <si>
    <t>ИТОГО затраты на персонал</t>
  </si>
  <si>
    <t>Плательщики страховых взносов </t>
  </si>
  <si>
    <t>Тарифы страховых взносов</t>
  </si>
  <si>
    <t>в ПФР, ФСС и ФОМС</t>
  </si>
  <si>
    <t>ПФР</t>
  </si>
  <si>
    <t>ФСС</t>
  </si>
  <si>
    <t>ФОМС</t>
  </si>
  <si>
    <r>
      <t>Тарифы страховых взносов для всех страхователей (</t>
    </r>
    <r>
      <rPr>
        <sz val="11"/>
        <color rgb="FF337AB7"/>
        <rFont val="Arial"/>
        <family val="2"/>
        <charset val="204"/>
      </rPr>
      <t>ч.1 ст.58.2</t>
    </r>
    <r>
      <rPr>
        <sz val="11"/>
        <color rgb="FF333333"/>
        <rFont val="Arial"/>
        <family val="2"/>
        <charset val="204"/>
      </rPr>
      <t>) в пределах </t>
    </r>
    <r>
      <rPr>
        <sz val="11"/>
        <color rgb="FF337AB7"/>
        <rFont val="Arial"/>
        <family val="2"/>
        <charset val="204"/>
      </rPr>
      <t>установленной Правительством</t>
    </r>
    <r>
      <rPr>
        <sz val="11"/>
        <color rgb="FF333333"/>
        <rFont val="Arial"/>
        <family val="2"/>
        <charset val="204"/>
      </rPr>
      <t> величины базы для начисления страховых взносов:</t>
    </r>
  </si>
  <si>
    <t>установленная Правительством величины базы для начисления страховых взносов:</t>
  </si>
  <si>
    <t>Свыше базы</t>
  </si>
  <si>
    <t>Инвестиции</t>
  </si>
  <si>
    <t>Требуемая доходность на инвестиции, %</t>
  </si>
  <si>
    <t>Требуемая доходность на акционерный капитал, %</t>
  </si>
  <si>
    <t>Индексация цен (выручка, расходы)</t>
  </si>
  <si>
    <t>Информационный источник</t>
  </si>
  <si>
    <t>Индекс потребительских цен (Базовый сценарий Минэкономразвития РФ)</t>
  </si>
  <si>
    <t>http://economy.gov.ru/minec/about/structure/depmacro/20151026</t>
  </si>
  <si>
    <t>Загрузка номерного комплекса (%)</t>
  </si>
  <si>
    <t>Индексация цен реализации</t>
  </si>
  <si>
    <t>В соответствии с прогнозом Минэконом развития - "базовый сценарий" (см выше)</t>
  </si>
  <si>
    <t>Индексация расходов</t>
  </si>
  <si>
    <t>Накопительный индекс расходов</t>
  </si>
  <si>
    <t>Приобретение доли в ООО "Ромашка"</t>
  </si>
  <si>
    <t>Доля в ООО "Ромашка"</t>
  </si>
  <si>
    <t>Доходы от участия в ООО "Ромашка"</t>
  </si>
  <si>
    <t xml:space="preserve">Бизнес план компании </t>
  </si>
  <si>
    <t>Доп. финансирование 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</si>
</sst>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&quot;р.&quot;;[Red]\-#,##0&quot;р.&quot;"/>
    <numFmt numFmtId="41" formatCode="_-* #,##0_р_._-;\-* #,##0_р_._-;_-* &quot;-&quot;_р_._-;_-@_-"/>
    <numFmt numFmtId="164" formatCode="_-* #,##0_ ;\(#,##0\);_-* &quot;-&quot;??;_-@\ "/>
    <numFmt numFmtId="165" formatCode="_-* #,##0\ _₽_-;\-* #,##0\ _₽_-;_-* &quot;-&quot;\ _₽_-;_-@_-"/>
    <numFmt numFmtId="166" formatCode="_-* #,##0.00_ ;\(#,##0.00\);_-* &quot;-&quot;??;_-@\ "/>
    <numFmt numFmtId="167" formatCode="_-* #,##0;\(#,##0\);_-* &quot;-&quot;??;_-@"/>
    <numFmt numFmtId="168" formatCode="0.0%"/>
    <numFmt numFmtId="169" formatCode="_-* #,##0.00__;\(#,##0.00\);_-* &quot;-&quot;??;_-@\ "/>
    <numFmt numFmtId="170" formatCode="_-* #,##0.000__;\(#,##0.000\);_-* &quot;-&quot;??;_-@\ "/>
    <numFmt numFmtId="171" formatCode="_-* #,##0__;\(#,##0\);_-* &quot;-&quot;??;_-@\ "/>
    <numFmt numFmtId="172" formatCode="#,##0.00_)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337AB7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12" fillId="0" borderId="0"/>
    <xf numFmtId="167" fontId="13" fillId="4" borderId="1"/>
    <xf numFmtId="0" fontId="7" fillId="0" borderId="0"/>
    <xf numFmtId="0" fontId="1" fillId="0" borderId="0"/>
    <xf numFmtId="0" fontId="2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/>
    </xf>
    <xf numFmtId="0" fontId="10" fillId="2" borderId="0" xfId="0" applyFont="1" applyFill="1" applyBorder="1"/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4" fontId="11" fillId="0" borderId="0" xfId="0" applyNumberFormat="1" applyFont="1" applyBorder="1"/>
    <xf numFmtId="0" fontId="3" fillId="0" borderId="0" xfId="0" applyFont="1" applyFill="1" applyBorder="1" applyAlignment="1"/>
    <xf numFmtId="0" fontId="5" fillId="0" borderId="0" xfId="3" applyNumberFormat="1" applyFont="1" applyFill="1" applyBorder="1" applyAlignment="1">
      <alignment horizontal="left" vertical="center" wrapText="1"/>
    </xf>
    <xf numFmtId="0" fontId="5" fillId="0" borderId="0" xfId="3" applyNumberFormat="1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/>
    <xf numFmtId="0" fontId="5" fillId="3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/>
    <xf numFmtId="0" fontId="6" fillId="0" borderId="0" xfId="3" applyNumberFormat="1" applyFont="1" applyFill="1" applyBorder="1" applyAlignment="1">
      <alignment horizontal="left" vertical="center" wrapText="1"/>
    </xf>
    <xf numFmtId="164" fontId="13" fillId="0" borderId="0" xfId="0" applyNumberFormat="1" applyFont="1" applyBorder="1"/>
    <xf numFmtId="0" fontId="6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/>
    <xf numFmtId="0" fontId="0" fillId="0" borderId="0" xfId="0" applyBorder="1" applyAlignment="1"/>
    <xf numFmtId="164" fontId="11" fillId="3" borderId="0" xfId="0" applyNumberFormat="1" applyFont="1" applyFill="1" applyBorder="1"/>
    <xf numFmtId="0" fontId="5" fillId="0" borderId="0" xfId="0" applyFont="1" applyFill="1" applyBorder="1"/>
    <xf numFmtId="0" fontId="14" fillId="0" borderId="0" xfId="3" applyNumberFormat="1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/>
    <xf numFmtId="0" fontId="15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Fill="1" applyBorder="1" applyAlignment="1">
      <alignment horizontal="center" vertical="center"/>
    </xf>
    <xf numFmtId="164" fontId="18" fillId="0" borderId="0" xfId="0" applyNumberFormat="1" applyFont="1" applyBorder="1"/>
    <xf numFmtId="166" fontId="11" fillId="0" borderId="0" xfId="0" applyNumberFormat="1" applyFont="1"/>
    <xf numFmtId="165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7" fontId="13" fillId="4" borderId="1" xfId="4"/>
    <xf numFmtId="0" fontId="16" fillId="0" borderId="0" xfId="0" applyFont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7" fontId="16" fillId="0" borderId="0" xfId="0" applyNumberFormat="1" applyFont="1" applyAlignment="1">
      <alignment horizontal="center" vertical="center"/>
    </xf>
    <xf numFmtId="164" fontId="0" fillId="0" borderId="0" xfId="0" applyNumberFormat="1" applyBorder="1"/>
    <xf numFmtId="168" fontId="0" fillId="0" borderId="0" xfId="0" applyNumberFormat="1" applyBorder="1"/>
    <xf numFmtId="0" fontId="0" fillId="0" borderId="0" xfId="0" applyFill="1" applyBorder="1" applyAlignment="1"/>
    <xf numFmtId="169" fontId="11" fillId="0" borderId="0" xfId="0" applyNumberFormat="1" applyFont="1"/>
    <xf numFmtId="166" fontId="11" fillId="5" borderId="0" xfId="0" applyNumberFormat="1" applyFont="1" applyFill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170" fontId="11" fillId="0" borderId="0" xfId="0" applyNumberFormat="1" applyFont="1" applyAlignment="1">
      <alignment horizontal="left"/>
    </xf>
    <xf numFmtId="10" fontId="11" fillId="0" borderId="0" xfId="0" applyNumberFormat="1" applyFont="1"/>
    <xf numFmtId="164" fontId="0" fillId="3" borderId="0" xfId="0" applyNumberFormat="1" applyFill="1" applyBorder="1"/>
    <xf numFmtId="10" fontId="11" fillId="3" borderId="0" xfId="0" applyNumberFormat="1" applyFont="1" applyFill="1"/>
    <xf numFmtId="171" fontId="11" fillId="0" borderId="0" xfId="0" applyNumberFormat="1" applyFont="1"/>
    <xf numFmtId="172" fontId="11" fillId="0" borderId="0" xfId="0" applyNumberFormat="1" applyFont="1"/>
    <xf numFmtId="10" fontId="11" fillId="0" borderId="0" xfId="0" applyNumberFormat="1" applyFont="1" applyAlignment="1">
      <alignment horizontal="right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6" fontId="22" fillId="0" borderId="6" xfId="0" applyNumberFormat="1" applyFont="1" applyBorder="1" applyAlignment="1">
      <alignment horizontal="center" vertical="center" wrapText="1"/>
    </xf>
    <xf numFmtId="6" fontId="22" fillId="0" borderId="7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6" fontId="22" fillId="0" borderId="0" xfId="0" applyNumberFormat="1" applyFont="1" applyAlignment="1">
      <alignment horizontal="center" vertical="center" wrapText="1"/>
    </xf>
    <xf numFmtId="6" fontId="0" fillId="0" borderId="0" xfId="0" applyNumberFormat="1"/>
    <xf numFmtId="0" fontId="22" fillId="0" borderId="9" xfId="0" applyFont="1" applyBorder="1" applyAlignment="1">
      <alignment horizontal="center" vertical="center" wrapText="1"/>
    </xf>
    <xf numFmtId="6" fontId="22" fillId="0" borderId="10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6" fontId="23" fillId="0" borderId="0" xfId="0" applyNumberFormat="1" applyFont="1" applyAlignment="1">
      <alignment horizontal="center" vertical="center" wrapText="1"/>
    </xf>
    <xf numFmtId="6" fontId="23" fillId="0" borderId="11" xfId="0" applyNumberFormat="1" applyFont="1" applyBorder="1" applyAlignment="1">
      <alignment horizontal="center" vertical="center" wrapText="1"/>
    </xf>
    <xf numFmtId="6" fontId="22" fillId="0" borderId="11" xfId="0" applyNumberFormat="1" applyFont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6" fontId="23" fillId="7" borderId="10" xfId="0" applyNumberFormat="1" applyFont="1" applyFill="1" applyBorder="1" applyAlignment="1">
      <alignment horizontal="center" vertical="center" wrapText="1"/>
    </xf>
    <xf numFmtId="6" fontId="23" fillId="7" borderId="11" xfId="0" applyNumberFormat="1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top" wrapText="1"/>
    </xf>
    <xf numFmtId="0" fontId="24" fillId="8" borderId="13" xfId="0" applyFont="1" applyFill="1" applyBorder="1" applyAlignment="1">
      <alignment horizontal="center" vertical="top" wrapText="1"/>
    </xf>
    <xf numFmtId="0" fontId="24" fillId="8" borderId="14" xfId="0" applyFont="1" applyFill="1" applyBorder="1" applyAlignment="1">
      <alignment horizontal="center" vertical="top" wrapText="1"/>
    </xf>
    <xf numFmtId="0" fontId="24" fillId="8" borderId="15" xfId="0" applyFont="1" applyFill="1" applyBorder="1" applyAlignment="1">
      <alignment horizontal="center" vertical="top" wrapText="1"/>
    </xf>
    <xf numFmtId="0" fontId="24" fillId="8" borderId="16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25" fillId="8" borderId="12" xfId="0" applyFont="1" applyFill="1" applyBorder="1" applyAlignment="1">
      <alignment vertical="top" wrapText="1"/>
    </xf>
    <xf numFmtId="9" fontId="24" fillId="8" borderId="12" xfId="0" applyNumberFormat="1" applyFont="1" applyFill="1" applyBorder="1" applyAlignment="1">
      <alignment vertical="top" wrapText="1"/>
    </xf>
    <xf numFmtId="10" fontId="24" fillId="8" borderId="12" xfId="0" applyNumberFormat="1" applyFont="1" applyFill="1" applyBorder="1" applyAlignment="1">
      <alignment vertical="top" wrapText="1"/>
    </xf>
    <xf numFmtId="0" fontId="25" fillId="8" borderId="16" xfId="0" applyFont="1" applyFill="1" applyBorder="1" applyAlignment="1">
      <alignment horizontal="left" vertical="center" wrapText="1" indent="1"/>
    </xf>
    <xf numFmtId="0" fontId="24" fillId="8" borderId="16" xfId="0" applyFont="1" applyFill="1" applyBorder="1" applyAlignment="1">
      <alignment vertical="top" wrapText="1"/>
    </xf>
    <xf numFmtId="0" fontId="25" fillId="8" borderId="17" xfId="0" applyFont="1" applyFill="1" applyBorder="1" applyAlignment="1">
      <alignment horizontal="left" vertical="center" wrapText="1" indent="1"/>
    </xf>
    <xf numFmtId="0" fontId="24" fillId="8" borderId="17" xfId="0" applyFont="1" applyFill="1" applyBorder="1" applyAlignment="1">
      <alignment vertical="top" wrapText="1"/>
    </xf>
    <xf numFmtId="9" fontId="24" fillId="8" borderId="17" xfId="0" applyNumberFormat="1" applyFont="1" applyFill="1" applyBorder="1" applyAlignment="1">
      <alignment vertical="top" wrapText="1"/>
    </xf>
    <xf numFmtId="9" fontId="0" fillId="0" borderId="0" xfId="0" applyNumberFormat="1"/>
    <xf numFmtId="10" fontId="0" fillId="0" borderId="0" xfId="0" applyNumberFormat="1"/>
    <xf numFmtId="9" fontId="0" fillId="3" borderId="0" xfId="0" applyNumberFormat="1" applyFill="1"/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18" xfId="5" applyFont="1" applyFill="1" applyBorder="1" applyAlignment="1"/>
    <xf numFmtId="0" fontId="6" fillId="0" borderId="19" xfId="5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center"/>
    </xf>
    <xf numFmtId="0" fontId="0" fillId="0" borderId="19" xfId="0" applyBorder="1"/>
    <xf numFmtId="0" fontId="8" fillId="0" borderId="19" xfId="1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19" xfId="6" applyFont="1" applyBorder="1"/>
    <xf numFmtId="10" fontId="0" fillId="0" borderId="19" xfId="0" applyNumberFormat="1" applyBorder="1"/>
    <xf numFmtId="0" fontId="28" fillId="0" borderId="19" xfId="7" applyBorder="1" applyAlignment="1">
      <alignment vertical="center"/>
    </xf>
    <xf numFmtId="9" fontId="1" fillId="0" borderId="19" xfId="6" applyNumberFormat="1" applyBorder="1"/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</cellXfs>
  <cellStyles count="8">
    <cellStyle name="Hyperlink" xfId="7" builtinId="8"/>
    <cellStyle name="Normal" xfId="0" builtinId="0"/>
    <cellStyle name="Total_FM" xfId="4"/>
    <cellStyle name="Обычный 10 2 2" xfId="6"/>
    <cellStyle name="Обычный 12 2 5" xfId="1"/>
    <cellStyle name="Обычный 2" xfId="5"/>
    <cellStyle name="Обычный 2 2 2 2 5" xfId="3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43;&#1086;&#1089;&#1090;&#1080;&#1085;_&#1050;&#1062;_&#1055;&#1055;%20_%20&#1074;%2004%20&#1084;&#1072;&#1081;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lients\Documents\Projects\RAO%20UES\Sample%20Reports\CEZ\CEZ_Model_16_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ilchem\Company\China\Yizheng\1YZMODC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ovatek\Comps\Comps%20analysis%20(spare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.ghalachyan/Documents/&#1042;&#1057;&#1052;/20150315_Model_new_v21-7_17_2_2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ДС"/>
      <sheetName val="ОДДС"/>
      <sheetName val="ОПиУ"/>
      <sheetName val="Баланс"/>
      <sheetName val="Формы отчетности ПК"/>
      <sheetName val="расчеты"/>
      <sheetName val="вводные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  <sheetName val="Выручка"/>
      <sheetName val="Journals"/>
      <sheetName val="Общ свед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Grouplist"/>
      <sheetName val="Инфо"/>
      <sheetName val="Поправки"/>
      <sheetName val="Cost Allocation"/>
      <sheetName val="предприятия"/>
      <sheetName val="Классиф_"/>
      <sheetName val="XLR_NoRangeSheet"/>
      <sheetName val="60 счет"/>
      <sheetName val="незав. Домодедово"/>
      <sheetName val="Ф1"/>
      <sheetName val="Допущения"/>
      <sheetName val="Долг"/>
      <sheetName val="ПРР"/>
      <sheetName val="Ф-1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ASS"/>
      <sheetName val="Input_Assumptions"/>
      <sheetName val="DCF_Valuation_FCF"/>
      <sheetName val="MAIN_PARAMETERS"/>
      <sheetName val="Materials"/>
      <sheetName val="Modes"/>
      <sheetName val="Nodes"/>
      <sheetName val="Export Quota Correction"/>
      <sheetName val="1YZMODCK"/>
      <sheetName val="Natl Consult Reg."/>
      <sheetName val="Analysis"/>
      <sheetName val="Production plan"/>
      <sheetName val="Calculations"/>
      <sheetName val="Assumptions"/>
      <sheetName val="Deposits"/>
      <sheetName val="comps"/>
      <sheetName val="GLC_ratios_Jun"/>
      <sheetName val="CONTROL"/>
      <sheetName val="Оценка"/>
      <sheetName val="rates_for_sw"/>
      <sheetName val="temp_for_sw"/>
      <sheetName val="costs_whole_for_sw"/>
      <sheetName val="WorkCalc"/>
      <sheetName val="Calc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 t="str">
            <v/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 t="str">
            <v/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/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 t="str">
            <v/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 t="str">
            <v/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 t="str">
            <v/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P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P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 t="str">
            <v/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/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 t="str">
            <v/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 t="str">
            <v/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B140" t="str">
            <v/>
          </cell>
          <cell r="C140" t="str">
            <v/>
          </cell>
          <cell r="P140" t="str">
            <v/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 t="str">
            <v/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 t="str">
            <v/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 t="str">
            <v/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 t="str">
            <v/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CrYrAssumptions"/>
      <sheetName val="LFA 2001"/>
      <sheetName val="Controls"/>
      <sheetName val="TА7"/>
      <sheetName val="cfg"/>
      <sheetName val="ф1"/>
      <sheetName val="DCF"/>
      <sheetName val="Siltronic"/>
      <sheetName val="Natl Consult Reg."/>
      <sheetName val="Inputs"/>
      <sheetName val="cus_HK1033"/>
      <sheetName val="XLR_NoRangeSheet"/>
      <sheetName val="Cost Allocation"/>
    </sheetNames>
    <sheetDataSet>
      <sheetData sheetId="0" refreshError="1">
        <row r="47">
          <cell r="A47" t="str">
            <v>WIRENYPROD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Scenarios"/>
      <sheetName val="Sensitivities"/>
      <sheetName val="Cntrls"/>
      <sheetName val="Inputs_y"/>
      <sheetName val="Inputs"/>
      <sheetName val="Phase1"/>
      <sheetName val="Financials_1"/>
      <sheetName val="Phase2"/>
      <sheetName val="Financials_2"/>
      <sheetName val="Transp"/>
      <sheetName val="Financials_T"/>
      <sheetName val="Структура_1"/>
      <sheetName val="Budget_eff"/>
      <sheetName val="Свод"/>
      <sheetName val="FinDet"/>
      <sheetName val="Структура"/>
      <sheetName val="Cover note"/>
      <sheetName val="УК-расчет"/>
      <sheetName val="УК-формы"/>
      <sheetName val="УК_ГО_Р"/>
      <sheetName val="УК_ГО_Ф"/>
      <sheetName val="For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96">
          <cell r="C19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onomy.gov.ru/minec/about/structure/depmacro/20151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N84"/>
  <sheetViews>
    <sheetView showGridLines="0" workbookViewId="0">
      <pane xSplit="3" ySplit="2" topLeftCell="D3" activePane="bottomRight" state="frozen"/>
      <selection activeCell="F6" sqref="F6"/>
      <selection pane="topRight" activeCell="F6" sqref="F6"/>
      <selection pane="bottomLeft" activeCell="F6" sqref="F6"/>
      <selection pane="bottomRight" activeCell="D3" sqref="D3"/>
    </sheetView>
  </sheetViews>
  <sheetFormatPr defaultRowHeight="15" x14ac:dyDescent="0.25"/>
  <cols>
    <col min="1" max="1" width="3.7109375" style="1" customWidth="1"/>
    <col min="2" max="2" width="5" style="24" customWidth="1"/>
    <col min="3" max="3" width="55.140625" style="1" customWidth="1"/>
    <col min="4" max="4" width="13.140625" style="1" customWidth="1"/>
    <col min="5" max="9" width="14" style="1" customWidth="1"/>
    <col min="10" max="13" width="14.28515625" style="1" customWidth="1"/>
    <col min="14" max="14" width="14.140625" style="1" customWidth="1"/>
    <col min="15" max="16384" width="9.140625" style="1"/>
  </cols>
  <sheetData>
    <row r="2" spans="1:14" x14ac:dyDescent="0.25">
      <c r="B2" s="2"/>
      <c r="C2" s="3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</row>
    <row r="3" spans="1:14" s="9" customFormat="1" x14ac:dyDescent="0.25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B4" s="2" t="s">
        <v>12</v>
      </c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5">
      <c r="B5" s="11"/>
      <c r="C5" s="12" t="s">
        <v>13</v>
      </c>
      <c r="D5" s="13">
        <f xml:space="preserve"> расчеты!D11</f>
        <v>0</v>
      </c>
      <c r="E5" s="13">
        <f xml:space="preserve"> расчеты!E11</f>
        <v>0</v>
      </c>
      <c r="F5" s="13">
        <f xml:space="preserve"> расчеты!F11</f>
        <v>3204043.2590117864</v>
      </c>
      <c r="G5" s="13">
        <f xml:space="preserve"> расчеты!G11</f>
        <v>7616747.9601491624</v>
      </c>
      <c r="H5" s="13">
        <f xml:space="preserve"> расчеты!H11</f>
        <v>9531579.9092068169</v>
      </c>
      <c r="I5" s="13">
        <f xml:space="preserve"> расчеты!I11</f>
        <v>10021659.419191141</v>
      </c>
      <c r="J5" s="13">
        <f xml:space="preserve"> расчеты!J11</f>
        <v>22613959.677741155</v>
      </c>
      <c r="K5" s="13">
        <f xml:space="preserve"> расчеты!K11</f>
        <v>22046651.614594169</v>
      </c>
      <c r="L5" s="13">
        <f xml:space="preserve"> расчеты!L11</f>
        <v>23853447.006322511</v>
      </c>
      <c r="M5" s="13">
        <f xml:space="preserve"> расчеты!M11</f>
        <v>25905456.853091594</v>
      </c>
      <c r="N5" s="13">
        <f xml:space="preserve"> расчеты!N11</f>
        <v>32025478.336290583</v>
      </c>
    </row>
    <row r="6" spans="1:14" x14ac:dyDescent="0.25">
      <c r="B6" s="14"/>
      <c r="C6" s="15" t="s">
        <v>14</v>
      </c>
      <c r="D6" s="13"/>
      <c r="E6" s="13">
        <f xml:space="preserve"> расчеты!E15</f>
        <v>-8131178.3755301228</v>
      </c>
      <c r="F6" s="13">
        <f xml:space="preserve"> расчеты!F15</f>
        <v>-8622146.5605102424</v>
      </c>
      <c r="G6" s="13">
        <f xml:space="preserve"> расчеты!G15</f>
        <v>-9065466.2831205819</v>
      </c>
      <c r="H6" s="13">
        <f xml:space="preserve"> расчеты!H15</f>
        <v>-9531579.9092068169</v>
      </c>
      <c r="I6" s="13">
        <f xml:space="preserve"> расчеты!I15</f>
        <v>-10021659.419191137</v>
      </c>
      <c r="J6" s="13">
        <f xml:space="preserve"> расчеты!J15</f>
        <v>-10536937.05250803</v>
      </c>
      <c r="K6" s="13">
        <f xml:space="preserve"> расчеты!K15</f>
        <v>-11078708.405905675</v>
      </c>
      <c r="L6" s="13">
        <f xml:space="preserve"> расчеты!L15</f>
        <v>-11648335.691050813</v>
      </c>
      <c r="M6" s="13">
        <f xml:space="preserve"> расчеты!M15</f>
        <v>-12247251.159627952</v>
      </c>
      <c r="N6" s="13">
        <f xml:space="preserve"> расчеты!N15</f>
        <v>-12876960.70454482</v>
      </c>
    </row>
    <row r="7" spans="1:14" x14ac:dyDescent="0.25">
      <c r="B7" s="14"/>
      <c r="C7" s="15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B8" s="14"/>
      <c r="C8" s="16" t="s">
        <v>16</v>
      </c>
      <c r="D8" s="13">
        <f xml:space="preserve"> - расчеты!D27</f>
        <v>0</v>
      </c>
      <c r="E8" s="13">
        <f xml:space="preserve"> - расчеты!E27</f>
        <v>0</v>
      </c>
      <c r="F8" s="13">
        <f xml:space="preserve"> - расчеты!F27</f>
        <v>0</v>
      </c>
      <c r="G8" s="13">
        <f xml:space="preserve"> - расчеты!G27</f>
        <v>0</v>
      </c>
      <c r="H8" s="13">
        <f xml:space="preserve"> - расчеты!H27</f>
        <v>0</v>
      </c>
      <c r="I8" s="13">
        <f xml:space="preserve"> - расчеты!I27</f>
        <v>0</v>
      </c>
      <c r="J8" s="13">
        <f xml:space="preserve"> - расчеты!J27</f>
        <v>0</v>
      </c>
      <c r="K8" s="13">
        <f xml:space="preserve"> - расчеты!K27</f>
        <v>-1609393.1667843247</v>
      </c>
      <c r="L8" s="13">
        <f xml:space="preserve"> - расчеты!L27</f>
        <v>-2441022.2630543397</v>
      </c>
      <c r="M8" s="13">
        <f xml:space="preserve"> - расчеты!M27</f>
        <v>-2731641.1386927287</v>
      </c>
      <c r="N8" s="13">
        <f xml:space="preserve"> - расчеты!N27</f>
        <v>-3829703.5263491529</v>
      </c>
    </row>
    <row r="9" spans="1:14" x14ac:dyDescent="0.25">
      <c r="B9" s="17"/>
      <c r="C9" s="18" t="s">
        <v>17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B10" s="19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B11" s="14"/>
      <c r="C11" s="20" t="s">
        <v>18</v>
      </c>
      <c r="D11" s="21">
        <f>SUM(D5:D10)</f>
        <v>0</v>
      </c>
      <c r="E11" s="21">
        <f t="shared" ref="E11:N11" si="0">SUM(E5:E10)</f>
        <v>-8131178.3755301228</v>
      </c>
      <c r="F11" s="21">
        <f t="shared" si="0"/>
        <v>-5418103.3014984559</v>
      </c>
      <c r="G11" s="21">
        <f t="shared" si="0"/>
        <v>-1448718.3229714194</v>
      </c>
      <c r="H11" s="21">
        <f t="shared" si="0"/>
        <v>0</v>
      </c>
      <c r="I11" s="21">
        <f t="shared" si="0"/>
        <v>3.7252902984619141E-9</v>
      </c>
      <c r="J11" s="21">
        <f t="shared" si="0"/>
        <v>12077022.625233125</v>
      </c>
      <c r="K11" s="21">
        <f t="shared" si="0"/>
        <v>9358550.0419041701</v>
      </c>
      <c r="L11" s="21">
        <f t="shared" si="0"/>
        <v>9764089.0522173587</v>
      </c>
      <c r="M11" s="21">
        <f t="shared" si="0"/>
        <v>10926564.554770913</v>
      </c>
      <c r="N11" s="21">
        <f t="shared" si="0"/>
        <v>15318814.10539661</v>
      </c>
    </row>
    <row r="12" spans="1:14" x14ac:dyDescent="0.25">
      <c r="B12" s="2" t="s">
        <v>19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B13" s="19"/>
      <c r="C13" s="15" t="s">
        <v>132</v>
      </c>
      <c r="D13" s="13">
        <f xml:space="preserve"> расчеты!D6</f>
        <v>-2000</v>
      </c>
      <c r="E13" s="13">
        <f xml:space="preserve"> расчеты!E6</f>
        <v>0</v>
      </c>
      <c r="F13" s="13">
        <f xml:space="preserve"> расчеты!F6</f>
        <v>0</v>
      </c>
      <c r="G13" s="13">
        <f xml:space="preserve"> расчеты!G6</f>
        <v>0</v>
      </c>
      <c r="H13" s="13">
        <f xml:space="preserve"> расчеты!H6</f>
        <v>0</v>
      </c>
      <c r="I13" s="13">
        <f xml:space="preserve"> расчеты!I6</f>
        <v>0</v>
      </c>
      <c r="J13" s="13">
        <f xml:space="preserve"> расчеты!J6</f>
        <v>0</v>
      </c>
      <c r="K13" s="13">
        <f xml:space="preserve"> расчеты!K6</f>
        <v>0</v>
      </c>
      <c r="L13" s="13">
        <f xml:space="preserve"> расчеты!L6</f>
        <v>0</v>
      </c>
      <c r="M13" s="13">
        <f xml:space="preserve"> расчеты!M6</f>
        <v>0</v>
      </c>
      <c r="N13" s="13">
        <f xml:space="preserve"> расчеты!N6</f>
        <v>0</v>
      </c>
    </row>
    <row r="14" spans="1:14" x14ac:dyDescent="0.25">
      <c r="B14" s="14"/>
      <c r="C14" s="20" t="s">
        <v>20</v>
      </c>
      <c r="D14" s="21">
        <f t="shared" ref="D14:N14" si="1">SUM(D13:D13)</f>
        <v>-2000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</row>
    <row r="15" spans="1:14" x14ac:dyDescent="0.25">
      <c r="B15" s="19" t="s">
        <v>21</v>
      </c>
      <c r="C15" s="2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B16" s="19"/>
      <c r="C16" s="20" t="s">
        <v>22</v>
      </c>
      <c r="D16" s="21">
        <f t="shared" ref="D16:N16" si="2" xml:space="preserve"> D11 + D14</f>
        <v>-2000</v>
      </c>
      <c r="E16" s="21">
        <f t="shared" si="2"/>
        <v>-8131178.3755301228</v>
      </c>
      <c r="F16" s="21">
        <f t="shared" si="2"/>
        <v>-5418103.3014984559</v>
      </c>
      <c r="G16" s="21">
        <f t="shared" si="2"/>
        <v>-1448718.3229714194</v>
      </c>
      <c r="H16" s="21">
        <f t="shared" si="2"/>
        <v>0</v>
      </c>
      <c r="I16" s="21">
        <f t="shared" si="2"/>
        <v>3.7252902984619141E-9</v>
      </c>
      <c r="J16" s="21">
        <f t="shared" si="2"/>
        <v>12077022.625233125</v>
      </c>
      <c r="K16" s="21">
        <f t="shared" si="2"/>
        <v>9358550.0419041701</v>
      </c>
      <c r="L16" s="21">
        <f t="shared" si="2"/>
        <v>9764089.0522173587</v>
      </c>
      <c r="M16" s="21">
        <f t="shared" si="2"/>
        <v>10926564.554770913</v>
      </c>
      <c r="N16" s="21">
        <f t="shared" si="2"/>
        <v>15318814.10539661</v>
      </c>
    </row>
    <row r="17" spans="1:14" x14ac:dyDescent="0.25">
      <c r="B17" s="2" t="s">
        <v>23</v>
      </c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B18" s="19"/>
      <c r="C18" s="23" t="s">
        <v>24</v>
      </c>
      <c r="D18" s="13">
        <f xml:space="preserve"> расчеты!D5</f>
        <v>5000000</v>
      </c>
      <c r="E18" s="13">
        <f xml:space="preserve"> расчеты!E5</f>
        <v>10000000</v>
      </c>
      <c r="F18" s="13">
        <f xml:space="preserve"> расчеты!F5</f>
        <v>0</v>
      </c>
      <c r="G18" s="13">
        <f xml:space="preserve"> расчеты!G5</f>
        <v>0</v>
      </c>
      <c r="H18" s="13">
        <f xml:space="preserve"> расчеты!H5</f>
        <v>0</v>
      </c>
      <c r="I18" s="13">
        <f xml:space="preserve"> расчеты!I5</f>
        <v>0</v>
      </c>
      <c r="J18" s="13">
        <f xml:space="preserve"> расчеты!J5</f>
        <v>0</v>
      </c>
      <c r="K18" s="13">
        <f xml:space="preserve"> расчеты!K5</f>
        <v>0</v>
      </c>
      <c r="L18" s="13">
        <f xml:space="preserve"> расчеты!L5</f>
        <v>0</v>
      </c>
      <c r="M18" s="13">
        <f xml:space="preserve"> расчеты!M5</f>
        <v>0</v>
      </c>
      <c r="N18" s="13">
        <f xml:space="preserve"> расчеты!N5</f>
        <v>0</v>
      </c>
    </row>
    <row r="19" spans="1:14" x14ac:dyDescent="0.25">
      <c r="B19" s="19"/>
      <c r="C19" s="23" t="s">
        <v>25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B20" s="14"/>
      <c r="C20" s="23" t="s">
        <v>26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B21" s="19"/>
      <c r="C21" s="2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B22" s="19"/>
      <c r="C22" s="23" t="s">
        <v>27</v>
      </c>
      <c r="D22" s="13">
        <f xml:space="preserve"> - MAX(MIN(SUM(D18:D20) + D16 + C27, D47 + D45), 0)</f>
        <v>0</v>
      </c>
      <c r="E22" s="13">
        <f t="shared" ref="E22:N22" si="3" xml:space="preserve"> - MAX(MIN(SUM(E18:E20) + E16 + D27, E47 + E45), 0)</f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-6437572.6671372987</v>
      </c>
      <c r="L22" s="13">
        <f t="shared" si="3"/>
        <v>-9764089.0522173587</v>
      </c>
      <c r="M22" s="13">
        <f t="shared" si="3"/>
        <v>-10926564.554770913</v>
      </c>
      <c r="N22" s="13">
        <f t="shared" si="3"/>
        <v>-15318814.10539661</v>
      </c>
    </row>
    <row r="23" spans="1:14" x14ac:dyDescent="0.25">
      <c r="B23" s="19"/>
      <c r="C23" s="2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B24" s="14"/>
      <c r="C24" s="20" t="s">
        <v>28</v>
      </c>
      <c r="D24" s="21">
        <f>SUM(D18:D22)</f>
        <v>5000000</v>
      </c>
      <c r="E24" s="21">
        <f t="shared" ref="E24:N24" si="4">SUM(E18:E22)</f>
        <v>10000000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-6437572.6671372987</v>
      </c>
      <c r="L24" s="21">
        <f t="shared" si="4"/>
        <v>-9764089.0522173587</v>
      </c>
      <c r="M24" s="21">
        <f t="shared" si="4"/>
        <v>-10926564.554770913</v>
      </c>
      <c r="N24" s="21">
        <f t="shared" si="4"/>
        <v>-15318814.10539661</v>
      </c>
    </row>
    <row r="25" spans="1:14" x14ac:dyDescent="0.25">
      <c r="B25" s="19" t="s">
        <v>29</v>
      </c>
      <c r="C25" s="23"/>
      <c r="D25" s="13">
        <f xml:space="preserve"> C27</f>
        <v>0</v>
      </c>
      <c r="E25" s="13">
        <f t="shared" ref="E25:N25" si="5" xml:space="preserve"> D27</f>
        <v>4998000</v>
      </c>
      <c r="F25" s="13">
        <f t="shared" si="5"/>
        <v>6866821.6244698772</v>
      </c>
      <c r="G25" s="13">
        <f t="shared" si="5"/>
        <v>1448718.3229714213</v>
      </c>
      <c r="H25" s="13">
        <f t="shared" si="5"/>
        <v>1.862645149230957E-9</v>
      </c>
      <c r="I25" s="13">
        <f t="shared" si="5"/>
        <v>1.862645149230957E-9</v>
      </c>
      <c r="J25" s="13">
        <f t="shared" si="5"/>
        <v>5.5879354476928711E-9</v>
      </c>
      <c r="K25" s="13">
        <f t="shared" si="5"/>
        <v>12077022.625233131</v>
      </c>
      <c r="L25" s="13">
        <f t="shared" si="5"/>
        <v>14998000.000000002</v>
      </c>
      <c r="M25" s="13">
        <f t="shared" si="5"/>
        <v>14998000.000000002</v>
      </c>
      <c r="N25" s="13">
        <f t="shared" si="5"/>
        <v>14998000.000000002</v>
      </c>
    </row>
    <row r="26" spans="1:14" x14ac:dyDescent="0.25">
      <c r="B26" s="14" t="s">
        <v>30</v>
      </c>
      <c r="C26" s="22"/>
      <c r="D26" s="21">
        <f t="shared" ref="D26:N26" si="6" xml:space="preserve"> D16 + D24</f>
        <v>4998000</v>
      </c>
      <c r="E26" s="21">
        <f t="shared" si="6"/>
        <v>1868821.6244698772</v>
      </c>
      <c r="F26" s="21">
        <f t="shared" si="6"/>
        <v>-5418103.3014984559</v>
      </c>
      <c r="G26" s="21">
        <f t="shared" si="6"/>
        <v>-1448718.3229714194</v>
      </c>
      <c r="H26" s="21">
        <f t="shared" si="6"/>
        <v>0</v>
      </c>
      <c r="I26" s="21">
        <f t="shared" si="6"/>
        <v>3.7252902984619141E-9</v>
      </c>
      <c r="J26" s="21">
        <f t="shared" si="6"/>
        <v>12077022.625233125</v>
      </c>
      <c r="K26" s="21">
        <f t="shared" si="6"/>
        <v>2920977.3747668713</v>
      </c>
      <c r="L26" s="21">
        <f t="shared" si="6"/>
        <v>0</v>
      </c>
      <c r="M26" s="21">
        <f t="shared" si="6"/>
        <v>0</v>
      </c>
      <c r="N26" s="21">
        <f t="shared" si="6"/>
        <v>0</v>
      </c>
    </row>
    <row r="27" spans="1:14" x14ac:dyDescent="0.25">
      <c r="B27" s="19" t="s">
        <v>31</v>
      </c>
      <c r="C27" s="22"/>
      <c r="D27" s="13">
        <f xml:space="preserve"> D25 + D26</f>
        <v>4998000</v>
      </c>
      <c r="E27" s="13">
        <f t="shared" ref="E27:N27" si="7" xml:space="preserve"> E25 + E26</f>
        <v>6866821.6244698772</v>
      </c>
      <c r="F27" s="13">
        <f t="shared" si="7"/>
        <v>1448718.3229714213</v>
      </c>
      <c r="G27" s="13">
        <f t="shared" si="7"/>
        <v>1.862645149230957E-9</v>
      </c>
      <c r="H27" s="13">
        <f t="shared" si="7"/>
        <v>1.862645149230957E-9</v>
      </c>
      <c r="I27" s="13">
        <f t="shared" si="7"/>
        <v>5.5879354476928711E-9</v>
      </c>
      <c r="J27" s="13">
        <f t="shared" si="7"/>
        <v>12077022.625233131</v>
      </c>
      <c r="K27" s="13">
        <f t="shared" si="7"/>
        <v>14998000.000000002</v>
      </c>
      <c r="L27" s="13">
        <f t="shared" si="7"/>
        <v>14998000.000000002</v>
      </c>
      <c r="M27" s="13">
        <f t="shared" si="7"/>
        <v>14998000.000000002</v>
      </c>
      <c r="N27" s="13">
        <f t="shared" si="7"/>
        <v>14998000.000000002</v>
      </c>
    </row>
    <row r="29" spans="1:14" s="9" customFormat="1" x14ac:dyDescent="0.25">
      <c r="A29" s="5" t="s">
        <v>32</v>
      </c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C30" s="12" t="s">
        <v>33</v>
      </c>
      <c r="D30" s="13"/>
      <c r="E30" s="13">
        <f xml:space="preserve"> расчеты!E11</f>
        <v>0</v>
      </c>
      <c r="F30" s="13">
        <f xml:space="preserve"> расчеты!F11</f>
        <v>3204043.2590117864</v>
      </c>
      <c r="G30" s="13">
        <f xml:space="preserve"> расчеты!G11</f>
        <v>7616747.9601491624</v>
      </c>
      <c r="H30" s="13">
        <f xml:space="preserve"> расчеты!H11</f>
        <v>9531579.9092068169</v>
      </c>
      <c r="I30" s="13">
        <f xml:space="preserve"> расчеты!I11</f>
        <v>10021659.419191141</v>
      </c>
      <c r="J30" s="13">
        <f xml:space="preserve"> расчеты!J11</f>
        <v>22613959.677741155</v>
      </c>
      <c r="K30" s="13">
        <f xml:space="preserve"> расчеты!K11</f>
        <v>22046651.614594169</v>
      </c>
      <c r="L30" s="13">
        <f xml:space="preserve"> расчеты!L11</f>
        <v>23853447.006322511</v>
      </c>
      <c r="M30" s="13">
        <f xml:space="preserve"> расчеты!M11</f>
        <v>25905456.853091594</v>
      </c>
      <c r="N30" s="13">
        <f xml:space="preserve"> расчеты!N11</f>
        <v>32025478.336290583</v>
      </c>
    </row>
    <row r="31" spans="1:14" x14ac:dyDescent="0.25">
      <c r="C31" s="15" t="s">
        <v>34</v>
      </c>
      <c r="D31" s="13"/>
      <c r="E31" s="13">
        <f xml:space="preserve"> расчеты!E15</f>
        <v>-8131178.3755301228</v>
      </c>
      <c r="F31" s="13">
        <f xml:space="preserve"> расчеты!F15</f>
        <v>-8622146.5605102424</v>
      </c>
      <c r="G31" s="13">
        <f xml:space="preserve"> расчеты!G15</f>
        <v>-9065466.2831205819</v>
      </c>
      <c r="H31" s="13">
        <f xml:space="preserve"> расчеты!H15</f>
        <v>-9531579.9092068169</v>
      </c>
      <c r="I31" s="13">
        <f xml:space="preserve"> расчеты!I15</f>
        <v>-10021659.419191137</v>
      </c>
      <c r="J31" s="13">
        <f xml:space="preserve"> расчеты!J15</f>
        <v>-10536937.05250803</v>
      </c>
      <c r="K31" s="13">
        <f xml:space="preserve"> расчеты!K15</f>
        <v>-11078708.405905675</v>
      </c>
      <c r="L31" s="13">
        <f xml:space="preserve"> расчеты!L15</f>
        <v>-11648335.691050813</v>
      </c>
      <c r="M31" s="13">
        <f xml:space="preserve"> расчеты!M15</f>
        <v>-12247251.159627952</v>
      </c>
      <c r="N31" s="13">
        <f xml:space="preserve"> расчеты!N15</f>
        <v>-12876960.70454482</v>
      </c>
    </row>
    <row r="32" spans="1:14" x14ac:dyDescent="0.25">
      <c r="C32" s="2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x14ac:dyDescent="0.25">
      <c r="C33" s="20" t="s">
        <v>35</v>
      </c>
      <c r="D33" s="13">
        <f>SUM(D30:D32)</f>
        <v>0</v>
      </c>
      <c r="E33" s="13">
        <f t="shared" ref="E33:N33" si="8">SUM(E30:E32)</f>
        <v>-8131178.3755301228</v>
      </c>
      <c r="F33" s="13">
        <f t="shared" si="8"/>
        <v>-5418103.3014984559</v>
      </c>
      <c r="G33" s="13">
        <f t="shared" si="8"/>
        <v>-1448718.3229714194</v>
      </c>
      <c r="H33" s="13">
        <f t="shared" si="8"/>
        <v>0</v>
      </c>
      <c r="I33" s="13">
        <f t="shared" si="8"/>
        <v>0</v>
      </c>
      <c r="J33" s="13">
        <f t="shared" si="8"/>
        <v>12077022.625233125</v>
      </c>
      <c r="K33" s="13">
        <f t="shared" si="8"/>
        <v>10967943.208688494</v>
      </c>
      <c r="L33" s="13">
        <f t="shared" si="8"/>
        <v>12205111.315271698</v>
      </c>
      <c r="M33" s="13">
        <f t="shared" si="8"/>
        <v>13658205.693463642</v>
      </c>
      <c r="N33" s="13">
        <f t="shared" si="8"/>
        <v>19148517.631745763</v>
      </c>
    </row>
    <row r="34" spans="3:14" x14ac:dyDescent="0.25">
      <c r="C34" s="2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x14ac:dyDescent="0.25">
      <c r="C35" s="22" t="s">
        <v>36</v>
      </c>
      <c r="D35" s="13"/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3:14" x14ac:dyDescent="0.25"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x14ac:dyDescent="0.25">
      <c r="C37" s="20" t="s">
        <v>37</v>
      </c>
      <c r="D37" s="13">
        <f xml:space="preserve"> D33 + D35</f>
        <v>0</v>
      </c>
      <c r="E37" s="13">
        <f t="shared" ref="E37:N37" si="9" xml:space="preserve"> E33 + E35</f>
        <v>-8131178.3755301228</v>
      </c>
      <c r="F37" s="13">
        <f t="shared" si="9"/>
        <v>-5418103.3014984559</v>
      </c>
      <c r="G37" s="13">
        <f t="shared" si="9"/>
        <v>-1448718.3229714194</v>
      </c>
      <c r="H37" s="13">
        <f t="shared" si="9"/>
        <v>0</v>
      </c>
      <c r="I37" s="13">
        <f t="shared" si="9"/>
        <v>0</v>
      </c>
      <c r="J37" s="13">
        <f t="shared" si="9"/>
        <v>12077022.625233125</v>
      </c>
      <c r="K37" s="13">
        <f t="shared" si="9"/>
        <v>10967943.208688494</v>
      </c>
      <c r="L37" s="13">
        <f t="shared" si="9"/>
        <v>12205111.315271698</v>
      </c>
      <c r="M37" s="13">
        <f t="shared" si="9"/>
        <v>13658205.693463642</v>
      </c>
      <c r="N37" s="13">
        <f t="shared" si="9"/>
        <v>19148517.631745763</v>
      </c>
    </row>
    <row r="38" spans="3:14" x14ac:dyDescent="0.25">
      <c r="C38" s="2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x14ac:dyDescent="0.25">
      <c r="C39" s="15" t="s">
        <v>38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x14ac:dyDescent="0.25">
      <c r="C40" s="2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x14ac:dyDescent="0.25">
      <c r="C41" s="27" t="s">
        <v>39</v>
      </c>
      <c r="D41" s="13">
        <f xml:space="preserve"> D37 + D39</f>
        <v>0</v>
      </c>
      <c r="E41" s="13">
        <f t="shared" ref="E41:N41" si="10" xml:space="preserve"> E37 + E39</f>
        <v>-8131178.3755301228</v>
      </c>
      <c r="F41" s="13">
        <f t="shared" si="10"/>
        <v>-5418103.3014984559</v>
      </c>
      <c r="G41" s="13">
        <f t="shared" si="10"/>
        <v>-1448718.3229714194</v>
      </c>
      <c r="H41" s="13">
        <f t="shared" si="10"/>
        <v>0</v>
      </c>
      <c r="I41" s="13">
        <f t="shared" si="10"/>
        <v>0</v>
      </c>
      <c r="J41" s="13">
        <f t="shared" si="10"/>
        <v>12077022.625233125</v>
      </c>
      <c r="K41" s="13">
        <f t="shared" si="10"/>
        <v>10967943.208688494</v>
      </c>
      <c r="L41" s="13">
        <f t="shared" si="10"/>
        <v>12205111.315271698</v>
      </c>
      <c r="M41" s="13">
        <f t="shared" si="10"/>
        <v>13658205.693463642</v>
      </c>
      <c r="N41" s="13">
        <f t="shared" si="10"/>
        <v>19148517.631745763</v>
      </c>
    </row>
    <row r="42" spans="3:14" x14ac:dyDescent="0.25"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x14ac:dyDescent="0.25">
      <c r="C43" s="23" t="s">
        <v>16</v>
      </c>
      <c r="D43" s="13"/>
      <c r="E43" s="13">
        <f xml:space="preserve"> - расчеты!E27</f>
        <v>0</v>
      </c>
      <c r="F43" s="13">
        <f xml:space="preserve"> - расчеты!F27</f>
        <v>0</v>
      </c>
      <c r="G43" s="13">
        <f xml:space="preserve"> - расчеты!G27</f>
        <v>0</v>
      </c>
      <c r="H43" s="13">
        <f xml:space="preserve"> - расчеты!H27</f>
        <v>0</v>
      </c>
      <c r="I43" s="13">
        <f xml:space="preserve"> - расчеты!I27</f>
        <v>0</v>
      </c>
      <c r="J43" s="13">
        <f xml:space="preserve"> - расчеты!J27</f>
        <v>0</v>
      </c>
      <c r="K43" s="13">
        <f xml:space="preserve"> - расчеты!K27</f>
        <v>-1609393.1667843247</v>
      </c>
      <c r="L43" s="13">
        <f xml:space="preserve"> - расчеты!L27</f>
        <v>-2441022.2630543397</v>
      </c>
      <c r="M43" s="13">
        <f xml:space="preserve"> - расчеты!M27</f>
        <v>-2731641.1386927287</v>
      </c>
      <c r="N43" s="13">
        <f xml:space="preserve"> - расчеты!N27</f>
        <v>-3829703.5263491529</v>
      </c>
    </row>
    <row r="44" spans="3:14" x14ac:dyDescent="0.25">
      <c r="C44" s="2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x14ac:dyDescent="0.25">
      <c r="C45" s="23" t="s">
        <v>40</v>
      </c>
      <c r="D45" s="13">
        <f xml:space="preserve"> D41 + D43</f>
        <v>0</v>
      </c>
      <c r="E45" s="13">
        <f t="shared" ref="E45:N45" si="11" xml:space="preserve"> E41 + E43</f>
        <v>-8131178.3755301228</v>
      </c>
      <c r="F45" s="13">
        <f t="shared" si="11"/>
        <v>-5418103.3014984559</v>
      </c>
      <c r="G45" s="13">
        <f t="shared" si="11"/>
        <v>-1448718.3229714194</v>
      </c>
      <c r="H45" s="13">
        <f t="shared" si="11"/>
        <v>0</v>
      </c>
      <c r="I45" s="13">
        <f t="shared" si="11"/>
        <v>0</v>
      </c>
      <c r="J45" s="13">
        <f t="shared" si="11"/>
        <v>12077022.625233125</v>
      </c>
      <c r="K45" s="13">
        <f t="shared" si="11"/>
        <v>9358550.0419041701</v>
      </c>
      <c r="L45" s="13">
        <f t="shared" si="11"/>
        <v>9764089.0522173587</v>
      </c>
      <c r="M45" s="13">
        <f t="shared" si="11"/>
        <v>10926564.554770913</v>
      </c>
      <c r="N45" s="13">
        <f t="shared" si="11"/>
        <v>15318814.10539661</v>
      </c>
    </row>
    <row r="46" spans="3:14" x14ac:dyDescent="0.25">
      <c r="C46" s="2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3:14" x14ac:dyDescent="0.25">
      <c r="C47" s="23" t="s">
        <v>41</v>
      </c>
      <c r="D47" s="13"/>
      <c r="E47" s="13">
        <f xml:space="preserve"> D49</f>
        <v>0</v>
      </c>
      <c r="F47" s="13">
        <f t="shared" ref="F47:N47" si="12" xml:space="preserve"> E49</f>
        <v>-8131178.3755301228</v>
      </c>
      <c r="G47" s="13">
        <f t="shared" si="12"/>
        <v>-13549281.677028578</v>
      </c>
      <c r="H47" s="13">
        <f t="shared" si="12"/>
        <v>-14997999.999999996</v>
      </c>
      <c r="I47" s="13">
        <f t="shared" si="12"/>
        <v>-14997999.999999996</v>
      </c>
      <c r="J47" s="13">
        <f t="shared" si="12"/>
        <v>-14997999.999999996</v>
      </c>
      <c r="K47" s="13">
        <f t="shared" si="12"/>
        <v>-2920977.3747668713</v>
      </c>
      <c r="L47" s="13">
        <f t="shared" si="12"/>
        <v>0</v>
      </c>
      <c r="M47" s="13">
        <f t="shared" si="12"/>
        <v>0</v>
      </c>
      <c r="N47" s="13">
        <f t="shared" si="12"/>
        <v>0</v>
      </c>
    </row>
    <row r="48" spans="3:14" x14ac:dyDescent="0.25">
      <c r="C48" s="23" t="s">
        <v>42</v>
      </c>
      <c r="D48" s="13">
        <f xml:space="preserve"> D22</f>
        <v>0</v>
      </c>
      <c r="E48" s="13">
        <f t="shared" ref="E48:N48" si="13" xml:space="preserve"> E22</f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-6437572.6671372987</v>
      </c>
      <c r="L48" s="13">
        <f t="shared" si="13"/>
        <v>-9764089.0522173587</v>
      </c>
      <c r="M48" s="13">
        <f t="shared" si="13"/>
        <v>-10926564.554770913</v>
      </c>
      <c r="N48" s="13">
        <f t="shared" si="13"/>
        <v>-15318814.10539661</v>
      </c>
    </row>
    <row r="49" spans="1:14" x14ac:dyDescent="0.25">
      <c r="C49" s="22" t="s">
        <v>43</v>
      </c>
      <c r="D49" s="13">
        <f>SUM(D45:D48)</f>
        <v>0</v>
      </c>
      <c r="E49" s="13">
        <f>SUM(E45:E48)</f>
        <v>-8131178.3755301228</v>
      </c>
      <c r="F49" s="13">
        <f t="shared" ref="F49:N49" si="14">SUM(F45:F48)</f>
        <v>-13549281.677028578</v>
      </c>
      <c r="G49" s="13">
        <f t="shared" si="14"/>
        <v>-14997999.999999996</v>
      </c>
      <c r="H49" s="13">
        <f t="shared" si="14"/>
        <v>-14997999.999999996</v>
      </c>
      <c r="I49" s="13">
        <f t="shared" si="14"/>
        <v>-14997999.999999996</v>
      </c>
      <c r="J49" s="13">
        <f t="shared" si="14"/>
        <v>-2920977.3747668713</v>
      </c>
      <c r="K49" s="13">
        <f t="shared" si="14"/>
        <v>0</v>
      </c>
      <c r="L49" s="13">
        <f t="shared" si="14"/>
        <v>0</v>
      </c>
      <c r="M49" s="13">
        <f t="shared" si="14"/>
        <v>0</v>
      </c>
      <c r="N49" s="13">
        <f t="shared" si="14"/>
        <v>0</v>
      </c>
    </row>
    <row r="50" spans="1:14" x14ac:dyDescent="0.25">
      <c r="C50" s="2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2" spans="1:14" s="9" customFormat="1" x14ac:dyDescent="0.25">
      <c r="A52" s="5" t="s">
        <v>44</v>
      </c>
      <c r="B52" s="6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B53" s="2" t="s">
        <v>45</v>
      </c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5">
      <c r="B54" s="11"/>
      <c r="C54" s="12" t="s">
        <v>46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x14ac:dyDescent="0.25">
      <c r="B55" s="29"/>
      <c r="C55" s="15" t="s">
        <v>47</v>
      </c>
      <c r="D55" s="13">
        <f xml:space="preserve"> SUM($D35:D35)</f>
        <v>0</v>
      </c>
      <c r="E55" s="13">
        <f xml:space="preserve"> SUM($D35:E35)</f>
        <v>0</v>
      </c>
      <c r="F55" s="13">
        <f xml:space="preserve"> SUM($D35:F35)</f>
        <v>0</v>
      </c>
      <c r="G55" s="13">
        <f xml:space="preserve"> SUM($D35:G35)</f>
        <v>0</v>
      </c>
      <c r="H55" s="13">
        <f xml:space="preserve"> SUM($D35:H35)</f>
        <v>0</v>
      </c>
      <c r="I55" s="13">
        <f xml:space="preserve"> SUM($D35:I35)</f>
        <v>0</v>
      </c>
      <c r="J55" s="13">
        <f xml:space="preserve"> SUM($D35:J35)</f>
        <v>0</v>
      </c>
      <c r="K55" s="13">
        <f xml:space="preserve"> SUM($D35:K35)</f>
        <v>0</v>
      </c>
      <c r="L55" s="13">
        <f xml:space="preserve"> SUM($D35:L35)</f>
        <v>0</v>
      </c>
      <c r="M55" s="13">
        <f xml:space="preserve"> SUM($D35:M35)</f>
        <v>0</v>
      </c>
      <c r="N55" s="13">
        <f xml:space="preserve"> SUM($D35:N35)</f>
        <v>0</v>
      </c>
    </row>
    <row r="56" spans="1:14" x14ac:dyDescent="0.25">
      <c r="B56" s="29"/>
      <c r="C56" s="15" t="s">
        <v>48</v>
      </c>
      <c r="D56" s="13">
        <f t="shared" ref="D56:N56" si="15">SUM(D54:D55)</f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</row>
    <row r="57" spans="1:14" x14ac:dyDescent="0.25">
      <c r="B57" s="29"/>
      <c r="C57" s="15" t="s">
        <v>133</v>
      </c>
      <c r="D57" s="13">
        <f xml:space="preserve"> - SUM(расчеты!$D6:D6)</f>
        <v>2000</v>
      </c>
      <c r="E57" s="13">
        <f xml:space="preserve"> - SUM(расчеты!$D6:E6)</f>
        <v>2000</v>
      </c>
      <c r="F57" s="13">
        <f xml:space="preserve"> - SUM(расчеты!$D6:F6)</f>
        <v>2000</v>
      </c>
      <c r="G57" s="13">
        <f xml:space="preserve"> - SUM(расчеты!$D6:G6)</f>
        <v>2000</v>
      </c>
      <c r="H57" s="13">
        <f xml:space="preserve"> - SUM(расчеты!$D6:H6)</f>
        <v>2000</v>
      </c>
      <c r="I57" s="13">
        <f xml:space="preserve"> - SUM(расчеты!$D6:I6)</f>
        <v>2000</v>
      </c>
      <c r="J57" s="13">
        <f xml:space="preserve"> - SUM(расчеты!$D6:J6)</f>
        <v>2000</v>
      </c>
      <c r="K57" s="13">
        <f xml:space="preserve"> - SUM(расчеты!$D6:K6)</f>
        <v>2000</v>
      </c>
      <c r="L57" s="13">
        <f xml:space="preserve"> - SUM(расчеты!$D6:L6)</f>
        <v>2000</v>
      </c>
      <c r="M57" s="13">
        <f xml:space="preserve"> - SUM(расчеты!$D6:M6)</f>
        <v>2000</v>
      </c>
      <c r="N57" s="13">
        <f xml:space="preserve"> - SUM(расчеты!$D6:N6)</f>
        <v>2000</v>
      </c>
    </row>
    <row r="58" spans="1:14" x14ac:dyDescent="0.25">
      <c r="B58" s="29"/>
      <c r="C58" s="22" t="s">
        <v>49</v>
      </c>
      <c r="D58" s="13">
        <f xml:space="preserve"> D56 + D57</f>
        <v>2000</v>
      </c>
      <c r="E58" s="13">
        <f t="shared" ref="E58:N58" si="16" xml:space="preserve"> E56 + E57</f>
        <v>2000</v>
      </c>
      <c r="F58" s="13">
        <f t="shared" si="16"/>
        <v>2000</v>
      </c>
      <c r="G58" s="13">
        <f t="shared" si="16"/>
        <v>2000</v>
      </c>
      <c r="H58" s="13">
        <f t="shared" si="16"/>
        <v>2000</v>
      </c>
      <c r="I58" s="13">
        <f t="shared" si="16"/>
        <v>2000</v>
      </c>
      <c r="J58" s="13">
        <f t="shared" si="16"/>
        <v>2000</v>
      </c>
      <c r="K58" s="13">
        <f t="shared" si="16"/>
        <v>2000</v>
      </c>
      <c r="L58" s="13">
        <f t="shared" si="16"/>
        <v>2000</v>
      </c>
      <c r="M58" s="13">
        <f t="shared" si="16"/>
        <v>2000</v>
      </c>
      <c r="N58" s="13">
        <f t="shared" si="16"/>
        <v>2000</v>
      </c>
    </row>
    <row r="59" spans="1:14" x14ac:dyDescent="0.25">
      <c r="B59" s="29" t="s">
        <v>50</v>
      </c>
      <c r="C59" s="2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B60" s="29"/>
      <c r="C60" s="15" t="s">
        <v>51</v>
      </c>
      <c r="D60" s="13">
        <f xml:space="preserve"> - MIN(SUM($D9:D9), 0)</f>
        <v>0</v>
      </c>
      <c r="E60" s="13">
        <f xml:space="preserve"> - MIN(SUM($D9:E9), 0)</f>
        <v>0</v>
      </c>
      <c r="F60" s="13">
        <f xml:space="preserve"> - MIN(SUM($D9:F9), 0)</f>
        <v>0</v>
      </c>
      <c r="G60" s="13">
        <f xml:space="preserve"> - MIN(SUM($D9:G9), 0)</f>
        <v>0</v>
      </c>
      <c r="H60" s="13">
        <f xml:space="preserve"> - MIN(SUM($D9:H9), 0)</f>
        <v>0</v>
      </c>
      <c r="I60" s="13">
        <f xml:space="preserve"> - MIN(SUM($D9:I9), 0)</f>
        <v>0</v>
      </c>
      <c r="J60" s="13">
        <f xml:space="preserve"> - MIN(SUM($D9:J9), 0)</f>
        <v>0</v>
      </c>
      <c r="K60" s="13">
        <f xml:space="preserve"> - MIN(SUM($D9:K9), 0)</f>
        <v>0</v>
      </c>
      <c r="L60" s="13">
        <f xml:space="preserve"> - MIN(SUM($D9:L9), 0)</f>
        <v>0</v>
      </c>
      <c r="M60" s="13">
        <f xml:space="preserve"> - MIN(SUM($D9:M9), 0)</f>
        <v>0</v>
      </c>
      <c r="N60" s="13">
        <f xml:space="preserve"> - MIN(SUM($D9:N9), 0)</f>
        <v>0</v>
      </c>
    </row>
    <row r="61" spans="1:14" x14ac:dyDescent="0.25">
      <c r="B61" s="23"/>
      <c r="C61" s="16" t="s">
        <v>52</v>
      </c>
      <c r="D61" s="13">
        <f xml:space="preserve"> D27</f>
        <v>4998000</v>
      </c>
      <c r="E61" s="13">
        <f t="shared" ref="E61:N61" si="17" xml:space="preserve"> E27</f>
        <v>6866821.6244698772</v>
      </c>
      <c r="F61" s="13">
        <f t="shared" si="17"/>
        <v>1448718.3229714213</v>
      </c>
      <c r="G61" s="13">
        <f t="shared" si="17"/>
        <v>1.862645149230957E-9</v>
      </c>
      <c r="H61" s="13">
        <f t="shared" si="17"/>
        <v>1.862645149230957E-9</v>
      </c>
      <c r="I61" s="13">
        <f t="shared" si="17"/>
        <v>5.5879354476928711E-9</v>
      </c>
      <c r="J61" s="13">
        <f t="shared" si="17"/>
        <v>12077022.625233131</v>
      </c>
      <c r="K61" s="13">
        <f t="shared" si="17"/>
        <v>14998000.000000002</v>
      </c>
      <c r="L61" s="13">
        <f t="shared" si="17"/>
        <v>14998000.000000002</v>
      </c>
      <c r="M61" s="13">
        <f t="shared" si="17"/>
        <v>14998000.000000002</v>
      </c>
      <c r="N61" s="13">
        <f t="shared" si="17"/>
        <v>14998000.000000002</v>
      </c>
    </row>
    <row r="62" spans="1:14" x14ac:dyDescent="0.25">
      <c r="B62" s="29"/>
      <c r="C62" s="22" t="s">
        <v>53</v>
      </c>
      <c r="D62" s="13">
        <f>SUM(D60:D61)</f>
        <v>4998000</v>
      </c>
      <c r="E62" s="13">
        <f t="shared" ref="E62:N62" si="18">SUM(E60:E61)</f>
        <v>6866821.6244698772</v>
      </c>
      <c r="F62" s="13">
        <f t="shared" si="18"/>
        <v>1448718.3229714213</v>
      </c>
      <c r="G62" s="13">
        <f t="shared" si="18"/>
        <v>1.862645149230957E-9</v>
      </c>
      <c r="H62" s="13">
        <f t="shared" si="18"/>
        <v>1.862645149230957E-9</v>
      </c>
      <c r="I62" s="13">
        <f t="shared" si="18"/>
        <v>5.5879354476928711E-9</v>
      </c>
      <c r="J62" s="13">
        <f t="shared" si="18"/>
        <v>12077022.625233131</v>
      </c>
      <c r="K62" s="13">
        <f t="shared" si="18"/>
        <v>14998000.000000002</v>
      </c>
      <c r="L62" s="13">
        <f t="shared" si="18"/>
        <v>14998000.000000002</v>
      </c>
      <c r="M62" s="13">
        <f t="shared" si="18"/>
        <v>14998000.000000002</v>
      </c>
      <c r="N62" s="13">
        <f t="shared" si="18"/>
        <v>14998000.000000002</v>
      </c>
    </row>
    <row r="63" spans="1:14" x14ac:dyDescent="0.25">
      <c r="B63" s="29" t="s">
        <v>54</v>
      </c>
      <c r="C63" s="22"/>
      <c r="D63" s="13">
        <f xml:space="preserve"> D58 + D62</f>
        <v>5000000</v>
      </c>
      <c r="E63" s="13">
        <f t="shared" ref="E63:N63" si="19" xml:space="preserve"> E58 + E62</f>
        <v>6868821.6244698772</v>
      </c>
      <c r="F63" s="13">
        <f t="shared" si="19"/>
        <v>1450718.3229714213</v>
      </c>
      <c r="G63" s="13">
        <f t="shared" si="19"/>
        <v>2000.0000000018626</v>
      </c>
      <c r="H63" s="13">
        <f t="shared" si="19"/>
        <v>2000.0000000018626</v>
      </c>
      <c r="I63" s="13">
        <f t="shared" si="19"/>
        <v>2000.0000000055879</v>
      </c>
      <c r="J63" s="13">
        <f t="shared" si="19"/>
        <v>12079022.625233131</v>
      </c>
      <c r="K63" s="13">
        <f t="shared" si="19"/>
        <v>15000000.000000002</v>
      </c>
      <c r="L63" s="13">
        <f t="shared" si="19"/>
        <v>15000000.000000002</v>
      </c>
      <c r="M63" s="13">
        <f t="shared" si="19"/>
        <v>15000000.000000002</v>
      </c>
      <c r="N63" s="13">
        <f t="shared" si="19"/>
        <v>15000000.000000002</v>
      </c>
    </row>
    <row r="64" spans="1:14" x14ac:dyDescent="0.25">
      <c r="B64" s="23"/>
      <c r="C64" s="1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23"/>
      <c r="C65" s="1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5">
      <c r="B66" s="23" t="s">
        <v>55</v>
      </c>
      <c r="C66" s="2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5">
      <c r="B67" s="23"/>
      <c r="C67" s="15" t="s">
        <v>56</v>
      </c>
      <c r="D67" s="13">
        <f xml:space="preserve"> MAX(SUM($D9:D9), 0)</f>
        <v>0</v>
      </c>
      <c r="E67" s="13">
        <f xml:space="preserve"> MAX(SUM($D9:E9), 0)</f>
        <v>0</v>
      </c>
      <c r="F67" s="13">
        <f xml:space="preserve"> MAX(SUM($D9:F9), 0)</f>
        <v>0</v>
      </c>
      <c r="G67" s="13">
        <f xml:space="preserve"> MAX(SUM($D9:G9), 0)</f>
        <v>0</v>
      </c>
      <c r="H67" s="13">
        <f xml:space="preserve"> MAX(SUM($D9:H9), 0)</f>
        <v>0</v>
      </c>
      <c r="I67" s="13">
        <f xml:space="preserve"> MAX(SUM($D9:I9), 0)</f>
        <v>0</v>
      </c>
      <c r="J67" s="13">
        <f xml:space="preserve"> MAX(SUM($D9:J9), 0)</f>
        <v>0</v>
      </c>
      <c r="K67" s="13">
        <f xml:space="preserve"> MAX(SUM($D9:K9), 0)</f>
        <v>0</v>
      </c>
      <c r="L67" s="13">
        <f xml:space="preserve"> MAX(SUM($D9:L9), 0)</f>
        <v>0</v>
      </c>
      <c r="M67" s="13">
        <f xml:space="preserve"> MAX(SUM($D9:M9), 0)</f>
        <v>0</v>
      </c>
      <c r="N67" s="13">
        <f xml:space="preserve"> MAX(SUM($D9:N9), 0)</f>
        <v>0</v>
      </c>
    </row>
    <row r="68" spans="2:14" x14ac:dyDescent="0.25">
      <c r="B68" s="23"/>
      <c r="C68" s="2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23"/>
      <c r="C69" s="22" t="s">
        <v>57</v>
      </c>
      <c r="D69" s="13">
        <f>SUM(D67:D68)</f>
        <v>0</v>
      </c>
      <c r="E69" s="13">
        <f t="shared" ref="E69:N69" si="20">SUM(E67:E68)</f>
        <v>0</v>
      </c>
      <c r="F69" s="13">
        <f t="shared" si="20"/>
        <v>0</v>
      </c>
      <c r="G69" s="13">
        <f t="shared" si="20"/>
        <v>0</v>
      </c>
      <c r="H69" s="13">
        <f t="shared" si="20"/>
        <v>0</v>
      </c>
      <c r="I69" s="13">
        <f t="shared" si="20"/>
        <v>0</v>
      </c>
      <c r="J69" s="13">
        <f t="shared" si="20"/>
        <v>0</v>
      </c>
      <c r="K69" s="13">
        <f t="shared" si="20"/>
        <v>0</v>
      </c>
      <c r="L69" s="13">
        <f t="shared" si="20"/>
        <v>0</v>
      </c>
      <c r="M69" s="13">
        <f t="shared" si="20"/>
        <v>0</v>
      </c>
      <c r="N69" s="13">
        <f t="shared" si="20"/>
        <v>0</v>
      </c>
    </row>
    <row r="70" spans="2:14" x14ac:dyDescent="0.25">
      <c r="B70" s="23" t="s">
        <v>58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29"/>
      <c r="C71" s="2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23"/>
      <c r="C72" s="23" t="s">
        <v>59</v>
      </c>
      <c r="D72" s="13">
        <f xml:space="preserve"> IF(ISNUMBER(C72), C72 + D19 - D20, D19 - D20)</f>
        <v>0</v>
      </c>
      <c r="E72" s="13">
        <f t="shared" ref="E72:N72" si="21" xml:space="preserve"> IF(ISNUMBER(D72), D72 + E19 - E20, E19 - E20)</f>
        <v>0</v>
      </c>
      <c r="F72" s="13">
        <f t="shared" si="21"/>
        <v>0</v>
      </c>
      <c r="G72" s="13">
        <f t="shared" si="21"/>
        <v>0</v>
      </c>
      <c r="H72" s="13">
        <f t="shared" si="21"/>
        <v>0</v>
      </c>
      <c r="I72" s="13">
        <f t="shared" si="21"/>
        <v>0</v>
      </c>
      <c r="J72" s="13">
        <f t="shared" si="21"/>
        <v>0</v>
      </c>
      <c r="K72" s="13">
        <f t="shared" si="21"/>
        <v>0</v>
      </c>
      <c r="L72" s="13">
        <f t="shared" si="21"/>
        <v>0</v>
      </c>
      <c r="M72" s="13">
        <f t="shared" si="21"/>
        <v>0</v>
      </c>
      <c r="N72" s="13">
        <f t="shared" si="21"/>
        <v>0</v>
      </c>
    </row>
    <row r="73" spans="2:14" x14ac:dyDescent="0.25">
      <c r="B73" s="23"/>
      <c r="C73" s="2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29" t="s">
        <v>60</v>
      </c>
      <c r="C74" s="22"/>
      <c r="D74" s="13">
        <f xml:space="preserve"> D63 - D72</f>
        <v>5000000</v>
      </c>
      <c r="E74" s="13">
        <f t="shared" ref="E74:N74" si="22" xml:space="preserve"> E63 - E72</f>
        <v>6868821.6244698772</v>
      </c>
      <c r="F74" s="13">
        <f t="shared" si="22"/>
        <v>1450718.3229714213</v>
      </c>
      <c r="G74" s="13">
        <f t="shared" si="22"/>
        <v>2000.0000000018626</v>
      </c>
      <c r="H74" s="13">
        <f t="shared" si="22"/>
        <v>2000.0000000018626</v>
      </c>
      <c r="I74" s="13">
        <f t="shared" si="22"/>
        <v>2000.0000000055879</v>
      </c>
      <c r="J74" s="13">
        <f t="shared" si="22"/>
        <v>12079022.625233131</v>
      </c>
      <c r="K74" s="13">
        <f t="shared" si="22"/>
        <v>15000000.000000002</v>
      </c>
      <c r="L74" s="13">
        <f t="shared" si="22"/>
        <v>15000000.000000002</v>
      </c>
      <c r="M74" s="13">
        <f t="shared" si="22"/>
        <v>15000000.000000002</v>
      </c>
      <c r="N74" s="13">
        <f t="shared" si="22"/>
        <v>15000000.000000002</v>
      </c>
    </row>
    <row r="75" spans="2:14" x14ac:dyDescent="0.25">
      <c r="B75" s="23"/>
      <c r="C75" s="2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23" t="s">
        <v>61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23"/>
      <c r="C77" s="2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23"/>
      <c r="C78" s="23" t="s">
        <v>62</v>
      </c>
      <c r="D78" s="13">
        <f xml:space="preserve"> SUM($D18:D18)</f>
        <v>5000000</v>
      </c>
      <c r="E78" s="13">
        <f xml:space="preserve"> SUM($D18:E18)</f>
        <v>15000000</v>
      </c>
      <c r="F78" s="13">
        <f xml:space="preserve"> SUM($D18:F18)</f>
        <v>15000000</v>
      </c>
      <c r="G78" s="13">
        <f xml:space="preserve"> SUM($D18:G18)</f>
        <v>15000000</v>
      </c>
      <c r="H78" s="13">
        <f xml:space="preserve"> SUM($D18:H18)</f>
        <v>15000000</v>
      </c>
      <c r="I78" s="13">
        <f xml:space="preserve"> SUM($D18:I18)</f>
        <v>15000000</v>
      </c>
      <c r="J78" s="13">
        <f xml:space="preserve"> SUM($D18:J18)</f>
        <v>15000000</v>
      </c>
      <c r="K78" s="13">
        <f xml:space="preserve"> SUM($D18:K18)</f>
        <v>15000000</v>
      </c>
      <c r="L78" s="13">
        <f xml:space="preserve"> SUM($D18:L18)</f>
        <v>15000000</v>
      </c>
      <c r="M78" s="13">
        <f xml:space="preserve"> SUM($D18:M18)</f>
        <v>15000000</v>
      </c>
      <c r="N78" s="13">
        <f xml:space="preserve"> SUM($D18:N18)</f>
        <v>15000000</v>
      </c>
    </row>
    <row r="79" spans="2:14" x14ac:dyDescent="0.25">
      <c r="B79" s="23"/>
      <c r="C79" s="22" t="s">
        <v>63</v>
      </c>
      <c r="D79" s="13">
        <f xml:space="preserve"> D49</f>
        <v>0</v>
      </c>
      <c r="E79" s="13">
        <f t="shared" ref="E79:N79" si="23" xml:space="preserve"> E49</f>
        <v>-8131178.3755301228</v>
      </c>
      <c r="F79" s="13">
        <f t="shared" si="23"/>
        <v>-13549281.677028578</v>
      </c>
      <c r="G79" s="13">
        <f t="shared" si="23"/>
        <v>-14997999.999999996</v>
      </c>
      <c r="H79" s="13">
        <f t="shared" si="23"/>
        <v>-14997999.999999996</v>
      </c>
      <c r="I79" s="13">
        <f t="shared" si="23"/>
        <v>-14997999.999999996</v>
      </c>
      <c r="J79" s="13">
        <f t="shared" si="23"/>
        <v>-2920977.3747668713</v>
      </c>
      <c r="K79" s="13">
        <f t="shared" si="23"/>
        <v>0</v>
      </c>
      <c r="L79" s="13">
        <f t="shared" si="23"/>
        <v>0</v>
      </c>
      <c r="M79" s="13">
        <f t="shared" si="23"/>
        <v>0</v>
      </c>
      <c r="N79" s="13">
        <f t="shared" si="23"/>
        <v>0</v>
      </c>
    </row>
    <row r="80" spans="2:14" x14ac:dyDescent="0.25">
      <c r="B80" s="29"/>
      <c r="C80" s="22" t="s">
        <v>64</v>
      </c>
      <c r="D80" s="13">
        <f>SUM(D78:D79)</f>
        <v>5000000</v>
      </c>
      <c r="E80" s="13">
        <f t="shared" ref="E80:N80" si="24">SUM(E78:E79)</f>
        <v>6868821.6244698772</v>
      </c>
      <c r="F80" s="13">
        <f t="shared" si="24"/>
        <v>1450718.3229714222</v>
      </c>
      <c r="G80" s="13">
        <f t="shared" si="24"/>
        <v>2000.0000000037253</v>
      </c>
      <c r="H80" s="13">
        <f t="shared" si="24"/>
        <v>2000.0000000037253</v>
      </c>
      <c r="I80" s="13">
        <f t="shared" si="24"/>
        <v>2000.0000000037253</v>
      </c>
      <c r="J80" s="13">
        <f t="shared" si="24"/>
        <v>12079022.625233129</v>
      </c>
      <c r="K80" s="13">
        <f t="shared" si="24"/>
        <v>15000000</v>
      </c>
      <c r="L80" s="13">
        <f t="shared" si="24"/>
        <v>15000000</v>
      </c>
      <c r="M80" s="13">
        <f t="shared" si="24"/>
        <v>15000000</v>
      </c>
      <c r="N80" s="13">
        <f t="shared" si="24"/>
        <v>15000000</v>
      </c>
    </row>
    <row r="81" spans="2:14" x14ac:dyDescent="0.25">
      <c r="B81" s="29"/>
      <c r="C81" s="2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29" t="s">
        <v>44</v>
      </c>
      <c r="C82" s="22"/>
      <c r="D82" s="13">
        <f xml:space="preserve"> D74 - D80</f>
        <v>0</v>
      </c>
      <c r="E82" s="13">
        <f t="shared" ref="E82:N82" si="25" xml:space="preserve"> E74 - E80</f>
        <v>0</v>
      </c>
      <c r="F82" s="13">
        <f t="shared" si="25"/>
        <v>0</v>
      </c>
      <c r="G82" s="13">
        <f t="shared" si="25"/>
        <v>-1.862645149230957E-9</v>
      </c>
      <c r="H82" s="13">
        <f t="shared" si="25"/>
        <v>-1.862645149230957E-9</v>
      </c>
      <c r="I82" s="13">
        <f t="shared" si="25"/>
        <v>1.862645149230957E-9</v>
      </c>
      <c r="J82" s="13">
        <f t="shared" si="25"/>
        <v>0</v>
      </c>
      <c r="K82" s="13">
        <f t="shared" si="25"/>
        <v>0</v>
      </c>
      <c r="L82" s="13">
        <f t="shared" si="25"/>
        <v>0</v>
      </c>
      <c r="M82" s="13">
        <f t="shared" si="25"/>
        <v>0</v>
      </c>
      <c r="N82" s="13">
        <f t="shared" si="25"/>
        <v>0</v>
      </c>
    </row>
    <row r="83" spans="2:14" x14ac:dyDescent="0.25">
      <c r="B83" s="30" t="s">
        <v>65</v>
      </c>
      <c r="C83" s="31"/>
      <c r="D83" s="13">
        <f t="shared" ref="D83:N83" si="26" xml:space="preserve"> D82 - C82</f>
        <v>0</v>
      </c>
      <c r="E83" s="13">
        <f t="shared" si="26"/>
        <v>0</v>
      </c>
      <c r="F83" s="13">
        <f t="shared" si="26"/>
        <v>0</v>
      </c>
      <c r="G83" s="13">
        <f t="shared" si="26"/>
        <v>-1.862645149230957E-9</v>
      </c>
      <c r="H83" s="13">
        <f t="shared" si="26"/>
        <v>0</v>
      </c>
      <c r="I83" s="13">
        <f t="shared" si="26"/>
        <v>3.7252902984619141E-9</v>
      </c>
      <c r="J83" s="13">
        <f t="shared" si="26"/>
        <v>-1.862645149230957E-9</v>
      </c>
      <c r="K83" s="13">
        <f t="shared" si="26"/>
        <v>0</v>
      </c>
      <c r="L83" s="13">
        <f t="shared" si="26"/>
        <v>0</v>
      </c>
      <c r="M83" s="13">
        <f t="shared" si="26"/>
        <v>0</v>
      </c>
      <c r="N83" s="13">
        <f t="shared" si="26"/>
        <v>0</v>
      </c>
    </row>
    <row r="84" spans="2:14" x14ac:dyDescent="0.25">
      <c r="B84" s="30" t="s">
        <v>66</v>
      </c>
      <c r="C84" s="31"/>
      <c r="D84" s="13">
        <f t="shared" ref="D84:N84" si="27" xml:space="preserve"> D83 / 2</f>
        <v>0</v>
      </c>
      <c r="E84" s="13">
        <f t="shared" si="27"/>
        <v>0</v>
      </c>
      <c r="F84" s="13">
        <f t="shared" si="27"/>
        <v>0</v>
      </c>
      <c r="G84" s="13">
        <f t="shared" si="27"/>
        <v>-9.3132257461547852E-10</v>
      </c>
      <c r="H84" s="13">
        <f t="shared" si="27"/>
        <v>0</v>
      </c>
      <c r="I84" s="13">
        <f t="shared" si="27"/>
        <v>1.862645149230957E-9</v>
      </c>
      <c r="J84" s="13">
        <f t="shared" si="27"/>
        <v>-9.3132257461547852E-10</v>
      </c>
      <c r="K84" s="13">
        <f t="shared" si="27"/>
        <v>0</v>
      </c>
      <c r="L84" s="13">
        <f t="shared" si="27"/>
        <v>0</v>
      </c>
      <c r="M84" s="13">
        <f t="shared" si="27"/>
        <v>0</v>
      </c>
      <c r="N84" s="13">
        <f t="shared" si="2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N63"/>
  <sheetViews>
    <sheetView showGridLines="0" tabSelected="1" workbookViewId="0">
      <pane xSplit="3" ySplit="2" topLeftCell="D3" activePane="bottomRight" state="frozen"/>
      <selection activeCell="F6" sqref="F6"/>
      <selection pane="topRight" activeCell="F6" sqref="F6"/>
      <selection pane="bottomLeft" activeCell="F6" sqref="F6"/>
      <selection pane="bottomRight" activeCell="B11" sqref="B11"/>
    </sheetView>
  </sheetViews>
  <sheetFormatPr defaultRowHeight="15" x14ac:dyDescent="0.25"/>
  <cols>
    <col min="1" max="1" width="3.7109375" style="1" customWidth="1"/>
    <col min="2" max="2" width="52.140625" style="24" customWidth="1"/>
    <col min="3" max="3" width="11.28515625" style="1" customWidth="1"/>
    <col min="4" max="4" width="13.140625" style="1" customWidth="1"/>
    <col min="5" max="9" width="14" style="1" customWidth="1"/>
    <col min="10" max="13" width="14.28515625" style="1" customWidth="1"/>
    <col min="14" max="14" width="14.140625" style="1" customWidth="1"/>
    <col min="15" max="16384" width="9.140625" style="1"/>
  </cols>
  <sheetData>
    <row r="2" spans="1:14" x14ac:dyDescent="0.25">
      <c r="B2" s="2"/>
      <c r="C2" s="3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</row>
    <row r="3" spans="1:14" s="9" customFormat="1" x14ac:dyDescent="0.25">
      <c r="A3" s="5" t="s">
        <v>67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" t="s">
        <v>19</v>
      </c>
      <c r="B4" s="2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5">
      <c r="B5" s="11" t="s">
        <v>68</v>
      </c>
      <c r="C5" s="12"/>
      <c r="D5" s="13">
        <f xml:space="preserve"> вводные!C24</f>
        <v>5000000</v>
      </c>
      <c r="E5" s="13">
        <f xml:space="preserve"> вводные!D24</f>
        <v>10000000</v>
      </c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B6" s="11" t="s">
        <v>132</v>
      </c>
      <c r="C6" s="12"/>
      <c r="D6" s="13">
        <f xml:space="preserve"> - вводные!C25</f>
        <v>-2000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" t="s">
        <v>12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B9" s="29" t="s">
        <v>134</v>
      </c>
      <c r="C9" s="22"/>
      <c r="D9" s="13">
        <v>0</v>
      </c>
      <c r="E9" s="13">
        <v>0</v>
      </c>
      <c r="F9" s="13">
        <v>3204043.2590117864</v>
      </c>
      <c r="G9" s="13">
        <v>3466069.0667267153</v>
      </c>
      <c r="H9" s="13">
        <v>0</v>
      </c>
      <c r="I9" s="13">
        <v>645447.52250252443</v>
      </c>
      <c r="J9" s="13">
        <v>22613959.677741155</v>
      </c>
      <c r="K9" s="13">
        <v>22046651.614594169</v>
      </c>
      <c r="L9" s="13">
        <v>23853447.006322511</v>
      </c>
      <c r="M9" s="13">
        <v>25905456.853091594</v>
      </c>
      <c r="N9" s="13">
        <v>32025478.336290583</v>
      </c>
    </row>
    <row r="10" spans="1:14" x14ac:dyDescent="0.25">
      <c r="B10" s="29" t="s">
        <v>136</v>
      </c>
      <c r="C10" s="22"/>
      <c r="D10" s="13"/>
      <c r="E10" s="13">
        <f xml:space="preserve"> E29</f>
        <v>0</v>
      </c>
      <c r="F10" s="13">
        <f t="shared" ref="F10:N10" si="0" xml:space="preserve"> F29</f>
        <v>0</v>
      </c>
      <c r="G10" s="13">
        <f t="shared" si="0"/>
        <v>4150678.8934224471</v>
      </c>
      <c r="H10" s="13">
        <f t="shared" si="0"/>
        <v>9531579.9092068169</v>
      </c>
      <c r="I10" s="13">
        <f t="shared" si="0"/>
        <v>9376211.8966886159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</row>
    <row r="11" spans="1:14" s="32" customFormat="1" x14ac:dyDescent="0.25">
      <c r="B11" s="33" t="s">
        <v>69</v>
      </c>
      <c r="C11" s="34"/>
      <c r="D11" s="35"/>
      <c r="E11" s="35">
        <f>SUM(E9:E10)</f>
        <v>0</v>
      </c>
      <c r="F11" s="35">
        <f t="shared" ref="F11:N11" si="1">SUM(F9:F10)</f>
        <v>3204043.2590117864</v>
      </c>
      <c r="G11" s="35">
        <f t="shared" si="1"/>
        <v>7616747.9601491624</v>
      </c>
      <c r="H11" s="35">
        <f t="shared" si="1"/>
        <v>9531579.9092068169</v>
      </c>
      <c r="I11" s="35">
        <f t="shared" si="1"/>
        <v>10021659.419191141</v>
      </c>
      <c r="J11" s="35">
        <f t="shared" si="1"/>
        <v>22613959.677741155</v>
      </c>
      <c r="K11" s="35">
        <f t="shared" si="1"/>
        <v>22046651.614594169</v>
      </c>
      <c r="L11" s="35">
        <f t="shared" si="1"/>
        <v>23853447.006322511</v>
      </c>
      <c r="M11" s="35">
        <f t="shared" si="1"/>
        <v>25905456.853091594</v>
      </c>
      <c r="N11" s="35">
        <f t="shared" si="1"/>
        <v>32025478.336290583</v>
      </c>
    </row>
    <row r="12" spans="1:14" x14ac:dyDescent="0.25">
      <c r="B12" s="29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B13" s="29" t="s">
        <v>70</v>
      </c>
      <c r="C13" s="22"/>
      <c r="D13" s="13"/>
      <c r="E13" s="13">
        <f xml:space="preserve"> - Индексы!C$7 * вводные!$D$14</f>
        <v>-7812076.128656514</v>
      </c>
      <c r="F13" s="13">
        <f xml:space="preserve"> - Индексы!D$7 * вводные!$D$14</f>
        <v>-8283776.6203534435</v>
      </c>
      <c r="G13" s="13">
        <f xml:space="preserve"> - Индексы!E$7 * вводные!$D$14</f>
        <v>-8709698.5793144125</v>
      </c>
      <c r="H13" s="13">
        <f xml:space="preserve"> - Индексы!F$7 * вводные!$D$14</f>
        <v>-9157519.9114042297</v>
      </c>
      <c r="I13" s="13">
        <f xml:space="preserve"> - Индексы!G$7 * вводные!$D$14</f>
        <v>-9628366.6035163775</v>
      </c>
      <c r="J13" s="13">
        <f xml:space="preserve"> - Индексы!H$7 * вводные!$D$14</f>
        <v>-10123422.536735047</v>
      </c>
      <c r="K13" s="13">
        <f xml:space="preserve"> - Индексы!I$7 * вводные!$D$14</f>
        <v>-10643932.46304591</v>
      </c>
      <c r="L13" s="13">
        <f xml:space="preserve"> - Индексы!J$7 * вводные!$D$14</f>
        <v>-11191205.13509864</v>
      </c>
      <c r="M13" s="13">
        <f xml:space="preserve"> - Индексы!K$7 * вводные!$D$14</f>
        <v>-11766616.596890556</v>
      </c>
      <c r="N13" s="13">
        <f xml:space="preserve"> - Индексы!L$7 * вводные!$D$14</f>
        <v>-12371613.643645355</v>
      </c>
    </row>
    <row r="14" spans="1:14" x14ac:dyDescent="0.25">
      <c r="B14" s="29" t="s">
        <v>71</v>
      </c>
      <c r="C14" s="31"/>
      <c r="D14" s="13"/>
      <c r="E14" s="13">
        <f xml:space="preserve"> - Индексы!C$7 * вводные!$D$22</f>
        <v>-319102.2468736092</v>
      </c>
      <c r="F14" s="13">
        <f xml:space="preserve"> - Индексы!D$7 * вводные!$D$22</f>
        <v>-338369.94015679823</v>
      </c>
      <c r="G14" s="13">
        <f xml:space="preserve"> - Индексы!E$7 * вводные!$D$22</f>
        <v>-355767.70380616863</v>
      </c>
      <c r="H14" s="13">
        <f xml:space="preserve"> - Индексы!F$7 * вводные!$D$22</f>
        <v>-374059.99780258787</v>
      </c>
      <c r="I14" s="13">
        <f xml:space="preserve"> - Индексы!G$7 * вводные!$D$22</f>
        <v>-393292.8156747598</v>
      </c>
      <c r="J14" s="13">
        <f xml:space="preserve"> - Индексы!H$7 * вводные!$D$22</f>
        <v>-413514.51577298401</v>
      </c>
      <c r="K14" s="13">
        <f xml:space="preserve"> - Индексы!I$7 * вводные!$D$22</f>
        <v>-434775.94285976503</v>
      </c>
      <c r="L14" s="13">
        <f xml:space="preserve"> - Индексы!J$7 * вводные!$D$22</f>
        <v>-457130.55595217273</v>
      </c>
      <c r="M14" s="13">
        <f xml:space="preserve"> - Индексы!K$7 * вводные!$D$22</f>
        <v>-480634.56273739657</v>
      </c>
      <c r="N14" s="13">
        <f xml:space="preserve"> - Индексы!L$7 * вводные!$D$22</f>
        <v>-505347.06089946395</v>
      </c>
    </row>
    <row r="15" spans="1:14" s="32" customFormat="1" x14ac:dyDescent="0.25">
      <c r="B15" s="33" t="s">
        <v>72</v>
      </c>
      <c r="C15" s="34"/>
      <c r="D15" s="35"/>
      <c r="E15" s="35">
        <f>SUM(E13:E14)</f>
        <v>-8131178.3755301228</v>
      </c>
      <c r="F15" s="35">
        <f t="shared" ref="F15:N15" si="2">SUM(F13:F14)</f>
        <v>-8622146.5605102424</v>
      </c>
      <c r="G15" s="35">
        <f t="shared" si="2"/>
        <v>-9065466.2831205819</v>
      </c>
      <c r="H15" s="35">
        <f t="shared" si="2"/>
        <v>-9531579.9092068169</v>
      </c>
      <c r="I15" s="35">
        <f t="shared" si="2"/>
        <v>-10021659.419191137</v>
      </c>
      <c r="J15" s="35">
        <f t="shared" si="2"/>
        <v>-10536937.05250803</v>
      </c>
      <c r="K15" s="35">
        <f t="shared" si="2"/>
        <v>-11078708.405905675</v>
      </c>
      <c r="L15" s="35">
        <f t="shared" si="2"/>
        <v>-11648335.691050813</v>
      </c>
      <c r="M15" s="35">
        <f t="shared" si="2"/>
        <v>-12247251.159627952</v>
      </c>
      <c r="N15" s="35">
        <f t="shared" si="2"/>
        <v>-12876960.70454482</v>
      </c>
    </row>
    <row r="17" spans="1:14" x14ac:dyDescent="0.25">
      <c r="B17" s="36" t="s">
        <v>73</v>
      </c>
      <c r="E17" s="37">
        <f xml:space="preserve"> 'Формы отчетности ПК'!E41</f>
        <v>-8131178.3755301228</v>
      </c>
      <c r="F17" s="37">
        <f xml:space="preserve"> 'Формы отчетности ПК'!F41</f>
        <v>-5418103.3014984559</v>
      </c>
      <c r="G17" s="37">
        <f xml:space="preserve"> 'Формы отчетности ПК'!G41</f>
        <v>-1448718.3229714194</v>
      </c>
      <c r="H17" s="37">
        <f xml:space="preserve"> 'Формы отчетности ПК'!H41</f>
        <v>0</v>
      </c>
      <c r="I17" s="37">
        <f xml:space="preserve"> 'Формы отчетности ПК'!I41</f>
        <v>0</v>
      </c>
      <c r="J17" s="37">
        <f xml:space="preserve"> 'Формы отчетности ПК'!J41</f>
        <v>12077022.625233125</v>
      </c>
      <c r="K17" s="37">
        <f xml:space="preserve"> 'Формы отчетности ПК'!K41</f>
        <v>10967943.208688494</v>
      </c>
      <c r="L17" s="37">
        <f xml:space="preserve"> 'Формы отчетности ПК'!L41</f>
        <v>12205111.315271698</v>
      </c>
      <c r="M17" s="37">
        <f xml:space="preserve"> 'Формы отчетности ПК'!M41</f>
        <v>13658205.693463642</v>
      </c>
      <c r="N17" s="37">
        <f xml:space="preserve"> 'Формы отчетности ПК'!N41</f>
        <v>19148517.631745763</v>
      </c>
    </row>
    <row r="18" spans="1:14" ht="15.75" thickBot="1" x14ac:dyDescent="0.3">
      <c r="B18" s="36" t="s">
        <v>74</v>
      </c>
      <c r="E18" s="38">
        <f xml:space="preserve"> E24</f>
        <v>0</v>
      </c>
      <c r="F18" s="37">
        <f t="shared" ref="F18:N18" si="3" xml:space="preserve"> F24</f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-12077022.625233125</v>
      </c>
      <c r="K18" s="37">
        <f t="shared" si="3"/>
        <v>-2920977.3747668713</v>
      </c>
      <c r="L18" s="37">
        <f t="shared" si="3"/>
        <v>0</v>
      </c>
      <c r="M18" s="37">
        <f t="shared" si="3"/>
        <v>0</v>
      </c>
      <c r="N18" s="37">
        <f t="shared" si="3"/>
        <v>0</v>
      </c>
    </row>
    <row r="19" spans="1:14" ht="15.75" thickTop="1" x14ac:dyDescent="0.25">
      <c r="B19" s="36" t="s">
        <v>75</v>
      </c>
      <c r="E19" s="39">
        <f t="shared" ref="E19:N19" si="4" xml:space="preserve"> SUM(E17:E18)</f>
        <v>-8131178.3755301228</v>
      </c>
      <c r="F19" s="39">
        <f t="shared" si="4"/>
        <v>-5418103.3014984559</v>
      </c>
      <c r="G19" s="39">
        <f t="shared" si="4"/>
        <v>-1448718.3229714194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8046965.8339216225</v>
      </c>
      <c r="L19" s="39">
        <f t="shared" si="4"/>
        <v>12205111.315271698</v>
      </c>
      <c r="M19" s="39">
        <f t="shared" si="4"/>
        <v>13658205.693463642</v>
      </c>
      <c r="N19" s="39">
        <f t="shared" si="4"/>
        <v>19148517.631745763</v>
      </c>
    </row>
    <row r="20" spans="1:14" x14ac:dyDescent="0.25">
      <c r="B20" s="36"/>
      <c r="E20" s="40"/>
      <c r="F20" s="41"/>
      <c r="G20" s="41"/>
      <c r="H20" s="42"/>
      <c r="I20" s="42"/>
      <c r="J20" s="42"/>
      <c r="K20" s="42"/>
      <c r="L20" s="42"/>
      <c r="M20" s="42"/>
      <c r="N20" s="42"/>
    </row>
    <row r="21" spans="1:14" x14ac:dyDescent="0.25">
      <c r="B21" s="36" t="s">
        <v>76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B22" s="36" t="s">
        <v>77</v>
      </c>
      <c r="E22" s="37"/>
      <c r="F22" s="37">
        <f xml:space="preserve"> E25</f>
        <v>8131178.3755301228</v>
      </c>
      <c r="G22" s="37">
        <f t="shared" ref="G22:N22" si="5" xml:space="preserve"> F25</f>
        <v>13549281.677028578</v>
      </c>
      <c r="H22" s="37">
        <f t="shared" si="5"/>
        <v>14997999.999999996</v>
      </c>
      <c r="I22" s="37">
        <f t="shared" si="5"/>
        <v>14997999.999999996</v>
      </c>
      <c r="J22" s="37">
        <f t="shared" si="5"/>
        <v>14997999.999999996</v>
      </c>
      <c r="K22" s="37">
        <f t="shared" si="5"/>
        <v>2920977.3747668713</v>
      </c>
      <c r="L22" s="37">
        <f t="shared" si="5"/>
        <v>0</v>
      </c>
      <c r="M22" s="37">
        <f t="shared" si="5"/>
        <v>0</v>
      </c>
      <c r="N22" s="37">
        <f t="shared" si="5"/>
        <v>0</v>
      </c>
    </row>
    <row r="23" spans="1:14" x14ac:dyDescent="0.25">
      <c r="B23" s="36" t="s">
        <v>78</v>
      </c>
      <c r="E23" s="37">
        <f xml:space="preserve"> - MIN(E17, 0)</f>
        <v>8131178.3755301228</v>
      </c>
      <c r="F23" s="37">
        <f t="shared" ref="F23:N23" si="6" xml:space="preserve"> - MIN(F17, 0)</f>
        <v>5418103.3014984559</v>
      </c>
      <c r="G23" s="37">
        <f t="shared" si="6"/>
        <v>1448718.3229714194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0</v>
      </c>
    </row>
    <row r="24" spans="1:14" x14ac:dyDescent="0.25">
      <c r="B24" s="36" t="s">
        <v>79</v>
      </c>
      <c r="E24" s="37">
        <f xml:space="preserve"> - MIN(E17, E22) * (E17 &gt; 0.01)</f>
        <v>0</v>
      </c>
      <c r="F24" s="37">
        <f t="shared" ref="F24:N24" si="7" xml:space="preserve"> - MIN(F17, F22) * (F17 &gt; 0.01)</f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  <c r="J24" s="37">
        <f t="shared" si="7"/>
        <v>-12077022.625233125</v>
      </c>
      <c r="K24" s="37">
        <f t="shared" si="7"/>
        <v>-2920977.3747668713</v>
      </c>
      <c r="L24" s="37">
        <f t="shared" si="7"/>
        <v>0</v>
      </c>
      <c r="M24" s="37">
        <f t="shared" si="7"/>
        <v>0</v>
      </c>
      <c r="N24" s="37">
        <f t="shared" si="7"/>
        <v>0</v>
      </c>
    </row>
    <row r="25" spans="1:14" x14ac:dyDescent="0.25">
      <c r="B25" s="36" t="s">
        <v>80</v>
      </c>
      <c r="E25" s="37">
        <f>SUM(E22:E24)</f>
        <v>8131178.3755301228</v>
      </c>
      <c r="F25" s="37">
        <f t="shared" ref="F25:N25" si="8">SUM(F22:F24)</f>
        <v>13549281.677028578</v>
      </c>
      <c r="G25" s="37">
        <f t="shared" si="8"/>
        <v>14997999.999999996</v>
      </c>
      <c r="H25" s="37">
        <f t="shared" si="8"/>
        <v>14997999.999999996</v>
      </c>
      <c r="I25" s="37">
        <f t="shared" si="8"/>
        <v>14997999.999999996</v>
      </c>
      <c r="J25" s="37">
        <f t="shared" si="8"/>
        <v>2920977.3747668713</v>
      </c>
      <c r="K25" s="37">
        <f t="shared" si="8"/>
        <v>0</v>
      </c>
      <c r="L25" s="37">
        <f t="shared" si="8"/>
        <v>0</v>
      </c>
      <c r="M25" s="37">
        <f t="shared" si="8"/>
        <v>0</v>
      </c>
      <c r="N25" s="37">
        <f t="shared" si="8"/>
        <v>0</v>
      </c>
    </row>
    <row r="26" spans="1:14" x14ac:dyDescent="0.25">
      <c r="B26" s="40"/>
      <c r="E26" s="40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B27" s="44" t="s">
        <v>81</v>
      </c>
      <c r="E27" s="45">
        <f xml:space="preserve"> MAX(E19, 0) * 20%</f>
        <v>0</v>
      </c>
      <c r="F27" s="45">
        <f t="shared" ref="F27:N27" si="9" xml:space="preserve"> MAX(F19, 0) * 20%</f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1609393.1667843247</v>
      </c>
      <c r="L27" s="45">
        <f t="shared" si="9"/>
        <v>2441022.2630543397</v>
      </c>
      <c r="M27" s="45">
        <f t="shared" si="9"/>
        <v>2731641.1386927287</v>
      </c>
      <c r="N27" s="45">
        <f t="shared" si="9"/>
        <v>3829703.5263491529</v>
      </c>
    </row>
    <row r="29" spans="1:14" x14ac:dyDescent="0.25">
      <c r="B29" s="24" t="s">
        <v>82</v>
      </c>
      <c r="E29" s="13">
        <f xml:space="preserve"> - MIN(SUM($D5:E6, $E9:E9, $E15:E15) + SUM($D10:D10), 0)</f>
        <v>0</v>
      </c>
      <c r="F29" s="13">
        <f xml:space="preserve"> - MIN(SUM($D5:F6, $E9:F9, $E15:F15) + SUM($D10:E10), 0)</f>
        <v>0</v>
      </c>
      <c r="G29" s="13">
        <f xml:space="preserve"> - MIN(SUM($D5:G6, $E9:G9, $E15:G15) + SUM($D10:F10), 0)</f>
        <v>4150678.8934224471</v>
      </c>
      <c r="H29" s="13">
        <f xml:space="preserve"> - MIN(SUM($D5:H6, $E9:H9, $E15:H15) + SUM($D10:G10), 0)</f>
        <v>9531579.9092068169</v>
      </c>
      <c r="I29" s="13">
        <f xml:space="preserve"> - MIN(SUM($D5:I6, $E9:I9, $E15:I15) + SUM($D10:H10), 0)</f>
        <v>9376211.8966886159</v>
      </c>
      <c r="J29" s="13">
        <f xml:space="preserve"> - MIN(SUM($D5:J6, $E9:J9, $E15:J15) + SUM($D10:I10), 0)</f>
        <v>0</v>
      </c>
      <c r="K29" s="13">
        <f xml:space="preserve"> - MIN(SUM($D5:K6, $E9:K9, $E15:K15) + SUM($D10:J10), 0)</f>
        <v>0</v>
      </c>
      <c r="L29" s="13">
        <f xml:space="preserve"> - MIN(SUM($D5:L6, $E9:L9, $E15:L15) + SUM($D10:K10), 0)</f>
        <v>0</v>
      </c>
      <c r="M29" s="13">
        <f xml:space="preserve"> - MIN(SUM($D5:M6, $E9:M9, $E15:M15) + SUM($D10:L10), 0)</f>
        <v>0</v>
      </c>
      <c r="N29" s="13">
        <f xml:space="preserve"> - MIN(SUM($D5:N6, $E9:N9, $E15:N15) + SUM($D10:M10), 0)</f>
        <v>0</v>
      </c>
    </row>
    <row r="31" spans="1:14" x14ac:dyDescent="0.25">
      <c r="A31" s="1" t="s">
        <v>83</v>
      </c>
    </row>
    <row r="32" spans="1:14" x14ac:dyDescent="0.25">
      <c r="B32" s="24" t="s">
        <v>84</v>
      </c>
      <c r="D32" s="46">
        <f xml:space="preserve"> D6 + D9 + D10 + D15 - D47</f>
        <v>-2000</v>
      </c>
      <c r="E32" s="46">
        <f t="shared" ref="E32:N32" si="10" xml:space="preserve"> E6 + E9 + E10 + E15 - E47</f>
        <v>-8131178.3755301228</v>
      </c>
      <c r="F32" s="46">
        <f t="shared" si="10"/>
        <v>-5418103.3014984559</v>
      </c>
      <c r="G32" s="46">
        <f t="shared" si="10"/>
        <v>-1448718.3229714194</v>
      </c>
      <c r="H32" s="46">
        <f t="shared" si="10"/>
        <v>0</v>
      </c>
      <c r="I32" s="46">
        <f t="shared" si="10"/>
        <v>3.7252902984619141E-9</v>
      </c>
      <c r="J32" s="46">
        <f t="shared" si="10"/>
        <v>12077022.625233125</v>
      </c>
      <c r="K32" s="46">
        <f t="shared" si="10"/>
        <v>10967943.208688494</v>
      </c>
      <c r="L32" s="46">
        <f t="shared" si="10"/>
        <v>12205111.315271698</v>
      </c>
      <c r="M32" s="46">
        <f t="shared" si="10"/>
        <v>11487843.264795825</v>
      </c>
      <c r="N32" s="46">
        <f t="shared" si="10"/>
        <v>15318814.10539661</v>
      </c>
    </row>
    <row r="33" spans="1:14" x14ac:dyDescent="0.25">
      <c r="B33" s="24" t="s">
        <v>85</v>
      </c>
      <c r="C33" s="47">
        <f xml:space="preserve"> IRR(D32:N32)</f>
        <v>0.24970148853396967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5">
      <c r="B34" s="48" t="s">
        <v>86</v>
      </c>
      <c r="C34" s="46">
        <f xml:space="preserve"> NPV(вводные!$C$27, D32:N32)</f>
        <v>7186510.6026496598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6" spans="1:14" x14ac:dyDescent="0.25">
      <c r="A36" s="1" t="s">
        <v>87</v>
      </c>
    </row>
    <row r="37" spans="1:14" x14ac:dyDescent="0.25">
      <c r="B37" s="36" t="s">
        <v>73</v>
      </c>
      <c r="E37" s="37">
        <f xml:space="preserve"> E9 + E15</f>
        <v>-8131178.3755301228</v>
      </c>
      <c r="F37" s="37">
        <f t="shared" ref="F37:N37" si="11" xml:space="preserve"> F9 + F15</f>
        <v>-5418103.3014984559</v>
      </c>
      <c r="G37" s="37">
        <f t="shared" si="11"/>
        <v>-5599397.2163938666</v>
      </c>
      <c r="H37" s="37">
        <f t="shared" si="11"/>
        <v>-9531579.9092068169</v>
      </c>
      <c r="I37" s="37">
        <f t="shared" si="11"/>
        <v>-9376211.8966886122</v>
      </c>
      <c r="J37" s="37">
        <f t="shared" si="11"/>
        <v>12077022.625233125</v>
      </c>
      <c r="K37" s="37">
        <f t="shared" si="11"/>
        <v>10967943.208688494</v>
      </c>
      <c r="L37" s="37">
        <f t="shared" si="11"/>
        <v>12205111.315271698</v>
      </c>
      <c r="M37" s="37">
        <f t="shared" si="11"/>
        <v>13658205.693463642</v>
      </c>
      <c r="N37" s="37">
        <f t="shared" si="11"/>
        <v>19148517.631745763</v>
      </c>
    </row>
    <row r="38" spans="1:14" ht="15.75" thickBot="1" x14ac:dyDescent="0.3">
      <c r="B38" s="36" t="s">
        <v>74</v>
      </c>
      <c r="E38" s="38">
        <f xml:space="preserve"> E44</f>
        <v>0</v>
      </c>
      <c r="F38" s="37">
        <f t="shared" ref="F38:N38" si="12" xml:space="preserve"> F44</f>
        <v>0</v>
      </c>
      <c r="G38" s="37">
        <f t="shared" si="12"/>
        <v>0</v>
      </c>
      <c r="H38" s="37">
        <f t="shared" si="12"/>
        <v>0</v>
      </c>
      <c r="I38" s="37">
        <f t="shared" si="12"/>
        <v>0</v>
      </c>
      <c r="J38" s="37">
        <f t="shared" si="12"/>
        <v>-12077022.625233125</v>
      </c>
      <c r="K38" s="37">
        <f t="shared" si="12"/>
        <v>-10967943.208688494</v>
      </c>
      <c r="L38" s="37">
        <f t="shared" si="12"/>
        <v>-12205111.315271698</v>
      </c>
      <c r="M38" s="37">
        <f t="shared" si="12"/>
        <v>-2806393.5501245558</v>
      </c>
      <c r="N38" s="37">
        <f t="shared" si="12"/>
        <v>0</v>
      </c>
    </row>
    <row r="39" spans="1:14" ht="15.75" thickTop="1" x14ac:dyDescent="0.25">
      <c r="B39" s="36" t="s">
        <v>75</v>
      </c>
      <c r="E39" s="39">
        <f t="shared" ref="E39:N39" si="13" xml:space="preserve"> SUM(E37:E38)</f>
        <v>-8131178.3755301228</v>
      </c>
      <c r="F39" s="39">
        <f t="shared" si="13"/>
        <v>-5418103.3014984559</v>
      </c>
      <c r="G39" s="39">
        <f t="shared" si="13"/>
        <v>-5599397.2163938666</v>
      </c>
      <c r="H39" s="39">
        <f t="shared" si="13"/>
        <v>-9531579.9092068169</v>
      </c>
      <c r="I39" s="39">
        <f t="shared" si="13"/>
        <v>-9376211.8966886122</v>
      </c>
      <c r="J39" s="39">
        <f t="shared" si="13"/>
        <v>0</v>
      </c>
      <c r="K39" s="39">
        <f t="shared" si="13"/>
        <v>0</v>
      </c>
      <c r="L39" s="39">
        <f t="shared" si="13"/>
        <v>0</v>
      </c>
      <c r="M39" s="39">
        <f t="shared" si="13"/>
        <v>10851812.143339086</v>
      </c>
      <c r="N39" s="39">
        <f t="shared" si="13"/>
        <v>19148517.631745763</v>
      </c>
    </row>
    <row r="40" spans="1:14" x14ac:dyDescent="0.25">
      <c r="B40" s="36"/>
      <c r="E40" s="40"/>
      <c r="F40" s="41"/>
      <c r="G40" s="41"/>
      <c r="H40" s="42"/>
      <c r="I40" s="42"/>
      <c r="J40" s="42"/>
      <c r="K40" s="42"/>
      <c r="L40" s="42"/>
      <c r="M40" s="42"/>
      <c r="N40" s="42"/>
    </row>
    <row r="41" spans="1:14" x14ac:dyDescent="0.25">
      <c r="B41" s="36" t="s">
        <v>76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x14ac:dyDescent="0.25">
      <c r="B42" s="36" t="s">
        <v>77</v>
      </c>
      <c r="E42" s="37"/>
      <c r="F42" s="37">
        <f xml:space="preserve"> E45</f>
        <v>8131178.3755301228</v>
      </c>
      <c r="G42" s="37">
        <f t="shared" ref="G42:N42" si="14" xml:space="preserve"> F45</f>
        <v>13549281.677028578</v>
      </c>
      <c r="H42" s="37">
        <f t="shared" si="14"/>
        <v>19148678.893422443</v>
      </c>
      <c r="I42" s="37">
        <f t="shared" si="14"/>
        <v>28680258.802629262</v>
      </c>
      <c r="J42" s="37">
        <f t="shared" si="14"/>
        <v>38056470.699317873</v>
      </c>
      <c r="K42" s="37">
        <f t="shared" si="14"/>
        <v>25979448.074084748</v>
      </c>
      <c r="L42" s="37">
        <f t="shared" si="14"/>
        <v>15011504.865396254</v>
      </c>
      <c r="M42" s="37">
        <f t="shared" si="14"/>
        <v>2806393.5501245558</v>
      </c>
      <c r="N42" s="37">
        <f t="shared" si="14"/>
        <v>0</v>
      </c>
    </row>
    <row r="43" spans="1:14" x14ac:dyDescent="0.25">
      <c r="B43" s="36" t="s">
        <v>78</v>
      </c>
      <c r="E43" s="37">
        <f xml:space="preserve"> - MIN(E37, 0)</f>
        <v>8131178.3755301228</v>
      </c>
      <c r="F43" s="37">
        <f t="shared" ref="F43:N43" si="15" xml:space="preserve"> - MIN(F37, 0)</f>
        <v>5418103.3014984559</v>
      </c>
      <c r="G43" s="37">
        <f t="shared" si="15"/>
        <v>5599397.2163938666</v>
      </c>
      <c r="H43" s="37">
        <f t="shared" si="15"/>
        <v>9531579.9092068169</v>
      </c>
      <c r="I43" s="37">
        <f t="shared" si="15"/>
        <v>9376211.8966886122</v>
      </c>
      <c r="J43" s="37">
        <f t="shared" si="15"/>
        <v>0</v>
      </c>
      <c r="K43" s="37">
        <f t="shared" si="15"/>
        <v>0</v>
      </c>
      <c r="L43" s="37">
        <f t="shared" si="15"/>
        <v>0</v>
      </c>
      <c r="M43" s="37">
        <f t="shared" si="15"/>
        <v>0</v>
      </c>
      <c r="N43" s="37">
        <f t="shared" si="15"/>
        <v>0</v>
      </c>
    </row>
    <row r="44" spans="1:14" x14ac:dyDescent="0.25">
      <c r="B44" s="36" t="s">
        <v>79</v>
      </c>
      <c r="E44" s="37">
        <f xml:space="preserve"> - MIN(E37, E42) * (E37 &gt; 0.01)</f>
        <v>0</v>
      </c>
      <c r="F44" s="37">
        <f t="shared" ref="F44:N44" si="16" xml:space="preserve"> - MIN(F37, F42) * (F37 &gt; 0.01)</f>
        <v>0</v>
      </c>
      <c r="G44" s="37">
        <f t="shared" si="16"/>
        <v>0</v>
      </c>
      <c r="H44" s="37">
        <f t="shared" si="16"/>
        <v>0</v>
      </c>
      <c r="I44" s="37">
        <f t="shared" si="16"/>
        <v>0</v>
      </c>
      <c r="J44" s="37">
        <f t="shared" si="16"/>
        <v>-12077022.625233125</v>
      </c>
      <c r="K44" s="37">
        <f t="shared" si="16"/>
        <v>-10967943.208688494</v>
      </c>
      <c r="L44" s="37">
        <f t="shared" si="16"/>
        <v>-12205111.315271698</v>
      </c>
      <c r="M44" s="37">
        <f t="shared" si="16"/>
        <v>-2806393.5501245558</v>
      </c>
      <c r="N44" s="37">
        <f t="shared" si="16"/>
        <v>0</v>
      </c>
    </row>
    <row r="45" spans="1:14" x14ac:dyDescent="0.25">
      <c r="B45" s="36" t="s">
        <v>80</v>
      </c>
      <c r="E45" s="37">
        <f>SUM(E42:E44)</f>
        <v>8131178.3755301228</v>
      </c>
      <c r="F45" s="37">
        <f t="shared" ref="F45:N45" si="17">SUM(F42:F44)</f>
        <v>13549281.677028578</v>
      </c>
      <c r="G45" s="37">
        <f t="shared" si="17"/>
        <v>19148678.893422443</v>
      </c>
      <c r="H45" s="37">
        <f t="shared" si="17"/>
        <v>28680258.802629262</v>
      </c>
      <c r="I45" s="37">
        <f t="shared" si="17"/>
        <v>38056470.699317873</v>
      </c>
      <c r="J45" s="37">
        <f t="shared" si="17"/>
        <v>25979448.074084748</v>
      </c>
      <c r="K45" s="37">
        <f t="shared" si="17"/>
        <v>15011504.865396254</v>
      </c>
      <c r="L45" s="37">
        <f t="shared" si="17"/>
        <v>2806393.5501245558</v>
      </c>
      <c r="M45" s="37">
        <f t="shared" si="17"/>
        <v>0</v>
      </c>
      <c r="N45" s="37">
        <f t="shared" si="17"/>
        <v>0</v>
      </c>
    </row>
    <row r="46" spans="1:14" x14ac:dyDescent="0.25">
      <c r="B46" s="40"/>
      <c r="E46" s="40"/>
      <c r="F46" s="42"/>
      <c r="G46" s="42"/>
      <c r="H46" s="42"/>
      <c r="I46" s="42"/>
      <c r="J46" s="42"/>
      <c r="K46" s="42"/>
      <c r="L46" s="42"/>
      <c r="M46" s="42"/>
      <c r="N46" s="42"/>
    </row>
    <row r="47" spans="1:14" x14ac:dyDescent="0.25">
      <c r="B47" s="44" t="s">
        <v>81</v>
      </c>
      <c r="E47" s="45">
        <f xml:space="preserve"> MAX(E39, 0) * 20%</f>
        <v>0</v>
      </c>
      <c r="F47" s="45">
        <f t="shared" ref="F47:N47" si="18" xml:space="preserve"> MAX(F39, 0) * 20%</f>
        <v>0</v>
      </c>
      <c r="G47" s="45">
        <f t="shared" si="18"/>
        <v>0</v>
      </c>
      <c r="H47" s="45">
        <f t="shared" si="18"/>
        <v>0</v>
      </c>
      <c r="I47" s="45">
        <f t="shared" si="18"/>
        <v>0</v>
      </c>
      <c r="J47" s="45">
        <f t="shared" si="18"/>
        <v>0</v>
      </c>
      <c r="K47" s="45">
        <f t="shared" si="18"/>
        <v>0</v>
      </c>
      <c r="L47" s="45">
        <f t="shared" si="18"/>
        <v>0</v>
      </c>
      <c r="M47" s="45">
        <f t="shared" si="18"/>
        <v>2170362.4286678173</v>
      </c>
      <c r="N47" s="45">
        <f t="shared" si="18"/>
        <v>3829703.5263491529</v>
      </c>
    </row>
    <row r="48" spans="1:14" x14ac:dyDescent="0.25">
      <c r="B48" s="24" t="s">
        <v>88</v>
      </c>
      <c r="C48" s="47"/>
      <c r="D48" s="46">
        <f xml:space="preserve"> - D5 - 'Формы отчетности ПК'!D48</f>
        <v>-5000000</v>
      </c>
      <c r="E48" s="46">
        <f xml:space="preserve"> - E5 - 'Формы отчетности ПК'!E48</f>
        <v>-10000000</v>
      </c>
      <c r="F48" s="46">
        <f xml:space="preserve"> - F5 - 'Формы отчетности ПК'!F48</f>
        <v>0</v>
      </c>
      <c r="G48" s="46">
        <f xml:space="preserve"> - G5 - 'Формы отчетности ПК'!G48</f>
        <v>0</v>
      </c>
      <c r="H48" s="46">
        <f xml:space="preserve"> - H5 - 'Формы отчетности ПК'!H48</f>
        <v>0</v>
      </c>
      <c r="I48" s="46">
        <f xml:space="preserve"> - I5 - 'Формы отчетности ПК'!I48</f>
        <v>0</v>
      </c>
      <c r="J48" s="46">
        <f xml:space="preserve"> - J5 - 'Формы отчетности ПК'!J48</f>
        <v>0</v>
      </c>
      <c r="K48" s="46">
        <f xml:space="preserve"> - K5 - 'Формы отчетности ПК'!K48</f>
        <v>6437572.6671372987</v>
      </c>
      <c r="L48" s="46">
        <f xml:space="preserve"> - L5 - 'Формы отчетности ПК'!L48</f>
        <v>9764089.0522173587</v>
      </c>
      <c r="M48" s="46">
        <f xml:space="preserve"> - M5 - 'Формы отчетности ПК'!M48</f>
        <v>10926564.554770913</v>
      </c>
      <c r="N48" s="46">
        <f xml:space="preserve"> - N5 - 'Формы отчетности ПК'!N48</f>
        <v>15318814.10539661</v>
      </c>
    </row>
    <row r="49" spans="2:14" x14ac:dyDescent="0.25">
      <c r="B49" s="24" t="s">
        <v>89</v>
      </c>
      <c r="C49" s="47">
        <f xml:space="preserve"> IRR(D48:N48)</f>
        <v>0.13704567365162368</v>
      </c>
    </row>
    <row r="50" spans="2:14" x14ac:dyDescent="0.25">
      <c r="B50" s="48" t="s">
        <v>90</v>
      </c>
      <c r="C50" s="46">
        <f xml:space="preserve"> NPV(вводные!$C$28, D48:N48)</f>
        <v>-1035690.410042042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3" spans="2:14" x14ac:dyDescent="0.25">
      <c r="B53" s="49" t="s">
        <v>91</v>
      </c>
      <c r="C53" s="49"/>
      <c r="D53" s="50"/>
      <c r="E53" s="51"/>
      <c r="F53" s="51"/>
    </row>
    <row r="54" spans="2:14" x14ac:dyDescent="0.25">
      <c r="B54" s="52" t="s">
        <v>92</v>
      </c>
      <c r="C54" s="49"/>
      <c r="D54" s="51">
        <f xml:space="preserve"> 'Формы отчетности ПК'!D16 - 'Формы отчетности ПК'!D7 - 'Формы отчетности ПК'!D8 - D47</f>
        <v>-2000</v>
      </c>
      <c r="E54" s="51">
        <f xml:space="preserve"> 'Формы отчетности ПК'!E16 - 'Формы отчетности ПК'!E7 - 'Формы отчетности ПК'!E8 - E47</f>
        <v>-8131178.3755301228</v>
      </c>
      <c r="F54" s="51">
        <f xml:space="preserve"> 'Формы отчетности ПК'!F16 - 'Формы отчетности ПК'!F7 - 'Формы отчетности ПК'!F8 - F47</f>
        <v>-5418103.3014984559</v>
      </c>
      <c r="G54" s="51">
        <f xml:space="preserve"> 'Формы отчетности ПК'!G16 - 'Формы отчетности ПК'!G7 - 'Формы отчетности ПК'!G8 - G47</f>
        <v>-1448718.3229714194</v>
      </c>
      <c r="H54" s="51">
        <f xml:space="preserve"> 'Формы отчетности ПК'!H16 - 'Формы отчетности ПК'!H7 - 'Формы отчетности ПК'!H8 - H47</f>
        <v>0</v>
      </c>
      <c r="I54" s="51">
        <f xml:space="preserve"> 'Формы отчетности ПК'!I16 - 'Формы отчетности ПК'!I7 - 'Формы отчетности ПК'!I8 - I47</f>
        <v>3.7252902984619141E-9</v>
      </c>
      <c r="J54" s="51">
        <f xml:space="preserve"> 'Формы отчетности ПК'!J16 - 'Формы отчетности ПК'!J7 - 'Формы отчетности ПК'!J8 - J47</f>
        <v>12077022.625233125</v>
      </c>
      <c r="K54" s="51">
        <f xml:space="preserve"> 'Формы отчетности ПК'!K16 - 'Формы отчетности ПК'!K7 - 'Формы отчетности ПК'!K8 - K47</f>
        <v>10967943.208688494</v>
      </c>
      <c r="L54" s="51">
        <f xml:space="preserve"> 'Формы отчетности ПК'!L16 - 'Формы отчетности ПК'!L7 - 'Формы отчетности ПК'!L8 - L47</f>
        <v>12205111.315271698</v>
      </c>
      <c r="M54" s="51">
        <f xml:space="preserve"> 'Формы отчетности ПК'!M16 - 'Формы отчетности ПК'!M7 - 'Формы отчетности ПК'!M8 - M47</f>
        <v>11487843.264795825</v>
      </c>
      <c r="N54" s="51">
        <f xml:space="preserve"> 'Формы отчетности ПК'!N16 - 'Формы отчетности ПК'!N7 - 'Формы отчетности ПК'!N8 - N47</f>
        <v>15318814.10539661</v>
      </c>
    </row>
    <row r="55" spans="2:14" x14ac:dyDescent="0.25">
      <c r="B55" s="53" t="s">
        <v>93</v>
      </c>
      <c r="C55" s="54"/>
      <c r="D55" s="50"/>
      <c r="E55" s="51">
        <f xml:space="preserve"> E54 + E62</f>
        <v>-8131178.3755301228</v>
      </c>
      <c r="F55" s="51">
        <f t="shared" ref="F55:N55" si="19" xml:space="preserve"> F54 + F62</f>
        <v>-5418103.3014984559</v>
      </c>
      <c r="G55" s="51">
        <f t="shared" si="19"/>
        <v>-1448718.3229714194</v>
      </c>
      <c r="H55" s="51">
        <f t="shared" si="19"/>
        <v>0</v>
      </c>
      <c r="I55" s="51">
        <f t="shared" si="19"/>
        <v>3.7252902984619141E-9</v>
      </c>
      <c r="J55" s="51">
        <f t="shared" si="19"/>
        <v>12077022.625233125</v>
      </c>
      <c r="K55" s="51">
        <f t="shared" si="19"/>
        <v>10967943.208688494</v>
      </c>
      <c r="L55" s="51">
        <f t="shared" si="19"/>
        <v>12205111.315271698</v>
      </c>
      <c r="M55" s="51">
        <f t="shared" si="19"/>
        <v>11487843.264795825</v>
      </c>
      <c r="N55" s="51">
        <f t="shared" si="19"/>
        <v>72383171.772904441</v>
      </c>
    </row>
    <row r="56" spans="2:14" x14ac:dyDescent="0.25">
      <c r="B56" s="53" t="s">
        <v>94</v>
      </c>
      <c r="C56" s="54"/>
      <c r="D56" s="50"/>
      <c r="E56" s="51">
        <f>E55 / Индексы!C7</f>
        <v>-7644426</v>
      </c>
      <c r="F56" s="51">
        <f>F55 / Индексы!D7</f>
        <v>-4803709.7789960997</v>
      </c>
      <c r="G56" s="51">
        <f>G55 / Индексы!E7</f>
        <v>-1221627.1804374224</v>
      </c>
      <c r="H56" s="51">
        <f>H55 / Индексы!F7</f>
        <v>0</v>
      </c>
      <c r="I56" s="51">
        <f>I55 / Индексы!G7</f>
        <v>2.8416158266739913E-9</v>
      </c>
      <c r="J56" s="51">
        <f>J55 / Индексы!H7</f>
        <v>8761740.2760269549</v>
      </c>
      <c r="K56" s="51">
        <f>K55 / Индексы!I7</f>
        <v>7567996.8421524325</v>
      </c>
      <c r="L56" s="51">
        <f>L55 / Индексы!J7</f>
        <v>8009819.8357245615</v>
      </c>
      <c r="M56" s="51">
        <f>M55 / Индексы!K7</f>
        <v>7170422.7007946679</v>
      </c>
      <c r="N56" s="51">
        <f>N55 / Индексы!L7</f>
        <v>42970372.664720818</v>
      </c>
    </row>
    <row r="57" spans="2:14" x14ac:dyDescent="0.25">
      <c r="B57" s="49" t="s">
        <v>95</v>
      </c>
      <c r="C57" s="55">
        <f xml:space="preserve"> NPV(WACC, E55:N55)</f>
        <v>22371923.673123073</v>
      </c>
      <c r="D57" s="50"/>
      <c r="E57" s="51"/>
      <c r="F57" s="51"/>
    </row>
    <row r="58" spans="2:14" x14ac:dyDescent="0.25">
      <c r="B58" s="53"/>
      <c r="C58" s="54"/>
      <c r="D58" s="50"/>
      <c r="E58" s="51"/>
      <c r="F58" s="51"/>
    </row>
    <row r="59" spans="2:14" x14ac:dyDescent="0.25">
      <c r="B59" s="53" t="s">
        <v>96</v>
      </c>
      <c r="C59" s="56">
        <f xml:space="preserve"> IFERROR(IRR($E59:$CL59), "n/a")</f>
        <v>0.3336670538484412</v>
      </c>
      <c r="D59" s="50"/>
      <c r="E59" s="51">
        <f xml:space="preserve"> E54 + E62</f>
        <v>-8131178.3755301228</v>
      </c>
      <c r="F59" s="51">
        <f t="shared" ref="F59:N59" si="20" xml:space="preserve"> F54 + F62</f>
        <v>-5418103.3014984559</v>
      </c>
      <c r="G59" s="51">
        <f t="shared" si="20"/>
        <v>-1448718.3229714194</v>
      </c>
      <c r="H59" s="51">
        <f t="shared" si="20"/>
        <v>0</v>
      </c>
      <c r="I59" s="51">
        <f t="shared" si="20"/>
        <v>3.7252902984619141E-9</v>
      </c>
      <c r="J59" s="51">
        <f t="shared" si="20"/>
        <v>12077022.625233125</v>
      </c>
      <c r="K59" s="51">
        <f t="shared" si="20"/>
        <v>10967943.208688494</v>
      </c>
      <c r="L59" s="51">
        <f t="shared" si="20"/>
        <v>12205111.315271698</v>
      </c>
      <c r="M59" s="51">
        <f t="shared" si="20"/>
        <v>11487843.264795825</v>
      </c>
      <c r="N59" s="51">
        <f t="shared" si="20"/>
        <v>72383171.772904441</v>
      </c>
    </row>
    <row r="60" spans="2:14" x14ac:dyDescent="0.25">
      <c r="B60" s="49" t="s">
        <v>97</v>
      </c>
      <c r="C60" s="57">
        <f xml:space="preserve"> NPV(PIRR1, E59:N59)</f>
        <v>9.4782586619210122E-6</v>
      </c>
      <c r="D60" s="50"/>
      <c r="E60" s="51"/>
      <c r="F60" s="51"/>
    </row>
    <row r="61" spans="2:14" x14ac:dyDescent="0.25">
      <c r="B61" s="36"/>
      <c r="C61" s="36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2:14" x14ac:dyDescent="0.25">
      <c r="B62" s="58" t="s">
        <v>98</v>
      </c>
      <c r="C62" s="59">
        <v>0.33366705384825401</v>
      </c>
      <c r="D62" s="50"/>
      <c r="E62" s="51">
        <f xml:space="preserve"> IFERROR(_xlfn.NUMBERVALUE(LEFT(E2, 2)) = 10, 0) * E54 * (1 + Term_g) / (PIRR1 - Term_g)</f>
        <v>0</v>
      </c>
      <c r="F62" s="51">
        <f xml:space="preserve"> IFERROR(_xlfn.NUMBERVALUE(LEFT(F2, 2)) = 10, 0) * F54 * (1 + Term_g) / (PIRR1 - Term_g)</f>
        <v>0</v>
      </c>
      <c r="G62" s="51">
        <f xml:space="preserve"> IFERROR(_xlfn.NUMBERVALUE(LEFT(G2, 2)) = 10, 0) * G54 * (1 + Term_g) / (PIRR1 - Term_g)</f>
        <v>0</v>
      </c>
      <c r="H62" s="51">
        <f xml:space="preserve"> IFERROR(_xlfn.NUMBERVALUE(LEFT(H2, 2)) = 10, 0) * H54 * (1 + Term_g) / (PIRR1 - Term_g)</f>
        <v>0</v>
      </c>
      <c r="I62" s="51">
        <f xml:space="preserve"> IFERROR(_xlfn.NUMBERVALUE(LEFT(I2, 2)) = 10, 0) * I54 * (1 + Term_g) / (PIRR1 - Term_g)</f>
        <v>0</v>
      </c>
      <c r="J62" s="51">
        <f xml:space="preserve"> IFERROR(_xlfn.NUMBERVALUE(LEFT(J2, 2)) = 10, 0) * J54 * (1 + Term_g) / (PIRR1 - Term_g)</f>
        <v>0</v>
      </c>
      <c r="K62" s="51">
        <f xml:space="preserve"> IFERROR(_xlfn.NUMBERVALUE(LEFT(K2, 2)) = 10, 0) * K54 * (1 + Term_g) / (PIRR1 - Term_g)</f>
        <v>0</v>
      </c>
      <c r="L62" s="51">
        <f xml:space="preserve"> IFERROR(_xlfn.NUMBERVALUE(LEFT(L2, 2)) = 10, 0) * L54 * (1 + Term_g) / (PIRR1 - Term_g)</f>
        <v>0</v>
      </c>
      <c r="M62" s="51">
        <f xml:space="preserve"> IFERROR(_xlfn.NUMBERVALUE(LEFT(M2, 2)) = 10, 0) * M54 * (1 + Term_g) / (PIRR1 - Term_g)</f>
        <v>0</v>
      </c>
      <c r="N62" s="51">
        <f xml:space="preserve"> IFERROR(_xlfn.NUMBERVALUE(LEFT(N2, 2)) = 10, 0) * N54 * (1 + Term_g) / (PIRR1 - Term_g)</f>
        <v>57064357.667507827</v>
      </c>
    </row>
    <row r="63" spans="2:14" x14ac:dyDescent="0.25">
      <c r="B63" s="58" t="s">
        <v>99</v>
      </c>
      <c r="C63" s="36"/>
      <c r="D63" s="50"/>
      <c r="E63" s="51">
        <f xml:space="preserve"> IFERROR(_xlfn.NUMBERVALUE(LEFT(E2, 2)) = 10, 0) * E54 * (1 + Term_g) / (WACC - Term_g)</f>
        <v>0</v>
      </c>
      <c r="F63" s="51">
        <f xml:space="preserve"> IFERROR(_xlfn.NUMBERVALUE(LEFT(F2, 2)) = 10, 0) * F54 * (1 + Term_g) / (WACC - Term_g)</f>
        <v>0</v>
      </c>
      <c r="G63" s="51">
        <f xml:space="preserve"> IFERROR(_xlfn.NUMBERVALUE(LEFT(G2, 2)) = 10, 0) * G54 * (1 + Term_g) / (WACC - Term_g)</f>
        <v>0</v>
      </c>
      <c r="H63" s="51">
        <f xml:space="preserve"> IFERROR(_xlfn.NUMBERVALUE(LEFT(H2, 2)) = 10, 0) * H54 * (1 + Term_g) / (WACC - Term_g)</f>
        <v>0</v>
      </c>
      <c r="I63" s="51">
        <f xml:space="preserve"> IFERROR(_xlfn.NUMBERVALUE(LEFT(I2, 2)) = 10, 0) * I54 * (1 + Term_g) / (WACC - Term_g)</f>
        <v>0</v>
      </c>
      <c r="J63" s="51">
        <f xml:space="preserve"> IFERROR(_xlfn.NUMBERVALUE(LEFT(J2, 2)) = 10, 0) * J54 * (1 + Term_g) / (WACC - Term_g)</f>
        <v>0</v>
      </c>
      <c r="K63" s="51">
        <f xml:space="preserve"> IFERROR(_xlfn.NUMBERVALUE(LEFT(K2, 2)) = 10, 0) * K54 * (1 + Term_g) / (WACC - Term_g)</f>
        <v>0</v>
      </c>
      <c r="L63" s="51">
        <f xml:space="preserve"> IFERROR(_xlfn.NUMBERVALUE(LEFT(L2, 2)) = 10, 0) * L54 * (1 + Term_g) / (WACC - Term_g)</f>
        <v>0</v>
      </c>
      <c r="M63" s="51">
        <f xml:space="preserve"> IFERROR(_xlfn.NUMBERVALUE(LEFT(M2, 2)) = 10, 0) * M54 * (1 + Term_g) / (WACC - Term_g)</f>
        <v>0</v>
      </c>
      <c r="N63" s="51">
        <f xml:space="preserve"> IFERROR(_xlfn.NUMBERVALUE(LEFT(N2, 2)) = 10, 0) * N54 * (1 + Term_g) / (WACC - Term_g)</f>
        <v>163378615.64076272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G28"/>
  <sheetViews>
    <sheetView workbookViewId="0">
      <selection activeCell="F6" sqref="F6"/>
    </sheetView>
  </sheetViews>
  <sheetFormatPr defaultRowHeight="15" x14ac:dyDescent="0.25"/>
  <cols>
    <col min="2" max="2" width="36" customWidth="1"/>
    <col min="4" max="4" width="10.5703125" bestFit="1" customWidth="1"/>
    <col min="7" max="7" width="9.140625" customWidth="1"/>
  </cols>
  <sheetData>
    <row r="1" spans="2:7" ht="15.75" thickBot="1" x14ac:dyDescent="0.3"/>
    <row r="2" spans="2:7" ht="15.75" thickBot="1" x14ac:dyDescent="0.3">
      <c r="B2" s="60" t="s">
        <v>100</v>
      </c>
      <c r="C2" s="61" t="s">
        <v>101</v>
      </c>
      <c r="D2" s="62" t="s">
        <v>102</v>
      </c>
    </row>
    <row r="3" spans="2:7" ht="15.75" thickBot="1" x14ac:dyDescent="0.3">
      <c r="B3" s="63" t="s">
        <v>103</v>
      </c>
      <c r="C3" s="64">
        <v>200000</v>
      </c>
      <c r="D3" s="65">
        <f xml:space="preserve"> C3 * 12</f>
        <v>2400000</v>
      </c>
    </row>
    <row r="4" spans="2:7" ht="15.75" thickBot="1" x14ac:dyDescent="0.3">
      <c r="B4" s="66" t="s">
        <v>104</v>
      </c>
      <c r="C4" s="67">
        <v>50000</v>
      </c>
      <c r="D4" s="65">
        <f t="shared" ref="D4:D6" si="0" xml:space="preserve"> C4 * 12</f>
        <v>600000</v>
      </c>
      <c r="E4" s="68">
        <f xml:space="preserve"> D4 * E18</f>
        <v>132000</v>
      </c>
    </row>
    <row r="5" spans="2:7" ht="15.75" thickBot="1" x14ac:dyDescent="0.3">
      <c r="B5" s="63" t="s">
        <v>105</v>
      </c>
      <c r="C5" s="64">
        <v>150000</v>
      </c>
      <c r="D5" s="65">
        <f t="shared" si="0"/>
        <v>1800000</v>
      </c>
    </row>
    <row r="6" spans="2:7" ht="15.75" thickBot="1" x14ac:dyDescent="0.3">
      <c r="B6" s="69" t="s">
        <v>106</v>
      </c>
      <c r="C6" s="70">
        <v>100000</v>
      </c>
      <c r="D6" s="65">
        <f t="shared" si="0"/>
        <v>1200000</v>
      </c>
    </row>
    <row r="7" spans="2:7" ht="15.75" thickBot="1" x14ac:dyDescent="0.3">
      <c r="B7" s="71" t="s">
        <v>107</v>
      </c>
      <c r="C7" s="72">
        <f>SUM(C3:C6)</f>
        <v>500000</v>
      </c>
      <c r="D7" s="73">
        <f>SUM(D3:D6)</f>
        <v>6000000</v>
      </c>
    </row>
    <row r="8" spans="2:7" ht="30.75" thickBot="1" x14ac:dyDescent="0.3">
      <c r="B8" s="63" t="s">
        <v>108</v>
      </c>
      <c r="C8" s="64"/>
      <c r="D8" s="74"/>
    </row>
    <row r="9" spans="2:7" ht="15.75" thickBot="1" x14ac:dyDescent="0.3">
      <c r="B9" s="63" t="s">
        <v>103</v>
      </c>
      <c r="C9" s="70"/>
      <c r="D9" s="74">
        <f xml:space="preserve"> SUM(E9:G9)</f>
        <v>478742</v>
      </c>
      <c r="E9" s="68">
        <f xml:space="preserve"> MIN($D3, E$19) * E$18 + MAX($D3 - E$19, 0) * E$20</f>
        <v>335520</v>
      </c>
      <c r="F9" s="68">
        <f xml:space="preserve"> MIN($D3, F$19) * F$18 + MAX($D3 - F$19, 0) * F$20</f>
        <v>20822</v>
      </c>
      <c r="G9" s="68">
        <f xml:space="preserve"> MIN($D3, G$19) * G$18 + MAX($D3 - G$19, 0) * G$20</f>
        <v>122399.99999999999</v>
      </c>
    </row>
    <row r="10" spans="2:7" ht="15.75" thickBot="1" x14ac:dyDescent="0.3">
      <c r="B10" s="66" t="s">
        <v>104</v>
      </c>
      <c r="C10" s="70"/>
      <c r="D10" s="74">
        <f t="shared" ref="D10:D12" si="1" xml:space="preserve"> SUM(E10:G10)</f>
        <v>180000</v>
      </c>
      <c r="E10" s="68">
        <f t="shared" ref="E10:G12" si="2" xml:space="preserve"> MIN($D4, E$19) * E$18 + MAX($D4 - E$19, 0) * E$20</f>
        <v>132000</v>
      </c>
      <c r="F10" s="68">
        <f t="shared" si="2"/>
        <v>17400</v>
      </c>
      <c r="G10" s="68">
        <f t="shared" si="2"/>
        <v>30599.999999999996</v>
      </c>
    </row>
    <row r="11" spans="2:7" ht="15.75" thickBot="1" x14ac:dyDescent="0.3">
      <c r="B11" s="63" t="s">
        <v>105</v>
      </c>
      <c r="C11" s="70"/>
      <c r="D11" s="74">
        <f t="shared" si="1"/>
        <v>388142</v>
      </c>
      <c r="E11" s="68">
        <f t="shared" si="2"/>
        <v>275520</v>
      </c>
      <c r="F11" s="68">
        <f t="shared" si="2"/>
        <v>20822</v>
      </c>
      <c r="G11" s="68">
        <f t="shared" si="2"/>
        <v>91800</v>
      </c>
    </row>
    <row r="12" spans="2:7" ht="15.75" thickBot="1" x14ac:dyDescent="0.3">
      <c r="B12" s="69" t="s">
        <v>106</v>
      </c>
      <c r="C12" s="70"/>
      <c r="D12" s="74">
        <f t="shared" si="1"/>
        <v>297542</v>
      </c>
      <c r="E12" s="68">
        <f t="shared" si="2"/>
        <v>215520</v>
      </c>
      <c r="F12" s="68">
        <f t="shared" si="2"/>
        <v>20822</v>
      </c>
      <c r="G12" s="68">
        <f t="shared" si="2"/>
        <v>61199.999999999993</v>
      </c>
    </row>
    <row r="13" spans="2:7" ht="15.75" thickBot="1" x14ac:dyDescent="0.3">
      <c r="B13" s="69" t="s">
        <v>109</v>
      </c>
      <c r="C13" s="70"/>
      <c r="D13" s="74">
        <f>SUM(D9:D12)</f>
        <v>1344426</v>
      </c>
    </row>
    <row r="14" spans="2:7" ht="15.75" thickBot="1" x14ac:dyDescent="0.3">
      <c r="B14" s="75" t="s">
        <v>110</v>
      </c>
      <c r="C14" s="76"/>
      <c r="D14" s="77">
        <f>SUM(D7, D13)</f>
        <v>7344426</v>
      </c>
    </row>
    <row r="15" spans="2:7" ht="15.75" thickBot="1" x14ac:dyDescent="0.3"/>
    <row r="16" spans="2:7" ht="30.75" customHeight="1" thickBot="1" x14ac:dyDescent="0.3">
      <c r="B16" s="78" t="s">
        <v>111</v>
      </c>
      <c r="E16" s="79" t="s">
        <v>112</v>
      </c>
      <c r="F16" s="80"/>
      <c r="G16" s="81"/>
    </row>
    <row r="17" spans="2:7" ht="15.75" thickBot="1" x14ac:dyDescent="0.3">
      <c r="B17" s="82" t="s">
        <v>113</v>
      </c>
      <c r="E17" s="83" t="s">
        <v>114</v>
      </c>
      <c r="F17" s="83" t="s">
        <v>115</v>
      </c>
      <c r="G17" s="83" t="s">
        <v>116</v>
      </c>
    </row>
    <row r="18" spans="2:7" ht="85.5" x14ac:dyDescent="0.25">
      <c r="B18" s="84" t="s">
        <v>117</v>
      </c>
      <c r="E18" s="85">
        <v>0.22</v>
      </c>
      <c r="F18" s="86">
        <v>2.9000000000000001E-2</v>
      </c>
      <c r="G18" s="86">
        <v>5.0999999999999997E-2</v>
      </c>
    </row>
    <row r="19" spans="2:7" ht="57" x14ac:dyDescent="0.25">
      <c r="B19" s="87" t="s">
        <v>118</v>
      </c>
      <c r="E19" s="88">
        <v>796000</v>
      </c>
      <c r="F19" s="88">
        <v>718000</v>
      </c>
      <c r="G19" s="88">
        <v>0</v>
      </c>
    </row>
    <row r="20" spans="2:7" ht="15.75" thickBot="1" x14ac:dyDescent="0.3">
      <c r="B20" s="89" t="s">
        <v>119</v>
      </c>
      <c r="C20" s="90"/>
      <c r="D20" s="90"/>
      <c r="E20" s="91">
        <v>0.1</v>
      </c>
      <c r="F20" s="92">
        <v>0</v>
      </c>
      <c r="G20" s="93">
        <v>5.0999999999999997E-2</v>
      </c>
    </row>
    <row r="21" spans="2:7" x14ac:dyDescent="0.25">
      <c r="C21" s="61" t="s">
        <v>101</v>
      </c>
      <c r="D21" s="62" t="s">
        <v>102</v>
      </c>
    </row>
    <row r="22" spans="2:7" x14ac:dyDescent="0.25">
      <c r="B22" t="s">
        <v>71</v>
      </c>
      <c r="C22">
        <v>25000</v>
      </c>
      <c r="D22">
        <f xml:space="preserve"> C22 * 12</f>
        <v>300000</v>
      </c>
    </row>
    <row r="24" spans="2:7" x14ac:dyDescent="0.25">
      <c r="B24" t="s">
        <v>68</v>
      </c>
      <c r="C24">
        <v>5000000</v>
      </c>
      <c r="D24">
        <v>10000000</v>
      </c>
    </row>
    <row r="25" spans="2:7" x14ac:dyDescent="0.25">
      <c r="B25" t="s">
        <v>120</v>
      </c>
      <c r="C25">
        <v>2000</v>
      </c>
    </row>
    <row r="26" spans="2:7" x14ac:dyDescent="0.25">
      <c r="B26" t="s">
        <v>133</v>
      </c>
      <c r="C26" s="92">
        <v>0.2</v>
      </c>
    </row>
    <row r="27" spans="2:7" x14ac:dyDescent="0.25">
      <c r="B27" t="s">
        <v>121</v>
      </c>
      <c r="C27" s="94">
        <v>0.15</v>
      </c>
    </row>
    <row r="28" spans="2:7" x14ac:dyDescent="0.25">
      <c r="B28" t="s">
        <v>122</v>
      </c>
      <c r="C28" s="94">
        <v>0.15</v>
      </c>
    </row>
  </sheetData>
  <mergeCells count="1">
    <mergeCell ref="E16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11"/>
  <sheetViews>
    <sheetView workbookViewId="0">
      <selection activeCell="N4" sqref="N4"/>
    </sheetView>
  </sheetViews>
  <sheetFormatPr defaultRowHeight="15" x14ac:dyDescent="0.25"/>
  <cols>
    <col min="1" max="1" width="0.85546875" customWidth="1"/>
    <col min="2" max="2" width="45.5703125" customWidth="1"/>
    <col min="3" max="12" width="10.7109375" customWidth="1"/>
    <col min="13" max="13" width="0.85546875" customWidth="1"/>
    <col min="14" max="14" width="89.28515625" style="97" customWidth="1"/>
  </cols>
  <sheetData>
    <row r="1" spans="1:14" ht="42.75" customHeight="1" thickBot="1" x14ac:dyDescent="0.3">
      <c r="A1" s="95" t="s">
        <v>123</v>
      </c>
      <c r="B1" s="96"/>
    </row>
    <row r="2" spans="1:14" x14ac:dyDescent="0.25">
      <c r="A2" s="98"/>
      <c r="B2" s="99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  <c r="J2" s="100" t="s">
        <v>8</v>
      </c>
      <c r="K2" s="100" t="s">
        <v>9</v>
      </c>
      <c r="L2" s="100" t="s">
        <v>10</v>
      </c>
      <c r="M2" s="101"/>
      <c r="N2" s="102" t="s">
        <v>124</v>
      </c>
    </row>
    <row r="3" spans="1:14" ht="33.75" customHeight="1" thickBot="1" x14ac:dyDescent="0.3">
      <c r="A3" s="103"/>
      <c r="B3" s="104" t="s">
        <v>125</v>
      </c>
      <c r="C3" s="105">
        <v>6.3674156245363905E-2</v>
      </c>
      <c r="D3" s="105">
        <v>6.0380938937169601E-2</v>
      </c>
      <c r="E3" s="105">
        <v>5.14163983990669E-2</v>
      </c>
      <c r="F3" s="105">
        <f>E3</f>
        <v>5.14163983990669E-2</v>
      </c>
      <c r="G3" s="105">
        <f t="shared" ref="G3:L3" si="0">F3</f>
        <v>5.14163983990669E-2</v>
      </c>
      <c r="H3" s="105">
        <f t="shared" si="0"/>
        <v>5.14163983990669E-2</v>
      </c>
      <c r="I3" s="105">
        <f t="shared" si="0"/>
        <v>5.14163983990669E-2</v>
      </c>
      <c r="J3" s="105">
        <f t="shared" si="0"/>
        <v>5.14163983990669E-2</v>
      </c>
      <c r="K3" s="105">
        <f t="shared" si="0"/>
        <v>5.14163983990669E-2</v>
      </c>
      <c r="L3" s="105">
        <f t="shared" si="0"/>
        <v>5.14163983990669E-2</v>
      </c>
      <c r="M3" s="101"/>
      <c r="N3" s="106" t="s">
        <v>126</v>
      </c>
    </row>
    <row r="4" spans="1:14" ht="33.75" customHeight="1" x14ac:dyDescent="0.25">
      <c r="B4" s="101" t="s">
        <v>127</v>
      </c>
      <c r="C4" s="107">
        <v>0.53</v>
      </c>
      <c r="D4" s="107">
        <f>C4+1.33%</f>
        <v>0.54330000000000001</v>
      </c>
      <c r="E4" s="107">
        <f t="shared" ref="E4:L4" si="1">D4+1.33%</f>
        <v>0.55659999999999998</v>
      </c>
      <c r="F4" s="107">
        <f t="shared" si="1"/>
        <v>0.56989999999999996</v>
      </c>
      <c r="G4" s="107">
        <f t="shared" si="1"/>
        <v>0.58319999999999994</v>
      </c>
      <c r="H4" s="107">
        <f t="shared" si="1"/>
        <v>0.59649999999999992</v>
      </c>
      <c r="I4" s="107">
        <f t="shared" si="1"/>
        <v>0.6097999999999999</v>
      </c>
      <c r="J4" s="107">
        <f t="shared" si="1"/>
        <v>0.62309999999999988</v>
      </c>
      <c r="K4" s="107">
        <f t="shared" si="1"/>
        <v>0.63639999999999985</v>
      </c>
      <c r="L4" s="107">
        <f t="shared" si="1"/>
        <v>0.64969999999999983</v>
      </c>
      <c r="M4" s="101"/>
      <c r="N4" s="108" t="s">
        <v>135</v>
      </c>
    </row>
    <row r="5" spans="1:14" ht="33.75" customHeight="1" x14ac:dyDescent="0.25">
      <c r="B5" s="101" t="s">
        <v>128</v>
      </c>
      <c r="C5" s="105">
        <f>C3</f>
        <v>6.3674156245363905E-2</v>
      </c>
      <c r="D5" s="105">
        <f t="shared" ref="D5:L5" si="2">D3</f>
        <v>6.0380938937169601E-2</v>
      </c>
      <c r="E5" s="105">
        <f t="shared" si="2"/>
        <v>5.14163983990669E-2</v>
      </c>
      <c r="F5" s="105">
        <f t="shared" si="2"/>
        <v>5.14163983990669E-2</v>
      </c>
      <c r="G5" s="105">
        <f t="shared" si="2"/>
        <v>5.14163983990669E-2</v>
      </c>
      <c r="H5" s="105">
        <f t="shared" si="2"/>
        <v>5.14163983990669E-2</v>
      </c>
      <c r="I5" s="105">
        <f t="shared" si="2"/>
        <v>5.14163983990669E-2</v>
      </c>
      <c r="J5" s="105">
        <f t="shared" si="2"/>
        <v>5.14163983990669E-2</v>
      </c>
      <c r="K5" s="105">
        <f t="shared" si="2"/>
        <v>5.14163983990669E-2</v>
      </c>
      <c r="L5" s="105">
        <f t="shared" si="2"/>
        <v>5.14163983990669E-2</v>
      </c>
      <c r="M5" s="101"/>
      <c r="N5" s="109" t="s">
        <v>129</v>
      </c>
    </row>
    <row r="6" spans="1:14" ht="33.75" customHeight="1" x14ac:dyDescent="0.25">
      <c r="B6" s="101" t="s">
        <v>130</v>
      </c>
      <c r="C6" s="105">
        <f>C3</f>
        <v>6.3674156245363905E-2</v>
      </c>
      <c r="D6" s="105">
        <f t="shared" ref="D6:L6" si="3">D3</f>
        <v>6.0380938937169601E-2</v>
      </c>
      <c r="E6" s="105">
        <f t="shared" si="3"/>
        <v>5.14163983990669E-2</v>
      </c>
      <c r="F6" s="105">
        <f t="shared" si="3"/>
        <v>5.14163983990669E-2</v>
      </c>
      <c r="G6" s="105">
        <f t="shared" si="3"/>
        <v>5.14163983990669E-2</v>
      </c>
      <c r="H6" s="105">
        <f t="shared" si="3"/>
        <v>5.14163983990669E-2</v>
      </c>
      <c r="I6" s="105">
        <f t="shared" si="3"/>
        <v>5.14163983990669E-2</v>
      </c>
      <c r="J6" s="105">
        <f t="shared" si="3"/>
        <v>5.14163983990669E-2</v>
      </c>
      <c r="K6" s="105">
        <f t="shared" si="3"/>
        <v>5.14163983990669E-2</v>
      </c>
      <c r="L6" s="105">
        <f t="shared" si="3"/>
        <v>5.14163983990669E-2</v>
      </c>
      <c r="M6" s="101"/>
      <c r="N6" s="109" t="s">
        <v>129</v>
      </c>
    </row>
    <row r="7" spans="1:14" ht="33.75" customHeight="1" x14ac:dyDescent="0.25">
      <c r="B7" s="101" t="s">
        <v>131</v>
      </c>
      <c r="C7" s="105">
        <f>C6+100%</f>
        <v>1.063674156245364</v>
      </c>
      <c r="D7" s="105">
        <f>C7*(100%+D6)</f>
        <v>1.1278998005226608</v>
      </c>
      <c r="E7" s="105">
        <f>D7*(100%+E6)</f>
        <v>1.1858923460205621</v>
      </c>
      <c r="F7" s="105">
        <f t="shared" ref="F7:L7" si="4">E7*(100%+F6)</f>
        <v>1.2468666593419595</v>
      </c>
      <c r="G7" s="105">
        <f t="shared" si="4"/>
        <v>1.3109760522491993</v>
      </c>
      <c r="H7" s="105">
        <f t="shared" si="4"/>
        <v>1.3783817192432801</v>
      </c>
      <c r="I7" s="105">
        <f t="shared" si="4"/>
        <v>1.4492531428658835</v>
      </c>
      <c r="J7" s="105">
        <f t="shared" si="4"/>
        <v>1.5237685198405757</v>
      </c>
      <c r="K7" s="105">
        <f t="shared" si="4"/>
        <v>1.6021152091246553</v>
      </c>
      <c r="L7" s="105">
        <f t="shared" si="4"/>
        <v>1.6844902029982132</v>
      </c>
      <c r="M7" s="101"/>
      <c r="N7" s="109"/>
    </row>
    <row r="8" spans="1:14" ht="33.75" customHeight="1" x14ac:dyDescent="0.2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9"/>
    </row>
    <row r="9" spans="1:14" ht="33.75" customHeight="1" x14ac:dyDescent="0.2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9"/>
    </row>
    <row r="10" spans="1:14" ht="33.75" customHeigh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9"/>
    </row>
    <row r="11" spans="1:14" ht="33.75" customHeight="1" x14ac:dyDescent="0.2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9"/>
    </row>
  </sheetData>
  <hyperlinks>
    <hyperlink ref="N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Формы отчетности ПК</vt:lpstr>
      <vt:lpstr>расчеты</vt:lpstr>
      <vt:lpstr>вводные</vt:lpstr>
      <vt:lpstr>Индексы</vt:lpstr>
      <vt:lpstr>EIRR1</vt:lpstr>
      <vt:lpstr>PIRR1</vt:lpstr>
      <vt:lpstr>PNPV1</vt:lpstr>
      <vt:lpstr>Term_g</vt:lpstr>
      <vt:lpstr>WACC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2016-05-18T08:51:50Z</dcterms:created>
  <dcterms:modified xsi:type="dcterms:W3CDTF">2016-05-18T08:54:17Z</dcterms:modified>
</cp:coreProperties>
</file>