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0490" windowHeight="7530" activeTab="3"/>
  </bookViews>
  <sheets>
    <sheet name="Значения" sheetId="2" r:id="rId1"/>
    <sheet name="Авангард" sheetId="1" r:id="rId2"/>
    <sheet name="Лист1" sheetId="5" r:id="rId3"/>
    <sheet name="ЗХТ-Авангард" sheetId="4" r:id="rId4"/>
    <sheet name="Татпроф" sheetId="3" r:id="rId5"/>
  </sheets>
  <externalReferences>
    <externalReference r:id="rId6"/>
  </externalReferences>
  <definedNames>
    <definedName name="авангард1">Значения!$E$1:$F$6</definedName>
    <definedName name="авангард11">Значения!$E$1:$F$10</definedName>
    <definedName name="авангард12">Значения!$E$1:$E$10</definedName>
    <definedName name="наличие">Значения!$M$1:$M$2</definedName>
    <definedName name="нестандартныйсп">Значения!$M$4:$N$5</definedName>
    <definedName name="нестандартныйсп1">Значения!$M$4:$M$5</definedName>
    <definedName name="стеклопакет">Значения!$E$1:$E$5</definedName>
    <definedName name="стеклопакет2">Значения!$E$1:$E$6</definedName>
    <definedName name="сумма">Значения!$Q$1:$Q$3</definedName>
    <definedName name="сумма2">Значения!$Q$9:$Q$11</definedName>
    <definedName name="сумма3">Значения!$Q$1:$Q$4</definedName>
    <definedName name="сумма4">Значения!$Q$9:$Q$12</definedName>
    <definedName name="сумма5">Значения!$Q$1:$Q$6</definedName>
    <definedName name="сумма6">Значения!$Q$9:$Q$14</definedName>
    <definedName name="татпроф">Значения!$I$1:$I$5</definedName>
    <definedName name="Татпроф1">Значения!$I$1:$J$6</definedName>
    <definedName name="татпроф11">Значения!$I$1:$J$10</definedName>
    <definedName name="татпроф12">Значения!$I$1:$I$10</definedName>
    <definedName name="татпроф2">Значения!$I$1:$I$6</definedName>
    <definedName name="унр">Значения!$A$13:$A$15</definedName>
    <definedName name="унр1">Значения!$A$13:$B$15</definedName>
    <definedName name="унр3">Значения!$A$12:$A$15</definedName>
    <definedName name="унр4">Значения!$A$12:$B$15</definedName>
    <definedName name="цвет">Значения!$A$1:$A$4</definedName>
    <definedName name="цветТ">Значения!$A$7:$A$10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4" l="1"/>
  <c r="F3" i="4" l="1"/>
  <c r="F4" i="4"/>
  <c r="F11" i="4"/>
  <c r="F10" i="4"/>
  <c r="F12" i="4" l="1"/>
  <c r="F13" i="4"/>
  <c r="F14" i="4"/>
  <c r="C11" i="3" l="1"/>
  <c r="C4" i="3"/>
  <c r="D4" i="3" s="1"/>
  <c r="C4" i="1"/>
  <c r="D4" i="1" s="1"/>
  <c r="C8" i="1" l="1"/>
  <c r="C7" i="1"/>
  <c r="C7" i="3"/>
  <c r="C9" i="3" l="1"/>
  <c r="C8" i="3"/>
  <c r="C10" i="3" l="1"/>
  <c r="B18" i="3" l="1"/>
  <c r="B17" i="3" s="1"/>
  <c r="C9" i="1"/>
  <c r="D14" i="3"/>
  <c r="D13" i="3"/>
  <c r="C12" i="3"/>
  <c r="B16" i="1"/>
  <c r="D12" i="1"/>
  <c r="D11" i="1"/>
  <c r="C10" i="1"/>
  <c r="B15" i="1" l="1"/>
  <c r="F2" i="4"/>
  <c r="D3" i="3"/>
  <c r="T12" i="2"/>
  <c r="T11" i="2"/>
  <c r="T9" i="2"/>
  <c r="T14" i="2"/>
  <c r="T10" i="2"/>
  <c r="T13" i="2"/>
  <c r="T3" i="2"/>
  <c r="T4" i="2"/>
  <c r="T1" i="2"/>
  <c r="T5" i="2"/>
  <c r="T2" i="2"/>
  <c r="T6" i="2"/>
  <c r="B21" i="3"/>
  <c r="B19" i="1"/>
  <c r="D5" i="3"/>
  <c r="D5" i="1"/>
  <c r="D3" i="1"/>
  <c r="D2" i="1"/>
  <c r="D2" i="3"/>
  <c r="R12" i="2" l="1"/>
  <c r="S12" i="2" s="1"/>
  <c r="U12" i="2" s="1"/>
  <c r="R13" i="2"/>
  <c r="S13" i="2" s="1"/>
  <c r="U13" i="2" s="1"/>
  <c r="R14" i="2"/>
  <c r="S14" i="2" s="1"/>
  <c r="U14" i="2" s="1"/>
  <c r="R4" i="2"/>
  <c r="S4" i="2" s="1"/>
  <c r="U4" i="2" s="1"/>
  <c r="R3" i="2"/>
  <c r="S3" i="2" s="1"/>
  <c r="U3" i="2" s="1"/>
  <c r="R6" i="2"/>
  <c r="S6" i="2" s="1"/>
  <c r="U6" i="2" s="1"/>
  <c r="R2" i="2"/>
  <c r="S2" i="2" s="1"/>
  <c r="U2" i="2" s="1"/>
  <c r="R5" i="2"/>
  <c r="S5" i="2" s="1"/>
  <c r="U5" i="2" s="1"/>
  <c r="R1" i="2"/>
  <c r="S1" i="2" s="1"/>
  <c r="U1" i="2" s="1"/>
  <c r="B14" i="1"/>
  <c r="R10" i="2"/>
  <c r="R9" i="2"/>
  <c r="R11" i="2"/>
  <c r="B16" i="3"/>
  <c r="B18" i="1" l="1"/>
  <c r="B20" i="1" s="1"/>
  <c r="S10" i="2"/>
  <c r="U10" i="2" s="1"/>
  <c r="S11" i="2"/>
  <c r="U11" i="2" s="1"/>
  <c r="S9" i="2"/>
  <c r="U9" i="2" s="1"/>
  <c r="B20" i="3" s="1"/>
  <c r="B22" i="3" l="1"/>
</calcChain>
</file>

<file path=xl/sharedStrings.xml><?xml version="1.0" encoding="utf-8"?>
<sst xmlns="http://schemas.openxmlformats.org/spreadsheetml/2006/main" count="126" uniqueCount="68">
  <si>
    <t>Общая длина фасада</t>
  </si>
  <si>
    <t>Формула с\п верхнего ряда</t>
  </si>
  <si>
    <t>Формула с\п нижнего ряда</t>
  </si>
  <si>
    <t>Тонирующая пленка на нижний ряд</t>
  </si>
  <si>
    <t>Отделка примыканий фасада к стенам</t>
  </si>
  <si>
    <t>Отделка межоконных примыканий</t>
  </si>
  <si>
    <t>Высота остекления верхнего ряда</t>
  </si>
  <si>
    <t>Высота остекления нижнего ряда</t>
  </si>
  <si>
    <t>есть</t>
  </si>
  <si>
    <t>нет</t>
  </si>
  <si>
    <t>цена</t>
  </si>
  <si>
    <t>характеристики</t>
  </si>
  <si>
    <t>Данные</t>
  </si>
  <si>
    <t>общая длина открывающихся створок</t>
  </si>
  <si>
    <t xml:space="preserve">4-16Ar-4i </t>
  </si>
  <si>
    <t>4SPGU-16SGr-4</t>
  </si>
  <si>
    <t>4SPGU-10SGr-4-10SGr-4</t>
  </si>
  <si>
    <t>4-10-4-10Ar-4И</t>
  </si>
  <si>
    <t>4-12Ar-4.4.1i</t>
  </si>
  <si>
    <t>Ral (нар) \ Ral (внутр)</t>
  </si>
  <si>
    <t>Белый (нар) \ Ral (внутр)</t>
  </si>
  <si>
    <t>Белый (нар) \ Белый (внутр)</t>
  </si>
  <si>
    <t>Цвет изделий</t>
  </si>
  <si>
    <t>Ral (нар) \ Белый (внутр)</t>
  </si>
  <si>
    <t>Общая площадь ЗХТ</t>
  </si>
  <si>
    <t>Итого сумма</t>
  </si>
  <si>
    <t>Сумма работ по отделке</t>
  </si>
  <si>
    <t>Формула с\п на створках</t>
  </si>
  <si>
    <t>себестоимость материал</t>
  </si>
  <si>
    <t>Себестоимость ЗХТ</t>
  </si>
  <si>
    <t>4-8-4-8Ar-4.4.1i</t>
  </si>
  <si>
    <t>Сумма Работ по остеклению, заказ от партнера (повышенная рентабельность, 0.50)</t>
  </si>
  <si>
    <t>Сумма Работ по остеклению, заказ от партнера (нормальная рентабельность 0.55)</t>
  </si>
  <si>
    <t>Сумма Работ по остеклению, заказ от партнера (пониженная рентабельность 0.60)</t>
  </si>
  <si>
    <t>Сумма Работ по остеклению, частный заказ (повышенная рентабельность 0.55)</t>
  </si>
  <si>
    <t>Сумма Работ по остеклению, частный заказ (нормальная рентабельность 0.60)</t>
  </si>
  <si>
    <t>Сумма Работ по остеклению, частный заказ (пониженная рентабельность 0.65)</t>
  </si>
  <si>
    <t>Зарплата монтажной бригады (работа + материал)</t>
  </si>
  <si>
    <t>да</t>
  </si>
  <si>
    <t>Наценка на нестандартное стекло (stpsol phoenix, planibel clear)</t>
  </si>
  <si>
    <t>5(6)Z-20(19)Ar-4i</t>
  </si>
  <si>
    <t>5(6)Z-10(9)-4-8Ar-4И</t>
  </si>
  <si>
    <t>5(6)Z-20(19)Ar-4.4.1i</t>
  </si>
  <si>
    <t>5(6)Z-10(9)-4-8Ar-4.4.1i</t>
  </si>
  <si>
    <t>утепление нижнего ряда (пеноплекс + стенофон)</t>
  </si>
  <si>
    <t>утепление нижнего ряда (пеноплекс + стенофон+ белые пвх панели)</t>
  </si>
  <si>
    <t>утепление нижнего ряда (пеноплекс + стенофон+ ламинированные пвх панели)</t>
  </si>
  <si>
    <t>на нижнем ряду делается замена фасадного остекления</t>
  </si>
  <si>
    <t>Наименование</t>
  </si>
  <si>
    <t>Характеристики</t>
  </si>
  <si>
    <t>Сумма Работ по остеклению</t>
  </si>
  <si>
    <t>Итого:</t>
  </si>
  <si>
    <t>Скидка 30%</t>
  </si>
  <si>
    <t>Итого со скидкой:</t>
  </si>
  <si>
    <t>Площадь</t>
  </si>
  <si>
    <t>Высота остекления</t>
  </si>
  <si>
    <t>Формула</t>
  </si>
  <si>
    <t>Цвет</t>
  </si>
  <si>
    <t>Отделка примыканий к стенам</t>
  </si>
  <si>
    <t>фф</t>
  </si>
  <si>
    <t>ыы</t>
  </si>
  <si>
    <t>вв</t>
  </si>
  <si>
    <t>аа</t>
  </si>
  <si>
    <t>Двухкамерный стеклопакет</t>
  </si>
  <si>
    <t>ццц</t>
  </si>
  <si>
    <t>ууу</t>
  </si>
  <si>
    <t>ккк</t>
  </si>
  <si>
    <t>еее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</si>
</sst>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95E00"/>
        <bgColor rgb="FFFF0000"/>
      </patternFill>
    </fill>
    <fill>
      <patternFill patternType="solid">
        <fgColor rgb="FF00B050"/>
        <bgColor rgb="FF00B05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0" xfId="0" applyBorder="1"/>
    <xf numFmtId="16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" fontId="0" fillId="0" borderId="1" xfId="0" applyNumberFormat="1" applyBorder="1"/>
    <xf numFmtId="0" fontId="0" fillId="3" borderId="1" xfId="0" applyFill="1" applyBorder="1"/>
    <xf numFmtId="1" fontId="0" fillId="0" borderId="0" xfId="0" applyNumberFormat="1" applyBorder="1"/>
    <xf numFmtId="0" fontId="0" fillId="4" borderId="1" xfId="0" applyFill="1" applyBorder="1"/>
    <xf numFmtId="0" fontId="0" fillId="5" borderId="1" xfId="0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1" fillId="0" borderId="1" xfId="0" applyFont="1" applyBorder="1" applyProtection="1"/>
    <xf numFmtId="0" fontId="0" fillId="0" borderId="1" xfId="0" applyFill="1" applyBorder="1" applyProtection="1"/>
    <xf numFmtId="0" fontId="0" fillId="6" borderId="1" xfId="0" applyFill="1" applyBorder="1" applyProtection="1">
      <protection locked="0"/>
    </xf>
    <xf numFmtId="164" fontId="0" fillId="6" borderId="1" xfId="0" applyNumberFormat="1" applyFill="1" applyBorder="1" applyProtection="1">
      <protection locked="0"/>
    </xf>
    <xf numFmtId="0" fontId="0" fillId="6" borderId="0" xfId="0" applyFill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0" borderId="1" xfId="0" applyNumberFormat="1" applyBorder="1" applyProtection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0" fillId="8" borderId="1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1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5E00"/>
      <color rgb="FFF8D8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\Desktop\&#1047;&#1061;&#1058;-&#1040;&#1083;&#1077;&#1082;&#1089;&#1072;&#1085;&#1076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начения"/>
      <sheetName val="Авангард"/>
      <sheetName val="Татпроф"/>
      <sheetName val="КП Татпроф"/>
      <sheetName val="КП Авангард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5"/>
  <sheetViews>
    <sheetView workbookViewId="0">
      <selection activeCell="A18" sqref="A18"/>
    </sheetView>
  </sheetViews>
  <sheetFormatPr defaultColWidth="8.85546875" defaultRowHeight="15" x14ac:dyDescent="0.25"/>
  <cols>
    <col min="1" max="1" width="76.7109375" bestFit="1" customWidth="1"/>
    <col min="5" max="5" width="22" bestFit="1" customWidth="1"/>
    <col min="9" max="9" width="22" bestFit="1" customWidth="1"/>
    <col min="10" max="10" width="7" customWidth="1"/>
    <col min="17" max="17" width="79.85546875" bestFit="1" customWidth="1"/>
    <col min="18" max="18" width="6" bestFit="1" customWidth="1"/>
  </cols>
  <sheetData>
    <row r="1" spans="1:21" x14ac:dyDescent="0.25">
      <c r="A1" s="1" t="s">
        <v>19</v>
      </c>
      <c r="B1" s="1">
        <v>2290</v>
      </c>
      <c r="E1" s="1" t="s">
        <v>14</v>
      </c>
      <c r="F1" s="1">
        <v>515</v>
      </c>
      <c r="I1" s="1" t="s">
        <v>14</v>
      </c>
      <c r="J1" s="1">
        <v>925</v>
      </c>
      <c r="K1" s="5"/>
      <c r="L1" s="5"/>
      <c r="M1" s="1" t="s">
        <v>9</v>
      </c>
      <c r="N1" s="1">
        <v>0</v>
      </c>
      <c r="Q1" s="12" t="s">
        <v>31</v>
      </c>
      <c r="R1" s="9">
        <f>SUM(Авангард!D2:D5)</f>
        <v>48105.75</v>
      </c>
      <c r="S1" s="9">
        <f>R1/0.5</f>
        <v>96211.5</v>
      </c>
      <c r="T1" s="9">
        <f>1400*Авангард!B16</f>
        <v>19600</v>
      </c>
      <c r="U1" s="9">
        <f t="shared" ref="U1:U6" si="0">S1+T1</f>
        <v>115811.5</v>
      </c>
    </row>
    <row r="2" spans="1:21" x14ac:dyDescent="0.25">
      <c r="A2" s="1" t="s">
        <v>23</v>
      </c>
      <c r="B2" s="1">
        <v>1800</v>
      </c>
      <c r="E2" s="1" t="s">
        <v>15</v>
      </c>
      <c r="F2" s="1">
        <v>560</v>
      </c>
      <c r="I2" s="1" t="s">
        <v>15</v>
      </c>
      <c r="J2" s="1">
        <v>1000</v>
      </c>
      <c r="K2" s="5"/>
      <c r="L2" s="5"/>
      <c r="M2" s="1" t="s">
        <v>8</v>
      </c>
      <c r="N2" s="1">
        <v>530</v>
      </c>
      <c r="Q2" s="12" t="s">
        <v>32</v>
      </c>
      <c r="R2" s="9">
        <f>SUM(Авангард!D2:D5)</f>
        <v>48105.75</v>
      </c>
      <c r="S2" s="9">
        <f>R2/0.55</f>
        <v>87465</v>
      </c>
      <c r="T2" s="9">
        <f>1270*Авангард!B16</f>
        <v>17780</v>
      </c>
      <c r="U2" s="9">
        <f t="shared" si="0"/>
        <v>105245</v>
      </c>
    </row>
    <row r="3" spans="1:21" x14ac:dyDescent="0.25">
      <c r="A3" s="1" t="s">
        <v>21</v>
      </c>
      <c r="B3" s="1">
        <v>1500</v>
      </c>
      <c r="E3" s="1" t="s">
        <v>17</v>
      </c>
      <c r="F3" s="1">
        <v>795</v>
      </c>
      <c r="I3" s="1" t="s">
        <v>17</v>
      </c>
      <c r="J3" s="1">
        <v>1275</v>
      </c>
      <c r="K3" s="5"/>
      <c r="L3" s="5"/>
      <c r="Q3" s="12" t="s">
        <v>33</v>
      </c>
      <c r="R3" s="9">
        <f>SUM(Авангард!D2:D5)</f>
        <v>48105.75</v>
      </c>
      <c r="S3" s="9">
        <f>R3/0.6</f>
        <v>80176.25</v>
      </c>
      <c r="T3" s="9">
        <f>1170*Авангард!B16</f>
        <v>16380</v>
      </c>
      <c r="U3" s="9">
        <f t="shared" si="0"/>
        <v>96556.25</v>
      </c>
    </row>
    <row r="4" spans="1:21" x14ac:dyDescent="0.25">
      <c r="A4" s="1" t="s">
        <v>20</v>
      </c>
      <c r="B4" s="1">
        <v>1975</v>
      </c>
      <c r="E4" s="1" t="s">
        <v>16</v>
      </c>
      <c r="F4" s="1">
        <v>835</v>
      </c>
      <c r="I4" s="1" t="s">
        <v>16</v>
      </c>
      <c r="J4" s="1">
        <v>1330</v>
      </c>
      <c r="K4" s="5"/>
      <c r="L4" s="5"/>
      <c r="M4" s="1" t="s">
        <v>9</v>
      </c>
      <c r="N4" s="1">
        <v>0</v>
      </c>
      <c r="Q4" s="13" t="s">
        <v>34</v>
      </c>
      <c r="R4" s="9">
        <f>SUM(Авангард!D2:D5)</f>
        <v>48105.75</v>
      </c>
      <c r="S4" s="9">
        <f>R4/0.55</f>
        <v>87465</v>
      </c>
      <c r="T4" s="1">
        <f>1270*Авангард!B16</f>
        <v>17780</v>
      </c>
      <c r="U4" s="9">
        <f t="shared" si="0"/>
        <v>105245</v>
      </c>
    </row>
    <row r="5" spans="1:21" x14ac:dyDescent="0.25">
      <c r="E5" s="6" t="s">
        <v>18</v>
      </c>
      <c r="F5" s="1">
        <v>2135</v>
      </c>
      <c r="I5" s="6" t="s">
        <v>18</v>
      </c>
      <c r="J5" s="1">
        <v>2991</v>
      </c>
      <c r="K5" s="5"/>
      <c r="L5" s="5"/>
      <c r="M5" s="1" t="s">
        <v>38</v>
      </c>
      <c r="N5" s="1">
        <v>1000</v>
      </c>
      <c r="Q5" s="13" t="s">
        <v>35</v>
      </c>
      <c r="R5" s="9">
        <f>SUM(Авангард!D2:D5)</f>
        <v>48105.75</v>
      </c>
      <c r="S5" s="9">
        <f>R5/0.6</f>
        <v>80176.25</v>
      </c>
      <c r="T5" s="9">
        <f>1170*Авангард!B16</f>
        <v>16380</v>
      </c>
      <c r="U5" s="9">
        <f t="shared" si="0"/>
        <v>96556.25</v>
      </c>
    </row>
    <row r="6" spans="1:21" x14ac:dyDescent="0.25">
      <c r="E6" s="6" t="s">
        <v>30</v>
      </c>
      <c r="F6" s="1">
        <v>2430</v>
      </c>
      <c r="I6" s="6" t="s">
        <v>30</v>
      </c>
      <c r="J6" s="1">
        <v>3300</v>
      </c>
      <c r="K6" s="5"/>
      <c r="L6" s="5"/>
      <c r="Q6" s="13" t="s">
        <v>36</v>
      </c>
      <c r="R6" s="9">
        <f>SUM(Авангард!D2:D5)</f>
        <v>48105.75</v>
      </c>
      <c r="S6" s="9">
        <f>R6/0.65</f>
        <v>74008.846153846156</v>
      </c>
      <c r="T6" s="9">
        <f>1075*Авангард!B16</f>
        <v>15050</v>
      </c>
      <c r="U6" s="9">
        <f t="shared" si="0"/>
        <v>89058.846153846156</v>
      </c>
    </row>
    <row r="7" spans="1:21" x14ac:dyDescent="0.25">
      <c r="A7" s="1" t="s">
        <v>19</v>
      </c>
      <c r="B7" s="1">
        <v>5540</v>
      </c>
      <c r="E7" s="1" t="s">
        <v>40</v>
      </c>
      <c r="F7" s="1">
        <v>1500</v>
      </c>
      <c r="G7" s="5"/>
      <c r="H7" s="5"/>
      <c r="I7" s="3" t="s">
        <v>40</v>
      </c>
      <c r="J7" s="1">
        <v>2000</v>
      </c>
      <c r="Q7" s="2"/>
      <c r="R7" s="11"/>
      <c r="S7" s="11"/>
      <c r="T7" s="5"/>
      <c r="U7" s="11"/>
    </row>
    <row r="8" spans="1:21" x14ac:dyDescent="0.25">
      <c r="A8" s="1" t="s">
        <v>23</v>
      </c>
      <c r="B8" s="1">
        <v>4600</v>
      </c>
      <c r="E8" s="1" t="s">
        <v>41</v>
      </c>
      <c r="F8" s="1">
        <v>1650</v>
      </c>
      <c r="G8" s="5"/>
      <c r="H8" s="5"/>
      <c r="I8" s="1" t="s">
        <v>41</v>
      </c>
      <c r="J8" s="1">
        <v>2200</v>
      </c>
    </row>
    <row r="9" spans="1:21" x14ac:dyDescent="0.25">
      <c r="A9" s="1" t="s">
        <v>21</v>
      </c>
      <c r="B9" s="1">
        <v>4350</v>
      </c>
      <c r="E9" s="1" t="s">
        <v>42</v>
      </c>
      <c r="F9" s="1">
        <v>2400</v>
      </c>
      <c r="I9" s="3" t="s">
        <v>42</v>
      </c>
      <c r="J9" s="1">
        <v>3200</v>
      </c>
      <c r="Q9" s="12" t="s">
        <v>31</v>
      </c>
      <c r="R9" s="9">
        <f>SUM(Татпроф!D2:D5)</f>
        <v>0</v>
      </c>
      <c r="S9" s="9">
        <f>R9/0.5</f>
        <v>0</v>
      </c>
      <c r="T9" s="9">
        <f>3600*Татпроф!B18</f>
        <v>0</v>
      </c>
      <c r="U9" s="9">
        <f>S9+T9</f>
        <v>0</v>
      </c>
    </row>
    <row r="10" spans="1:21" x14ac:dyDescent="0.25">
      <c r="A10" s="1" t="s">
        <v>20</v>
      </c>
      <c r="B10" s="1">
        <v>4815</v>
      </c>
      <c r="E10" s="1" t="s">
        <v>43</v>
      </c>
      <c r="F10" s="1">
        <v>2550</v>
      </c>
      <c r="I10" s="1" t="s">
        <v>43</v>
      </c>
      <c r="J10" s="1">
        <v>3350</v>
      </c>
      <c r="Q10" s="12" t="s">
        <v>32</v>
      </c>
      <c r="R10" s="9">
        <f>SUM(Татпроф!D2:D5)</f>
        <v>0</v>
      </c>
      <c r="S10" s="9">
        <f>R10/0.55</f>
        <v>0</v>
      </c>
      <c r="T10" s="9">
        <f>3270*Татпроф!B18</f>
        <v>0</v>
      </c>
      <c r="U10" s="9">
        <f>S10+T10</f>
        <v>0</v>
      </c>
    </row>
    <row r="11" spans="1:21" x14ac:dyDescent="0.25">
      <c r="F11" s="5"/>
      <c r="Q11" s="12" t="s">
        <v>33</v>
      </c>
      <c r="R11" s="9">
        <f>SUM(Татпроф!D2:D5)</f>
        <v>0</v>
      </c>
      <c r="S11" s="9">
        <f>R11/0.6</f>
        <v>0</v>
      </c>
      <c r="T11" s="9">
        <f>3000*Татпроф!B18</f>
        <v>0</v>
      </c>
      <c r="U11" s="9">
        <f>S11+T11</f>
        <v>0</v>
      </c>
    </row>
    <row r="12" spans="1:21" x14ac:dyDescent="0.25">
      <c r="A12" s="1" t="s">
        <v>47</v>
      </c>
      <c r="B12" s="1">
        <v>0</v>
      </c>
      <c r="Q12" s="13" t="s">
        <v>34</v>
      </c>
      <c r="R12" s="9">
        <f>SUM(Татпроф!D2:D5)</f>
        <v>0</v>
      </c>
      <c r="S12" s="9">
        <f>R12/0.55</f>
        <v>0</v>
      </c>
      <c r="T12" s="1">
        <f>3270*Татпроф!B18</f>
        <v>0</v>
      </c>
      <c r="U12" s="9">
        <f>S12+T12</f>
        <v>0</v>
      </c>
    </row>
    <row r="13" spans="1:21" x14ac:dyDescent="0.25">
      <c r="A13" s="1" t="s">
        <v>44</v>
      </c>
      <c r="B13" s="1">
        <v>650</v>
      </c>
      <c r="Q13" s="13" t="s">
        <v>35</v>
      </c>
      <c r="R13" s="9">
        <f>SUM(Татпроф!D2:D5)</f>
        <v>0</v>
      </c>
      <c r="S13" s="9">
        <f>R13/0.6</f>
        <v>0</v>
      </c>
      <c r="T13" s="1">
        <f>3000*Татпроф!B18</f>
        <v>0</v>
      </c>
      <c r="U13" s="9">
        <f t="shared" ref="U13:U14" si="1">S13+T13</f>
        <v>0</v>
      </c>
    </row>
    <row r="14" spans="1:21" x14ac:dyDescent="0.25">
      <c r="A14" s="1" t="s">
        <v>45</v>
      </c>
      <c r="B14" s="1">
        <v>1000</v>
      </c>
      <c r="Q14" s="13" t="s">
        <v>36</v>
      </c>
      <c r="R14" s="9">
        <f>SUM(Татпроф!D2:D5)</f>
        <v>0</v>
      </c>
      <c r="S14" s="9">
        <f>R14/0.65</f>
        <v>0</v>
      </c>
      <c r="T14" s="1">
        <f>2770*Татпроф!B18</f>
        <v>0</v>
      </c>
      <c r="U14" s="9">
        <f t="shared" si="1"/>
        <v>0</v>
      </c>
    </row>
    <row r="15" spans="1:21" x14ac:dyDescent="0.25">
      <c r="A15" s="1" t="s">
        <v>46</v>
      </c>
      <c r="B15" s="1">
        <v>1150</v>
      </c>
    </row>
  </sheetData>
  <sheetProtection algorithmName="SHA-512" hashValue="MebVPow5kvHoE/QDcEqhDtRBLfrBFDL9DEP6clp3m/Vqu9Q2HYPwc15n8QgBYtlsYG2el1doKpOKbBwA5A2W6w==" saltValue="VNZXvutmP+CWYs/3j6Dtt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0"/>
  <sheetViews>
    <sheetView workbookViewId="0">
      <selection activeCell="J5" sqref="J5"/>
    </sheetView>
  </sheetViews>
  <sheetFormatPr defaultColWidth="8.85546875" defaultRowHeight="15" x14ac:dyDescent="0.25"/>
  <cols>
    <col min="1" max="1" width="79.85546875" bestFit="1" customWidth="1"/>
    <col min="2" max="2" width="27.42578125" bestFit="1" customWidth="1"/>
    <col min="3" max="3" width="10.28515625" bestFit="1" customWidth="1"/>
    <col min="4" max="4" width="24.42578125" bestFit="1" customWidth="1"/>
  </cols>
  <sheetData>
    <row r="1" spans="1:4" x14ac:dyDescent="0.25">
      <c r="A1" s="4" t="s">
        <v>12</v>
      </c>
      <c r="B1" s="4" t="s">
        <v>11</v>
      </c>
      <c r="C1" s="4" t="s">
        <v>10</v>
      </c>
      <c r="D1" s="4" t="s">
        <v>28</v>
      </c>
    </row>
    <row r="2" spans="1:4" x14ac:dyDescent="0.25">
      <c r="A2" s="1" t="s">
        <v>6</v>
      </c>
      <c r="B2" s="22">
        <v>1.5</v>
      </c>
      <c r="C2" s="7"/>
      <c r="D2" s="9">
        <f>(B2*(B6-B5)*C9)+(B2*(B6-B5)*C7)</f>
        <v>10939.5</v>
      </c>
    </row>
    <row r="3" spans="1:4" x14ac:dyDescent="0.25">
      <c r="A3" s="1" t="s">
        <v>7</v>
      </c>
      <c r="B3" s="22">
        <v>2</v>
      </c>
      <c r="C3" s="7"/>
      <c r="D3" s="9">
        <f>(B3*B6*C9)+(B3*B6*C8)+(B3*B6*C10)</f>
        <v>22440</v>
      </c>
    </row>
    <row r="4" spans="1:4" x14ac:dyDescent="0.25">
      <c r="A4" s="19" t="s">
        <v>45</v>
      </c>
      <c r="B4" s="22">
        <v>0</v>
      </c>
      <c r="C4" s="23">
        <f>VLOOKUP(A4,унр4,2,FALSE)</f>
        <v>1000</v>
      </c>
      <c r="D4" s="9">
        <f>B4*B6*C4</f>
        <v>0</v>
      </c>
    </row>
    <row r="5" spans="1:4" x14ac:dyDescent="0.25">
      <c r="A5" s="1" t="s">
        <v>13</v>
      </c>
      <c r="B5" s="22">
        <v>1.4</v>
      </c>
      <c r="C5" s="7"/>
      <c r="D5" s="9">
        <f>((B2*B5*C9)/0.4)+((B2*B5*C7)/0.4)</f>
        <v>14726.249999999996</v>
      </c>
    </row>
    <row r="6" spans="1:4" x14ac:dyDescent="0.25">
      <c r="A6" s="1" t="s">
        <v>0</v>
      </c>
      <c r="B6" s="22">
        <v>4</v>
      </c>
      <c r="C6" s="7"/>
      <c r="D6" s="8"/>
    </row>
    <row r="7" spans="1:4" x14ac:dyDescent="0.25">
      <c r="A7" s="1" t="s">
        <v>1</v>
      </c>
      <c r="B7" s="19" t="s">
        <v>14</v>
      </c>
      <c r="C7" s="1">
        <f>VLOOKUP(B7,авангард11,2,FALSE)</f>
        <v>515</v>
      </c>
      <c r="D7" s="8"/>
    </row>
    <row r="8" spans="1:4" x14ac:dyDescent="0.25">
      <c r="A8" s="1" t="s">
        <v>2</v>
      </c>
      <c r="B8" s="19" t="s">
        <v>14</v>
      </c>
      <c r="C8" s="1">
        <f>VLOOKUP(B8,авангард11,2,FALSE)</f>
        <v>515</v>
      </c>
      <c r="D8" s="8"/>
    </row>
    <row r="9" spans="1:4" x14ac:dyDescent="0.25">
      <c r="A9" s="1" t="s">
        <v>22</v>
      </c>
      <c r="B9" s="19" t="s">
        <v>19</v>
      </c>
      <c r="C9" s="1">
        <f>VLOOKUP(B9,Значения!A1:B4,2,FALSE)</f>
        <v>2290</v>
      </c>
      <c r="D9" s="8"/>
    </row>
    <row r="10" spans="1:4" x14ac:dyDescent="0.25">
      <c r="A10" s="1" t="s">
        <v>3</v>
      </c>
      <c r="B10" s="19" t="s">
        <v>9</v>
      </c>
      <c r="C10" s="1">
        <f>VLOOKUP(B10,Значения!M1:N2,2,FALSE)</f>
        <v>0</v>
      </c>
      <c r="D10" s="8"/>
    </row>
    <row r="11" spans="1:4" x14ac:dyDescent="0.25">
      <c r="A11" s="1" t="s">
        <v>4</v>
      </c>
      <c r="B11" s="22">
        <v>0</v>
      </c>
      <c r="C11" s="1">
        <v>800</v>
      </c>
      <c r="D11" s="9">
        <f>B11*C11</f>
        <v>0</v>
      </c>
    </row>
    <row r="12" spans="1:4" x14ac:dyDescent="0.25">
      <c r="A12" s="3" t="s">
        <v>5</v>
      </c>
      <c r="B12" s="22">
        <v>0</v>
      </c>
      <c r="C12" s="1">
        <v>800</v>
      </c>
      <c r="D12" s="9">
        <f>B12*C12</f>
        <v>0</v>
      </c>
    </row>
    <row r="13" spans="1:4" x14ac:dyDescent="0.25">
      <c r="A13" s="32"/>
      <c r="B13" s="33"/>
      <c r="C13" s="33"/>
      <c r="D13" s="34"/>
    </row>
    <row r="14" spans="1:4" x14ac:dyDescent="0.25">
      <c r="A14" s="3" t="s">
        <v>29</v>
      </c>
      <c r="B14" s="35">
        <f>SUM(D2:D5)+(1000*B16)</f>
        <v>62105.75</v>
      </c>
      <c r="C14" s="36"/>
      <c r="D14" s="37"/>
    </row>
    <row r="15" spans="1:4" x14ac:dyDescent="0.25">
      <c r="A15" s="3" t="s">
        <v>37</v>
      </c>
      <c r="B15" s="35">
        <f>(B16*700)+(B11*300)+(B12*300)+(C4*0.4)</f>
        <v>10200</v>
      </c>
      <c r="C15" s="36"/>
      <c r="D15" s="37"/>
    </row>
    <row r="16" spans="1:4" x14ac:dyDescent="0.25">
      <c r="A16" s="3" t="s">
        <v>24</v>
      </c>
      <c r="B16" s="41">
        <f>(B2*B6)+(B3*B6)</f>
        <v>14</v>
      </c>
      <c r="C16" s="42"/>
      <c r="D16" s="43"/>
    </row>
    <row r="17" spans="1:4" x14ac:dyDescent="0.25">
      <c r="A17" s="32"/>
      <c r="B17" s="33"/>
      <c r="C17" s="33"/>
      <c r="D17" s="34"/>
    </row>
    <row r="18" spans="1:4" x14ac:dyDescent="0.25">
      <c r="A18" s="14" t="s">
        <v>36</v>
      </c>
      <c r="B18" s="38">
        <f>VLOOKUP(A18,Значения!Q1:U6,5,FALSE)</f>
        <v>89058.846153846156</v>
      </c>
      <c r="C18" s="39"/>
      <c r="D18" s="40"/>
    </row>
    <row r="19" spans="1:4" x14ac:dyDescent="0.25">
      <c r="A19" s="15" t="s">
        <v>26</v>
      </c>
      <c r="B19" s="38">
        <f>SUM(D11:D12)</f>
        <v>0</v>
      </c>
      <c r="C19" s="39"/>
      <c r="D19" s="40"/>
    </row>
    <row r="20" spans="1:4" x14ac:dyDescent="0.25">
      <c r="A20" s="4" t="s">
        <v>25</v>
      </c>
      <c r="B20" s="38">
        <f>SUM(B18:D19)</f>
        <v>89058.846153846156</v>
      </c>
      <c r="C20" s="39"/>
      <c r="D20" s="40"/>
    </row>
  </sheetData>
  <sheetProtection algorithmName="SHA-512" hashValue="6hsbpFhzlLlbIjUGuCB7rAaRmxCMDjUjHFI8jUeMq06dKB4WWECMrhmCFK/OpqOTWjBomwm0X6bmUlhOUP6hwA==" saltValue="cGBB81CWnuzA7csZVfViUg==" spinCount="100000" sheet="1" objects="1" scenarios="1"/>
  <mergeCells count="8">
    <mergeCell ref="A13:D13"/>
    <mergeCell ref="B15:D15"/>
    <mergeCell ref="A17:D17"/>
    <mergeCell ref="B20:D20"/>
    <mergeCell ref="B16:D16"/>
    <mergeCell ref="B19:D19"/>
    <mergeCell ref="B18:D18"/>
    <mergeCell ref="B14:D14"/>
  </mergeCells>
  <dataValidations count="6">
    <dataValidation type="list" allowBlank="1" showInputMessage="1" showErrorMessage="1" sqref="B9">
      <formula1>цвет</formula1>
    </dataValidation>
    <dataValidation type="list" allowBlank="1" showInputMessage="1" showErrorMessage="1" sqref="B10">
      <formula1>наличие</formula1>
    </dataValidation>
    <dataValidation type="list" allowBlank="1" showInputMessage="1" showErrorMessage="1" sqref="B8">
      <formula1>авангард12</formula1>
    </dataValidation>
    <dataValidation type="list" allowBlank="1" showInputMessage="1" showErrorMessage="1" sqref="A18">
      <formula1>сумма5</formula1>
    </dataValidation>
    <dataValidation type="list" allowBlank="1" showInputMessage="1" showErrorMessage="1" sqref="B7">
      <formula1>авангард12</formula1>
    </dataValidation>
    <dataValidation type="list" allowBlank="1" showInputMessage="1" showErrorMessage="1" sqref="A4">
      <formula1>унр3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B6"/>
  <sheetViews>
    <sheetView workbookViewId="0">
      <selection activeCell="B7" sqref="B7"/>
    </sheetView>
  </sheetViews>
  <sheetFormatPr defaultRowHeight="15" x14ac:dyDescent="0.25"/>
  <cols>
    <col min="1" max="1" width="17.85546875" customWidth="1"/>
  </cols>
  <sheetData>
    <row r="2" spans="1:2" x14ac:dyDescent="0.25">
      <c r="A2" t="s">
        <v>14</v>
      </c>
      <c r="B2" t="s">
        <v>63</v>
      </c>
    </row>
    <row r="3" spans="1:2" x14ac:dyDescent="0.25">
      <c r="A3" t="s">
        <v>59</v>
      </c>
      <c r="B3" t="s">
        <v>64</v>
      </c>
    </row>
    <row r="4" spans="1:2" x14ac:dyDescent="0.25">
      <c r="A4" t="s">
        <v>60</v>
      </c>
      <c r="B4" t="s">
        <v>65</v>
      </c>
    </row>
    <row r="5" spans="1:2" x14ac:dyDescent="0.25">
      <c r="A5" t="s">
        <v>61</v>
      </c>
      <c r="B5" t="s">
        <v>66</v>
      </c>
    </row>
    <row r="6" spans="1:2" x14ac:dyDescent="0.25">
      <c r="A6" t="s">
        <v>62</v>
      </c>
      <c r="B6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4"/>
  <sheetViews>
    <sheetView tabSelected="1" workbookViewId="0">
      <selection activeCell="K6" sqref="K6"/>
    </sheetView>
  </sheetViews>
  <sheetFormatPr defaultRowHeight="15" x14ac:dyDescent="0.25"/>
  <cols>
    <col min="1" max="1" width="7.140625" customWidth="1"/>
    <col min="2" max="2" width="5.42578125" customWidth="1"/>
    <col min="3" max="3" width="11.42578125" customWidth="1"/>
    <col min="4" max="4" width="9" customWidth="1"/>
    <col min="5" max="5" width="1.7109375" customWidth="1"/>
    <col min="6" max="6" width="50" customWidth="1"/>
  </cols>
  <sheetData>
    <row r="1" spans="1:6" ht="34.5" customHeight="1" x14ac:dyDescent="0.25">
      <c r="A1" s="49" t="s">
        <v>48</v>
      </c>
      <c r="B1" s="49"/>
      <c r="C1" s="49"/>
      <c r="D1" s="49"/>
      <c r="E1" s="49"/>
      <c r="F1" s="24" t="s">
        <v>49</v>
      </c>
    </row>
    <row r="2" spans="1:6" ht="34.5" customHeight="1" x14ac:dyDescent="0.25">
      <c r="A2" s="50" t="s">
        <v>54</v>
      </c>
      <c r="B2" s="50"/>
      <c r="C2" s="50"/>
      <c r="D2" s="50"/>
      <c r="E2" s="50"/>
      <c r="F2" s="25">
        <f>Авангард!B16</f>
        <v>14</v>
      </c>
    </row>
    <row r="3" spans="1:6" ht="34.5" customHeight="1" x14ac:dyDescent="0.25">
      <c r="A3" s="48" t="s">
        <v>55</v>
      </c>
      <c r="B3" s="48"/>
      <c r="C3" s="48"/>
      <c r="D3" s="48"/>
      <c r="E3" s="48"/>
      <c r="F3" s="25">
        <f>Авангард!B2+Авангард!B3</f>
        <v>3.5</v>
      </c>
    </row>
    <row r="4" spans="1:6" ht="34.5" customHeight="1" x14ac:dyDescent="0.25">
      <c r="A4" s="48" t="s">
        <v>0</v>
      </c>
      <c r="B4" s="48"/>
      <c r="C4" s="48"/>
      <c r="D4" s="48"/>
      <c r="E4" s="48"/>
      <c r="F4" s="25">
        <f>Авангард!B6</f>
        <v>4</v>
      </c>
    </row>
    <row r="5" spans="1:6" ht="34.5" customHeight="1" x14ac:dyDescent="0.25">
      <c r="A5" s="48" t="s">
        <v>56</v>
      </c>
      <c r="B5" s="48"/>
      <c r="C5" s="48"/>
      <c r="D5" s="48"/>
      <c r="E5" s="48"/>
      <c r="F5" s="25"/>
    </row>
    <row r="6" spans="1:6" ht="34.5" customHeight="1" x14ac:dyDescent="0.25">
      <c r="A6" s="48" t="s">
        <v>57</v>
      </c>
      <c r="B6" s="48"/>
      <c r="C6" s="48"/>
      <c r="D6" s="48"/>
      <c r="E6" s="48"/>
      <c r="F6" s="1" t="str">
        <f>VLOOKUP(Авангард!B7,Лист1!A2:B6,2,)</f>
        <v>Двухкамерный стеклопакет</v>
      </c>
    </row>
    <row r="7" spans="1:6" ht="34.5" customHeight="1" x14ac:dyDescent="0.25">
      <c r="A7" s="48" t="s">
        <v>58</v>
      </c>
      <c r="B7" s="48"/>
      <c r="C7" s="48"/>
      <c r="D7" s="48"/>
      <c r="E7" s="48"/>
      <c r="F7" s="25"/>
    </row>
    <row r="8" spans="1:6" ht="34.5" customHeight="1" x14ac:dyDescent="0.25">
      <c r="A8" s="48" t="s">
        <v>5</v>
      </c>
      <c r="B8" s="48"/>
      <c r="C8" s="48"/>
      <c r="D8" s="48"/>
      <c r="E8" s="48"/>
      <c r="F8" s="25"/>
    </row>
    <row r="9" spans="1:6" ht="34.5" customHeight="1" x14ac:dyDescent="0.25">
      <c r="A9" s="31"/>
      <c r="B9" s="31"/>
      <c r="C9" s="31"/>
      <c r="D9" s="31"/>
      <c r="E9" s="31"/>
      <c r="F9" s="26"/>
    </row>
    <row r="10" spans="1:6" x14ac:dyDescent="0.25">
      <c r="A10" s="44" t="s">
        <v>50</v>
      </c>
      <c r="B10" s="44"/>
      <c r="C10" s="44"/>
      <c r="D10" s="44"/>
      <c r="E10" s="44"/>
      <c r="F10" s="27" t="e">
        <f>([1]Авангард!#REF!)/0.7</f>
        <v>#REF!</v>
      </c>
    </row>
    <row r="11" spans="1:6" x14ac:dyDescent="0.25">
      <c r="A11" s="44" t="s">
        <v>26</v>
      </c>
      <c r="B11" s="44"/>
      <c r="C11" s="44"/>
      <c r="D11" s="44"/>
      <c r="E11" s="44"/>
      <c r="F11" s="27" t="e">
        <f>([1]Авангард!#REF!)/0.7</f>
        <v>#REF!</v>
      </c>
    </row>
    <row r="12" spans="1:6" x14ac:dyDescent="0.25">
      <c r="A12" s="45" t="s">
        <v>51</v>
      </c>
      <c r="B12" s="45"/>
      <c r="C12" s="45"/>
      <c r="D12" s="45"/>
      <c r="E12" s="45"/>
      <c r="F12" s="28" t="e">
        <f>F10+F11</f>
        <v>#REF!</v>
      </c>
    </row>
    <row r="13" spans="1:6" x14ac:dyDescent="0.25">
      <c r="A13" s="46" t="s">
        <v>52</v>
      </c>
      <c r="B13" s="46"/>
      <c r="C13" s="46"/>
      <c r="D13" s="46"/>
      <c r="E13" s="46"/>
      <c r="F13" s="29" t="e">
        <f>F12*0.3</f>
        <v>#REF!</v>
      </c>
    </row>
    <row r="14" spans="1:6" x14ac:dyDescent="0.25">
      <c r="A14" s="47" t="s">
        <v>53</v>
      </c>
      <c r="B14" s="47"/>
      <c r="C14" s="47"/>
      <c r="D14" s="47"/>
      <c r="E14" s="47"/>
      <c r="F14" s="30" t="e">
        <f>F12*0.7</f>
        <v>#REF!</v>
      </c>
    </row>
  </sheetData>
  <mergeCells count="13">
    <mergeCell ref="A6:E6"/>
    <mergeCell ref="A8:E8"/>
    <mergeCell ref="A1:E1"/>
    <mergeCell ref="A2:E2"/>
    <mergeCell ref="A3:E3"/>
    <mergeCell ref="A4:E4"/>
    <mergeCell ref="A5:E5"/>
    <mergeCell ref="A7:E7"/>
    <mergeCell ref="A10:E10"/>
    <mergeCell ref="A11:E11"/>
    <mergeCell ref="A12:E12"/>
    <mergeCell ref="A13:E13"/>
    <mergeCell ref="A14:E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22"/>
  <sheetViews>
    <sheetView zoomScaleNormal="100" workbookViewId="0">
      <selection activeCell="B4" sqref="B4"/>
    </sheetView>
  </sheetViews>
  <sheetFormatPr defaultColWidth="8.85546875" defaultRowHeight="15" x14ac:dyDescent="0.25"/>
  <cols>
    <col min="1" max="1" width="79.85546875" bestFit="1" customWidth="1"/>
    <col min="2" max="2" width="27.42578125" bestFit="1" customWidth="1"/>
    <col min="3" max="3" width="7.42578125" customWidth="1"/>
    <col min="4" max="4" width="24.85546875" bestFit="1" customWidth="1"/>
  </cols>
  <sheetData>
    <row r="1" spans="1:4" x14ac:dyDescent="0.25">
      <c r="A1" s="4" t="s">
        <v>12</v>
      </c>
      <c r="B1" s="4" t="s">
        <v>11</v>
      </c>
      <c r="C1" s="4" t="s">
        <v>10</v>
      </c>
      <c r="D1" s="4" t="s">
        <v>28</v>
      </c>
    </row>
    <row r="2" spans="1:4" x14ac:dyDescent="0.25">
      <c r="A2" s="1" t="s">
        <v>6</v>
      </c>
      <c r="B2" s="22"/>
      <c r="C2" s="7"/>
      <c r="D2" s="9">
        <f>(B2*(B6-B5)*C8)</f>
        <v>0</v>
      </c>
    </row>
    <row r="3" spans="1:4" x14ac:dyDescent="0.25">
      <c r="A3" s="1" t="s">
        <v>7</v>
      </c>
      <c r="B3" s="22"/>
      <c r="C3" s="7"/>
      <c r="D3" s="9">
        <f>(B3*B6*C9)+(B3*B6*C12)+(B18*C11)</f>
        <v>0</v>
      </c>
    </row>
    <row r="4" spans="1:4" x14ac:dyDescent="0.25">
      <c r="A4" s="19" t="s">
        <v>47</v>
      </c>
      <c r="B4" s="22"/>
      <c r="C4" s="23">
        <f>VLOOKUP(A4,унр4,2,FALSE)</f>
        <v>0</v>
      </c>
      <c r="D4" s="9">
        <f>B4*B6*C4</f>
        <v>0</v>
      </c>
    </row>
    <row r="5" spans="1:4" x14ac:dyDescent="0.25">
      <c r="A5" s="1" t="s">
        <v>13</v>
      </c>
      <c r="B5" s="22"/>
      <c r="C5" s="7"/>
      <c r="D5" s="9">
        <f>(B2*B5*C10)+(B2*B5*C7)</f>
        <v>0</v>
      </c>
    </row>
    <row r="6" spans="1:4" x14ac:dyDescent="0.25">
      <c r="A6" s="1" t="s">
        <v>0</v>
      </c>
      <c r="B6" s="22"/>
      <c r="C6" s="7"/>
      <c r="D6" s="8"/>
    </row>
    <row r="7" spans="1:4" x14ac:dyDescent="0.25">
      <c r="A7" s="1" t="s">
        <v>27</v>
      </c>
      <c r="B7" s="20" t="s">
        <v>14</v>
      </c>
      <c r="C7" s="10">
        <f>VLOOKUP(B7,авангард11,2,FALSE)</f>
        <v>515</v>
      </c>
      <c r="D7" s="8"/>
    </row>
    <row r="8" spans="1:4" x14ac:dyDescent="0.25">
      <c r="A8" s="1" t="s">
        <v>1</v>
      </c>
      <c r="B8" s="19" t="s">
        <v>14</v>
      </c>
      <c r="C8" s="1">
        <f>VLOOKUP(B8,татпроф11,2,FALSE)</f>
        <v>925</v>
      </c>
      <c r="D8" s="8"/>
    </row>
    <row r="9" spans="1:4" x14ac:dyDescent="0.25">
      <c r="A9" s="1" t="s">
        <v>2</v>
      </c>
      <c r="B9" s="19" t="s">
        <v>14</v>
      </c>
      <c r="C9" s="1">
        <f>VLOOKUP(B9,татпроф11,2,FALSE)</f>
        <v>925</v>
      </c>
      <c r="D9" s="8"/>
    </row>
    <row r="10" spans="1:4" x14ac:dyDescent="0.25">
      <c r="A10" s="1" t="s">
        <v>22</v>
      </c>
      <c r="B10" s="19" t="s">
        <v>19</v>
      </c>
      <c r="C10" s="1">
        <f>VLOOKUP(B10,Значения!A7:B10,2,FALSE)</f>
        <v>5540</v>
      </c>
      <c r="D10" s="8"/>
    </row>
    <row r="11" spans="1:4" x14ac:dyDescent="0.25">
      <c r="A11" s="1" t="s">
        <v>39</v>
      </c>
      <c r="B11" s="21" t="s">
        <v>9</v>
      </c>
      <c r="C11" s="1">
        <f>VLOOKUP(B11,нестандартныйсп,2,FALSE)</f>
        <v>0</v>
      </c>
      <c r="D11" s="8"/>
    </row>
    <row r="12" spans="1:4" x14ac:dyDescent="0.25">
      <c r="A12" s="1" t="s">
        <v>3</v>
      </c>
      <c r="B12" s="19" t="s">
        <v>9</v>
      </c>
      <c r="C12" s="1">
        <f>VLOOKUP(B12,Значения!M1:N2,2,FALSE)</f>
        <v>0</v>
      </c>
      <c r="D12" s="8"/>
    </row>
    <row r="13" spans="1:4" x14ac:dyDescent="0.25">
      <c r="A13" s="1" t="s">
        <v>4</v>
      </c>
      <c r="B13" s="22"/>
      <c r="C13" s="1">
        <v>800</v>
      </c>
      <c r="D13" s="9">
        <f>B13*C13</f>
        <v>0</v>
      </c>
    </row>
    <row r="14" spans="1:4" x14ac:dyDescent="0.25">
      <c r="A14" s="3" t="s">
        <v>5</v>
      </c>
      <c r="B14" s="22"/>
      <c r="C14" s="1">
        <v>1800</v>
      </c>
      <c r="D14" s="9">
        <f>B14*C14</f>
        <v>0</v>
      </c>
    </row>
    <row r="15" spans="1:4" x14ac:dyDescent="0.25">
      <c r="A15" s="32"/>
      <c r="B15" s="33"/>
      <c r="C15" s="33"/>
      <c r="D15" s="34"/>
    </row>
    <row r="16" spans="1:4" x14ac:dyDescent="0.25">
      <c r="A16" s="18" t="s">
        <v>29</v>
      </c>
      <c r="B16" s="35">
        <f>SUM(D2:D5)+1800*B18</f>
        <v>0</v>
      </c>
      <c r="C16" s="36"/>
      <c r="D16" s="37"/>
    </row>
    <row r="17" spans="1:4" x14ac:dyDescent="0.25">
      <c r="A17" s="18" t="s">
        <v>37</v>
      </c>
      <c r="B17" s="35">
        <f>(B18*1800)+(B13*300)+(B14*900)+(C4*0.4)</f>
        <v>0</v>
      </c>
      <c r="C17" s="36"/>
      <c r="D17" s="37"/>
    </row>
    <row r="18" spans="1:4" x14ac:dyDescent="0.25">
      <c r="A18" s="18" t="s">
        <v>24</v>
      </c>
      <c r="B18" s="41">
        <f>(B2*B6)+(B3*B6)</f>
        <v>0</v>
      </c>
      <c r="C18" s="42"/>
      <c r="D18" s="43"/>
    </row>
    <row r="19" spans="1:4" x14ac:dyDescent="0.25">
      <c r="A19" s="32"/>
      <c r="B19" s="33"/>
      <c r="C19" s="33"/>
      <c r="D19" s="34"/>
    </row>
    <row r="20" spans="1:4" x14ac:dyDescent="0.25">
      <c r="A20" s="14" t="s">
        <v>31</v>
      </c>
      <c r="B20" s="38">
        <f>VLOOKUP(A20,Значения!Q9:U14,5,FALSE)</f>
        <v>0</v>
      </c>
      <c r="C20" s="39"/>
      <c r="D20" s="40"/>
    </row>
    <row r="21" spans="1:4" x14ac:dyDescent="0.25">
      <c r="A21" s="16" t="s">
        <v>26</v>
      </c>
      <c r="B21" s="38">
        <f>SUM(D13:D14)</f>
        <v>0</v>
      </c>
      <c r="C21" s="39"/>
      <c r="D21" s="40"/>
    </row>
    <row r="22" spans="1:4" x14ac:dyDescent="0.25">
      <c r="A22" s="17" t="s">
        <v>25</v>
      </c>
      <c r="B22" s="38">
        <f>SUM(B20:D21)</f>
        <v>0</v>
      </c>
      <c r="C22" s="39"/>
      <c r="D22" s="40"/>
    </row>
  </sheetData>
  <sheetProtection algorithmName="SHA-512" hashValue="Ou65Y4EFxHc0+mn2NVNN6jo2yPWwgmjzaZ4FKvjixtBPGROCHQHgQTXBeuM6RVdRLKPZqn4Ey1IT4uZK9lbO1Q==" saltValue="MYUc66Na+UtaTcJtssyGEA==" spinCount="100000" sheet="1" objects="1" scenarios="1"/>
  <mergeCells count="8">
    <mergeCell ref="B21:D21"/>
    <mergeCell ref="B22:D22"/>
    <mergeCell ref="B16:D16"/>
    <mergeCell ref="A15:D15"/>
    <mergeCell ref="B17:D17"/>
    <mergeCell ref="A19:D19"/>
    <mergeCell ref="B18:D18"/>
    <mergeCell ref="B20:D20"/>
  </mergeCells>
  <dataValidations count="8">
    <dataValidation type="list" allowBlank="1" showInputMessage="1" showErrorMessage="1" sqref="A20">
      <formula1>сумма6</formula1>
    </dataValidation>
    <dataValidation type="list" allowBlank="1" showInputMessage="1" showErrorMessage="1" sqref="B9">
      <formula1>татпроф12</formula1>
    </dataValidation>
    <dataValidation type="list" allowBlank="1" showInputMessage="1" showErrorMessage="1" sqref="B12">
      <formula1>наличие</formula1>
    </dataValidation>
    <dataValidation type="list" allowBlank="1" showInputMessage="1" showErrorMessage="1" sqref="B10">
      <formula1>цветТ</formula1>
    </dataValidation>
    <dataValidation type="list" allowBlank="1" showInputMessage="1" showErrorMessage="1" sqref="B7">
      <formula1>авангард12</formula1>
    </dataValidation>
    <dataValidation type="list" allowBlank="1" showInputMessage="1" showErrorMessage="1" sqref="B11">
      <formula1>нестандартныйсп1</formula1>
    </dataValidation>
    <dataValidation type="list" allowBlank="1" showInputMessage="1" showErrorMessage="1" sqref="B8">
      <formula1>татпроф12</formula1>
    </dataValidation>
    <dataValidation type="list" allowBlank="1" showInputMessage="1" showErrorMessage="1" sqref="A4">
      <formula1>унр3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25</vt:i4>
      </vt:variant>
    </vt:vector>
  </HeadingPairs>
  <TitlesOfParts>
    <vt:vector size="30" baseType="lpstr">
      <vt:lpstr>Значения</vt:lpstr>
      <vt:lpstr>Авангард</vt:lpstr>
      <vt:lpstr>Лист1</vt:lpstr>
      <vt:lpstr>ЗХТ-Авангард</vt:lpstr>
      <vt:lpstr>Татпроф</vt:lpstr>
      <vt:lpstr>авангард1</vt:lpstr>
      <vt:lpstr>авангард11</vt:lpstr>
      <vt:lpstr>авангард12</vt:lpstr>
      <vt:lpstr>наличие</vt:lpstr>
      <vt:lpstr>нестандартныйсп</vt:lpstr>
      <vt:lpstr>нестандартныйсп1</vt:lpstr>
      <vt:lpstr>стеклопакет</vt:lpstr>
      <vt:lpstr>стеклопакет2</vt:lpstr>
      <vt:lpstr>сумма</vt:lpstr>
      <vt:lpstr>сумма2</vt:lpstr>
      <vt:lpstr>сумма3</vt:lpstr>
      <vt:lpstr>сумма4</vt:lpstr>
      <vt:lpstr>сумма5</vt:lpstr>
      <vt:lpstr>сумма6</vt:lpstr>
      <vt:lpstr>татпроф</vt:lpstr>
      <vt:lpstr>Татпроф1</vt:lpstr>
      <vt:lpstr>татпроф11</vt:lpstr>
      <vt:lpstr>татпроф12</vt:lpstr>
      <vt:lpstr>татпроф2</vt:lpstr>
      <vt:lpstr>унр</vt:lpstr>
      <vt:lpstr>унр1</vt:lpstr>
      <vt:lpstr>унр3</vt:lpstr>
      <vt:lpstr>унр4</vt:lpstr>
      <vt:lpstr>цвет</vt:lpstr>
      <vt:lpstr>цветТ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2016-07-29T11:57:18Z</dcterms:modified>
</cp:coreProperties>
</file>