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0" yWindow="60" windowWidth="19440" windowHeight="9675" activeTab="1"/>
  </bookViews>
  <sheets>
    <sheet name="1" sheetId="21" r:id="rId1"/>
    <sheet name="2" sheetId="19" r:id="rId2"/>
    <sheet name="Лист1" sheetId="6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1" l="1"/>
  <c r="D95" i="21"/>
  <c r="F95" i="21" s="1"/>
  <c r="H95" i="21" s="1"/>
  <c r="G94" i="21"/>
  <c r="D94" i="21"/>
  <c r="F94" i="21" s="1"/>
  <c r="H94" i="21" s="1"/>
  <c r="G93" i="21"/>
  <c r="D93" i="21"/>
  <c r="F93" i="21" s="1"/>
  <c r="H93" i="21" s="1"/>
  <c r="G92" i="21"/>
  <c r="D92" i="21"/>
  <c r="F92" i="21" s="1"/>
  <c r="H92" i="21" s="1"/>
  <c r="G91" i="21"/>
  <c r="D91" i="21"/>
  <c r="F91" i="21" s="1"/>
  <c r="H91" i="21" s="1"/>
  <c r="G90" i="21"/>
  <c r="D90" i="21"/>
  <c r="F90" i="21" s="1"/>
  <c r="H90" i="21" s="1"/>
  <c r="H89" i="21"/>
  <c r="G89" i="21"/>
  <c r="I83" i="21"/>
  <c r="F83" i="21"/>
  <c r="J83" i="21" s="1"/>
  <c r="I82" i="21"/>
  <c r="F82" i="21"/>
  <c r="J82" i="21" s="1"/>
  <c r="I81" i="21"/>
  <c r="F81" i="21"/>
  <c r="J81" i="21" s="1"/>
  <c r="F80" i="21"/>
  <c r="D80" i="21"/>
  <c r="D89" i="21" s="1"/>
  <c r="D74" i="21"/>
  <c r="D73" i="21"/>
  <c r="D72" i="21"/>
  <c r="L65" i="21"/>
  <c r="H65" i="21"/>
  <c r="F65" i="21"/>
  <c r="D65" i="21"/>
  <c r="L64" i="21"/>
  <c r="H64" i="21"/>
  <c r="F64" i="21"/>
  <c r="D64" i="21"/>
  <c r="L63" i="21"/>
  <c r="H63" i="21"/>
  <c r="F63" i="21"/>
  <c r="D63" i="21"/>
  <c r="L62" i="21"/>
  <c r="H62" i="21"/>
  <c r="F62" i="21"/>
  <c r="D62" i="21"/>
  <c r="L61" i="21"/>
  <c r="H61" i="21"/>
  <c r="F61" i="21"/>
  <c r="D61" i="21"/>
  <c r="L60" i="21"/>
  <c r="H60" i="21"/>
  <c r="F60" i="21"/>
  <c r="D60" i="21"/>
  <c r="L59" i="21"/>
  <c r="H59" i="21"/>
  <c r="F59" i="21"/>
  <c r="D59" i="21"/>
  <c r="L58" i="21"/>
  <c r="H58" i="21"/>
  <c r="F58" i="21"/>
  <c r="D58" i="21"/>
  <c r="D52" i="21"/>
  <c r="D51" i="21"/>
  <c r="D50" i="21"/>
  <c r="D49" i="21"/>
  <c r="H43" i="21"/>
  <c r="D43" i="21"/>
  <c r="F43" i="21" s="1"/>
  <c r="H42" i="21"/>
  <c r="F42" i="21"/>
  <c r="D42" i="21"/>
  <c r="H41" i="21"/>
  <c r="D41" i="21"/>
  <c r="F41" i="21" s="1"/>
  <c r="H40" i="21"/>
  <c r="F40" i="21"/>
  <c r="D40" i="21"/>
  <c r="A37" i="21"/>
  <c r="F26" i="21"/>
  <c r="F25" i="21"/>
  <c r="F24" i="21"/>
  <c r="F23" i="21"/>
  <c r="F22" i="21"/>
  <c r="F21" i="21"/>
  <c r="F20" i="21"/>
  <c r="D19" i="21"/>
  <c r="F19" i="21" s="1"/>
  <c r="F18" i="21"/>
  <c r="D18" i="21"/>
  <c r="D17" i="21"/>
  <c r="F17" i="21" s="1"/>
  <c r="F16" i="21"/>
  <c r="D16" i="21"/>
  <c r="G15" i="21"/>
  <c r="H15" i="21" s="1"/>
  <c r="D15" i="21"/>
  <c r="F15" i="21" s="1"/>
  <c r="H10" i="21"/>
  <c r="D8" i="21"/>
  <c r="E7" i="21"/>
  <c r="P6" i="21"/>
  <c r="O6" i="21"/>
  <c r="D6" i="21"/>
  <c r="O5" i="21"/>
  <c r="D10" i="21" l="1"/>
  <c r="D7" i="21"/>
  <c r="J33" i="21"/>
  <c r="J31" i="21"/>
  <c r="J29" i="21"/>
  <c r="J27" i="21"/>
  <c r="J18" i="21"/>
  <c r="J16" i="21"/>
  <c r="P8" i="21"/>
  <c r="P10" i="21" s="1"/>
  <c r="E8" i="21"/>
  <c r="E10" i="21" s="1"/>
  <c r="J34" i="21"/>
  <c r="J32" i="21"/>
  <c r="J30" i="21"/>
  <c r="J28" i="21"/>
  <c r="J26" i="21"/>
  <c r="J25" i="21"/>
  <c r="J24" i="21"/>
  <c r="J15" i="21"/>
  <c r="J17" i="21"/>
  <c r="J19" i="21"/>
  <c r="J20" i="21"/>
  <c r="J21" i="21"/>
  <c r="J22" i="21"/>
  <c r="J23" i="21"/>
  <c r="P7" i="21"/>
  <c r="O7" i="21"/>
  <c r="O8" i="21"/>
  <c r="O10" i="21" s="1"/>
  <c r="J80" i="21"/>
  <c r="I80" i="21"/>
  <c r="G16" i="21" l="1"/>
  <c r="H16" i="21" s="1"/>
  <c r="G17" i="21" l="1"/>
  <c r="H17" i="21" s="1"/>
  <c r="G18" i="21" l="1"/>
  <c r="H18" i="21" s="1"/>
  <c r="G19" i="21" l="1"/>
  <c r="H19" i="21" s="1"/>
  <c r="G20" i="21" l="1"/>
  <c r="H20" i="21" s="1"/>
  <c r="G21" i="21" l="1"/>
  <c r="H21" i="21" s="1"/>
  <c r="G22" i="21" l="1"/>
  <c r="H22" i="21" s="1"/>
  <c r="G23" i="21" l="1"/>
  <c r="H23" i="21" s="1"/>
  <c r="G24" i="21" l="1"/>
  <c r="H24" i="21" s="1"/>
  <c r="G25" i="21" l="1"/>
  <c r="H25" i="21" s="1"/>
  <c r="G26" i="21" l="1"/>
  <c r="H26" i="21" s="1"/>
  <c r="F80" i="19" l="1"/>
  <c r="G95" i="19"/>
  <c r="D95" i="19"/>
  <c r="F95" i="19" s="1"/>
  <c r="G94" i="19"/>
  <c r="D94" i="19"/>
  <c r="F94" i="19" s="1"/>
  <c r="H94" i="19" s="1"/>
  <c r="G93" i="19"/>
  <c r="F93" i="19"/>
  <c r="D93" i="19"/>
  <c r="G92" i="19"/>
  <c r="D92" i="19"/>
  <c r="F92" i="19" s="1"/>
  <c r="H92" i="19" s="1"/>
  <c r="G91" i="19"/>
  <c r="D91" i="19"/>
  <c r="F91" i="19" s="1"/>
  <c r="G90" i="19"/>
  <c r="D90" i="19"/>
  <c r="F90" i="19" s="1"/>
  <c r="H90" i="19" s="1"/>
  <c r="H89" i="19"/>
  <c r="G89" i="19"/>
  <c r="I83" i="19"/>
  <c r="F83" i="19"/>
  <c r="I82" i="19"/>
  <c r="F82" i="19"/>
  <c r="I81" i="19"/>
  <c r="F81" i="19"/>
  <c r="D80" i="19"/>
  <c r="I80" i="19" s="1"/>
  <c r="D74" i="19"/>
  <c r="D73" i="19"/>
  <c r="D72" i="19"/>
  <c r="H65" i="19"/>
  <c r="L65" i="19" s="1"/>
  <c r="D65" i="19"/>
  <c r="F65" i="19" s="1"/>
  <c r="H64" i="19"/>
  <c r="L64" i="19" s="1"/>
  <c r="D64" i="19"/>
  <c r="F64" i="19" s="1"/>
  <c r="H63" i="19"/>
  <c r="L63" i="19" s="1"/>
  <c r="D63" i="19"/>
  <c r="F63" i="19" s="1"/>
  <c r="H62" i="19"/>
  <c r="L62" i="19" s="1"/>
  <c r="D62" i="19"/>
  <c r="F62" i="19" s="1"/>
  <c r="H61" i="19"/>
  <c r="L61" i="19" s="1"/>
  <c r="D61" i="19"/>
  <c r="F61" i="19" s="1"/>
  <c r="H60" i="19"/>
  <c r="L60" i="19" s="1"/>
  <c r="D60" i="19"/>
  <c r="F60" i="19" s="1"/>
  <c r="H59" i="19"/>
  <c r="L59" i="19" s="1"/>
  <c r="D59" i="19"/>
  <c r="F59" i="19" s="1"/>
  <c r="H58" i="19"/>
  <c r="L58" i="19" s="1"/>
  <c r="D58" i="19"/>
  <c r="F58" i="19" s="1"/>
  <c r="D52" i="19"/>
  <c r="D51" i="19"/>
  <c r="D50" i="19"/>
  <c r="D49" i="19"/>
  <c r="H43" i="19"/>
  <c r="D43" i="19"/>
  <c r="F43" i="19" s="1"/>
  <c r="H42" i="19"/>
  <c r="D42" i="19"/>
  <c r="F42" i="19" s="1"/>
  <c r="H41" i="19"/>
  <c r="D41" i="19"/>
  <c r="F41" i="19" s="1"/>
  <c r="H40" i="19"/>
  <c r="D40" i="19"/>
  <c r="F40" i="19" s="1"/>
  <c r="F28" i="19"/>
  <c r="F27" i="19"/>
  <c r="F26" i="19"/>
  <c r="F25" i="19"/>
  <c r="D24" i="19"/>
  <c r="F24" i="19" s="1"/>
  <c r="D23" i="19"/>
  <c r="F23" i="19" s="1"/>
  <c r="D22" i="19"/>
  <c r="F22" i="19" s="1"/>
  <c r="D21" i="19"/>
  <c r="F21" i="19" s="1"/>
  <c r="D20" i="19"/>
  <c r="F20" i="19" s="1"/>
  <c r="D19" i="19"/>
  <c r="F19" i="19" s="1"/>
  <c r="D18" i="19"/>
  <c r="F18" i="19" s="1"/>
  <c r="D17" i="19"/>
  <c r="F17" i="19" s="1"/>
  <c r="D16" i="19"/>
  <c r="F16" i="19" s="1"/>
  <c r="G15" i="19"/>
  <c r="H15" i="19" s="1"/>
  <c r="D15" i="19"/>
  <c r="F15" i="19" s="1"/>
  <c r="H10" i="19"/>
  <c r="P6" i="19"/>
  <c r="O6" i="19"/>
  <c r="D6" i="19"/>
  <c r="D7" i="19" s="1"/>
  <c r="O5" i="19"/>
  <c r="J81" i="19" l="1"/>
  <c r="J82" i="19"/>
  <c r="J83" i="19"/>
  <c r="H91" i="19"/>
  <c r="H93" i="19"/>
  <c r="H95" i="19"/>
  <c r="O8" i="19"/>
  <c r="D8" i="19"/>
  <c r="G16" i="19"/>
  <c r="H16" i="19" s="1"/>
  <c r="O7" i="19"/>
  <c r="J31" i="19"/>
  <c r="O10" i="19"/>
  <c r="P7" i="19"/>
  <c r="J34" i="19"/>
  <c r="J32" i="19"/>
  <c r="J30" i="19"/>
  <c r="J28" i="19"/>
  <c r="J26" i="19"/>
  <c r="J24" i="19"/>
  <c r="J22" i="19"/>
  <c r="J20" i="19"/>
  <c r="J18" i="19"/>
  <c r="J16" i="19"/>
  <c r="P8" i="19"/>
  <c r="P10" i="19" s="1"/>
  <c r="E8" i="19"/>
  <c r="J15" i="19"/>
  <c r="J17" i="19"/>
  <c r="J19" i="19"/>
  <c r="J21" i="19"/>
  <c r="J23" i="19"/>
  <c r="J25" i="19"/>
  <c r="J27" i="19"/>
  <c r="J29" i="19"/>
  <c r="J33" i="19"/>
  <c r="J80" i="19"/>
  <c r="E7" i="19" l="1"/>
  <c r="E10" i="19"/>
  <c r="D10" i="19"/>
  <c r="G17" i="19"/>
  <c r="H17" i="19" s="1"/>
  <c r="G18" i="19" l="1"/>
  <c r="H18" i="19" s="1"/>
  <c r="G19" i="19" l="1"/>
  <c r="H19" i="19" s="1"/>
  <c r="G20" i="19" l="1"/>
  <c r="H20" i="19" s="1"/>
  <c r="G21" i="19" l="1"/>
  <c r="H21" i="19" s="1"/>
  <c r="G22" i="19" l="1"/>
  <c r="H22" i="19" s="1"/>
  <c r="G23" i="19" l="1"/>
  <c r="H23" i="19" s="1"/>
  <c r="G24" i="19" l="1"/>
  <c r="G25" i="19" l="1"/>
  <c r="G26" i="19" l="1"/>
  <c r="H26" i="19" s="1"/>
  <c r="G27" i="19" l="1"/>
  <c r="H27" i="19" s="1"/>
  <c r="G28" i="19" l="1"/>
  <c r="H28" i="19" s="1"/>
</calcChain>
</file>

<file path=xl/sharedStrings.xml><?xml version="1.0" encoding="utf-8"?>
<sst xmlns="http://schemas.openxmlformats.org/spreadsheetml/2006/main" count="204" uniqueCount="48">
  <si>
    <t>Расчет количества дней отпуска</t>
  </si>
  <si>
    <t>Начало</t>
  </si>
  <si>
    <t>Конец</t>
  </si>
  <si>
    <t xml:space="preserve">Дата трудоустройства </t>
  </si>
  <si>
    <t xml:space="preserve">Текущая дата </t>
  </si>
  <si>
    <t>Календарные дни</t>
  </si>
  <si>
    <t>Праздничные дни</t>
  </si>
  <si>
    <t>Отгуленные дни</t>
  </si>
  <si>
    <t>За период с… по…</t>
  </si>
  <si>
    <t>Кол-во  дней отпуска с даты приема</t>
  </si>
  <si>
    <t>план. дата</t>
  </si>
  <si>
    <t>Дней отпуска полагается</t>
  </si>
  <si>
    <t>основной</t>
  </si>
  <si>
    <t>дополнит.</t>
  </si>
  <si>
    <t>ВСЕГО</t>
  </si>
  <si>
    <t>Приказ №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</si>
  <si>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ОСНОВНЫХ</t>
    </r>
  </si>
  <si>
    <t xml:space="preserve">Кол-во отгуленных дней отпуска </t>
  </si>
  <si>
    <t xml:space="preserve">Кол-во неотгуленного отпуска 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</si>
  <si>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БЕЗ СОХРАНЕНИЯ ЗАРАБОТНОЙ ПЛАТЫ</t>
    </r>
  </si>
  <si>
    <t>Период закрыт</t>
  </si>
  <si>
    <t xml:space="preserve">Примечание:   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</si>
  <si>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УЧЕБНЫХ</t>
    </r>
  </si>
  <si>
    <t>Меняет/не меняет период</t>
  </si>
  <si>
    <t>Нет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</si>
  <si>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БЕРЕМЕННОСТИ И РОДАМ  (БиР)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</si>
  <si>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УХОДУ ЗА РЕБЕНКОМ</t>
    </r>
  </si>
  <si>
    <t>Да</t>
  </si>
  <si>
    <t>НОВЫЙ период</t>
  </si>
  <si>
    <t>На сколько дней меняет период</t>
  </si>
  <si>
    <t>Период (закрыт/нет)</t>
  </si>
  <si>
    <t>Примечание</t>
  </si>
  <si>
    <t>Журнал изменений РАБОЧЕГО ПЕРИОДА</t>
  </si>
  <si>
    <t>Начало (должен быть)</t>
  </si>
  <si>
    <t>Конец (должен быть)</t>
  </si>
  <si>
    <t>НОВЫЙ период2</t>
  </si>
  <si>
    <t>ПРОВЕРКА!!!</t>
  </si>
  <si>
    <t>ЕСЛИ нет исключений из периода</t>
  </si>
  <si>
    <t>Кол-во дней за период осталось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</si>
  <si>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ДОПОЛНИТЕЛЬНЫХ</t>
    </r>
  </si>
  <si>
    <t>Должен быть период                       с… по…</t>
  </si>
  <si>
    <t xml:space="preserve">ОБРАЗОВАН НОВЫЙ ПЕРИОД </t>
  </si>
  <si>
    <t>за Ненормир. Раб День</t>
  </si>
  <si>
    <t>13-0</t>
  </si>
  <si>
    <t>нет</t>
  </si>
  <si>
    <t>ЗДЕСЬ ВЕРНО</t>
  </si>
  <si>
    <t>Здесь расчет не верен.</t>
  </si>
  <si>
    <t>Скорее всего формула "цепляется" из предыдущего листа. Как сделать, чтобы при копировании формула считала данные ЭТОГО листа?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</si>
</sst>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sz val="9"/>
      <color theme="1"/>
      <name val="Segoe UI Light"/>
      <family val="2"/>
      <charset val="204"/>
      <scheme val="minor"/>
    </font>
    <font>
      <b/>
      <u/>
      <sz val="15"/>
      <color theme="3"/>
      <name val="Segoe UI Light"/>
      <family val="2"/>
      <charset val="204"/>
      <scheme val="minor"/>
    </font>
    <font>
      <b/>
      <sz val="11"/>
      <color theme="1"/>
      <name val="Segoe UI Light"/>
      <family val="2"/>
      <charset val="204"/>
      <scheme val="minor"/>
    </font>
    <font>
      <sz val="10"/>
      <color theme="0"/>
      <name val="Segoe UI Light"/>
      <family val="2"/>
      <charset val="204"/>
      <scheme val="minor"/>
    </font>
    <font>
      <b/>
      <sz val="9"/>
      <color theme="3"/>
      <name val="Segoe UI Light"/>
      <family val="2"/>
      <charset val="204"/>
      <scheme val="minor"/>
    </font>
    <font>
      <sz val="10"/>
      <color theme="1"/>
      <name val="Segoe UI Light"/>
      <family val="2"/>
      <charset val="204"/>
      <scheme val="minor"/>
    </font>
    <font>
      <b/>
      <sz val="10"/>
      <color theme="0"/>
      <name val="Segoe UI Light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b/>
      <sz val="10"/>
      <name val="Arial Cyr"/>
      <family val="2"/>
      <charset val="204"/>
    </font>
    <font>
      <b/>
      <i/>
      <u/>
      <sz val="12"/>
      <color theme="3"/>
      <name val="Arial Black"/>
      <family val="2"/>
      <charset val="204"/>
    </font>
    <font>
      <b/>
      <u/>
      <sz val="11"/>
      <color rgb="FFFF0000"/>
      <name val="Segoe UI Light"/>
      <family val="2"/>
      <charset val="204"/>
      <scheme val="minor"/>
    </font>
    <font>
      <sz val="9"/>
      <color rgb="FFFF0000"/>
      <name val="Segoe UI Light"/>
      <family val="2"/>
      <charset val="204"/>
      <scheme val="minor"/>
    </font>
    <font>
      <b/>
      <sz val="9"/>
      <color theme="0"/>
      <name val="Segoe UI Light"/>
      <family val="2"/>
      <charset val="204"/>
      <scheme val="minor"/>
    </font>
    <font>
      <sz val="9"/>
      <name val="Segoe UI Light"/>
      <family val="2"/>
      <charset val="204"/>
      <scheme val="minor"/>
    </font>
    <font>
      <i/>
      <sz val="11"/>
      <color rgb="FF7F7F7F"/>
      <name val="Segoe UI Light"/>
      <family val="2"/>
      <charset val="204"/>
      <scheme val="minor"/>
    </font>
    <font>
      <sz val="11"/>
      <name val="Segoe UI Light"/>
      <family val="2"/>
      <charset val="204"/>
      <scheme val="minor"/>
    </font>
    <font>
      <b/>
      <sz val="9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8"/>
      <color theme="0"/>
      <name val="Segoe UI Light"/>
      <family val="2"/>
      <charset val="204"/>
      <scheme val="minor"/>
    </font>
    <font>
      <sz val="8"/>
      <color theme="1"/>
      <name val="Segoe UI Light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/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/>
      <top style="thin">
        <color theme="3" tint="0.249977111117893"/>
      </top>
      <bottom style="thin">
        <color theme="3" tint="0.249977111117893"/>
      </bottom>
      <diagonal/>
    </border>
    <border>
      <left/>
      <right style="thin">
        <color theme="3" tint="0.249977111117893"/>
      </right>
      <top/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-0.249977111117893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3" applyNumberFormat="1" applyAlignment="1">
      <alignment horizontal="center" vertical="center"/>
    </xf>
    <xf numFmtId="14" fontId="3" fillId="2" borderId="3" xfId="3" applyNumberFormat="1" applyAlignment="1">
      <alignment horizontal="center" vertical="center"/>
    </xf>
    <xf numFmtId="0" fontId="3" fillId="2" borderId="3" xfId="3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4" applyFill="1" applyAlignment="1"/>
    <xf numFmtId="0" fontId="0" fillId="0" borderId="0" xfId="0" applyFill="1"/>
    <xf numFmtId="0" fontId="0" fillId="0" borderId="0" xfId="0"/>
    <xf numFmtId="0" fontId="3" fillId="2" borderId="9" xfId="3" applyNumberFormat="1" applyBorder="1" applyAlignment="1">
      <alignment horizontal="center" vertical="center"/>
    </xf>
    <xf numFmtId="0" fontId="3" fillId="2" borderId="11" xfId="3" applyNumberFormat="1" applyBorder="1" applyAlignment="1">
      <alignment horizontal="center" vertical="center"/>
    </xf>
    <xf numFmtId="0" fontId="3" fillId="2" borderId="12" xfId="3" applyNumberFormat="1" applyBorder="1" applyAlignment="1">
      <alignment horizontal="center" vertical="center"/>
    </xf>
    <xf numFmtId="0" fontId="3" fillId="2" borderId="0" xfId="3" applyNumberFormat="1" applyBorder="1" applyAlignment="1">
      <alignment horizontal="center" vertical="center"/>
    </xf>
    <xf numFmtId="2" fontId="6" fillId="2" borderId="3" xfId="3" applyNumberFormat="1" applyFont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0" borderId="0" xfId="0" applyFont="1"/>
    <xf numFmtId="0" fontId="4" fillId="3" borderId="0" xfId="4" applyAlignment="1">
      <alignment vertical="center"/>
    </xf>
    <xf numFmtId="0" fontId="4" fillId="3" borderId="4" xfId="4" applyBorder="1" applyAlignment="1">
      <alignment vertical="center"/>
    </xf>
    <xf numFmtId="0" fontId="10" fillId="3" borderId="0" xfId="4" applyFont="1" applyAlignment="1">
      <alignment vertical="center"/>
    </xf>
    <xf numFmtId="0" fontId="11" fillId="0" borderId="2" xfId="2" applyFont="1"/>
    <xf numFmtId="0" fontId="0" fillId="0" borderId="0" xfId="0" applyFill="1" applyBorder="1"/>
    <xf numFmtId="0" fontId="12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14" fontId="3" fillId="7" borderId="3" xfId="3" applyNumberFormat="1" applyFill="1" applyAlignment="1">
      <alignment horizontal="center" vertical="center"/>
    </xf>
    <xf numFmtId="14" fontId="3" fillId="6" borderId="9" xfId="3" applyNumberFormat="1" applyFill="1" applyBorder="1" applyAlignment="1">
      <alignment horizontal="center" vertical="center"/>
    </xf>
    <xf numFmtId="0" fontId="3" fillId="2" borderId="15" xfId="3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6" fillId="0" borderId="19" xfId="0" applyFont="1" applyFill="1" applyBorder="1" applyAlignment="1"/>
    <xf numFmtId="0" fontId="15" fillId="0" borderId="0" xfId="5" applyNumberFormat="1" applyFont="1" applyFill="1" applyBorder="1" applyAlignment="1" applyProtection="1">
      <alignment vertical="center"/>
    </xf>
    <xf numFmtId="14" fontId="0" fillId="10" borderId="0" xfId="0" applyNumberFormat="1" applyFill="1" applyAlignment="1">
      <alignment horizontal="center" vertical="center"/>
    </xf>
    <xf numFmtId="0" fontId="20" fillId="5" borderId="13" xfId="0" applyFont="1" applyFill="1" applyBorder="1" applyAlignment="1">
      <alignment horizontal="center" vertical="center" wrapText="1"/>
    </xf>
    <xf numFmtId="14" fontId="0" fillId="10" borderId="0" xfId="0" applyNumberFormat="1" applyFill="1"/>
    <xf numFmtId="0" fontId="0" fillId="0" borderId="0" xfId="0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22" xfId="0" applyFont="1" applyBorder="1"/>
    <xf numFmtId="0" fontId="22" fillId="0" borderId="22" xfId="6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7" fillId="0" borderId="1" xfId="1" applyFont="1" applyAlignment="1"/>
    <xf numFmtId="14" fontId="3" fillId="7" borderId="12" xfId="3" applyNumberFormat="1" applyFill="1" applyBorder="1" applyAlignment="1">
      <alignment horizontal="center" vertical="center"/>
    </xf>
    <xf numFmtId="14" fontId="3" fillId="2" borderId="12" xfId="3" applyNumberFormat="1" applyBorder="1" applyAlignment="1">
      <alignment horizontal="center" vertical="center"/>
    </xf>
    <xf numFmtId="0" fontId="3" fillId="2" borderId="12" xfId="3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0" xfId="4" applyBorder="1" applyAlignment="1">
      <alignment vertical="center"/>
    </xf>
    <xf numFmtId="2" fontId="27" fillId="0" borderId="12" xfId="0" applyNumberFormat="1" applyFont="1" applyBorder="1" applyAlignment="1">
      <alignment horizontal="center" vertical="center"/>
    </xf>
    <xf numFmtId="2" fontId="6" fillId="2" borderId="12" xfId="3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left" vertical="center" indent="3"/>
    </xf>
    <xf numFmtId="2" fontId="0" fillId="0" borderId="0" xfId="0" applyNumberFormat="1"/>
    <xf numFmtId="0" fontId="2" fillId="0" borderId="2" xfId="2" applyAlignment="1">
      <alignment horizontal="center" vertical="center"/>
    </xf>
    <xf numFmtId="0" fontId="28" fillId="5" borderId="13" xfId="0" applyFont="1" applyFill="1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29" fillId="0" borderId="0" xfId="0" applyFont="1"/>
    <xf numFmtId="0" fontId="25" fillId="0" borderId="0" xfId="0" applyFont="1"/>
    <xf numFmtId="0" fontId="0" fillId="0" borderId="0" xfId="0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4" fontId="7" fillId="0" borderId="26" xfId="0" applyNumberFormat="1" applyFont="1" applyFill="1" applyBorder="1" applyAlignment="1">
      <alignment horizontal="center" vertical="center"/>
    </xf>
    <xf numFmtId="0" fontId="0" fillId="0" borderId="0" xfId="0" applyBorder="1"/>
    <xf numFmtId="0" fontId="21" fillId="0" borderId="26" xfId="0" applyFont="1" applyBorder="1" applyAlignment="1">
      <alignment horizontal="center" vertical="center"/>
    </xf>
    <xf numFmtId="14" fontId="7" fillId="0" borderId="0" xfId="0" applyNumberFormat="1" applyFont="1"/>
    <xf numFmtId="14" fontId="7" fillId="0" borderId="0" xfId="0" applyNumberFormat="1" applyFont="1" applyAlignment="1">
      <alignment horizontal="center" vertical="center"/>
    </xf>
    <xf numFmtId="0" fontId="11" fillId="0" borderId="2" xfId="2" applyFont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4" fontId="12" fillId="0" borderId="28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29" xfId="0" applyFill="1" applyBorder="1"/>
    <xf numFmtId="0" fontId="7" fillId="0" borderId="26" xfId="0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14" fontId="12" fillId="0" borderId="29" xfId="0" applyNumberFormat="1" applyFont="1" applyFill="1" applyBorder="1" applyAlignment="1">
      <alignment horizontal="center" vertical="center"/>
    </xf>
    <xf numFmtId="0" fontId="0" fillId="0" borderId="26" xfId="0" applyBorder="1"/>
    <xf numFmtId="14" fontId="0" fillId="10" borderId="26" xfId="0" applyNumberFormat="1" applyFill="1" applyBorder="1" applyAlignment="1">
      <alignment horizontal="center" vertical="center"/>
    </xf>
    <xf numFmtId="14" fontId="0" fillId="8" borderId="25" xfId="0" applyNumberFormat="1" applyFill="1" applyBorder="1" applyAlignment="1">
      <alignment horizontal="center" vertical="center"/>
    </xf>
    <xf numFmtId="0" fontId="7" fillId="0" borderId="34" xfId="0" applyFont="1" applyBorder="1"/>
    <xf numFmtId="0" fontId="0" fillId="0" borderId="25" xfId="0" applyFill="1" applyBorder="1" applyAlignment="1">
      <alignment horizontal="center" vertical="center"/>
    </xf>
    <xf numFmtId="14" fontId="0" fillId="0" borderId="26" xfId="0" applyNumberFormat="1" applyBorder="1"/>
    <xf numFmtId="14" fontId="0" fillId="0" borderId="27" xfId="0" applyNumberFormat="1" applyFill="1" applyBorder="1" applyAlignment="1">
      <alignment horizontal="center" vertical="center"/>
    </xf>
    <xf numFmtId="14" fontId="7" fillId="0" borderId="29" xfId="0" applyNumberFormat="1" applyFont="1" applyFill="1" applyBorder="1" applyAlignment="1">
      <alignment horizontal="center" vertical="center"/>
    </xf>
    <xf numFmtId="14" fontId="0" fillId="0" borderId="26" xfId="0" applyNumberFormat="1" applyFill="1" applyBorder="1"/>
    <xf numFmtId="14" fontId="0" fillId="0" borderId="27" xfId="0" applyNumberFormat="1" applyFill="1" applyBorder="1"/>
    <xf numFmtId="0" fontId="0" fillId="0" borderId="28" xfId="0" applyFill="1" applyBorder="1"/>
    <xf numFmtId="0" fontId="7" fillId="0" borderId="0" xfId="0" applyFont="1" applyAlignment="1">
      <alignment horizontal="center" vertical="top" wrapText="1"/>
    </xf>
    <xf numFmtId="0" fontId="13" fillId="4" borderId="0" xfId="0" applyFont="1" applyFill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left"/>
    </xf>
    <xf numFmtId="0" fontId="16" fillId="9" borderId="17" xfId="0" applyFont="1" applyFill="1" applyBorder="1" applyAlignment="1">
      <alignment horizontal="left"/>
    </xf>
    <xf numFmtId="0" fontId="16" fillId="9" borderId="18" xfId="0" applyFont="1" applyFill="1" applyBorder="1" applyAlignment="1">
      <alignment horizontal="left"/>
    </xf>
    <xf numFmtId="0" fontId="15" fillId="9" borderId="16" xfId="5" applyNumberFormat="1" applyFont="1" applyFill="1" applyBorder="1" applyAlignment="1" applyProtection="1">
      <alignment horizontal="center" vertical="center"/>
    </xf>
    <xf numFmtId="0" fontId="15" fillId="9" borderId="17" xfId="5" applyNumberFormat="1" applyFont="1" applyFill="1" applyBorder="1" applyAlignment="1" applyProtection="1">
      <alignment horizontal="center" vertical="center"/>
    </xf>
    <xf numFmtId="0" fontId="15" fillId="9" borderId="18" xfId="5" applyNumberFormat="1" applyFont="1" applyFill="1" applyBorder="1" applyAlignment="1" applyProtection="1">
      <alignment horizontal="center" vertical="center"/>
    </xf>
    <xf numFmtId="0" fontId="17" fillId="0" borderId="1" xfId="1" applyFont="1" applyAlignment="1">
      <alignment horizontal="center"/>
    </xf>
    <xf numFmtId="0" fontId="4" fillId="3" borderId="5" xfId="4" applyBorder="1" applyAlignment="1">
      <alignment horizontal="center"/>
    </xf>
    <xf numFmtId="0" fontId="4" fillId="3" borderId="6" xfId="4" applyBorder="1" applyAlignment="1">
      <alignment horizontal="center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3" fillId="2" borderId="7" xfId="3" applyNumberFormat="1" applyBorder="1" applyAlignment="1">
      <alignment horizontal="center" vertical="center"/>
    </xf>
    <xf numFmtId="0" fontId="3" fillId="2" borderId="8" xfId="3" applyNumberFormat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2" fontId="26" fillId="8" borderId="0" xfId="0" applyNumberFormat="1" applyFont="1" applyFill="1" applyAlignment="1">
      <alignment horizontal="center" vertical="center"/>
    </xf>
    <xf numFmtId="2" fontId="26" fillId="8" borderId="1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7">
    <cellStyle name="Акцент1" xfId="4" builtinId="29"/>
    <cellStyle name="Вывод" xfId="3" builtinId="21"/>
    <cellStyle name="Гиперссылка" xfId="5" builtinId="8"/>
    <cellStyle name="Заголовок 1" xfId="1" builtinId="16"/>
    <cellStyle name="Заголовок 2" xfId="2" builtinId="17"/>
    <cellStyle name="Обычный" xfId="0" builtinId="0"/>
    <cellStyle name="Пояснение" xfId="6" builtinId="53"/>
  </cellStyles>
  <dxfs count="18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sz val="9"/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9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Segoe UI Light"/>
        <scheme val="minor"/>
      </font>
      <fill>
        <patternFill>
          <bgColor rgb="FF92D050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Segoe UI Light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sz val="9"/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9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Segoe UI Light"/>
        <scheme val="minor"/>
      </font>
      <fill>
        <patternFill>
          <bgColor rgb="FF92D050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Segoe UI Light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4;&#1056;&#1041;&#1048;&#1058;&#1040;-2016.08\&#1041;&#1072;&#1079;&#1072;%20&#1076;&#1072;&#1085;&#1085;&#1099;&#1093;\2016\&#1054;&#1090;&#1087;&#1091;&#1089;&#1082;&#1072;%20&#1087;&#1086;%20&#1054;&#1088;&#1073;&#1080;&#1090;&#1077;\&#1054;&#1090;&#1087;&#1091;&#1089;&#1082;%20%20-%20&#1040;&#1059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якин"/>
      <sheetName val="Болдырев"/>
      <sheetName val="Полосин новый"/>
      <sheetName val="Полосин"/>
      <sheetName val="Смирнова новый"/>
      <sheetName val="Смирнова"/>
      <sheetName val="Лист1"/>
      <sheetName val="Отпуск  - АУ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id="1" name="Журнал32314" displayName="Журнал32314" ref="B14:F34" totalsRowShown="0" headerRowDxfId="137" dataDxfId="136">
  <autoFilter ref="B14:F34"/>
  <tableColumns count="5">
    <tableColumn id="1" name="Начало" dataDxfId="135"/>
    <tableColumn id="2" name="Конец" dataDxfId="134"/>
    <tableColumn id="3" name="Календарные дни" dataDxfId="133">
      <calculatedColumnFormula>Журнал32314[[#This Row],[Конец]]-Журнал32314[[#This Row],[Начало]]+1</calculatedColumnFormula>
    </tableColumn>
    <tableColumn id="4" name="Праздничные дни" dataDxfId="132"/>
    <tableColumn id="5" name="Отгуленные дни" dataDxfId="131">
      <calculatedColumnFormula>Журнал32314[[#This Row],[Календарные дни]]-Журнал32314[[#This Row],[Праздничные дни]]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4" name="Журнал32452123102330" displayName="Журнал32452123102330" ref="B57:F65" totalsRowShown="0" headerRowDxfId="32" dataDxfId="31">
  <autoFilter ref="B57:F65"/>
  <tableColumns count="5">
    <tableColumn id="1" name="Начало" dataDxfId="30"/>
    <tableColumn id="2" name="Конец" dataDxfId="29"/>
    <tableColumn id="3" name="Календарные дни" dataDxfId="28">
      <calculatedColumnFormula>Журнал32452123102330[[#This Row],[Конец]]-Журнал32452123102330[[#This Row],[Начало]]+1</calculatedColumnFormula>
    </tableColumn>
    <tableColumn id="4" name="Праздничные дни" dataDxfId="27"/>
    <tableColumn id="5" name="Отгуленные дни" dataDxfId="26">
      <calculatedColumnFormula>Журнал32452123102330[[#This Row],[Календарные дни]]-Журнал32452123102330[[#This Row],[Праздничные дни]]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5" name="Журнал32452123242541445255192431" displayName="Журнал32452123242541445255192431" ref="B71:F74" totalsRowShown="0" headerRowDxfId="25" dataDxfId="24">
  <autoFilter ref="B71:F74"/>
  <tableColumns count="5">
    <tableColumn id="1" name="Начало" dataDxfId="23"/>
    <tableColumn id="2" name="Конец" dataDxfId="22"/>
    <tableColumn id="3" name="Календарные дни" dataDxfId="21">
      <calculatedColumnFormula>Журнал32452123242541445255192431[[#This Row],[Конец]]-Журнал32452123242541445255192431[[#This Row],[Начало]]+1</calculatedColumnFormula>
    </tableColumn>
    <tableColumn id="4" name="Приказ №" dataDxfId="20"/>
    <tableColumn id="5" name="Примечание" dataDxfId="19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8" name="Журнал324521232647505356202532" displayName="Журнал324521232647505356202532" ref="B79:D83" totalsRowShown="0" headerRowDxfId="18" dataDxfId="17">
  <autoFilter ref="B79:D83"/>
  <tableColumns count="3">
    <tableColumn id="1" name="Начало" dataDxfId="16"/>
    <tableColumn id="2" name="Конец" dataDxfId="15"/>
    <tableColumn id="3" name="Календарные дни" dataDxfId="14">
      <calculatedColumnFormula>Журнал324521232647505356202532[[#This Row],[Конец]]-Журнал324521232647505356202532[[#This Row],[Начало]]+1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9" name="Журнал3245212633" displayName="Журнал3245212633" ref="B39:F43" totalsRowShown="0" headerRowDxfId="13" dataDxfId="12">
  <autoFilter ref="B39:F43"/>
  <tableColumns count="5">
    <tableColumn id="1" name="Начало" dataDxfId="11"/>
    <tableColumn id="2" name="Конец" dataDxfId="10"/>
    <tableColumn id="3" name="Календарные дни" dataDxfId="9">
      <calculatedColumnFormula>Журнал3245212633[[#This Row],[Конец]]-Журнал3245212633[[#This Row],[Начало]]+1</calculatedColumnFormula>
    </tableColumn>
    <tableColumn id="4" name="Праздничные дни" dataDxfId="8"/>
    <tableColumn id="5" name="Отгуленные дни" dataDxfId="7">
      <calculatedColumnFormula>Журнал3245212633[[#This Row],[Календарные дни]]-Журнал3245212633[[#This Row],[Праздничные дни]]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30" name="Журнал3245212324353854222734" displayName="Журнал3245212324353854222734" ref="B48:F52" totalsRowShown="0" headerRowDxfId="6" dataDxfId="5">
  <autoFilter ref="B48:F52"/>
  <tableColumns count="5">
    <tableColumn id="1" name="Начало" dataDxfId="4"/>
    <tableColumn id="2" name="Конец" dataDxfId="3"/>
    <tableColumn id="3" name="Календарные дни" dataDxfId="2">
      <calculatedColumnFormula>Журнал3245212324353854222734[[#This Row],[Конец]]-Журнал3245212324353854222734[[#This Row],[Начало]]+1</calculatedColumnFormula>
    </tableColumn>
    <tableColumn id="4" name="Приказ №" dataDxfId="1"/>
    <tableColumn id="5" name="Примечание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Журнал3245212328246731012" displayName="Журнал3245212328246731012" ref="B88:H95" totalsRowShown="0" headerRowDxfId="130" dataDxfId="129">
  <autoFilter ref="B88:H95"/>
  <tableColumns count="7">
    <tableColumn id="1" name="Начало (должен быть)" dataDxfId="128">
      <calculatedColumnFormula>G80</calculatedColumnFormula>
    </tableColumn>
    <tableColumn id="2" name="Конец (должен быть)" dataDxfId="127">
      <calculatedColumnFormula>Журнал3245212328246731012[[#This Row],[Начало (должен быть)]]+364</calculatedColumnFormula>
    </tableColumn>
    <tableColumn id="3" name="Календарные дни" dataDxfId="126">
      <calculatedColumnFormula>D80</calculatedColumnFormula>
    </tableColumn>
    <tableColumn id="4" name="Меняет/не меняет период" dataDxfId="125"/>
    <tableColumn id="5" name="На сколько дней меняет период" dataDxfId="124">
      <calculatedColumnFormula>Журнал3245212328246731012[[#This Row],[Календарные дни]]</calculatedColumnFormula>
    </tableColumn>
    <tableColumn id="7" name="НОВЫЙ период" dataDxfId="123">
      <calculatedColumnFormula>Журнал3245212328246731012[[#This Row],[Начало (должен быть)]]</calculatedColumnFormula>
    </tableColumn>
    <tableColumn id="8" name="НОВЫЙ период2" dataDxfId="122">
      <calculatedColumnFormula>Журнал3245212328246731012[[#This Row],[Конец (должен быть)]]+Журнал3245212328246731012[[#This Row],[На сколько дней меняет период]]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Журнал32452123" displayName="Журнал32452123" ref="B57:F65" totalsRowShown="0" headerRowDxfId="121" dataDxfId="120">
  <autoFilter ref="B57:F65"/>
  <tableColumns count="5">
    <tableColumn id="1" name="Начало" dataDxfId="119"/>
    <tableColumn id="2" name="Конец" dataDxfId="118"/>
    <tableColumn id="3" name="Календарные дни" dataDxfId="117">
      <calculatedColumnFormula>Журнал32452123[[#This Row],[Конец]]-Журнал32452123[[#This Row],[Начало]]+1</calculatedColumnFormula>
    </tableColumn>
    <tableColumn id="4" name="Праздничные дни" dataDxfId="116"/>
    <tableColumn id="5" name="Отгуленные дни" dataDxfId="115">
      <calculatedColumnFormula>Журнал32452123[[#This Row],[Календарные дни]]-Журнал32452123[[#This Row],[Праздничные дни]]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Журнал32452123242541445255" displayName="Журнал32452123242541445255" ref="B71:F74" totalsRowShown="0" headerRowDxfId="114" dataDxfId="113">
  <autoFilter ref="B71:F74"/>
  <tableColumns count="5">
    <tableColumn id="1" name="Начало" dataDxfId="112"/>
    <tableColumn id="2" name="Конец" dataDxfId="111"/>
    <tableColumn id="3" name="Календарные дни" dataDxfId="110">
      <calculatedColumnFormula>Журнал32452123242541445255[[#This Row],[Конец]]-Журнал32452123242541445255[[#This Row],[Начало]]+1</calculatedColumnFormula>
    </tableColumn>
    <tableColumn id="4" name="Приказ №" dataDxfId="109"/>
    <tableColumn id="5" name="Примечание" dataDxfId="10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7" name="Журнал324521232647505356" displayName="Журнал324521232647505356" ref="B79:D83" totalsRowShown="0" headerRowDxfId="107" dataDxfId="106">
  <autoFilter ref="B79:D83"/>
  <tableColumns count="3">
    <tableColumn id="1" name="Начало" dataDxfId="105"/>
    <tableColumn id="2" name="Конец" dataDxfId="104"/>
    <tableColumn id="3" name="Календарные дни" dataDxfId="103">
      <calculatedColumnFormula>Журнал324521232647505356[[#This Row],[Конец]]-Журнал324521232647505356[[#This Row],[Начало]]+1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8" name="Журнал324517" displayName="Журнал324517" ref="B39:F43" totalsRowShown="0" headerRowDxfId="102" dataDxfId="101">
  <autoFilter ref="B39:F43"/>
  <tableColumns count="5">
    <tableColumn id="1" name="Начало" dataDxfId="100"/>
    <tableColumn id="2" name="Конец" dataDxfId="99"/>
    <tableColumn id="3" name="Календарные дни" dataDxfId="98">
      <calculatedColumnFormula>Журнал324517[[#This Row],[Конец]]-Журнал324517[[#This Row],[Начало]]+1</calculatedColumnFormula>
    </tableColumn>
    <tableColumn id="4" name="Праздничные дни" dataDxfId="97"/>
    <tableColumn id="5" name="Отгуленные дни" dataDxfId="96">
      <calculatedColumnFormula>Журнал324517[[#This Row],[Календарные дни]]-Журнал324517[[#This Row],[Праздничные дни]]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9" name="Журнал3245212324353854" displayName="Журнал3245212324353854" ref="B48:F52" totalsRowShown="0" headerRowDxfId="95" dataDxfId="94">
  <autoFilter ref="B48:F52"/>
  <tableColumns count="5">
    <tableColumn id="1" name="Начало" dataDxfId="93"/>
    <tableColumn id="2" name="Конец" dataDxfId="92"/>
    <tableColumn id="3" name="Календарные дни" dataDxfId="91">
      <calculatedColumnFormula>Журнал3245212324353854[[#This Row],[Конец]]-Журнал3245212324353854[[#This Row],[Начало]]+1</calculatedColumnFormula>
    </tableColumn>
    <tableColumn id="4" name="Приказ №" dataDxfId="90"/>
    <tableColumn id="5" name="Примечание" dataDxfId="89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0" name="Журнал323142628" displayName="Журнал323142628" ref="B14:F34" totalsRowShown="0" headerRowDxfId="48" dataDxfId="47">
  <autoFilter ref="B14:F34"/>
  <tableColumns count="5">
    <tableColumn id="1" name="Начало" dataDxfId="46"/>
    <tableColumn id="2" name="Конец" dataDxfId="45"/>
    <tableColumn id="3" name="Календарные дни" dataDxfId="44">
      <calculatedColumnFormula>Журнал323142628[[#This Row],[Конец]]-Журнал323142628[[#This Row],[Начало]]+1</calculatedColumnFormula>
    </tableColumn>
    <tableColumn id="4" name="Праздничные дни" dataDxfId="43"/>
    <tableColumn id="5" name="Отгуленные дни" dataDxfId="42">
      <calculatedColumnFormula>Журнал323142628[[#This Row],[Календарные дни]]-Журнал323142628[[#This Row],[Праздничные дни]]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23" name="Журнал324521232824673101241129" displayName="Журнал324521232824673101241129" ref="B88:H95" totalsRowShown="0" headerRowDxfId="41" dataDxfId="40">
  <autoFilter ref="B88:H95"/>
  <tableColumns count="7">
    <tableColumn id="1" name="Начало (должен быть)" dataDxfId="39">
      <calculatedColumnFormula>G80</calculatedColumnFormula>
    </tableColumn>
    <tableColumn id="2" name="Конец (должен быть)" dataDxfId="38">
      <calculatedColumnFormula>(B89+365)*(B89&gt;0)</calculatedColumnFormula>
    </tableColumn>
    <tableColumn id="3" name="Календарные дни" dataDxfId="37">
      <calculatedColumnFormula>D80</calculatedColumnFormula>
    </tableColumn>
    <tableColumn id="4" name="Меняет/не меняет период" dataDxfId="36"/>
    <tableColumn id="5" name="На сколько дней меняет период" dataDxfId="35">
      <calculatedColumnFormula>Журнал324521232824673101241129[[#This Row],[Календарные дни]]</calculatedColumnFormula>
    </tableColumn>
    <tableColumn id="7" name="НОВЫЙ период" dataDxfId="34">
      <calculatedColumnFormula>Журнал324521232824673101241129[[#This Row],[Начало (должен быть)]]</calculatedColumnFormula>
    </tableColumn>
    <tableColumn id="8" name="НОВЫЙ период2" dataDxfId="33">
      <calculatedColumnFormula>Журнал324521232824673101241129[[#This Row],[Конец (должен быть)]]+Журнал324521232824673101241129[[#This Row],[На сколько дней меняет период]]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showGridLines="0" zoomScale="85" zoomScaleNormal="85" workbookViewId="0">
      <selection activeCell="F10" sqref="F10"/>
    </sheetView>
  </sheetViews>
  <sheetFormatPr defaultRowHeight="16.5" x14ac:dyDescent="0.3"/>
  <cols>
    <col min="1" max="1" width="3" style="13" customWidth="1"/>
    <col min="2" max="3" width="13.5" style="13" customWidth="1"/>
    <col min="4" max="5" width="12.75" style="13" customWidth="1"/>
    <col min="6" max="6" width="11.75" style="13" customWidth="1"/>
    <col min="7" max="7" width="9.625" style="13" customWidth="1"/>
    <col min="8" max="8" width="10.5" style="13" customWidth="1"/>
    <col min="9" max="9" width="7" style="5" customWidth="1"/>
    <col min="10" max="11" width="12.25" style="13" customWidth="1"/>
    <col min="12" max="14" width="9" style="13"/>
    <col min="15" max="16" width="11.75" style="13" customWidth="1"/>
    <col min="17" max="16384" width="9" style="13"/>
  </cols>
  <sheetData>
    <row r="1" spans="1:16" ht="17.25" thickBot="1" x14ac:dyDescent="0.35">
      <c r="B1" s="105"/>
      <c r="C1" s="106"/>
      <c r="D1" s="106"/>
      <c r="E1" s="106"/>
      <c r="F1" s="107"/>
      <c r="G1" s="36"/>
      <c r="H1" s="108"/>
      <c r="I1" s="109"/>
      <c r="J1" s="109"/>
      <c r="K1" s="110"/>
      <c r="L1" s="37"/>
      <c r="M1" s="37"/>
      <c r="N1" s="37"/>
    </row>
    <row r="2" spans="1:16" ht="6.75" customHeight="1" x14ac:dyDescent="0.3">
      <c r="A2" s="27"/>
    </row>
    <row r="3" spans="1:16" s="2" customFormat="1" ht="24.75" thickBot="1" x14ac:dyDescent="0.5">
      <c r="B3" s="2" t="s">
        <v>0</v>
      </c>
      <c r="E3" s="54"/>
      <c r="F3" s="111"/>
      <c r="G3" s="111"/>
      <c r="H3" s="111"/>
      <c r="I3" s="111"/>
      <c r="O3" s="2" t="s">
        <v>36</v>
      </c>
    </row>
    <row r="4" spans="1:16" ht="6" customHeight="1" thickTop="1" x14ac:dyDescent="0.3"/>
    <row r="5" spans="1:16" ht="16.5" customHeight="1" x14ac:dyDescent="0.3">
      <c r="B5" s="23" t="s">
        <v>3</v>
      </c>
      <c r="C5" s="24"/>
      <c r="D5" s="31">
        <v>41852</v>
      </c>
      <c r="E5" s="10" t="s">
        <v>10</v>
      </c>
      <c r="F5" s="11"/>
      <c r="G5" s="112" t="s">
        <v>11</v>
      </c>
      <c r="H5" s="112"/>
      <c r="I5" s="112"/>
      <c r="J5" s="113"/>
      <c r="K5" s="114" t="s">
        <v>21</v>
      </c>
      <c r="L5" s="115"/>
      <c r="M5" s="115"/>
      <c r="O5" s="55">
        <f>D5</f>
        <v>41852</v>
      </c>
      <c r="P5" s="10" t="s">
        <v>10</v>
      </c>
    </row>
    <row r="6" spans="1:16" ht="16.5" customHeight="1" x14ac:dyDescent="0.3">
      <c r="B6" s="23" t="s">
        <v>4</v>
      </c>
      <c r="C6" s="24"/>
      <c r="D6" s="8">
        <f ca="1">TODAY()</f>
        <v>42608</v>
      </c>
      <c r="E6" s="32">
        <v>42689</v>
      </c>
      <c r="G6" s="7" t="s">
        <v>12</v>
      </c>
      <c r="H6" s="7">
        <v>28</v>
      </c>
      <c r="I6" s="116"/>
      <c r="J6" s="117"/>
      <c r="K6" s="118"/>
      <c r="L6" s="118"/>
      <c r="M6" s="118"/>
      <c r="O6" s="56">
        <f ca="1">TODAY()</f>
        <v>42608</v>
      </c>
      <c r="P6" s="32">
        <f>E6</f>
        <v>42689</v>
      </c>
    </row>
    <row r="7" spans="1:16" x14ac:dyDescent="0.3">
      <c r="B7" s="25" t="s">
        <v>9</v>
      </c>
      <c r="C7" s="24"/>
      <c r="D7" s="129">
        <f ca="1">(DATEDIF(D5,D6+1,"m")+(DATEDIF(D5,D6+1,"md")&gt;13)-SUMPRODUCT(DATEDIF(Журнал3245212328246731012[НОВЫЙ период],Журнал3245212328246731012[НОВЫЙ период2],"m")*(Журнал3245212328246731012[Начало (должен быть)]&gt;0+1)))/12*$H$6+H6*COUNT(Журнал3245212328246731012[Начало (должен быть)])</f>
        <v>58.333333333333336</v>
      </c>
      <c r="E7" s="130">
        <f>(DATEDIF(D5,E6+1,"m")+(DATEDIF(D5,E6+1,"md")&gt;13)-SUMPRODUCT(DATEDIF([1]!Журнал32452123282467310124[НОВЫЙ период],[1]!Журнал32452123282467310124[НОВЫЙ период2],"m")*([1]!Журнал32452123282467310124[Начало (должен быть)]&gt;0+1)))/12*$H$6+H6*COUNT([1]!Журнал32452123282467310124[Начало (должен быть)])</f>
        <v>65.333333333333343</v>
      </c>
      <c r="F7" s="13" t="s">
        <v>45</v>
      </c>
      <c r="G7" s="7" t="s">
        <v>13</v>
      </c>
      <c r="H7" s="14">
        <v>3</v>
      </c>
      <c r="I7" s="120" t="s">
        <v>42</v>
      </c>
      <c r="J7" s="121"/>
      <c r="K7" s="118"/>
      <c r="L7" s="118"/>
      <c r="M7" s="118"/>
      <c r="O7" s="34">
        <f ca="1">(DATEDIF(O5,O6+1,"m")+(DATEDIF(O5,O6+1,"md")&gt;13))/12*$H$6</f>
        <v>58.333333333333336</v>
      </c>
      <c r="P7" s="34">
        <f>(DATEDIF(O5,P6+1,"m")+(DATEDIF(O5,P6+1,"md")&gt;13))/12*$H$6</f>
        <v>65.333333333333343</v>
      </c>
    </row>
    <row r="8" spans="1:16" x14ac:dyDescent="0.3">
      <c r="B8" s="23" t="s">
        <v>17</v>
      </c>
      <c r="C8" s="24"/>
      <c r="D8" s="9">
        <f>SUM(Журнал32314[Отгуленные дни])</f>
        <v>41</v>
      </c>
      <c r="E8" s="9">
        <f>SUM(Журнал32314[Отгуленные дни])</f>
        <v>41</v>
      </c>
      <c r="G8" s="7" t="s">
        <v>13</v>
      </c>
      <c r="H8" s="16"/>
      <c r="I8" s="17"/>
      <c r="K8" s="118"/>
      <c r="L8" s="118"/>
      <c r="M8" s="118"/>
      <c r="O8" s="57">
        <f>SUM(F15:F36)</f>
        <v>41</v>
      </c>
      <c r="P8" s="33">
        <f>SUM(F15:F36)</f>
        <v>41</v>
      </c>
    </row>
    <row r="9" spans="1:16" ht="5.25" customHeight="1" x14ac:dyDescent="0.3">
      <c r="B9" s="122"/>
      <c r="C9" s="122"/>
      <c r="D9" s="5"/>
      <c r="E9" s="14"/>
      <c r="G9" s="15"/>
      <c r="H9" s="16"/>
      <c r="K9" s="118"/>
      <c r="L9" s="118"/>
      <c r="M9" s="118"/>
      <c r="O9" s="58"/>
      <c r="P9" s="7"/>
    </row>
    <row r="10" spans="1:16" ht="18.75" x14ac:dyDescent="0.3">
      <c r="B10" s="23" t="s">
        <v>18</v>
      </c>
      <c r="C10" s="59"/>
      <c r="D10" s="60">
        <f ca="1">(DATEDIF(D5,D6+1,"m")+(DATEDIF(D5,D6+1,"md")&gt;13)-SUMPRODUCT(DATEDIF(Журнал3245212328246731012[НОВЫЙ период],Журнал3245212328246731012[НОВЫЙ период2],"m")*(Журнал3245212328246731012[Начало (должен быть)]&gt;0+1)))/12*$H$6+H6*COUNT(Журнал3245212328246731012[Начало (должен быть)])-D8</f>
        <v>17.333333333333336</v>
      </c>
      <c r="E10" s="60">
        <f>(DATEDIF(D5,E6+1,"m")+(DATEDIF(D5,E6+1,"md")&gt;13)-SUMPRODUCT(DATEDIF([1]!Журнал32452123282467310124[НОВЫЙ период],[1]!Журнал32452123282467310124[НОВЫЙ период2],"m")*([1]!Журнал32452123282467310124[Начало (должен быть)]&gt;0+1)))/12*$H$6+H6*COUNT([1]!Журнал32452123282467310124[Начало (должен быть)]) -E8</f>
        <v>24.333333333333343</v>
      </c>
      <c r="G10" s="15" t="s">
        <v>14</v>
      </c>
      <c r="H10" s="16">
        <f>SUM(H6:H9)</f>
        <v>31</v>
      </c>
      <c r="K10" s="118"/>
      <c r="L10" s="118"/>
      <c r="M10" s="118"/>
      <c r="O10" s="61">
        <f ca="1">(DATEDIF(O5,O6,"m")+(DATEDIF(O5,O6,"md")&gt;13))/12*$H6-O8</f>
        <v>17.333333333333336</v>
      </c>
      <c r="P10" s="18">
        <f>(DATEDIF(O5,P6,"m")+(DATEDIF(O5,P6,"md")&gt;13))/12*$H6-P8</f>
        <v>24.333333333333343</v>
      </c>
    </row>
    <row r="11" spans="1:16" ht="11.25" customHeight="1" thickBot="1" x14ac:dyDescent="0.35">
      <c r="D11" s="62"/>
      <c r="E11" s="63"/>
      <c r="K11" s="119"/>
      <c r="L11" s="119"/>
      <c r="M11" s="119"/>
      <c r="O11" s="100" t="s">
        <v>37</v>
      </c>
      <c r="P11" s="100"/>
    </row>
    <row r="12" spans="1:16" s="1" customFormat="1" ht="25.5" thickTop="1" thickBot="1" x14ac:dyDescent="0.5">
      <c r="B12" s="1" t="s">
        <v>16</v>
      </c>
      <c r="I12" s="64"/>
    </row>
    <row r="13" spans="1:16" ht="9" customHeight="1" thickTop="1" x14ac:dyDescent="0.3"/>
    <row r="14" spans="1:16" ht="34.5" customHeight="1" x14ac:dyDescent="0.3">
      <c r="B14" s="28" t="s">
        <v>1</v>
      </c>
      <c r="C14" s="28" t="s">
        <v>2</v>
      </c>
      <c r="D14" s="28" t="s">
        <v>5</v>
      </c>
      <c r="E14" s="28" t="s">
        <v>6</v>
      </c>
      <c r="F14" s="29" t="s">
        <v>7</v>
      </c>
      <c r="G14" s="101" t="s">
        <v>8</v>
      </c>
      <c r="H14" s="102"/>
      <c r="I14" s="30" t="s">
        <v>15</v>
      </c>
      <c r="J14" s="30" t="s">
        <v>30</v>
      </c>
      <c r="K14" s="65" t="s">
        <v>38</v>
      </c>
    </row>
    <row r="15" spans="1:16" x14ac:dyDescent="0.3">
      <c r="A15" s="48"/>
      <c r="B15" s="4">
        <v>42108</v>
      </c>
      <c r="C15" s="4">
        <v>42111</v>
      </c>
      <c r="D15" s="5">
        <f>Журнал32314[[#This Row],[Конец]]-Журнал32314[[#This Row],[Начало]]+1</f>
        <v>4</v>
      </c>
      <c r="E15" s="5"/>
      <c r="F15" s="5">
        <f>Журнал32314[[#This Row],[Календарные дни]]-Журнал32314[[#This Row],[Праздничные дни]]</f>
        <v>4</v>
      </c>
      <c r="G15" s="66">
        <f>D5</f>
        <v>41852</v>
      </c>
      <c r="H15" s="66">
        <f>G15+364</f>
        <v>42216</v>
      </c>
      <c r="I15" s="27"/>
      <c r="J15" s="46" t="str">
        <f>IF(TRUNC(SUM(F$14:F15)/$H$6)&gt;TRUNC(SUM(F$14:F14)/$H$6),"Период закрыт","")</f>
        <v/>
      </c>
      <c r="K15" s="47"/>
    </row>
    <row r="16" spans="1:16" x14ac:dyDescent="0.3">
      <c r="A16" s="48"/>
      <c r="B16" s="4">
        <v>42271</v>
      </c>
      <c r="C16" s="4">
        <v>42284</v>
      </c>
      <c r="D16" s="5">
        <f>Журнал32314[[#This Row],[Конец]]-Журнал32314[[#This Row],[Начало]]+1</f>
        <v>14</v>
      </c>
      <c r="E16" s="5"/>
      <c r="F16" s="6">
        <f>Журнал32314[[#This Row],[Календарные дни]]-Журнал32314[[#This Row],[Праздничные дни]]</f>
        <v>14</v>
      </c>
      <c r="G16" s="67">
        <f>IF(K15=0,H15+1,G15)</f>
        <v>42217</v>
      </c>
      <c r="H16" s="67">
        <f>G16+364</f>
        <v>42581</v>
      </c>
      <c r="I16" s="27"/>
      <c r="J16" s="46" t="str">
        <f>IF(TRUNC(SUM(F$14:F16)/$H$6)&gt;TRUNC(SUM(F$14:F15)/$H$6),"Период закрыт","")</f>
        <v/>
      </c>
      <c r="K16" s="47"/>
    </row>
    <row r="17" spans="1:12" x14ac:dyDescent="0.3">
      <c r="A17" s="48"/>
      <c r="B17" s="4">
        <v>42416</v>
      </c>
      <c r="C17" s="4">
        <v>42426</v>
      </c>
      <c r="D17" s="5">
        <f>Журнал32314[[#This Row],[Конец]]-Журнал32314[[#This Row],[Начало]]+1</f>
        <v>11</v>
      </c>
      <c r="E17" s="5">
        <v>1</v>
      </c>
      <c r="F17" s="6">
        <f>Журнал32314[[#This Row],[Календарные дни]]-Журнал32314[[#This Row],[Праздничные дни]]</f>
        <v>10</v>
      </c>
      <c r="G17" s="67">
        <f t="shared" ref="G17:G26" si="0">IF(K16=0,H16+1,G16)</f>
        <v>42582</v>
      </c>
      <c r="H17" s="67">
        <f t="shared" ref="H17" si="1">G17+364</f>
        <v>42946</v>
      </c>
      <c r="I17" s="27"/>
      <c r="J17" s="46" t="str">
        <f>IF(TRUNC(SUM(F$14:F17)/$H$6)&gt;TRUNC(SUM(F$14:F16)/$H$6),"Период закрыт","")</f>
        <v>Период закрыт</v>
      </c>
      <c r="K17" s="47"/>
    </row>
    <row r="18" spans="1:12" x14ac:dyDescent="0.3">
      <c r="A18" s="48"/>
      <c r="B18" s="4">
        <v>42430</v>
      </c>
      <c r="C18" s="4">
        <v>42430</v>
      </c>
      <c r="D18" s="5">
        <f>Журнал32314[[#This Row],[Конец]]-Журнал32314[[#This Row],[Начало]]+1</f>
        <v>1</v>
      </c>
      <c r="E18" s="5"/>
      <c r="F18" s="6">
        <f>Журнал32314[[#This Row],[Календарные дни]]-Журнал32314[[#This Row],[Праздничные дни]]</f>
        <v>1</v>
      </c>
      <c r="G18" s="67">
        <f t="shared" si="0"/>
        <v>42947</v>
      </c>
      <c r="H18" s="67">
        <f>G18+365</f>
        <v>43312</v>
      </c>
      <c r="I18" s="27"/>
      <c r="J18" s="46" t="str">
        <f>IF(TRUNC(SUM(F$14:F18)/$H$6)&gt;TRUNC(SUM(F$14:F17)/$H$6),"Период закрыт","")</f>
        <v/>
      </c>
      <c r="K18" s="47"/>
    </row>
    <row r="19" spans="1:12" x14ac:dyDescent="0.3">
      <c r="A19" s="48"/>
      <c r="B19" s="4">
        <v>42520</v>
      </c>
      <c r="C19" s="4">
        <v>42531</v>
      </c>
      <c r="D19" s="5">
        <f>Журнал32314[[#This Row],[Конец]]-Журнал32314[[#This Row],[Начало]]+1</f>
        <v>12</v>
      </c>
      <c r="E19" s="5"/>
      <c r="F19" s="6">
        <f>Журнал32314[[#This Row],[Календарные дни]]-Журнал32314[[#This Row],[Праздничные дни]]</f>
        <v>12</v>
      </c>
      <c r="G19" s="67">
        <f t="shared" si="0"/>
        <v>43313</v>
      </c>
      <c r="H19" s="67">
        <f>G19+365</f>
        <v>43678</v>
      </c>
      <c r="I19" s="27"/>
      <c r="J19" s="46" t="str">
        <f>IF(TRUNC(SUM(F$14:F19)/$H$6)&gt;TRUNC(SUM(F$14:F18)/$H$6),"Период закрыт","")</f>
        <v/>
      </c>
      <c r="K19" s="47"/>
    </row>
    <row r="20" spans="1:12" x14ac:dyDescent="0.3">
      <c r="A20" s="48"/>
      <c r="B20" s="4"/>
      <c r="C20" s="4"/>
      <c r="D20" s="5"/>
      <c r="E20" s="5"/>
      <c r="F20" s="6">
        <f>Журнал32314[[#This Row],[Календарные дни]]-Журнал32314[[#This Row],[Праздничные дни]]</f>
        <v>0</v>
      </c>
      <c r="G20" s="4">
        <f t="shared" si="0"/>
        <v>43679</v>
      </c>
      <c r="H20" s="4">
        <f>G20+365</f>
        <v>44044</v>
      </c>
      <c r="I20" s="27"/>
      <c r="J20" s="46" t="str">
        <f>IF(TRUNC(SUM(F$14:F20)/$H$6)&gt;TRUNC(SUM(F$14:F19)/$H$6),"Период закрыт","")</f>
        <v/>
      </c>
      <c r="K20" s="47"/>
    </row>
    <row r="21" spans="1:12" x14ac:dyDescent="0.3">
      <c r="A21" s="48"/>
      <c r="B21" s="4"/>
      <c r="C21" s="4"/>
      <c r="D21" s="5"/>
      <c r="E21" s="5"/>
      <c r="F21" s="6">
        <f>Журнал32314[[#This Row],[Календарные дни]]-Журнал32314[[#This Row],[Праздничные дни]]</f>
        <v>0</v>
      </c>
      <c r="G21" s="68">
        <f t="shared" si="0"/>
        <v>44045</v>
      </c>
      <c r="H21" s="67">
        <f t="shared" ref="H21:H24" si="2">G21+364</f>
        <v>44409</v>
      </c>
      <c r="I21" s="76"/>
      <c r="J21" s="46" t="str">
        <f>IF(TRUNC(SUM(F$14:F21)/$H$6)&gt;TRUNC(SUM(F$14:F20)/$H$6),"Период закрыт","")</f>
        <v/>
      </c>
      <c r="K21" s="47"/>
      <c r="L21" s="69"/>
    </row>
    <row r="22" spans="1:12" x14ac:dyDescent="0.3">
      <c r="A22" s="48"/>
      <c r="B22" s="4"/>
      <c r="C22" s="4"/>
      <c r="D22" s="5"/>
      <c r="E22" s="5"/>
      <c r="F22" s="6">
        <f>Журнал32314[[#This Row],[Календарные дни]]-Журнал32314[[#This Row],[Праздничные дни]]</f>
        <v>0</v>
      </c>
      <c r="G22" s="67">
        <f t="shared" si="0"/>
        <v>44410</v>
      </c>
      <c r="H22" s="67">
        <f t="shared" si="2"/>
        <v>44774</v>
      </c>
      <c r="I22" s="76"/>
      <c r="J22" s="46" t="str">
        <f>IF(TRUNC(SUM(F$14:F22)/$H$6)&gt;TRUNC(SUM(F$14:F21)/$H$6),"Период закрыт","")</f>
        <v/>
      </c>
      <c r="K22" s="47"/>
      <c r="L22" s="70"/>
    </row>
    <row r="23" spans="1:12" x14ac:dyDescent="0.3">
      <c r="A23" s="48"/>
      <c r="B23" s="4"/>
      <c r="C23" s="4"/>
      <c r="D23" s="5"/>
      <c r="E23" s="5"/>
      <c r="F23" s="6">
        <f>Журнал32314[[#This Row],[Календарные дни]]-Журнал32314[[#This Row],[Праздничные дни]]</f>
        <v>0</v>
      </c>
      <c r="G23" s="67">
        <f t="shared" si="0"/>
        <v>44775</v>
      </c>
      <c r="H23" s="67">
        <f t="shared" si="2"/>
        <v>45139</v>
      </c>
      <c r="I23" s="76"/>
      <c r="J23" s="46" t="str">
        <f>IF(TRUNC(SUM(F$14:F23)/$H$6)&gt;TRUNC(SUM(F$14:F22)/$H$6),"Период закрыт","")</f>
        <v/>
      </c>
      <c r="K23" s="47"/>
    </row>
    <row r="24" spans="1:12" x14ac:dyDescent="0.3">
      <c r="A24" s="48"/>
      <c r="B24" s="4"/>
      <c r="C24" s="4"/>
      <c r="D24" s="5"/>
      <c r="E24" s="5"/>
      <c r="F24" s="6">
        <f>Журнал32314[[#This Row],[Календарные дни]]-Журнал32314[[#This Row],[Праздничные дни]]</f>
        <v>0</v>
      </c>
      <c r="G24" s="67">
        <f t="shared" si="0"/>
        <v>45140</v>
      </c>
      <c r="H24" s="67">
        <f t="shared" si="2"/>
        <v>45504</v>
      </c>
      <c r="I24" s="76"/>
      <c r="J24" s="46" t="str">
        <f>IF(TRUNC(SUM(F$14:F24)/$H$6)&gt;TRUNC(SUM(F$14:F23)/$H$6),"Период закрыт","")</f>
        <v/>
      </c>
      <c r="K24" s="47"/>
    </row>
    <row r="25" spans="1:12" x14ac:dyDescent="0.3">
      <c r="A25" s="48"/>
      <c r="B25" s="4"/>
      <c r="C25" s="4"/>
      <c r="D25" s="5"/>
      <c r="E25" s="5"/>
      <c r="F25" s="6">
        <f>Журнал32314[[#This Row],[Календарные дни]]-Журнал32314[[#This Row],[Праздничные дни]]</f>
        <v>0</v>
      </c>
      <c r="G25" s="67">
        <f t="shared" si="0"/>
        <v>45505</v>
      </c>
      <c r="H25" s="67">
        <f>G25+365</f>
        <v>45870</v>
      </c>
      <c r="I25" s="76"/>
      <c r="J25" s="46" t="str">
        <f>IF(TRUNC(SUM(F$14:F25)/$H$6)&gt;TRUNC(SUM(F$14:F24)/$H$6),"Период закрыт","")</f>
        <v/>
      </c>
      <c r="K25" s="47"/>
    </row>
    <row r="26" spans="1:12" x14ac:dyDescent="0.3">
      <c r="A26" s="48"/>
      <c r="B26" s="4"/>
      <c r="C26" s="4"/>
      <c r="D26" s="5"/>
      <c r="E26" s="5"/>
      <c r="F26" s="6">
        <f>Журнал32314[[#This Row],[Календарные дни]]-Журнал32314[[#This Row],[Праздничные дни]]</f>
        <v>0</v>
      </c>
      <c r="G26" s="67">
        <f t="shared" si="0"/>
        <v>45871</v>
      </c>
      <c r="H26" s="67">
        <f>G26+364</f>
        <v>46235</v>
      </c>
      <c r="I26" s="76"/>
      <c r="J26" s="46" t="str">
        <f>IF(TRUNC(SUM(F$14:F26)/$H$6)&gt;TRUNC(SUM(F$14:F25)/$H$6),"Период закрыт","")</f>
        <v/>
      </c>
      <c r="K26" s="47"/>
    </row>
    <row r="27" spans="1:12" x14ac:dyDescent="0.3">
      <c r="A27" s="48"/>
      <c r="B27" s="4"/>
      <c r="C27" s="4"/>
      <c r="D27" s="5"/>
      <c r="E27" s="5"/>
      <c r="F27" s="6"/>
      <c r="G27" s="67"/>
      <c r="H27" s="67"/>
      <c r="I27" s="71"/>
      <c r="J27" s="46" t="str">
        <f>IF(TRUNC(SUM(F$14:F27)/$H$6)&gt;TRUNC(SUM(F$14:F26)/$H$6),"Период закрыт","")</f>
        <v/>
      </c>
      <c r="K27" s="47"/>
    </row>
    <row r="28" spans="1:12" x14ac:dyDescent="0.3">
      <c r="A28" s="48"/>
      <c r="B28" s="4"/>
      <c r="C28" s="4"/>
      <c r="D28" s="5"/>
      <c r="E28" s="5"/>
      <c r="F28" s="6"/>
      <c r="G28" s="67"/>
      <c r="H28" s="67"/>
      <c r="I28" s="71"/>
      <c r="J28" s="46" t="str">
        <f>IF(TRUNC(SUM(F$14:F28)/$H$6)&gt;TRUNC(SUM(F$14:F27)/$H$6),"Период закрыт","")</f>
        <v/>
      </c>
      <c r="K28" s="47"/>
    </row>
    <row r="29" spans="1:12" x14ac:dyDescent="0.3">
      <c r="A29" s="48"/>
      <c r="B29" s="4"/>
      <c r="C29" s="4"/>
      <c r="D29" s="5"/>
      <c r="E29" s="5"/>
      <c r="F29" s="6"/>
      <c r="G29" s="67"/>
      <c r="H29" s="67"/>
      <c r="I29" s="71"/>
      <c r="J29" s="46" t="str">
        <f>IF(TRUNC(SUM(F$14:F29)/$H$6)&gt;TRUNC(SUM(F$14:F28)/$H$6),"Период закрыт","")</f>
        <v/>
      </c>
      <c r="K29" s="47"/>
    </row>
    <row r="30" spans="1:12" x14ac:dyDescent="0.3">
      <c r="A30" s="48"/>
      <c r="B30" s="4"/>
      <c r="C30" s="4"/>
      <c r="D30" s="5"/>
      <c r="E30" s="5"/>
      <c r="F30" s="6"/>
      <c r="G30" s="67"/>
      <c r="H30" s="67"/>
      <c r="I30" s="71"/>
      <c r="J30" s="46" t="str">
        <f>IF(TRUNC(SUM(F$14:F30)/$H$6)&gt;TRUNC(SUM(F$14:F29)/$H$6),"Период закрыт","")</f>
        <v/>
      </c>
      <c r="K30" s="47"/>
    </row>
    <row r="31" spans="1:12" x14ac:dyDescent="0.3">
      <c r="A31" s="48"/>
      <c r="B31" s="4"/>
      <c r="C31" s="4"/>
      <c r="D31" s="6"/>
      <c r="E31" s="5"/>
      <c r="F31" s="6"/>
      <c r="G31" s="67"/>
      <c r="H31" s="67"/>
      <c r="I31" s="71"/>
      <c r="J31" s="46" t="str">
        <f>IF(TRUNC(SUM(F$14:F31)/$H$6)&gt;TRUNC(SUM(F$14:F30)/$H$6),"Период закрыт","")</f>
        <v/>
      </c>
      <c r="K31" s="47"/>
    </row>
    <row r="32" spans="1:12" x14ac:dyDescent="0.3">
      <c r="A32" s="48"/>
      <c r="B32" s="4"/>
      <c r="C32" s="4"/>
      <c r="D32" s="6"/>
      <c r="E32" s="5"/>
      <c r="F32" s="6"/>
      <c r="G32" s="67"/>
      <c r="H32" s="67"/>
      <c r="I32" s="71"/>
      <c r="J32" s="46" t="str">
        <f>IF(TRUNC(SUM(F$14:F32)/$H$6)&gt;TRUNC(SUM(F$14:F31)/$H$6),"Период закрыт","")</f>
        <v/>
      </c>
      <c r="K32" s="47"/>
    </row>
    <row r="33" spans="1:11" x14ac:dyDescent="0.3">
      <c r="A33" s="48"/>
      <c r="B33" s="4"/>
      <c r="C33" s="4"/>
      <c r="D33" s="6"/>
      <c r="E33" s="5"/>
      <c r="F33" s="6"/>
      <c r="G33" s="67"/>
      <c r="H33" s="67"/>
      <c r="I33" s="71"/>
      <c r="J33" s="46" t="str">
        <f>IF(TRUNC(SUM(F$14:F33)/$H$6)&gt;TRUNC(SUM(F$14:F32)/$H$6),"Период закрыт","")</f>
        <v/>
      </c>
      <c r="K33" s="47"/>
    </row>
    <row r="34" spans="1:11" x14ac:dyDescent="0.3">
      <c r="A34" s="48"/>
      <c r="B34" s="4"/>
      <c r="C34" s="4"/>
      <c r="D34" s="6"/>
      <c r="E34" s="5"/>
      <c r="F34" s="6"/>
      <c r="G34" s="67"/>
      <c r="H34" s="67"/>
      <c r="I34" s="71"/>
      <c r="J34" s="46" t="str">
        <f>IF(TRUNC(SUM(F$14:F34)/$H$6)&gt;TRUNC(SUM(F$14:F33)/$H$6),"Период закрыт","")</f>
        <v/>
      </c>
      <c r="K34" s="47"/>
    </row>
    <row r="35" spans="1:11" x14ac:dyDescent="0.3">
      <c r="G35" s="3"/>
      <c r="H35" s="4"/>
      <c r="J35" s="22"/>
      <c r="K35" s="22"/>
    </row>
    <row r="36" spans="1:11" x14ac:dyDescent="0.3">
      <c r="G36" s="3"/>
      <c r="H36" s="4"/>
      <c r="J36" s="22"/>
      <c r="K36" s="92"/>
    </row>
    <row r="37" spans="1:11" s="1" customFormat="1" ht="24.75" thickBot="1" x14ac:dyDescent="0.5">
      <c r="A37" s="48">
        <f>IF(K35=0,$H$6,K35)</f>
        <v>28</v>
      </c>
      <c r="B37" s="1" t="s">
        <v>39</v>
      </c>
      <c r="I37" s="64"/>
      <c r="J37" s="26"/>
      <c r="K37" s="26"/>
    </row>
    <row r="38" spans="1:11" ht="9" customHeight="1" thickTop="1" x14ac:dyDescent="0.3">
      <c r="J38" s="22"/>
      <c r="K38" s="22"/>
    </row>
    <row r="39" spans="1:11" ht="34.5" customHeight="1" x14ac:dyDescent="0.3">
      <c r="B39" s="20" t="s">
        <v>1</v>
      </c>
      <c r="C39" s="20" t="s">
        <v>2</v>
      </c>
      <c r="D39" s="20" t="s">
        <v>5</v>
      </c>
      <c r="E39" s="20" t="s">
        <v>6</v>
      </c>
      <c r="F39" s="21" t="s">
        <v>7</v>
      </c>
      <c r="G39" s="103" t="s">
        <v>8</v>
      </c>
      <c r="H39" s="104"/>
      <c r="I39" s="19" t="s">
        <v>15</v>
      </c>
      <c r="J39" s="30" t="s">
        <v>30</v>
      </c>
    </row>
    <row r="40" spans="1:11" x14ac:dyDescent="0.3">
      <c r="B40" s="4">
        <v>42427</v>
      </c>
      <c r="C40" s="4">
        <v>42429</v>
      </c>
      <c r="D40" s="5">
        <f>Журнал324517[[#This Row],[Конец]]-Журнал324517[[#This Row],[Начало]]+1</f>
        <v>3</v>
      </c>
      <c r="E40" s="5"/>
      <c r="F40" s="5">
        <f>Журнал324517[[#This Row],[Календарные дни]]-Журнал324517[[#This Row],[Праздничные дни]]</f>
        <v>3</v>
      </c>
      <c r="G40" s="4">
        <v>41852</v>
      </c>
      <c r="H40" s="66">
        <f>G40+364</f>
        <v>42216</v>
      </c>
      <c r="I40" s="93" t="s">
        <v>43</v>
      </c>
      <c r="J40" s="46" t="s">
        <v>20</v>
      </c>
    </row>
    <row r="41" spans="1:11" x14ac:dyDescent="0.3">
      <c r="B41" s="4"/>
      <c r="C41" s="4"/>
      <c r="D41" s="5">
        <f>Журнал324517[[#This Row],[Конец]]-Журнал324517[[#This Row],[Начало]]+1</f>
        <v>1</v>
      </c>
      <c r="E41" s="5"/>
      <c r="F41" s="5">
        <f>Журнал324517[[#This Row],[Календарные дни]]-Журнал324517[[#This Row],[Праздничные дни]]</f>
        <v>1</v>
      </c>
      <c r="G41" s="67"/>
      <c r="H41" s="67">
        <f t="shared" ref="H41:H43" si="3">G41+364</f>
        <v>364</v>
      </c>
      <c r="I41" s="73"/>
      <c r="J41" s="46" t="s">
        <v>20</v>
      </c>
    </row>
    <row r="42" spans="1:11" x14ac:dyDescent="0.3">
      <c r="B42" s="4"/>
      <c r="C42" s="4"/>
      <c r="D42" s="5">
        <f>Журнал324517[[#This Row],[Конец]]-Журнал324517[[#This Row],[Начало]]+1</f>
        <v>1</v>
      </c>
      <c r="E42" s="5"/>
      <c r="F42" s="5">
        <f>Журнал324517[[#This Row],[Календарные дни]]-Журнал324517[[#This Row],[Праздничные дни]]</f>
        <v>1</v>
      </c>
      <c r="G42" s="67"/>
      <c r="H42" s="67">
        <f t="shared" si="3"/>
        <v>364</v>
      </c>
      <c r="I42" s="73"/>
      <c r="J42" s="46" t="s">
        <v>20</v>
      </c>
    </row>
    <row r="43" spans="1:11" x14ac:dyDescent="0.3">
      <c r="B43" s="4"/>
      <c r="C43" s="4"/>
      <c r="D43" s="6">
        <f>Журнал324517[[#This Row],[Конец]]-Журнал324517[[#This Row],[Начало]]+1</f>
        <v>1</v>
      </c>
      <c r="E43" s="5"/>
      <c r="F43" s="6">
        <f>Журнал324517[[#This Row],[Календарные дни]]-Журнал324517[[#This Row],[Праздничные дни]]</f>
        <v>1</v>
      </c>
      <c r="G43" s="94"/>
      <c r="H43" s="67">
        <f t="shared" si="3"/>
        <v>364</v>
      </c>
      <c r="I43" s="73"/>
      <c r="J43" s="46" t="s">
        <v>20</v>
      </c>
      <c r="K43" s="22"/>
    </row>
    <row r="44" spans="1:11" x14ac:dyDescent="0.3">
      <c r="G44" s="3"/>
      <c r="H44" s="4"/>
      <c r="J44" s="22"/>
      <c r="K44" s="22"/>
    </row>
    <row r="45" spans="1:11" x14ac:dyDescent="0.3">
      <c r="G45" s="3"/>
      <c r="H45" s="4"/>
      <c r="J45" s="22"/>
      <c r="K45" s="22"/>
    </row>
    <row r="46" spans="1:11" s="1" customFormat="1" ht="24.75" thickBot="1" x14ac:dyDescent="0.5">
      <c r="A46" s="13"/>
      <c r="B46" s="1" t="s">
        <v>22</v>
      </c>
      <c r="E46" s="26"/>
      <c r="F46" s="26"/>
      <c r="I46" s="64"/>
    </row>
    <row r="47" spans="1:11" ht="9" customHeight="1" thickTop="1" x14ac:dyDescent="0.3">
      <c r="E47" s="22"/>
      <c r="F47" s="22"/>
    </row>
    <row r="48" spans="1:11" ht="34.5" customHeight="1" x14ac:dyDescent="0.3">
      <c r="B48" s="20" t="s">
        <v>1</v>
      </c>
      <c r="C48" s="20" t="s">
        <v>2</v>
      </c>
      <c r="D48" s="20" t="s">
        <v>5</v>
      </c>
      <c r="E48" s="19" t="s">
        <v>15</v>
      </c>
      <c r="F48" s="30" t="s">
        <v>31</v>
      </c>
    </row>
    <row r="49" spans="1:12" x14ac:dyDescent="0.3">
      <c r="B49" s="4"/>
      <c r="C49" s="4"/>
      <c r="D49" s="6">
        <f>Журнал3245212324353854[[#This Row],[Конец]]-Журнал3245212324353854[[#This Row],[Начало]]+1</f>
        <v>1</v>
      </c>
      <c r="E49" s="41"/>
      <c r="F49" s="43"/>
    </row>
    <row r="50" spans="1:12" x14ac:dyDescent="0.3">
      <c r="B50" s="4"/>
      <c r="C50" s="4"/>
      <c r="D50" s="5">
        <f>Журнал3245212324353854[[#This Row],[Конец]]-Журнал3245212324353854[[#This Row],[Начало]]+1</f>
        <v>1</v>
      </c>
      <c r="E50" s="4"/>
      <c r="F50" s="43"/>
    </row>
    <row r="51" spans="1:12" x14ac:dyDescent="0.3">
      <c r="B51" s="4"/>
      <c r="C51" s="4"/>
      <c r="D51" s="5">
        <f>Журнал3245212324353854[[#This Row],[Конец]]-Журнал3245212324353854[[#This Row],[Начало]]+1</f>
        <v>1</v>
      </c>
      <c r="E51" s="4"/>
      <c r="F51" s="43"/>
    </row>
    <row r="52" spans="1:12" x14ac:dyDescent="0.3">
      <c r="B52" s="4"/>
      <c r="C52" s="4"/>
      <c r="D52" s="6">
        <f>Журнал3245212324353854[[#This Row],[Конец]]-Журнал3245212324353854[[#This Row],[Начало]]+1</f>
        <v>1</v>
      </c>
      <c r="E52" s="5"/>
      <c r="F52" s="5"/>
      <c r="J52" s="22"/>
      <c r="K52" s="22"/>
    </row>
    <row r="53" spans="1:12" x14ac:dyDescent="0.3">
      <c r="G53" s="3"/>
      <c r="H53" s="4"/>
      <c r="J53" s="22"/>
      <c r="K53" s="22"/>
    </row>
    <row r="54" spans="1:12" x14ac:dyDescent="0.3">
      <c r="G54" s="3"/>
      <c r="H54" s="4"/>
      <c r="J54" s="22"/>
      <c r="K54" s="22"/>
    </row>
    <row r="55" spans="1:12" s="1" customFormat="1" ht="24.75" thickBot="1" x14ac:dyDescent="0.5">
      <c r="A55" s="13"/>
      <c r="B55" s="1" t="s">
        <v>19</v>
      </c>
      <c r="G55" s="26"/>
      <c r="H55" s="26"/>
      <c r="I55" s="64"/>
      <c r="J55" s="26"/>
      <c r="K55" s="26"/>
    </row>
    <row r="56" spans="1:12" ht="9" customHeight="1" thickTop="1" x14ac:dyDescent="0.3">
      <c r="J56" s="22"/>
      <c r="K56" s="22"/>
    </row>
    <row r="57" spans="1:12" ht="34.5" customHeight="1" x14ac:dyDescent="0.3">
      <c r="B57" s="20" t="s">
        <v>1</v>
      </c>
      <c r="C57" s="20" t="s">
        <v>2</v>
      </c>
      <c r="D57" s="20" t="s">
        <v>5</v>
      </c>
      <c r="E57" s="20" t="s">
        <v>6</v>
      </c>
      <c r="F57" s="21" t="s">
        <v>7</v>
      </c>
      <c r="G57" s="103" t="s">
        <v>8</v>
      </c>
      <c r="H57" s="104"/>
      <c r="I57" s="19" t="s">
        <v>15</v>
      </c>
      <c r="J57" s="39" t="s">
        <v>23</v>
      </c>
      <c r="K57" s="39" t="s">
        <v>29</v>
      </c>
      <c r="L57" s="39" t="s">
        <v>28</v>
      </c>
    </row>
    <row r="58" spans="1:12" x14ac:dyDescent="0.3">
      <c r="B58" s="4"/>
      <c r="C58" s="4"/>
      <c r="D58" s="5">
        <f>Журнал32452123[[#This Row],[Конец]]-Журнал32452123[[#This Row],[Начало]]+1</f>
        <v>1</v>
      </c>
      <c r="E58" s="5"/>
      <c r="F58" s="5">
        <f>Журнал32452123[[#This Row],[Календарные дни]]-Журнал32452123[[#This Row],[Праздничные дни]]</f>
        <v>1</v>
      </c>
      <c r="G58" s="95"/>
      <c r="H58" s="72">
        <f>G58+364</f>
        <v>364</v>
      </c>
      <c r="I58" s="73"/>
      <c r="J58" s="74" t="s">
        <v>24</v>
      </c>
      <c r="K58" s="74"/>
      <c r="L58" s="96">
        <f>H58+K58</f>
        <v>364</v>
      </c>
    </row>
    <row r="59" spans="1:12" x14ac:dyDescent="0.3">
      <c r="B59" s="4"/>
      <c r="C59" s="4"/>
      <c r="D59" s="5">
        <f>Журнал32452123[[#This Row],[Конец]]-Журнал32452123[[#This Row],[Начало]]+1</f>
        <v>1</v>
      </c>
      <c r="E59" s="5"/>
      <c r="F59" s="5">
        <f>Журнал32452123[[#This Row],[Календарные дни]]-Журнал32452123[[#This Row],[Праздничные дни]]</f>
        <v>1</v>
      </c>
      <c r="G59" s="72"/>
      <c r="H59" s="72">
        <f t="shared" ref="H59:H65" si="4">G59+364</f>
        <v>364</v>
      </c>
      <c r="I59" s="73"/>
      <c r="J59" s="74" t="s">
        <v>24</v>
      </c>
      <c r="K59" s="74"/>
      <c r="L59" s="75">
        <f t="shared" ref="L59:L65" si="5">H59+K59</f>
        <v>364</v>
      </c>
    </row>
    <row r="60" spans="1:12" x14ac:dyDescent="0.3">
      <c r="B60" s="4"/>
      <c r="C60" s="4"/>
      <c r="D60" s="5">
        <f>Журнал32452123[[#This Row],[Конец]]-Журнал32452123[[#This Row],[Начало]]+1</f>
        <v>1</v>
      </c>
      <c r="E60" s="5"/>
      <c r="F60" s="5">
        <f>Журнал32452123[[#This Row],[Календарные дни]]-Журнал32452123[[#This Row],[Праздничные дни]]</f>
        <v>1</v>
      </c>
      <c r="G60" s="72"/>
      <c r="H60" s="72">
        <f t="shared" si="4"/>
        <v>364</v>
      </c>
      <c r="I60" s="73"/>
      <c r="J60" s="74" t="s">
        <v>24</v>
      </c>
      <c r="K60" s="74"/>
      <c r="L60" s="75">
        <f t="shared" si="5"/>
        <v>364</v>
      </c>
    </row>
    <row r="61" spans="1:12" x14ac:dyDescent="0.3">
      <c r="B61" s="4"/>
      <c r="C61" s="4"/>
      <c r="D61" s="6">
        <f>Журнал32452123[[#This Row],[Конец]]-Журнал32452123[[#This Row],[Начало]]+1</f>
        <v>1</v>
      </c>
      <c r="E61" s="5"/>
      <c r="F61" s="6">
        <f>Журнал32452123[[#This Row],[Календарные дни]]-Журнал32452123[[#This Row],[Праздничные дни]]</f>
        <v>1</v>
      </c>
      <c r="G61" s="97"/>
      <c r="H61" s="72">
        <f t="shared" si="4"/>
        <v>364</v>
      </c>
      <c r="I61" s="73"/>
      <c r="J61" s="74" t="s">
        <v>24</v>
      </c>
      <c r="K61" s="74"/>
      <c r="L61" s="75">
        <f t="shared" si="5"/>
        <v>364</v>
      </c>
    </row>
    <row r="62" spans="1:12" x14ac:dyDescent="0.3">
      <c r="B62" s="4"/>
      <c r="C62" s="4"/>
      <c r="D62" s="6">
        <f>Журнал32452123[[#This Row],[Конец]]-Журнал32452123[[#This Row],[Начало]]+1</f>
        <v>1</v>
      </c>
      <c r="E62" s="5"/>
      <c r="F62" s="6">
        <f>Журнал32452123[[#This Row],[Календарные дни]]-Журнал32452123[[#This Row],[Праздничные дни]]</f>
        <v>1</v>
      </c>
      <c r="G62" s="97"/>
      <c r="H62" s="72">
        <f t="shared" si="4"/>
        <v>364</v>
      </c>
      <c r="I62" s="73"/>
      <c r="J62" s="74" t="s">
        <v>24</v>
      </c>
      <c r="K62" s="74"/>
      <c r="L62" s="75">
        <f t="shared" si="5"/>
        <v>364</v>
      </c>
    </row>
    <row r="63" spans="1:12" x14ac:dyDescent="0.3">
      <c r="B63" s="4"/>
      <c r="C63" s="4"/>
      <c r="D63" s="6">
        <f>Журнал32452123[[#This Row],[Конец]]-Журнал32452123[[#This Row],[Начало]]+1</f>
        <v>1</v>
      </c>
      <c r="E63" s="5"/>
      <c r="F63" s="6">
        <f>Журнал32452123[[#This Row],[Календарные дни]]-Журнал32452123[[#This Row],[Праздничные дни]]</f>
        <v>1</v>
      </c>
      <c r="G63" s="97"/>
      <c r="H63" s="72">
        <f t="shared" si="4"/>
        <v>364</v>
      </c>
      <c r="I63" s="73"/>
      <c r="J63" s="74" t="s">
        <v>24</v>
      </c>
      <c r="K63" s="74"/>
      <c r="L63" s="75">
        <f t="shared" si="5"/>
        <v>364</v>
      </c>
    </row>
    <row r="64" spans="1:12" x14ac:dyDescent="0.3">
      <c r="B64" s="4"/>
      <c r="C64" s="4"/>
      <c r="D64" s="6">
        <f>Журнал32452123[[#This Row],[Конец]]-Журнал32452123[[#This Row],[Начало]]+1</f>
        <v>1</v>
      </c>
      <c r="E64" s="5"/>
      <c r="F64" s="6">
        <f>Журнал32452123[[#This Row],[Календарные дни]]-Журнал32452123[[#This Row],[Праздничные дни]]</f>
        <v>1</v>
      </c>
      <c r="G64" s="97"/>
      <c r="H64" s="72">
        <f t="shared" si="4"/>
        <v>364</v>
      </c>
      <c r="I64" s="73"/>
      <c r="J64" s="77" t="s">
        <v>24</v>
      </c>
      <c r="K64" s="77"/>
      <c r="L64" s="75">
        <f t="shared" si="5"/>
        <v>364</v>
      </c>
    </row>
    <row r="65" spans="1:12" x14ac:dyDescent="0.3">
      <c r="B65" s="4"/>
      <c r="C65" s="4"/>
      <c r="D65" s="6">
        <f>Журнал32452123[[#This Row],[Конец]]-Журнал32452123[[#This Row],[Начало]]+1</f>
        <v>1</v>
      </c>
      <c r="E65" s="5"/>
      <c r="F65" s="6">
        <f>Журнал32452123[[#This Row],[Календарные дни]]-Журнал32452123[[#This Row],[Праздничные дни]]</f>
        <v>1</v>
      </c>
      <c r="G65" s="98"/>
      <c r="H65" s="72">
        <f t="shared" si="4"/>
        <v>364</v>
      </c>
      <c r="I65" s="73"/>
      <c r="J65" s="77" t="s">
        <v>24</v>
      </c>
      <c r="K65" s="77"/>
      <c r="L65" s="96">
        <f t="shared" si="5"/>
        <v>364</v>
      </c>
    </row>
    <row r="66" spans="1:12" x14ac:dyDescent="0.3">
      <c r="J66" s="22"/>
      <c r="K66" s="22"/>
    </row>
    <row r="67" spans="1:12" x14ac:dyDescent="0.3">
      <c r="J67" s="22"/>
      <c r="K67" s="22"/>
    </row>
    <row r="68" spans="1:12" x14ac:dyDescent="0.3">
      <c r="J68" s="22"/>
      <c r="K68" s="22"/>
    </row>
    <row r="69" spans="1:12" s="1" customFormat="1" ht="24.75" thickBot="1" x14ac:dyDescent="0.5">
      <c r="A69" s="13"/>
      <c r="B69" s="1" t="s">
        <v>25</v>
      </c>
      <c r="F69" s="26"/>
      <c r="H69" s="26"/>
      <c r="I69" s="64"/>
    </row>
    <row r="70" spans="1:12" ht="9" customHeight="1" thickTop="1" x14ac:dyDescent="0.3">
      <c r="H70" s="22"/>
      <c r="I70" s="43"/>
    </row>
    <row r="71" spans="1:12" ht="34.5" customHeight="1" x14ac:dyDescent="0.3">
      <c r="B71" s="20" t="s">
        <v>1</v>
      </c>
      <c r="C71" s="20" t="s">
        <v>2</v>
      </c>
      <c r="D71" s="20" t="s">
        <v>5</v>
      </c>
      <c r="E71" s="19" t="s">
        <v>15</v>
      </c>
      <c r="F71" s="30" t="s">
        <v>31</v>
      </c>
      <c r="G71" s="22"/>
      <c r="H71" s="22"/>
      <c r="I71" s="43"/>
    </row>
    <row r="72" spans="1:12" x14ac:dyDescent="0.3">
      <c r="B72" s="4"/>
      <c r="C72" s="4"/>
      <c r="D72" s="6">
        <f>Журнал32452123242541445255[[#This Row],[Конец]]-Журнал32452123242541445255[[#This Row],[Начало]]+1</f>
        <v>1</v>
      </c>
      <c r="E72" s="41"/>
      <c r="F72" s="4"/>
      <c r="G72" s="22"/>
      <c r="H72" s="78"/>
      <c r="I72" s="79"/>
    </row>
    <row r="73" spans="1:12" x14ac:dyDescent="0.3">
      <c r="B73" s="4"/>
      <c r="C73" s="4"/>
      <c r="D73" s="5">
        <f>Журнал32452123242541445255[[#This Row],[Конец]]-Журнал32452123242541445255[[#This Row],[Начало]]+1</f>
        <v>1</v>
      </c>
      <c r="E73" s="4"/>
      <c r="F73" s="4"/>
      <c r="G73" s="12"/>
      <c r="H73" s="78"/>
      <c r="I73" s="43"/>
    </row>
    <row r="74" spans="1:12" x14ac:dyDescent="0.3">
      <c r="B74" s="4"/>
      <c r="C74" s="4"/>
      <c r="D74" s="5">
        <f>Журнал32452123242541445255[[#This Row],[Конец]]-Журнал32452123242541445255[[#This Row],[Начало]]+1</f>
        <v>1</v>
      </c>
      <c r="E74" s="4"/>
      <c r="F74" s="4"/>
      <c r="G74" s="27"/>
      <c r="H74" s="22"/>
      <c r="I74" s="43"/>
    </row>
    <row r="75" spans="1:12" x14ac:dyDescent="0.3">
      <c r="J75" s="22"/>
      <c r="K75" s="22"/>
    </row>
    <row r="76" spans="1:12" x14ac:dyDescent="0.3">
      <c r="J76" s="22"/>
      <c r="K76" s="22"/>
    </row>
    <row r="77" spans="1:12" s="1" customFormat="1" ht="24.75" thickBot="1" x14ac:dyDescent="0.5">
      <c r="A77" s="13"/>
      <c r="B77" s="1" t="s">
        <v>26</v>
      </c>
      <c r="E77" s="26"/>
      <c r="F77" s="26"/>
      <c r="H77" s="26"/>
      <c r="I77" s="80"/>
    </row>
    <row r="78" spans="1:12" ht="9" customHeight="1" thickTop="1" x14ac:dyDescent="0.3">
      <c r="H78" s="22"/>
      <c r="I78" s="43"/>
    </row>
    <row r="79" spans="1:12" ht="34.5" customHeight="1" x14ac:dyDescent="0.3">
      <c r="B79" s="20" t="s">
        <v>1</v>
      </c>
      <c r="C79" s="20" t="s">
        <v>2</v>
      </c>
      <c r="D79" s="20" t="s">
        <v>5</v>
      </c>
      <c r="E79" s="103" t="s">
        <v>40</v>
      </c>
      <c r="F79" s="104"/>
      <c r="G79" s="19" t="s">
        <v>15</v>
      </c>
      <c r="H79" s="39" t="s">
        <v>23</v>
      </c>
      <c r="I79" s="39" t="s">
        <v>29</v>
      </c>
      <c r="J79" s="39" t="s">
        <v>28</v>
      </c>
      <c r="K79" s="49" t="s">
        <v>31</v>
      </c>
    </row>
    <row r="80" spans="1:12" x14ac:dyDescent="0.3">
      <c r="B80" s="4"/>
      <c r="C80" s="4"/>
      <c r="D80" s="5">
        <f>Журнал324521232647505356[[#This Row],[Конец]]-Журнал324521232647505356[[#This Row],[Начало]]+1</f>
        <v>1</v>
      </c>
      <c r="E80" s="66"/>
      <c r="F80" s="66">
        <f>E80+364</f>
        <v>364</v>
      </c>
      <c r="G80" s="99"/>
      <c r="H80" s="81" t="s">
        <v>44</v>
      </c>
      <c r="I80" s="82">
        <f>Журнал324521232647505356[[#This Row],[Календарные дни]]</f>
        <v>1</v>
      </c>
      <c r="J80" s="83">
        <f>F80+I80</f>
        <v>365</v>
      </c>
      <c r="K80" s="84"/>
    </row>
    <row r="81" spans="1:11" x14ac:dyDescent="0.3">
      <c r="B81" s="4"/>
      <c r="C81" s="4"/>
      <c r="D81" s="5"/>
      <c r="E81" s="67"/>
      <c r="F81" s="67">
        <f t="shared" ref="F81:F83" si="6">E81+365</f>
        <v>365</v>
      </c>
      <c r="G81" s="85"/>
      <c r="H81" s="86" t="s">
        <v>24</v>
      </c>
      <c r="I81" s="87">
        <f>Журнал324521232647505356[[#This Row],[Календарные дни]]</f>
        <v>0</v>
      </c>
      <c r="J81" s="88">
        <f t="shared" ref="J81:J83" si="7">F81+I81</f>
        <v>365</v>
      </c>
      <c r="K81" s="89"/>
    </row>
    <row r="82" spans="1:11" x14ac:dyDescent="0.3">
      <c r="B82" s="4"/>
      <c r="C82" s="4"/>
      <c r="D82" s="5"/>
      <c r="E82" s="67"/>
      <c r="F82" s="67">
        <f t="shared" si="6"/>
        <v>365</v>
      </c>
      <c r="G82" s="85"/>
      <c r="H82" s="86" t="s">
        <v>24</v>
      </c>
      <c r="I82" s="87">
        <f>Журнал324521232647505356[[#This Row],[Календарные дни]]</f>
        <v>0</v>
      </c>
      <c r="J82" s="88">
        <f t="shared" si="7"/>
        <v>365</v>
      </c>
      <c r="K82" s="89"/>
    </row>
    <row r="83" spans="1:11" x14ac:dyDescent="0.3">
      <c r="B83" s="4"/>
      <c r="C83" s="4"/>
      <c r="D83" s="5"/>
      <c r="E83" s="67"/>
      <c r="F83" s="67">
        <f t="shared" si="6"/>
        <v>365</v>
      </c>
      <c r="G83" s="85"/>
      <c r="H83" s="86" t="s">
        <v>24</v>
      </c>
      <c r="I83" s="87">
        <f>Журнал324521232647505356[[#This Row],[Календарные дни]]</f>
        <v>0</v>
      </c>
      <c r="J83" s="88">
        <f t="shared" si="7"/>
        <v>365</v>
      </c>
      <c r="K83" s="89"/>
    </row>
    <row r="84" spans="1:11" x14ac:dyDescent="0.3">
      <c r="J84" s="22"/>
      <c r="K84" s="22"/>
    </row>
    <row r="85" spans="1:11" x14ac:dyDescent="0.3">
      <c r="J85" s="22"/>
      <c r="K85" s="22"/>
    </row>
    <row r="86" spans="1:11" s="1" customFormat="1" ht="19.5" thickBot="1" x14ac:dyDescent="0.4">
      <c r="A86" s="13"/>
      <c r="B86" s="1" t="s">
        <v>32</v>
      </c>
      <c r="G86" s="26"/>
      <c r="I86" s="64"/>
    </row>
    <row r="87" spans="1:11" ht="9" customHeight="1" thickTop="1" x14ac:dyDescent="0.3"/>
    <row r="88" spans="1:11" ht="47.25" customHeight="1" x14ac:dyDescent="0.3">
      <c r="B88" s="51" t="s">
        <v>33</v>
      </c>
      <c r="C88" s="51" t="s">
        <v>34</v>
      </c>
      <c r="D88" s="51" t="s">
        <v>5</v>
      </c>
      <c r="E88" s="52" t="s">
        <v>23</v>
      </c>
      <c r="F88" s="52" t="s">
        <v>29</v>
      </c>
      <c r="G88" s="52" t="s">
        <v>28</v>
      </c>
      <c r="H88" s="52" t="s">
        <v>35</v>
      </c>
    </row>
    <row r="89" spans="1:11" x14ac:dyDescent="0.3">
      <c r="B89" s="4"/>
      <c r="C89" s="4"/>
      <c r="D89" s="5">
        <f t="shared" ref="D89:D95" si="8">D80</f>
        <v>1</v>
      </c>
      <c r="E89" s="44" t="s">
        <v>44</v>
      </c>
      <c r="F89" s="44">
        <v>0</v>
      </c>
      <c r="G89" s="50">
        <f>Журнал3245212328246731012[[#This Row],[Начало (должен быть)]]</f>
        <v>0</v>
      </c>
      <c r="H89" s="53">
        <f>Журнал3245212328246731012[[#This Row],[Конец (должен быть)]]+Журнал3245212328246731012[[#This Row],[На сколько дней меняет период]]</f>
        <v>0</v>
      </c>
    </row>
    <row r="90" spans="1:11" x14ac:dyDescent="0.3">
      <c r="B90" s="4"/>
      <c r="C90" s="4"/>
      <c r="D90" s="5">
        <f t="shared" si="8"/>
        <v>0</v>
      </c>
      <c r="E90" s="44" t="s">
        <v>24</v>
      </c>
      <c r="F90" s="44">
        <f>Журнал3245212328246731012[[#This Row],[Календарные дни]]</f>
        <v>0</v>
      </c>
      <c r="G90" s="42">
        <f>Журнал3245212328246731012[[#This Row],[Начало (должен быть)]]</f>
        <v>0</v>
      </c>
      <c r="H90" s="5">
        <f>Журнал3245212328246731012[[#This Row],[Конец (должен быть)]]+Журнал3245212328246731012[[#This Row],[На сколько дней меняет период]]</f>
        <v>0</v>
      </c>
    </row>
    <row r="91" spans="1:11" x14ac:dyDescent="0.3">
      <c r="B91" s="4"/>
      <c r="C91" s="4"/>
      <c r="D91" s="6">
        <f t="shared" si="8"/>
        <v>0</v>
      </c>
      <c r="E91" s="44" t="s">
        <v>24</v>
      </c>
      <c r="F91" s="44">
        <f>Журнал3245212328246731012[[#This Row],[Календарные дни]]</f>
        <v>0</v>
      </c>
      <c r="G91" s="42">
        <f>Журнал3245212328246731012[[#This Row],[Начало (должен быть)]]</f>
        <v>0</v>
      </c>
      <c r="H91" s="5">
        <f>Журнал3245212328246731012[[#This Row],[Конец (должен быть)]]+Журнал3245212328246731012[[#This Row],[На сколько дней меняет период]]</f>
        <v>0</v>
      </c>
    </row>
    <row r="92" spans="1:11" x14ac:dyDescent="0.3">
      <c r="B92" s="4"/>
      <c r="C92" s="4"/>
      <c r="D92" s="6">
        <f t="shared" si="8"/>
        <v>0</v>
      </c>
      <c r="E92" s="44" t="s">
        <v>24</v>
      </c>
      <c r="F92" s="44">
        <f>Журнал3245212328246731012[[#This Row],[Календарные дни]]</f>
        <v>0</v>
      </c>
      <c r="G92" s="42">
        <f>Журнал3245212328246731012[[#This Row],[Начало (должен быть)]]</f>
        <v>0</v>
      </c>
      <c r="H92" s="5">
        <f>Журнал3245212328246731012[[#This Row],[Конец (должен быть)]]+Журнал3245212328246731012[[#This Row],[На сколько дней меняет период]]</f>
        <v>0</v>
      </c>
    </row>
    <row r="93" spans="1:11" x14ac:dyDescent="0.3">
      <c r="B93" s="4"/>
      <c r="C93" s="4"/>
      <c r="D93" s="6">
        <f t="shared" si="8"/>
        <v>0</v>
      </c>
      <c r="E93" s="44" t="s">
        <v>24</v>
      </c>
      <c r="F93" s="44">
        <f>Журнал3245212328246731012[[#This Row],[Календарные дни]]</f>
        <v>0</v>
      </c>
      <c r="G93" s="42">
        <f>Журнал3245212328246731012[[#This Row],[Начало (должен быть)]]</f>
        <v>0</v>
      </c>
      <c r="H93" s="5">
        <f>Журнал3245212328246731012[[#This Row],[Конец (должен быть)]]+Журнал3245212328246731012[[#This Row],[На сколько дней меняет период]]</f>
        <v>0</v>
      </c>
    </row>
    <row r="94" spans="1:11" x14ac:dyDescent="0.3">
      <c r="B94" s="4"/>
      <c r="C94" s="4"/>
      <c r="D94" s="6">
        <f t="shared" si="8"/>
        <v>0</v>
      </c>
      <c r="E94" s="45" t="s">
        <v>24</v>
      </c>
      <c r="F94" s="45">
        <f>Журнал3245212328246731012[[#This Row],[Календарные дни]]</f>
        <v>0</v>
      </c>
      <c r="G94" s="42">
        <f>Журнал3245212328246731012[[#This Row],[Начало (должен быть)]]</f>
        <v>0</v>
      </c>
      <c r="H94" s="5">
        <f>Журнал3245212328246731012[[#This Row],[Конец (должен быть)]]+Журнал3245212328246731012[[#This Row],[На сколько дней меняет период]]</f>
        <v>0</v>
      </c>
    </row>
    <row r="95" spans="1:11" x14ac:dyDescent="0.3">
      <c r="B95" s="4"/>
      <c r="C95" s="4"/>
      <c r="D95" s="6">
        <f t="shared" si="8"/>
        <v>0</v>
      </c>
      <c r="E95" s="45" t="s">
        <v>24</v>
      </c>
      <c r="F95" s="45">
        <f>Журнал3245212328246731012[[#This Row],[Календарные дни]]</f>
        <v>0</v>
      </c>
      <c r="G95" s="42">
        <f>Журнал3245212328246731012[[#This Row],[Начало (должен быть)]]</f>
        <v>0</v>
      </c>
      <c r="H95" s="5">
        <f>Журнал3245212328246731012[[#This Row],[Конец (должен быть)]]+Журнал3245212328246731012[[#This Row],[На сколько дней меняет период]]</f>
        <v>0</v>
      </c>
    </row>
    <row r="97" spans="10:11" x14ac:dyDescent="0.3">
      <c r="J97" s="22"/>
      <c r="K97" s="22"/>
    </row>
    <row r="98" spans="10:11" x14ac:dyDescent="0.3">
      <c r="J98" s="22"/>
      <c r="K98" s="22"/>
    </row>
    <row r="99" spans="10:11" x14ac:dyDescent="0.3">
      <c r="J99" s="22"/>
      <c r="K99" s="22"/>
    </row>
    <row r="100" spans="10:11" x14ac:dyDescent="0.3">
      <c r="J100" s="22"/>
      <c r="K100" s="22"/>
    </row>
    <row r="101" spans="10:11" x14ac:dyDescent="0.3">
      <c r="J101" s="22"/>
      <c r="K101" s="22"/>
    </row>
    <row r="102" spans="10:11" x14ac:dyDescent="0.3">
      <c r="J102" s="22"/>
      <c r="K102" s="22"/>
    </row>
    <row r="103" spans="10:11" x14ac:dyDescent="0.3">
      <c r="J103" s="22"/>
      <c r="K103" s="22"/>
    </row>
    <row r="104" spans="10:11" x14ac:dyDescent="0.3">
      <c r="J104" s="22"/>
      <c r="K104" s="22"/>
    </row>
    <row r="105" spans="10:11" x14ac:dyDescent="0.3">
      <c r="J105" s="22"/>
      <c r="K105" s="22"/>
    </row>
    <row r="106" spans="10:11" x14ac:dyDescent="0.3">
      <c r="J106" s="22"/>
      <c r="K106" s="22"/>
    </row>
    <row r="107" spans="10:11" x14ac:dyDescent="0.3">
      <c r="J107" s="22"/>
      <c r="K107" s="22"/>
    </row>
    <row r="108" spans="10:11" x14ac:dyDescent="0.3">
      <c r="J108" s="22"/>
      <c r="K108" s="22"/>
    </row>
    <row r="109" spans="10:11" x14ac:dyDescent="0.3">
      <c r="J109" s="22"/>
      <c r="K109" s="22"/>
    </row>
    <row r="110" spans="10:11" x14ac:dyDescent="0.3">
      <c r="J110" s="22"/>
      <c r="K110" s="22"/>
    </row>
    <row r="111" spans="10:11" x14ac:dyDescent="0.3">
      <c r="J111" s="22"/>
      <c r="K111" s="22"/>
    </row>
    <row r="112" spans="10:11" x14ac:dyDescent="0.3">
      <c r="J112" s="22"/>
      <c r="K112" s="22"/>
    </row>
    <row r="113" spans="10:11" x14ac:dyDescent="0.3">
      <c r="J113" s="22"/>
      <c r="K113" s="22"/>
    </row>
    <row r="114" spans="10:11" x14ac:dyDescent="0.3">
      <c r="J114" s="22"/>
      <c r="K114" s="22"/>
    </row>
    <row r="115" spans="10:11" x14ac:dyDescent="0.3">
      <c r="J115" s="22"/>
      <c r="K115" s="22"/>
    </row>
    <row r="116" spans="10:11" x14ac:dyDescent="0.3">
      <c r="J116" s="22"/>
      <c r="K116" s="22"/>
    </row>
    <row r="117" spans="10:11" x14ac:dyDescent="0.3">
      <c r="J117" s="22"/>
      <c r="K117" s="22"/>
    </row>
    <row r="118" spans="10:11" x14ac:dyDescent="0.3">
      <c r="J118" s="22"/>
      <c r="K118" s="22"/>
    </row>
    <row r="119" spans="10:11" x14ac:dyDescent="0.3">
      <c r="J119" s="22"/>
      <c r="K119" s="22"/>
    </row>
    <row r="120" spans="10:11" x14ac:dyDescent="0.3">
      <c r="J120" s="22"/>
      <c r="K120" s="22"/>
    </row>
    <row r="121" spans="10:11" x14ac:dyDescent="0.3">
      <c r="J121" s="22"/>
      <c r="K121" s="22"/>
    </row>
    <row r="122" spans="10:11" x14ac:dyDescent="0.3">
      <c r="J122" s="22"/>
      <c r="K122" s="22"/>
    </row>
    <row r="123" spans="10:11" x14ac:dyDescent="0.3">
      <c r="J123" s="22"/>
      <c r="K123" s="22"/>
    </row>
    <row r="124" spans="10:11" x14ac:dyDescent="0.3">
      <c r="J124" s="22"/>
      <c r="K124" s="22"/>
    </row>
    <row r="125" spans="10:11" x14ac:dyDescent="0.3">
      <c r="J125" s="22"/>
      <c r="K125" s="22"/>
    </row>
    <row r="126" spans="10:11" x14ac:dyDescent="0.3">
      <c r="J126" s="22"/>
      <c r="K126" s="22"/>
    </row>
    <row r="127" spans="10:11" x14ac:dyDescent="0.3">
      <c r="J127" s="22"/>
      <c r="K127" s="22"/>
    </row>
    <row r="128" spans="10:11" x14ac:dyDescent="0.3">
      <c r="J128" s="22"/>
      <c r="K128" s="22"/>
    </row>
    <row r="129" spans="10:11" x14ac:dyDescent="0.3">
      <c r="J129" s="22"/>
      <c r="K129" s="22"/>
    </row>
    <row r="130" spans="10:11" x14ac:dyDescent="0.3">
      <c r="J130" s="22"/>
      <c r="K130" s="22"/>
    </row>
    <row r="131" spans="10:11" x14ac:dyDescent="0.3">
      <c r="J131" s="22"/>
      <c r="K131" s="22"/>
    </row>
    <row r="132" spans="10:11" x14ac:dyDescent="0.3">
      <c r="J132" s="22"/>
      <c r="K132" s="22"/>
    </row>
    <row r="133" spans="10:11" x14ac:dyDescent="0.3">
      <c r="J133" s="22"/>
      <c r="K133" s="22"/>
    </row>
    <row r="134" spans="10:11" x14ac:dyDescent="0.3">
      <c r="J134" s="22"/>
      <c r="K134" s="22"/>
    </row>
    <row r="135" spans="10:11" x14ac:dyDescent="0.3">
      <c r="J135" s="22"/>
      <c r="K135" s="22"/>
    </row>
    <row r="136" spans="10:11" x14ac:dyDescent="0.3">
      <c r="J136" s="22"/>
      <c r="K136" s="22"/>
    </row>
    <row r="137" spans="10:11" x14ac:dyDescent="0.3">
      <c r="J137" s="22"/>
      <c r="K137" s="22"/>
    </row>
    <row r="138" spans="10:11" x14ac:dyDescent="0.3">
      <c r="J138" s="22"/>
      <c r="K138" s="22"/>
    </row>
    <row r="139" spans="10:11" x14ac:dyDescent="0.3">
      <c r="J139" s="22"/>
      <c r="K139" s="22"/>
    </row>
    <row r="140" spans="10:11" x14ac:dyDescent="0.3">
      <c r="J140" s="22"/>
      <c r="K140" s="22"/>
    </row>
    <row r="141" spans="10:11" x14ac:dyDescent="0.3">
      <c r="J141" s="22"/>
      <c r="K141" s="22"/>
    </row>
    <row r="142" spans="10:11" x14ac:dyDescent="0.3">
      <c r="J142" s="22"/>
      <c r="K142" s="22"/>
    </row>
    <row r="143" spans="10:11" x14ac:dyDescent="0.3">
      <c r="J143" s="22"/>
      <c r="K143" s="22"/>
    </row>
    <row r="144" spans="10:11" x14ac:dyDescent="0.3">
      <c r="J144" s="22"/>
      <c r="K144" s="22"/>
    </row>
    <row r="145" spans="10:11" x14ac:dyDescent="0.3">
      <c r="J145" s="22"/>
      <c r="K145" s="22"/>
    </row>
    <row r="146" spans="10:11" x14ac:dyDescent="0.3">
      <c r="J146" s="22"/>
      <c r="K146" s="22"/>
    </row>
    <row r="147" spans="10:11" x14ac:dyDescent="0.3">
      <c r="J147" s="22"/>
      <c r="K147" s="22"/>
    </row>
    <row r="148" spans="10:11" x14ac:dyDescent="0.3">
      <c r="J148" s="22"/>
      <c r="K148" s="22"/>
    </row>
    <row r="149" spans="10:11" x14ac:dyDescent="0.3">
      <c r="J149" s="22"/>
      <c r="K149" s="22"/>
    </row>
    <row r="150" spans="10:11" x14ac:dyDescent="0.3">
      <c r="J150" s="22"/>
      <c r="K150" s="22"/>
    </row>
    <row r="151" spans="10:11" x14ac:dyDescent="0.3">
      <c r="J151" s="22"/>
      <c r="K151" s="22"/>
    </row>
    <row r="152" spans="10:11" x14ac:dyDescent="0.3">
      <c r="J152" s="22"/>
      <c r="K152" s="22"/>
    </row>
    <row r="153" spans="10:11" x14ac:dyDescent="0.3">
      <c r="J153" s="22"/>
      <c r="K153" s="22"/>
    </row>
    <row r="154" spans="10:11" x14ac:dyDescent="0.3">
      <c r="J154" s="22"/>
      <c r="K154" s="22"/>
    </row>
    <row r="155" spans="10:11" x14ac:dyDescent="0.3">
      <c r="J155" s="22"/>
      <c r="K155" s="22"/>
    </row>
    <row r="156" spans="10:11" x14ac:dyDescent="0.3">
      <c r="J156" s="22"/>
      <c r="K156" s="22"/>
    </row>
    <row r="157" spans="10:11" x14ac:dyDescent="0.3">
      <c r="J157" s="22"/>
      <c r="K157" s="22"/>
    </row>
    <row r="158" spans="10:11" x14ac:dyDescent="0.3">
      <c r="J158" s="22"/>
      <c r="K158" s="22"/>
    </row>
    <row r="159" spans="10:11" x14ac:dyDescent="0.3">
      <c r="J159" s="22"/>
      <c r="K159" s="22"/>
    </row>
    <row r="160" spans="10:11" x14ac:dyDescent="0.3">
      <c r="J160" s="22"/>
      <c r="K160" s="22"/>
    </row>
    <row r="161" spans="10:11" x14ac:dyDescent="0.3">
      <c r="J161" s="22"/>
      <c r="K161" s="22"/>
    </row>
    <row r="162" spans="10:11" x14ac:dyDescent="0.3">
      <c r="J162" s="22"/>
      <c r="K162" s="22"/>
    </row>
    <row r="163" spans="10:11" x14ac:dyDescent="0.3">
      <c r="J163" s="22"/>
      <c r="K163" s="22"/>
    </row>
    <row r="164" spans="10:11" x14ac:dyDescent="0.3">
      <c r="J164" s="22"/>
      <c r="K164" s="22"/>
    </row>
    <row r="165" spans="10:11" x14ac:dyDescent="0.3">
      <c r="J165" s="22"/>
      <c r="K165" s="22"/>
    </row>
    <row r="166" spans="10:11" x14ac:dyDescent="0.3">
      <c r="J166" s="22"/>
      <c r="K166" s="22"/>
    </row>
    <row r="167" spans="10:11" x14ac:dyDescent="0.3">
      <c r="J167" s="22"/>
      <c r="K167" s="22"/>
    </row>
    <row r="168" spans="10:11" x14ac:dyDescent="0.3">
      <c r="J168" s="22"/>
      <c r="K168" s="22"/>
    </row>
    <row r="169" spans="10:11" x14ac:dyDescent="0.3">
      <c r="J169" s="22"/>
      <c r="K169" s="22"/>
    </row>
    <row r="170" spans="10:11" x14ac:dyDescent="0.3">
      <c r="J170" s="22"/>
      <c r="K170" s="22"/>
    </row>
    <row r="171" spans="10:11" x14ac:dyDescent="0.3">
      <c r="J171" s="22"/>
      <c r="K171" s="22"/>
    </row>
    <row r="172" spans="10:11" x14ac:dyDescent="0.3">
      <c r="J172" s="22"/>
      <c r="K172" s="22"/>
    </row>
    <row r="173" spans="10:11" x14ac:dyDescent="0.3">
      <c r="J173" s="22"/>
      <c r="K173" s="22"/>
    </row>
    <row r="174" spans="10:11" x14ac:dyDescent="0.3">
      <c r="J174" s="22"/>
      <c r="K174" s="22"/>
    </row>
    <row r="175" spans="10:11" x14ac:dyDescent="0.3">
      <c r="J175" s="22"/>
      <c r="K175" s="22"/>
    </row>
    <row r="176" spans="10:11" x14ac:dyDescent="0.3">
      <c r="J176" s="22"/>
      <c r="K176" s="22"/>
    </row>
    <row r="177" spans="10:11" x14ac:dyDescent="0.3">
      <c r="J177" s="22"/>
      <c r="K177" s="22"/>
    </row>
    <row r="178" spans="10:11" x14ac:dyDescent="0.3">
      <c r="J178" s="22"/>
      <c r="K178" s="22"/>
    </row>
    <row r="179" spans="10:11" x14ac:dyDescent="0.3">
      <c r="J179" s="22"/>
      <c r="K179" s="22"/>
    </row>
    <row r="180" spans="10:11" x14ac:dyDescent="0.3">
      <c r="J180" s="22"/>
      <c r="K180" s="22"/>
    </row>
    <row r="181" spans="10:11" x14ac:dyDescent="0.3">
      <c r="J181" s="22"/>
      <c r="K181" s="22"/>
    </row>
  </sheetData>
  <mergeCells count="14">
    <mergeCell ref="I6:J6"/>
    <mergeCell ref="K6:M11"/>
    <mergeCell ref="I7:J7"/>
    <mergeCell ref="B9:C9"/>
    <mergeCell ref="B1:F1"/>
    <mergeCell ref="H1:K1"/>
    <mergeCell ref="F3:I3"/>
    <mergeCell ref="G5:J5"/>
    <mergeCell ref="K5:M5"/>
    <mergeCell ref="O11:P11"/>
    <mergeCell ref="G14:H14"/>
    <mergeCell ref="G39:H39"/>
    <mergeCell ref="G57:H57"/>
    <mergeCell ref="E79:F79"/>
  </mergeCells>
  <conditionalFormatting sqref="H25:H26">
    <cfRule type="expression" dxfId="181" priority="50">
      <formula>TRUNC(SUM(F$14:F25)/28)&gt;TRUNC(SUM(F$14:F24)/28)</formula>
    </cfRule>
  </conditionalFormatting>
  <conditionalFormatting sqref="G15:G34">
    <cfRule type="expression" dxfId="180" priority="49">
      <formula>TRUNC(SUM(F$14:F14)/28)&gt;TRUNC(SUM(F13:F$14)/28)-ISTEXT(F14)</formula>
    </cfRule>
  </conditionalFormatting>
  <conditionalFormatting sqref="J35:K36 J66:K68 J97:K133 J85:K85 J44:K45 J53:K54">
    <cfRule type="notContainsBlanks" dxfId="179" priority="48">
      <formula>LEN(TRIM(J35))&gt;0</formula>
    </cfRule>
  </conditionalFormatting>
  <conditionalFormatting sqref="H25:H26 G15:G34">
    <cfRule type="expression" priority="47">
      <formula>TRUNC(SUM(F$14:F15)/28)&gt;TRUNC(SUM(F$14:F14)/28)</formula>
    </cfRule>
  </conditionalFormatting>
  <conditionalFormatting sqref="H66:H68">
    <cfRule type="expression" priority="51">
      <formula>TRUNC(SUM(F$14:F23)/28)&gt;TRUNC(SUM(F$14:F22)/28)</formula>
    </cfRule>
  </conditionalFormatting>
  <conditionalFormatting sqref="H15:H19">
    <cfRule type="expression" dxfId="178" priority="46">
      <formula>TRUNC(SUM(F$14:F15)/28)&gt;TRUNC(SUM(F$14:F14)/28)</formula>
    </cfRule>
  </conditionalFormatting>
  <conditionalFormatting sqref="H15:H19">
    <cfRule type="expression" priority="45">
      <formula>TRUNC(SUM(G$14:G15)/28)&gt;TRUNC(SUM(G$14:G14)/28)</formula>
    </cfRule>
  </conditionalFormatting>
  <conditionalFormatting sqref="H20:H24">
    <cfRule type="expression" dxfId="177" priority="44">
      <formula>TRUNC(SUM(F$14:F20)/28)&gt;TRUNC(SUM(F$14:F19)/28)</formula>
    </cfRule>
  </conditionalFormatting>
  <conditionalFormatting sqref="H20:H24">
    <cfRule type="expression" priority="43">
      <formula>TRUNC(SUM(G$14:G20)/28)&gt;TRUNC(SUM(G$14:G19)/28)</formula>
    </cfRule>
  </conditionalFormatting>
  <conditionalFormatting sqref="H27:H36">
    <cfRule type="expression" dxfId="176" priority="42">
      <formula>TRUNC(SUM(F$15:F27)/28)&gt;TRUNC(SUM(F$15:F26)/28)</formula>
    </cfRule>
  </conditionalFormatting>
  <conditionalFormatting sqref="G35:G36">
    <cfRule type="expression" dxfId="175" priority="41">
      <formula>TRUNC(SUM(F$15:F34)/28)&gt;TRUNC(SUM(F$15:F33)/28)-ISTEXT(F34)</formula>
    </cfRule>
  </conditionalFormatting>
  <conditionalFormatting sqref="G35:H36 H27:H34">
    <cfRule type="expression" priority="40">
      <formula>TRUNC(SUM(F$15:F27)/28)&gt;TRUNC(SUM(F$15:F26)/28)</formula>
    </cfRule>
  </conditionalFormatting>
  <conditionalFormatting sqref="H53:H54">
    <cfRule type="expression" dxfId="174" priority="52">
      <formula>TRUNC(SUM(F$15:F53)/28)&gt;TRUNC(SUM(F$15:F35)/28)</formula>
    </cfRule>
  </conditionalFormatting>
  <conditionalFormatting sqref="G53:G54">
    <cfRule type="expression" dxfId="173" priority="53">
      <formula>TRUNC(SUM(F$15:F35)/28)&gt;TRUNC(SUM(F$15:F34)/28)-ISTEXT(F35)</formula>
    </cfRule>
  </conditionalFormatting>
  <conditionalFormatting sqref="G53:H54">
    <cfRule type="expression" priority="54">
      <formula>TRUNC(SUM(F$15:F53)/28)&gt;TRUNC(SUM(F$15:F35)/28)</formula>
    </cfRule>
  </conditionalFormatting>
  <conditionalFormatting sqref="J15:J34">
    <cfRule type="notContainsBlanks" dxfId="172" priority="39" stopIfTrue="1">
      <formula>LEN(TRIM(J15))&gt;0</formula>
    </cfRule>
  </conditionalFormatting>
  <conditionalFormatting sqref="J15:J34">
    <cfRule type="notContainsBlanks" dxfId="171" priority="37">
      <formula>LEN(TRIM(J15))&gt;0</formula>
    </cfRule>
  </conditionalFormatting>
  <conditionalFormatting sqref="K15:K34">
    <cfRule type="cellIs" dxfId="170" priority="36" operator="equal">
      <formula>0</formula>
    </cfRule>
  </conditionalFormatting>
  <conditionalFormatting sqref="J75:K76">
    <cfRule type="notContainsBlanks" dxfId="169" priority="34">
      <formula>LEN(TRIM(J75))&gt;0</formula>
    </cfRule>
  </conditionalFormatting>
  <conditionalFormatting sqref="H75:H76">
    <cfRule type="expression" priority="35">
      <formula>TRUNC(SUM(F$14:F26)/28)&gt;TRUNC(SUM(F$14:F25)/28)</formula>
    </cfRule>
  </conditionalFormatting>
  <conditionalFormatting sqref="J84:K84">
    <cfRule type="notContainsBlanks" dxfId="168" priority="33">
      <formula>LEN(TRIM(J84))&gt;0</formula>
    </cfRule>
  </conditionalFormatting>
  <conditionalFormatting sqref="F89:F95">
    <cfRule type="cellIs" dxfId="167" priority="28" operator="greaterThan">
      <formula>0.1</formula>
    </cfRule>
    <cfRule type="cellIs" priority="29" operator="greaterThan">
      <formula>0.1</formula>
    </cfRule>
  </conditionalFormatting>
  <conditionalFormatting sqref="E89">
    <cfRule type="containsText" dxfId="166" priority="27" operator="containsText" text="Да">
      <formula>NOT(ISERROR(SEARCH("Да",E89)))</formula>
    </cfRule>
  </conditionalFormatting>
  <conditionalFormatting sqref="G89:H89">
    <cfRule type="uniqueValues" dxfId="165" priority="26"/>
  </conditionalFormatting>
  <conditionalFormatting sqref="G86">
    <cfRule type="notContainsBlanks" dxfId="164" priority="31">
      <formula>LEN(TRIM(#REF!))&gt;0</formula>
    </cfRule>
  </conditionalFormatting>
  <conditionalFormatting sqref="E89:E95">
    <cfRule type="containsText" dxfId="163" priority="30" operator="containsText" text="Да">
      <formula>NOT(ISERROR(SEARCH("Да",#REF!)))</formula>
    </cfRule>
  </conditionalFormatting>
  <conditionalFormatting sqref="G89:G95">
    <cfRule type="cellIs" dxfId="162" priority="32" operator="notEqual">
      <formula>#REF!</formula>
    </cfRule>
  </conditionalFormatting>
  <conditionalFormatting sqref="J55:K56">
    <cfRule type="notContainsBlanks" dxfId="161" priority="23">
      <formula>LEN(TRIM(J55))&gt;0</formula>
    </cfRule>
  </conditionalFormatting>
  <conditionalFormatting sqref="H62:H63">
    <cfRule type="expression" priority="24">
      <formula>TRUNC(SUM(F$14:F19)/28)&gt;TRUNC(SUM(F$14:F18)/28)</formula>
    </cfRule>
  </conditionalFormatting>
  <conditionalFormatting sqref="H64:H65">
    <cfRule type="expression" priority="25">
      <formula>TRUNC(SUM(F$14:F20)/28)&gt;TRUNC(SUM(F$14:F19)/28)</formula>
    </cfRule>
  </conditionalFormatting>
  <conditionalFormatting sqref="G55:H55">
    <cfRule type="notContainsBlanks" dxfId="160" priority="22">
      <formula>LEN(TRIM(G55))&gt;0</formula>
    </cfRule>
  </conditionalFormatting>
  <conditionalFormatting sqref="J58:J65">
    <cfRule type="containsText" dxfId="159" priority="21" operator="containsText" text="Да">
      <formula>NOT(ISERROR(SEARCH("Да",J58)))</formula>
    </cfRule>
  </conditionalFormatting>
  <conditionalFormatting sqref="K58:K65">
    <cfRule type="cellIs" dxfId="158" priority="19" operator="greaterThan">
      <formula>0.1</formula>
    </cfRule>
    <cfRule type="cellIs" priority="20" operator="greaterThan">
      <formula>0.1</formula>
    </cfRule>
  </conditionalFormatting>
  <conditionalFormatting sqref="L58:L65">
    <cfRule type="cellIs" dxfId="157" priority="18" operator="notEqual">
      <formula>$H58</formula>
    </cfRule>
  </conditionalFormatting>
  <conditionalFormatting sqref="F69 H70:I74 G71:G72 H69">
    <cfRule type="notContainsBlanks" dxfId="156" priority="17">
      <formula>LEN(TRIM(#REF!))&gt;0</formula>
    </cfRule>
  </conditionalFormatting>
  <conditionalFormatting sqref="H80:H83">
    <cfRule type="containsText" dxfId="155" priority="9" operator="containsText" text="да">
      <formula>NOT(ISERROR(SEARCH("да",H80)))</formula>
    </cfRule>
  </conditionalFormatting>
  <conditionalFormatting sqref="I80:I83">
    <cfRule type="cellIs" dxfId="154" priority="13" operator="greaterThan">
      <formula>0.01</formula>
    </cfRule>
  </conditionalFormatting>
  <conditionalFormatting sqref="J80:J83">
    <cfRule type="uniqueValues" dxfId="153" priority="12"/>
  </conditionalFormatting>
  <conditionalFormatting sqref="H77:I78 E77:F77">
    <cfRule type="notContainsBlanks" dxfId="152" priority="16">
      <formula>LEN(TRIM(#REF!))&gt;0</formula>
    </cfRule>
  </conditionalFormatting>
  <conditionalFormatting sqref="H80:H83">
    <cfRule type="containsText" dxfId="151" priority="14" operator="containsText" text="Да">
      <formula>NOT(ISERROR(SEARCH("Да",#REF!)))</formula>
    </cfRule>
    <cfRule type="containsText" dxfId="150" priority="15" operator="containsText" text="Да">
      <formula>NOT(ISERROR(SEARCH("Да",#REF!)))</formula>
    </cfRule>
  </conditionalFormatting>
  <conditionalFormatting sqref="H44:H45">
    <cfRule type="expression" dxfId="149" priority="55">
      <formula>TRUNC(SUM(F$15:F44)/28)&gt;TRUNC(SUM(F$15:F35)/28)</formula>
    </cfRule>
  </conditionalFormatting>
  <conditionalFormatting sqref="G44:G45">
    <cfRule type="expression" dxfId="148" priority="56">
      <formula>TRUNC(SUM(F$15:F35)/28)&gt;TRUNC(SUM(F$15:F34)/28)-ISTEXT(F35)</formula>
    </cfRule>
  </conditionalFormatting>
  <conditionalFormatting sqref="G44:H45">
    <cfRule type="expression" priority="57">
      <formula>TRUNC(SUM(F$15:F44)/28)&gt;TRUNC(SUM(F$15:F35)/28)</formula>
    </cfRule>
  </conditionalFormatting>
  <conditionalFormatting sqref="J37:K38 K43">
    <cfRule type="notContainsBlanks" dxfId="147" priority="8">
      <formula>LEN(TRIM(J37))&gt;0</formula>
    </cfRule>
  </conditionalFormatting>
  <conditionalFormatting sqref="J40:J43">
    <cfRule type="notContainsBlanks" dxfId="146" priority="7" stopIfTrue="1">
      <formula>LEN(TRIM(J40))&gt;0</formula>
    </cfRule>
  </conditionalFormatting>
  <conditionalFormatting sqref="J40:J43">
    <cfRule type="notContainsBlanks" dxfId="145" priority="5">
      <formula>LEN(TRIM(J40))&gt;0</formula>
    </cfRule>
  </conditionalFormatting>
  <conditionalFormatting sqref="J52:K52">
    <cfRule type="notContainsBlanks" dxfId="144" priority="4">
      <formula>LEN(TRIM(J52))&gt;0</formula>
    </cfRule>
  </conditionalFormatting>
  <conditionalFormatting sqref="E46:F47 F49:F52">
    <cfRule type="notContainsBlanks" dxfId="143" priority="3">
      <formula>LEN(TRIM(#REF!))&gt;0</formula>
    </cfRule>
  </conditionalFormatting>
  <conditionalFormatting sqref="I18:I19">
    <cfRule type="expression" dxfId="142" priority="2">
      <formula>$J18="период закрыт"</formula>
    </cfRule>
  </conditionalFormatting>
  <conditionalFormatting sqref="G40">
    <cfRule type="expression" dxfId="141" priority="1">
      <formula>TRUNC(SUM(F$15:F39)/28)&gt;TRUNC(SUM(F25:F$28)/28)-ISTEXT(F39)</formula>
    </cfRule>
  </conditionalFormatting>
  <conditionalFormatting sqref="H80:H83">
    <cfRule type="containsText" dxfId="139" priority="10" operator="containsText" text="Да">
      <formula>NOT(ISERROR(SEARCH("Да",#REF!)))</formula>
    </cfRule>
    <cfRule type="containsText" priority="11" operator="containsText" text="Да">
      <formula>NOT(ISERROR(SEARCH("Да",#REF!)))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" operator="containsText" id="{FC5C5023-0FE6-40E7-992D-08E01D21ACF1}">
            <xm:f>NOT(ISERROR(SEARCH($J$17,J15)))</xm:f>
            <xm:f>$J$17</xm:f>
            <x14:dxf>
              <font>
                <color rgb="FF9C0006"/>
              </font>
            </x14:dxf>
          </x14:cfRule>
          <xm:sqref>J15:J34</xm:sqref>
        </x14:conditionalFormatting>
        <x14:conditionalFormatting xmlns:xm="http://schemas.microsoft.com/office/excel/2006/main">
          <x14:cfRule type="containsText" priority="6" operator="containsText" id="{B427B161-78A2-4C01-A997-7FAAE8991EF9}">
            <xm:f>NOT(ISERROR(SEARCH($J$17,J40)))</xm:f>
            <xm:f>$J$17</xm:f>
            <x14:dxf>
              <font>
                <color rgb="FF9C0006"/>
              </font>
            </x14:dxf>
          </x14:cfRule>
          <xm:sqref>J40:J43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showGridLines="0" tabSelected="1" zoomScale="85" zoomScaleNormal="85" workbookViewId="0">
      <selection activeCell="M20" sqref="M20"/>
    </sheetView>
  </sheetViews>
  <sheetFormatPr defaultRowHeight="16.5" x14ac:dyDescent="0.3"/>
  <cols>
    <col min="1" max="1" width="3" style="13" customWidth="1"/>
    <col min="2" max="3" width="13.5" style="13" customWidth="1"/>
    <col min="4" max="5" width="12.75" style="13" customWidth="1"/>
    <col min="6" max="6" width="11.75" style="13" customWidth="1"/>
    <col min="7" max="7" width="9.625" style="13" customWidth="1"/>
    <col min="8" max="8" width="10.5" style="13" customWidth="1"/>
    <col min="9" max="9" width="7" style="5" customWidth="1"/>
    <col min="10" max="11" width="12.25" style="13" customWidth="1"/>
    <col min="12" max="14" width="9" style="13"/>
    <col min="15" max="15" width="11.75" style="13" customWidth="1"/>
    <col min="16" max="16" width="11.625" style="13" customWidth="1"/>
    <col min="17" max="16384" width="9" style="13"/>
  </cols>
  <sheetData>
    <row r="1" spans="1:16" ht="17.25" thickBot="1" x14ac:dyDescent="0.35">
      <c r="B1" s="105"/>
      <c r="C1" s="106"/>
      <c r="D1" s="106"/>
      <c r="E1" s="106"/>
      <c r="F1" s="107"/>
      <c r="G1" s="36"/>
      <c r="H1" s="108"/>
      <c r="I1" s="109"/>
      <c r="J1" s="109"/>
      <c r="K1" s="110"/>
      <c r="L1" s="37"/>
      <c r="M1" s="37"/>
      <c r="N1" s="37"/>
    </row>
    <row r="2" spans="1:16" ht="6.75" customHeight="1" x14ac:dyDescent="0.3">
      <c r="A2" s="27"/>
    </row>
    <row r="3" spans="1:16" s="2" customFormat="1" ht="24.75" thickBot="1" x14ac:dyDescent="0.5">
      <c r="B3" s="2" t="s">
        <v>0</v>
      </c>
      <c r="E3" s="54"/>
      <c r="F3" s="111"/>
      <c r="G3" s="111"/>
      <c r="H3" s="111"/>
      <c r="I3" s="111"/>
      <c r="J3" s="111"/>
      <c r="O3" s="2" t="s">
        <v>36</v>
      </c>
    </row>
    <row r="4" spans="1:16" ht="6" customHeight="1" thickTop="1" x14ac:dyDescent="0.3"/>
    <row r="5" spans="1:16" ht="16.5" customHeight="1" x14ac:dyDescent="0.3">
      <c r="B5" s="23" t="s">
        <v>3</v>
      </c>
      <c r="C5" s="24"/>
      <c r="D5" s="31">
        <v>40878</v>
      </c>
      <c r="E5" s="10" t="s">
        <v>10</v>
      </c>
      <c r="F5" s="11"/>
      <c r="G5" s="112" t="s">
        <v>11</v>
      </c>
      <c r="H5" s="112"/>
      <c r="I5" s="112"/>
      <c r="J5" s="113"/>
      <c r="K5" s="114" t="s">
        <v>21</v>
      </c>
      <c r="L5" s="115"/>
      <c r="M5" s="115"/>
      <c r="O5" s="55">
        <f>D5</f>
        <v>40878</v>
      </c>
      <c r="P5" s="10" t="s">
        <v>10</v>
      </c>
    </row>
    <row r="6" spans="1:16" ht="16.5" customHeight="1" x14ac:dyDescent="0.3">
      <c r="B6" s="23" t="s">
        <v>4</v>
      </c>
      <c r="C6" s="24"/>
      <c r="D6" s="8">
        <f ca="1">TODAY()</f>
        <v>42608</v>
      </c>
      <c r="E6" s="32">
        <v>42707</v>
      </c>
      <c r="G6" s="7" t="s">
        <v>12</v>
      </c>
      <c r="H6" s="7">
        <v>28</v>
      </c>
      <c r="I6" s="116"/>
      <c r="J6" s="117"/>
      <c r="K6" s="118"/>
      <c r="L6" s="118"/>
      <c r="M6" s="118"/>
      <c r="O6" s="56">
        <f ca="1">TODAY()</f>
        <v>42608</v>
      </c>
      <c r="P6" s="32">
        <f>E6</f>
        <v>42707</v>
      </c>
    </row>
    <row r="7" spans="1:16" x14ac:dyDescent="0.3">
      <c r="B7" s="25" t="s">
        <v>9</v>
      </c>
      <c r="C7" s="24"/>
      <c r="D7" s="129">
        <f ca="1">(DATEDIF(D5,D6+1,"m")+(DATEDIF(D5,D6+1,"md")&gt;13)-SUMPRODUCT(DATEDIF(Журнал324521232824673101241129[НОВЫЙ период],Журнал324521232824673101241129[НОВЫЙ период2],"m")*(Журнал324521232824673101241129[Начало (должен быть)]&gt;0+1)))/12*$H$6+H6*COUNT(Журнал324521232824673101241129[Начало (должен быть)])</f>
        <v>58.333333333333329</v>
      </c>
      <c r="E7" s="130">
        <f>(DATEDIF(D5,E6+1,"m")+(DATEDIF(D5,E6+1,"md")&gt;13)-SUMPRODUCT(DATEDIF(Журнал324521232824673101241129[НОВЫЙ период],Журнал324521232824673101241129[НОВЫЙ период2],"m")*(Журнал324521232824673101241129[Начало (должен быть)]&gt;0+1)))/12*$H$6+H6*COUNT(Журнал324521232824673101241129[Начало (должен быть)])</f>
        <v>65.333333333333329</v>
      </c>
      <c r="F7" s="131" t="s">
        <v>46</v>
      </c>
      <c r="G7" s="7" t="s">
        <v>13</v>
      </c>
      <c r="H7" s="14"/>
      <c r="I7" s="120"/>
      <c r="J7" s="121"/>
      <c r="K7" s="118"/>
      <c r="L7" s="118"/>
      <c r="M7" s="118"/>
      <c r="O7" s="34">
        <f ca="1">(DATEDIF(O5,O6+1,"m")+(DATEDIF(O5,O6+1,"md")&gt;13))/12*$H$6</f>
        <v>133</v>
      </c>
      <c r="P7" s="34">
        <f>(DATEDIF(O5,P6+1,"m")+(DATEDIF(O5,P6+1,"md")&gt;13))/12*$H$6</f>
        <v>140</v>
      </c>
    </row>
    <row r="8" spans="1:16" x14ac:dyDescent="0.3">
      <c r="B8" s="23" t="s">
        <v>17</v>
      </c>
      <c r="C8" s="24"/>
      <c r="D8" s="9">
        <f>SUM(Журнал323142628[Отгуленные дни])</f>
        <v>126</v>
      </c>
      <c r="E8" s="9">
        <f>SUM(Журнал323142628[Отгуленные дни])</f>
        <v>126</v>
      </c>
      <c r="F8" s="131"/>
      <c r="G8" s="7" t="s">
        <v>13</v>
      </c>
      <c r="H8" s="16"/>
      <c r="I8" s="17"/>
      <c r="K8" s="118"/>
      <c r="L8" s="118"/>
      <c r="M8" s="118"/>
      <c r="O8" s="57">
        <f>SUM(Журнал323142628[Отгуленные дни])</f>
        <v>126</v>
      </c>
      <c r="P8" s="33">
        <f>SUM(Журнал323142628[Отгуленные дни])</f>
        <v>126</v>
      </c>
    </row>
    <row r="9" spans="1:16" ht="5.25" customHeight="1" x14ac:dyDescent="0.3">
      <c r="B9" s="122"/>
      <c r="C9" s="122"/>
      <c r="D9" s="5"/>
      <c r="E9" s="14"/>
      <c r="F9" s="131"/>
      <c r="G9" s="15"/>
      <c r="H9" s="16"/>
      <c r="K9" s="118"/>
      <c r="L9" s="118"/>
      <c r="M9" s="118"/>
      <c r="O9" s="58"/>
      <c r="P9" s="7"/>
    </row>
    <row r="10" spans="1:16" ht="18.75" x14ac:dyDescent="0.3">
      <c r="B10" s="23" t="s">
        <v>18</v>
      </c>
      <c r="C10" s="59"/>
      <c r="D10" s="60">
        <f ca="1">(DATEDIF(D5,D6+1,"m")+(DATEDIF(D5,D6+1,"md")&gt;13)-SUMPRODUCT(DATEDIF(Журнал324521232824673101241129[НОВЫЙ период],Журнал324521232824673101241129[НОВЫЙ период2],"m")*(Журнал324521232824673101241129[Начало (должен быть)]&gt;0+1)))/12*$H$6+H6*COUNT(Журнал324521232824673101241129[Начало (должен быть)])-D8</f>
        <v>-67.666666666666671</v>
      </c>
      <c r="E10" s="60">
        <f>(DATEDIF(D5,E6+1,"m")+(DATEDIF(D5,E6+1,"md")&gt;13)-SUMPRODUCT(DATEDIF(Журнал324521232824673101241129[НОВЫЙ период],Журнал324521232824673101241129[НОВЫЙ период2],"m")*(Журнал324521232824673101241129[Начало (должен быть)]&gt;0+1)))/12*$H$6+H6*COUNT(Журнал324521232824673101241129[Начало (должен быть)]) -E8</f>
        <v>-60.666666666666671</v>
      </c>
      <c r="F10" s="131"/>
      <c r="G10" s="15" t="s">
        <v>14</v>
      </c>
      <c r="H10" s="16">
        <f>SUM(H6:H9)</f>
        <v>28</v>
      </c>
      <c r="K10" s="118"/>
      <c r="L10" s="118"/>
      <c r="M10" s="118"/>
      <c r="O10" s="61">
        <f ca="1">(DATEDIF(O5,O6,"m")+(DATEDIF(O5,O6,"md")&gt;13))/12*$H6-O8</f>
        <v>7</v>
      </c>
      <c r="P10" s="18">
        <f>(DATEDIF(O5,P6,"m")+(DATEDIF(O5,P6,"md")&gt;13))/12*$H6-P8</f>
        <v>14</v>
      </c>
    </row>
    <row r="11" spans="1:16" ht="11.25" customHeight="1" thickBot="1" x14ac:dyDescent="0.35">
      <c r="D11" s="62"/>
      <c r="E11" s="63"/>
      <c r="K11" s="119"/>
      <c r="L11" s="119"/>
      <c r="M11" s="119"/>
      <c r="O11" s="100" t="s">
        <v>37</v>
      </c>
      <c r="P11" s="100"/>
    </row>
    <row r="12" spans="1:16" s="1" customFormat="1" ht="25.5" thickTop="1" thickBot="1" x14ac:dyDescent="0.5">
      <c r="B12" s="1" t="s">
        <v>16</v>
      </c>
      <c r="E12" s="1" t="s">
        <v>47</v>
      </c>
      <c r="I12" s="64"/>
    </row>
    <row r="13" spans="1:16" ht="9" customHeight="1" thickTop="1" x14ac:dyDescent="0.3"/>
    <row r="14" spans="1:16" ht="34.5" customHeight="1" x14ac:dyDescent="0.3">
      <c r="B14" s="28" t="s">
        <v>1</v>
      </c>
      <c r="C14" s="28" t="s">
        <v>2</v>
      </c>
      <c r="D14" s="28" t="s">
        <v>5</v>
      </c>
      <c r="E14" s="28" t="s">
        <v>6</v>
      </c>
      <c r="F14" s="29" t="s">
        <v>7</v>
      </c>
      <c r="G14" s="101" t="s">
        <v>8</v>
      </c>
      <c r="H14" s="102"/>
      <c r="I14" s="30" t="s">
        <v>15</v>
      </c>
      <c r="J14" s="30" t="s">
        <v>30</v>
      </c>
      <c r="K14" s="65" t="s">
        <v>38</v>
      </c>
    </row>
    <row r="15" spans="1:16" x14ac:dyDescent="0.3">
      <c r="A15" s="48"/>
      <c r="B15" s="4">
        <v>41085</v>
      </c>
      <c r="C15" s="4">
        <v>41098</v>
      </c>
      <c r="D15" s="5">
        <f>Журнал323142628[[#This Row],[Конец]]-Журнал323142628[[#This Row],[Начало]]+1</f>
        <v>14</v>
      </c>
      <c r="E15" s="5"/>
      <c r="F15" s="5">
        <f>Журнал323142628[[#This Row],[Календарные дни]]-Журнал323142628[[#This Row],[Праздничные дни]]</f>
        <v>14</v>
      </c>
      <c r="G15" s="66">
        <f>D5</f>
        <v>40878</v>
      </c>
      <c r="H15" s="66">
        <f>G15+364</f>
        <v>41242</v>
      </c>
      <c r="I15" s="12"/>
      <c r="J15" s="46" t="str">
        <f>IF(TRUNC(SUM(F$14:F15)/$H$6)&gt;TRUNC(SUM(F$14:F14)/$H$6),"Период закрыт","")</f>
        <v/>
      </c>
      <c r="K15" s="47"/>
    </row>
    <row r="16" spans="1:16" x14ac:dyDescent="0.3">
      <c r="A16" s="48"/>
      <c r="B16" s="4">
        <v>41225</v>
      </c>
      <c r="C16" s="4">
        <v>41238</v>
      </c>
      <c r="D16" s="5">
        <f>Журнал323142628[[#This Row],[Конец]]-Журнал323142628[[#This Row],[Начало]]+1</f>
        <v>14</v>
      </c>
      <c r="E16" s="5"/>
      <c r="F16" s="6">
        <f>Журнал323142628[[#This Row],[Календарные дни]]-Журнал323142628[[#This Row],[Праздничные дни]]</f>
        <v>14</v>
      </c>
      <c r="G16" s="67">
        <f>IF(K15=0,H15+1,G15)</f>
        <v>41243</v>
      </c>
      <c r="H16" s="66">
        <f>G16+365</f>
        <v>41608</v>
      </c>
      <c r="I16" s="12"/>
      <c r="J16" s="46" t="str">
        <f>IF(TRUNC(SUM(F$14:F16)/$H$6)&gt;TRUNC(SUM(F$14:F15)/$H$6),"Период закрыт","")</f>
        <v>Период закрыт</v>
      </c>
      <c r="K16" s="47"/>
    </row>
    <row r="17" spans="1:15" x14ac:dyDescent="0.3">
      <c r="A17" s="48"/>
      <c r="B17" s="4">
        <v>41451</v>
      </c>
      <c r="C17" s="4">
        <v>41464</v>
      </c>
      <c r="D17" s="5">
        <f>Журнал323142628[[#This Row],[Конец]]-Журнал323142628[[#This Row],[Начало]]+1</f>
        <v>14</v>
      </c>
      <c r="E17" s="5"/>
      <c r="F17" s="6">
        <f>Журнал323142628[[#This Row],[Календарные дни]]-Журнал323142628[[#This Row],[Праздничные дни]]</f>
        <v>14</v>
      </c>
      <c r="G17" s="67">
        <f t="shared" ref="G17:G28" si="0">IF(K16=0,H16+1,G16)</f>
        <v>41609</v>
      </c>
      <c r="H17" s="66">
        <f t="shared" ref="H17:H23" si="1">G17+364</f>
        <v>41973</v>
      </c>
      <c r="I17" s="12"/>
      <c r="J17" s="46" t="str">
        <f>IF(TRUNC(SUM(F$14:F17)/$H$6)&gt;TRUNC(SUM(F$14:F16)/$H$6),"Период закрыт","")</f>
        <v/>
      </c>
      <c r="K17" s="47"/>
    </row>
    <row r="18" spans="1:15" x14ac:dyDescent="0.3">
      <c r="A18" s="48"/>
      <c r="B18" s="4">
        <v>41596</v>
      </c>
      <c r="C18" s="4">
        <v>41609</v>
      </c>
      <c r="D18" s="5">
        <f>Журнал323142628[[#This Row],[Конец]]-Журнал323142628[[#This Row],[Начало]]+1</f>
        <v>14</v>
      </c>
      <c r="E18" s="5"/>
      <c r="F18" s="6">
        <f>Журнал323142628[[#This Row],[Календарные дни]]-Журнал323142628[[#This Row],[Праздничные дни]]</f>
        <v>14</v>
      </c>
      <c r="G18" s="67">
        <f t="shared" si="0"/>
        <v>41974</v>
      </c>
      <c r="H18" s="66">
        <f t="shared" si="1"/>
        <v>42338</v>
      </c>
      <c r="I18" s="12"/>
      <c r="J18" s="46" t="str">
        <f>IF(TRUNC(SUM(F$14:F18)/$H$6)&gt;TRUNC(SUM(F$14:F17)/$H$6),"Период закрыт","")</f>
        <v>Период закрыт</v>
      </c>
      <c r="K18" s="47"/>
    </row>
    <row r="19" spans="1:15" x14ac:dyDescent="0.3">
      <c r="A19" s="48"/>
      <c r="B19" s="4">
        <v>41806</v>
      </c>
      <c r="C19" s="4">
        <v>41819</v>
      </c>
      <c r="D19" s="5">
        <f>Журнал323142628[[#This Row],[Конец]]-Журнал323142628[[#This Row],[Начало]]+1</f>
        <v>14</v>
      </c>
      <c r="E19" s="5"/>
      <c r="F19" s="6">
        <f>Журнал323142628[[#This Row],[Календарные дни]]-Журнал323142628[[#This Row],[Праздничные дни]]</f>
        <v>14</v>
      </c>
      <c r="G19" s="67">
        <f t="shared" si="0"/>
        <v>42339</v>
      </c>
      <c r="H19" s="66">
        <f t="shared" si="1"/>
        <v>42703</v>
      </c>
      <c r="I19" s="12"/>
      <c r="J19" s="46" t="str">
        <f>IF(TRUNC(SUM(F$14:F19)/$H$6)&gt;TRUNC(SUM(F$14:F18)/$H$6),"Период закрыт","")</f>
        <v/>
      </c>
      <c r="K19" s="47"/>
    </row>
    <row r="20" spans="1:15" x14ac:dyDescent="0.3">
      <c r="A20" s="48"/>
      <c r="B20" s="35">
        <v>41974</v>
      </c>
      <c r="C20" s="35">
        <v>41987</v>
      </c>
      <c r="D20" s="5">
        <f>Журнал323142628[[#This Row],[Конец]]-Журнал323142628[[#This Row],[Начало]]+1</f>
        <v>14</v>
      </c>
      <c r="E20" s="5"/>
      <c r="F20" s="6">
        <f>Журнал323142628[[#This Row],[Календарные дни]]-Журнал323142628[[#This Row],[Праздничные дни]]</f>
        <v>14</v>
      </c>
      <c r="G20" s="4">
        <f t="shared" si="0"/>
        <v>42704</v>
      </c>
      <c r="H20" s="66">
        <f>G20+365</f>
        <v>43069</v>
      </c>
      <c r="I20" s="12"/>
      <c r="J20" s="46" t="str">
        <f>IF(TRUNC(SUM(F$14:F20)/$H$6)&gt;TRUNC(SUM(F$14:F19)/$H$6),"Период закрыт","")</f>
        <v>Период закрыт</v>
      </c>
      <c r="K20" s="47"/>
    </row>
    <row r="21" spans="1:15" x14ac:dyDescent="0.3">
      <c r="A21" s="48"/>
      <c r="B21" s="4">
        <v>42354</v>
      </c>
      <c r="C21" s="4">
        <v>42367</v>
      </c>
      <c r="D21" s="5">
        <f>Журнал323142628[[#This Row],[Конец]]-Журнал323142628[[#This Row],[Начало]]+1</f>
        <v>14</v>
      </c>
      <c r="E21" s="5"/>
      <c r="F21" s="6">
        <f>Журнал323142628[[#This Row],[Календарные дни]]-Журнал323142628[[#This Row],[Праздничные дни]]</f>
        <v>14</v>
      </c>
      <c r="G21" s="68">
        <f t="shared" si="0"/>
        <v>43070</v>
      </c>
      <c r="H21" s="66">
        <f t="shared" si="1"/>
        <v>43434</v>
      </c>
      <c r="I21" s="12"/>
      <c r="J21" s="46" t="str">
        <f>IF(TRUNC(SUM(F$14:F21)/$H$6)&gt;TRUNC(SUM(F$14:F20)/$H$6),"Период закрыт","")</f>
        <v/>
      </c>
      <c r="K21" s="47"/>
      <c r="L21" s="69"/>
    </row>
    <row r="22" spans="1:15" x14ac:dyDescent="0.3">
      <c r="A22" s="48"/>
      <c r="B22" s="4">
        <v>42415</v>
      </c>
      <c r="C22" s="4">
        <v>42421</v>
      </c>
      <c r="D22" s="5">
        <f>Журнал323142628[[#This Row],[Конец]]-Журнал323142628[[#This Row],[Начало]]+1</f>
        <v>7</v>
      </c>
      <c r="E22" s="5"/>
      <c r="F22" s="6">
        <f>Журнал323142628[[#This Row],[Календарные дни]]-Журнал323142628[[#This Row],[Праздничные дни]]</f>
        <v>7</v>
      </c>
      <c r="G22" s="67">
        <f t="shared" si="0"/>
        <v>43435</v>
      </c>
      <c r="H22" s="66">
        <f t="shared" si="1"/>
        <v>43799</v>
      </c>
      <c r="I22" s="12"/>
      <c r="J22" s="46" t="str">
        <f>IF(TRUNC(SUM(F$14:F22)/$H$6)&gt;TRUNC(SUM(F$14:F21)/$H$6),"Период закрыт","")</f>
        <v/>
      </c>
      <c r="K22" s="47"/>
      <c r="L22" s="70"/>
    </row>
    <row r="23" spans="1:15" x14ac:dyDescent="0.3">
      <c r="A23" s="48"/>
      <c r="B23" s="4">
        <v>42457</v>
      </c>
      <c r="C23" s="4">
        <v>42463</v>
      </c>
      <c r="D23" s="5">
        <f>Журнал323142628[[#This Row],[Конец]]-Журнал323142628[[#This Row],[Начало]]+1</f>
        <v>7</v>
      </c>
      <c r="E23" s="5"/>
      <c r="F23" s="6">
        <f>Журнал323142628[[#This Row],[Календарные дни]]-Журнал323142628[[#This Row],[Праздничные дни]]</f>
        <v>7</v>
      </c>
      <c r="G23" s="67">
        <f t="shared" si="0"/>
        <v>43800</v>
      </c>
      <c r="H23" s="66">
        <f t="shared" si="1"/>
        <v>44164</v>
      </c>
      <c r="I23" s="12"/>
      <c r="J23" s="46" t="str">
        <f>IF(TRUNC(SUM(F$14:F23)/$H$6)&gt;TRUNC(SUM(F$14:F22)/$H$6),"Период закрыт","")</f>
        <v>Период закрыт</v>
      </c>
      <c r="K23" s="47"/>
    </row>
    <row r="24" spans="1:15" x14ac:dyDescent="0.3">
      <c r="A24" s="48"/>
      <c r="B24" s="4">
        <v>42464</v>
      </c>
      <c r="C24" s="4">
        <v>42477</v>
      </c>
      <c r="D24" s="5">
        <f>Журнал323142628[[#This Row],[Конец]]-Журнал323142628[[#This Row],[Начало]]+1</f>
        <v>14</v>
      </c>
      <c r="E24" s="5"/>
      <c r="F24" s="6">
        <f>Журнал323142628[[#This Row],[Календарные дни]]-Журнал323142628[[#This Row],[Праздничные дни]]</f>
        <v>14</v>
      </c>
      <c r="G24" s="67">
        <f t="shared" si="0"/>
        <v>44165</v>
      </c>
      <c r="H24" s="91">
        <v>43707</v>
      </c>
      <c r="I24" s="12"/>
      <c r="J24" s="46" t="str">
        <f>IF(TRUNC(SUM(F$14:F24)/$H$6)&gt;TRUNC(SUM(F$14:F23)/$H$6),"Период закрыт","")</f>
        <v/>
      </c>
      <c r="K24" s="47"/>
      <c r="L24" s="123" t="s">
        <v>41</v>
      </c>
      <c r="M24" s="124"/>
      <c r="N24" s="124"/>
      <c r="O24" s="125"/>
    </row>
    <row r="25" spans="1:15" x14ac:dyDescent="0.3">
      <c r="A25" s="48"/>
      <c r="B25" s="4"/>
      <c r="C25" s="4"/>
      <c r="D25" s="5"/>
      <c r="E25" s="5"/>
      <c r="F25" s="6">
        <f>Журнал323142628[[#This Row],[Календарные дни]]-Журнал323142628[[#This Row],[Праздничные дни]]</f>
        <v>0</v>
      </c>
      <c r="G25" s="67">
        <f t="shared" si="0"/>
        <v>43708</v>
      </c>
      <c r="H25" s="91">
        <v>43707</v>
      </c>
      <c r="I25" s="12"/>
      <c r="J25" s="46" t="str">
        <f>IF(TRUNC(SUM(F$14:F25)/$H$6)&gt;TRUNC(SUM(F$14:F24)/$H$6),"Период закрыт","")</f>
        <v/>
      </c>
      <c r="K25" s="47"/>
      <c r="L25" s="126"/>
      <c r="M25" s="127"/>
      <c r="N25" s="127"/>
      <c r="O25" s="128"/>
    </row>
    <row r="26" spans="1:15" x14ac:dyDescent="0.3">
      <c r="A26" s="48"/>
      <c r="B26" s="4"/>
      <c r="C26" s="4"/>
      <c r="D26" s="5"/>
      <c r="E26" s="5"/>
      <c r="F26" s="6">
        <f>Журнал323142628[[#This Row],[Календарные дни]]-Журнал323142628[[#This Row],[Праздничные дни]]</f>
        <v>0</v>
      </c>
      <c r="G26" s="67">
        <f t="shared" si="0"/>
        <v>43708</v>
      </c>
      <c r="H26" s="66">
        <f>G26+365</f>
        <v>44073</v>
      </c>
      <c r="I26" s="12"/>
      <c r="J26" s="46" t="str">
        <f>IF(TRUNC(SUM(F$14:F26)/$H$6)&gt;TRUNC(SUM(F$14:F25)/$H$6),"Период закрыт","")</f>
        <v/>
      </c>
      <c r="K26" s="47"/>
    </row>
    <row r="27" spans="1:15" x14ac:dyDescent="0.3">
      <c r="A27" s="48"/>
      <c r="B27" s="4"/>
      <c r="C27" s="4"/>
      <c r="D27" s="5"/>
      <c r="E27" s="5"/>
      <c r="F27" s="6">
        <f>Журнал323142628[[#This Row],[Календарные дни]]-Журнал323142628[[#This Row],[Праздничные дни]]</f>
        <v>0</v>
      </c>
      <c r="G27" s="67">
        <f t="shared" si="0"/>
        <v>44074</v>
      </c>
      <c r="H27" s="66">
        <f t="shared" ref="H27:H28" si="2">G27+365</f>
        <v>44439</v>
      </c>
      <c r="I27" s="12"/>
      <c r="J27" s="46" t="str">
        <f>IF(TRUNC(SUM(F$14:F27)/$H$6)&gt;TRUNC(SUM(F$14:F26)/$H$6),"Период закрыт","")</f>
        <v/>
      </c>
      <c r="K27" s="47"/>
    </row>
    <row r="28" spans="1:15" x14ac:dyDescent="0.3">
      <c r="A28" s="48"/>
      <c r="B28" s="4"/>
      <c r="C28" s="4"/>
      <c r="D28" s="5"/>
      <c r="E28" s="5"/>
      <c r="F28" s="6">
        <f>Журнал323142628[[#This Row],[Календарные дни]]-Журнал323142628[[#This Row],[Праздничные дни]]</f>
        <v>0</v>
      </c>
      <c r="G28" s="67">
        <f t="shared" si="0"/>
        <v>44440</v>
      </c>
      <c r="H28" s="66">
        <f t="shared" si="2"/>
        <v>44805</v>
      </c>
      <c r="I28" s="12"/>
      <c r="J28" s="46" t="str">
        <f>IF(TRUNC(SUM(F$14:F28)/$H$6)&gt;TRUNC(SUM(F$14:F27)/$H$6),"Период закрыт","")</f>
        <v/>
      </c>
      <c r="K28" s="47"/>
    </row>
    <row r="29" spans="1:15" x14ac:dyDescent="0.3">
      <c r="A29" s="48"/>
      <c r="B29" s="4"/>
      <c r="C29" s="4"/>
      <c r="D29" s="5"/>
      <c r="E29" s="5"/>
      <c r="F29" s="6"/>
      <c r="G29" s="67"/>
      <c r="H29" s="67"/>
      <c r="I29" s="71"/>
      <c r="J29" s="46" t="str">
        <f>IF(TRUNC(SUM(F$14:F29)/$H$6)&gt;TRUNC(SUM(F$14:F28)/$H$6),"Период закрыт","")</f>
        <v/>
      </c>
      <c r="K29" s="47"/>
    </row>
    <row r="30" spans="1:15" x14ac:dyDescent="0.3">
      <c r="A30" s="48"/>
      <c r="B30" s="4"/>
      <c r="C30" s="4"/>
      <c r="D30" s="5"/>
      <c r="E30" s="5"/>
      <c r="F30" s="6"/>
      <c r="G30" s="67"/>
      <c r="H30" s="67"/>
      <c r="I30" s="71"/>
      <c r="J30" s="46" t="str">
        <f>IF(TRUNC(SUM(F$14:F30)/$H$6)&gt;TRUNC(SUM(F$14:F29)/$H$6),"Период закрыт","")</f>
        <v/>
      </c>
      <c r="K30" s="47"/>
    </row>
    <row r="31" spans="1:15" x14ac:dyDescent="0.3">
      <c r="A31" s="48"/>
      <c r="B31" s="4"/>
      <c r="C31" s="4"/>
      <c r="D31" s="6"/>
      <c r="E31" s="5"/>
      <c r="F31" s="6"/>
      <c r="G31" s="67"/>
      <c r="H31" s="67"/>
      <c r="I31" s="71"/>
      <c r="J31" s="46" t="str">
        <f>IF(TRUNC(SUM(F$14:F31)/$H$6)&gt;TRUNC(SUM(F$14:F30)/$H$6),"Период закрыт","")</f>
        <v/>
      </c>
      <c r="K31" s="47"/>
    </row>
    <row r="32" spans="1:15" x14ac:dyDescent="0.3">
      <c r="A32" s="48"/>
      <c r="B32" s="4"/>
      <c r="C32" s="4"/>
      <c r="D32" s="6"/>
      <c r="E32" s="5"/>
      <c r="F32" s="6"/>
      <c r="G32" s="67"/>
      <c r="H32" s="67"/>
      <c r="I32" s="71"/>
      <c r="J32" s="46" t="str">
        <f>IF(TRUNC(SUM(F$14:F32)/$H$6)&gt;TRUNC(SUM(F$14:F31)/$H$6),"Период закрыт","")</f>
        <v/>
      </c>
      <c r="K32" s="47"/>
    </row>
    <row r="33" spans="1:11" x14ac:dyDescent="0.3">
      <c r="A33" s="48"/>
      <c r="B33" s="4"/>
      <c r="C33" s="4"/>
      <c r="D33" s="6"/>
      <c r="E33" s="5"/>
      <c r="F33" s="6"/>
      <c r="G33" s="67"/>
      <c r="H33" s="67"/>
      <c r="I33" s="71"/>
      <c r="J33" s="46" t="str">
        <f>IF(TRUNC(SUM(F$14:F33)/$H$6)&gt;TRUNC(SUM(F$14:F32)/$H$6),"Период закрыт","")</f>
        <v/>
      </c>
      <c r="K33" s="47"/>
    </row>
    <row r="34" spans="1:11" x14ac:dyDescent="0.3">
      <c r="A34" s="48"/>
      <c r="B34" s="4"/>
      <c r="C34" s="4"/>
      <c r="D34" s="6"/>
      <c r="E34" s="5"/>
      <c r="F34" s="6"/>
      <c r="G34" s="67"/>
      <c r="H34" s="67"/>
      <c r="I34" s="71"/>
      <c r="J34" s="46" t="str">
        <f>IF(TRUNC(SUM(F$14:F34)/$H$6)&gt;TRUNC(SUM(F$14:F33)/$H$6),"Период закрыт","")</f>
        <v/>
      </c>
      <c r="K34" s="47"/>
    </row>
    <row r="35" spans="1:11" x14ac:dyDescent="0.3">
      <c r="G35" s="3"/>
      <c r="H35" s="4"/>
      <c r="J35" s="22"/>
      <c r="K35" s="22"/>
    </row>
    <row r="36" spans="1:11" x14ac:dyDescent="0.3">
      <c r="G36" s="3"/>
      <c r="H36" s="4"/>
      <c r="J36" s="22"/>
      <c r="K36" s="22"/>
    </row>
    <row r="37" spans="1:11" s="1" customFormat="1" ht="24.75" thickBot="1" x14ac:dyDescent="0.5">
      <c r="A37" s="48"/>
      <c r="B37" s="1" t="s">
        <v>39</v>
      </c>
      <c r="I37" s="64"/>
      <c r="J37" s="26"/>
      <c r="K37" s="26"/>
    </row>
    <row r="38" spans="1:11" ht="9" customHeight="1" thickTop="1" x14ac:dyDescent="0.3">
      <c r="J38" s="22"/>
      <c r="K38" s="22"/>
    </row>
    <row r="39" spans="1:11" ht="34.5" customHeight="1" x14ac:dyDescent="0.3">
      <c r="B39" s="20" t="s">
        <v>1</v>
      </c>
      <c r="C39" s="20" t="s">
        <v>2</v>
      </c>
      <c r="D39" s="20" t="s">
        <v>5</v>
      </c>
      <c r="E39" s="20" t="s">
        <v>6</v>
      </c>
      <c r="F39" s="21" t="s">
        <v>7</v>
      </c>
      <c r="G39" s="103" t="s">
        <v>8</v>
      </c>
      <c r="H39" s="104"/>
      <c r="I39" s="19" t="s">
        <v>15</v>
      </c>
      <c r="J39" s="30" t="s">
        <v>30</v>
      </c>
    </row>
    <row r="40" spans="1:11" x14ac:dyDescent="0.3">
      <c r="B40" s="4"/>
      <c r="C40" s="4"/>
      <c r="D40" s="5">
        <f>Журнал3245212633[[#This Row],[Конец]]-Журнал3245212633[[#This Row],[Начало]]+1</f>
        <v>1</v>
      </c>
      <c r="E40" s="5"/>
      <c r="F40" s="5">
        <f>Журнал3245212633[[#This Row],[Календарные дни]]-Журнал3245212633[[#This Row],[Праздничные дни]]</f>
        <v>1</v>
      </c>
      <c r="G40" s="4"/>
      <c r="H40" s="66">
        <f>G40+364</f>
        <v>364</v>
      </c>
      <c r="I40" s="12"/>
      <c r="J40" s="46" t="s">
        <v>20</v>
      </c>
    </row>
    <row r="41" spans="1:11" x14ac:dyDescent="0.3">
      <c r="B41" s="4"/>
      <c r="C41" s="4"/>
      <c r="D41" s="5">
        <f>Журнал3245212633[[#This Row],[Конец]]-Журнал3245212633[[#This Row],[Начало]]+1</f>
        <v>1</v>
      </c>
      <c r="E41" s="5"/>
      <c r="F41" s="5">
        <f>Журнал3245212633[[#This Row],[Календарные дни]]-Журнал3245212633[[#This Row],[Праздничные дни]]</f>
        <v>1</v>
      </c>
      <c r="G41" s="4"/>
      <c r="H41" s="67">
        <f t="shared" ref="H41:H43" si="3">G41+364</f>
        <v>364</v>
      </c>
      <c r="I41" s="12"/>
      <c r="J41" s="46" t="s">
        <v>20</v>
      </c>
    </row>
    <row r="42" spans="1:11" x14ac:dyDescent="0.3">
      <c r="B42" s="4"/>
      <c r="C42" s="4"/>
      <c r="D42" s="5">
        <f>Журнал3245212633[[#This Row],[Конец]]-Журнал3245212633[[#This Row],[Начало]]+1</f>
        <v>1</v>
      </c>
      <c r="E42" s="5"/>
      <c r="F42" s="5">
        <f>Журнал3245212633[[#This Row],[Календарные дни]]-Журнал3245212633[[#This Row],[Праздничные дни]]</f>
        <v>1</v>
      </c>
      <c r="G42" s="4"/>
      <c r="H42" s="67">
        <f t="shared" si="3"/>
        <v>364</v>
      </c>
      <c r="I42" s="27"/>
      <c r="J42" s="46" t="s">
        <v>20</v>
      </c>
    </row>
    <row r="43" spans="1:11" x14ac:dyDescent="0.3">
      <c r="B43" s="4"/>
      <c r="C43" s="4"/>
      <c r="D43" s="6">
        <f>Журнал3245212633[[#This Row],[Конец]]-Журнал3245212633[[#This Row],[Начало]]+1</f>
        <v>1</v>
      </c>
      <c r="E43" s="5"/>
      <c r="F43" s="6">
        <f>Журнал3245212633[[#This Row],[Календарные дни]]-Журнал3245212633[[#This Row],[Праздничные дни]]</f>
        <v>1</v>
      </c>
      <c r="G43" s="3"/>
      <c r="H43" s="67">
        <f t="shared" si="3"/>
        <v>364</v>
      </c>
      <c r="I43" s="27"/>
      <c r="J43" s="46" t="s">
        <v>20</v>
      </c>
      <c r="K43" s="22"/>
    </row>
    <row r="44" spans="1:11" x14ac:dyDescent="0.3">
      <c r="G44" s="3"/>
      <c r="H44" s="4"/>
      <c r="J44" s="22"/>
      <c r="K44" s="22"/>
    </row>
    <row r="45" spans="1:11" x14ac:dyDescent="0.3">
      <c r="G45" s="3"/>
      <c r="H45" s="4"/>
      <c r="J45" s="22"/>
      <c r="K45" s="22"/>
    </row>
    <row r="46" spans="1:11" s="1" customFormat="1" ht="24.75" thickBot="1" x14ac:dyDescent="0.5">
      <c r="A46" s="13"/>
      <c r="B46" s="1" t="s">
        <v>22</v>
      </c>
      <c r="E46" s="26"/>
      <c r="F46" s="26"/>
      <c r="I46" s="64"/>
    </row>
    <row r="47" spans="1:11" ht="9" customHeight="1" thickTop="1" x14ac:dyDescent="0.3">
      <c r="E47" s="22"/>
      <c r="F47" s="22"/>
    </row>
    <row r="48" spans="1:11" ht="34.5" customHeight="1" x14ac:dyDescent="0.3">
      <c r="B48" s="20" t="s">
        <v>1</v>
      </c>
      <c r="C48" s="20" t="s">
        <v>2</v>
      </c>
      <c r="D48" s="20" t="s">
        <v>5</v>
      </c>
      <c r="E48" s="19" t="s">
        <v>15</v>
      </c>
      <c r="F48" s="30" t="s">
        <v>31</v>
      </c>
    </row>
    <row r="49" spans="1:13" x14ac:dyDescent="0.3">
      <c r="B49" s="4">
        <v>41353</v>
      </c>
      <c r="C49" s="4">
        <v>41377</v>
      </c>
      <c r="D49" s="6">
        <f>Журнал3245212324353854222734[[#This Row],[Конец]]-Журнал3245212324353854222734[[#This Row],[Начало]]+1</f>
        <v>25</v>
      </c>
      <c r="E49" s="41"/>
      <c r="F49" s="43"/>
    </row>
    <row r="50" spans="1:13" x14ac:dyDescent="0.3">
      <c r="B50" s="4">
        <v>41739</v>
      </c>
      <c r="C50" s="4">
        <v>41763</v>
      </c>
      <c r="D50" s="5">
        <f>Журнал3245212324353854222734[[#This Row],[Конец]]-Журнал3245212324353854222734[[#This Row],[Начало]]+1</f>
        <v>25</v>
      </c>
      <c r="E50" s="4"/>
      <c r="F50" s="43"/>
    </row>
    <row r="51" spans="1:13" x14ac:dyDescent="0.3">
      <c r="B51" s="4"/>
      <c r="C51" s="4"/>
      <c r="D51" s="5">
        <f>Журнал3245212324353854222734[[#This Row],[Конец]]-Журнал3245212324353854222734[[#This Row],[Начало]]+1</f>
        <v>1</v>
      </c>
      <c r="E51" s="4"/>
      <c r="F51" s="43"/>
    </row>
    <row r="52" spans="1:13" x14ac:dyDescent="0.3">
      <c r="B52" s="4"/>
      <c r="C52" s="4"/>
      <c r="D52" s="6">
        <f>Журнал3245212324353854222734[[#This Row],[Конец]]-Журнал3245212324353854222734[[#This Row],[Начало]]+1</f>
        <v>1</v>
      </c>
      <c r="E52" s="5"/>
      <c r="F52" s="5"/>
      <c r="J52" s="22"/>
      <c r="K52" s="22"/>
    </row>
    <row r="53" spans="1:13" x14ac:dyDescent="0.3">
      <c r="G53" s="3"/>
      <c r="H53" s="4"/>
      <c r="J53" s="22"/>
      <c r="K53" s="22"/>
    </row>
    <row r="54" spans="1:13" x14ac:dyDescent="0.3">
      <c r="G54" s="3"/>
      <c r="H54" s="4"/>
      <c r="J54" s="22"/>
      <c r="K54" s="22"/>
    </row>
    <row r="55" spans="1:13" s="1" customFormat="1" ht="24.75" thickBot="1" x14ac:dyDescent="0.5">
      <c r="A55" s="13"/>
      <c r="B55" s="1" t="s">
        <v>19</v>
      </c>
      <c r="G55" s="26"/>
      <c r="H55" s="26"/>
      <c r="I55" s="64"/>
      <c r="J55" s="26"/>
      <c r="K55" s="26"/>
    </row>
    <row r="56" spans="1:13" ht="9" customHeight="1" thickTop="1" x14ac:dyDescent="0.3">
      <c r="J56" s="22"/>
      <c r="K56" s="22"/>
    </row>
    <row r="57" spans="1:13" ht="34.5" customHeight="1" x14ac:dyDescent="0.3">
      <c r="B57" s="20" t="s">
        <v>1</v>
      </c>
      <c r="C57" s="20" t="s">
        <v>2</v>
      </c>
      <c r="D57" s="20" t="s">
        <v>5</v>
      </c>
      <c r="E57" s="20" t="s">
        <v>6</v>
      </c>
      <c r="F57" s="21" t="s">
        <v>7</v>
      </c>
      <c r="G57" s="103" t="s">
        <v>8</v>
      </c>
      <c r="H57" s="104"/>
      <c r="I57" s="19" t="s">
        <v>15</v>
      </c>
      <c r="J57" s="39" t="s">
        <v>23</v>
      </c>
      <c r="K57" s="39" t="s">
        <v>29</v>
      </c>
      <c r="L57" s="39" t="s">
        <v>28</v>
      </c>
    </row>
    <row r="58" spans="1:13" x14ac:dyDescent="0.3">
      <c r="B58" s="4">
        <v>41514</v>
      </c>
      <c r="C58" s="4">
        <v>41527</v>
      </c>
      <c r="D58" s="5">
        <f>Журнал32452123102330[[#This Row],[Конец]]-Журнал32452123102330[[#This Row],[Начало]]+1</f>
        <v>14</v>
      </c>
      <c r="E58" s="5"/>
      <c r="F58" s="5">
        <f>Журнал32452123102330[[#This Row],[Календарные дни]]-Журнал32452123102330[[#This Row],[Праздничные дни]]</f>
        <v>14</v>
      </c>
      <c r="G58" s="4">
        <v>41244</v>
      </c>
      <c r="H58" s="72">
        <f>G58+364</f>
        <v>41608</v>
      </c>
      <c r="I58" s="73"/>
      <c r="J58" s="74" t="s">
        <v>24</v>
      </c>
      <c r="K58" s="74"/>
      <c r="L58" s="75">
        <f>H58+K58</f>
        <v>41608</v>
      </c>
      <c r="M58" s="76"/>
    </row>
    <row r="59" spans="1:13" x14ac:dyDescent="0.3">
      <c r="B59" s="4">
        <v>41779</v>
      </c>
      <c r="C59" s="4">
        <v>41779</v>
      </c>
      <c r="D59" s="5">
        <f>Журнал32452123102330[[#This Row],[Конец]]-Журнал32452123102330[[#This Row],[Начало]]+1</f>
        <v>1</v>
      </c>
      <c r="E59" s="5"/>
      <c r="F59" s="5">
        <f>Журнал32452123102330[[#This Row],[Календарные дни]]-Журнал32452123102330[[#This Row],[Праздничные дни]]</f>
        <v>1</v>
      </c>
      <c r="G59" s="38">
        <v>41609</v>
      </c>
      <c r="H59" s="72">
        <f t="shared" ref="H59:H65" si="4">G59+364</f>
        <v>41973</v>
      </c>
      <c r="I59" s="73"/>
      <c r="J59" s="74" t="s">
        <v>24</v>
      </c>
      <c r="K59" s="74"/>
      <c r="L59" s="75">
        <f t="shared" ref="L59:L65" si="5">H59+K59</f>
        <v>41973</v>
      </c>
    </row>
    <row r="60" spans="1:13" x14ac:dyDescent="0.3">
      <c r="B60" s="4">
        <v>41913</v>
      </c>
      <c r="C60" s="4">
        <v>41915</v>
      </c>
      <c r="D60" s="5">
        <f>Журнал32452123102330[[#This Row],[Конец]]-Журнал32452123102330[[#This Row],[Начало]]+1</f>
        <v>3</v>
      </c>
      <c r="E60" s="5"/>
      <c r="F60" s="5">
        <f>Журнал32452123102330[[#This Row],[Календарные дни]]-Журнал32452123102330[[#This Row],[Праздничные дни]]</f>
        <v>3</v>
      </c>
      <c r="G60" s="4">
        <v>41609</v>
      </c>
      <c r="H60" s="72">
        <f t="shared" si="4"/>
        <v>41973</v>
      </c>
      <c r="I60" s="73"/>
      <c r="J60" s="74" t="s">
        <v>24</v>
      </c>
      <c r="K60" s="74"/>
      <c r="L60" s="75">
        <f t="shared" si="5"/>
        <v>41973</v>
      </c>
    </row>
    <row r="61" spans="1:13" x14ac:dyDescent="0.3">
      <c r="B61" s="4">
        <v>41970</v>
      </c>
      <c r="C61" s="4">
        <v>41971</v>
      </c>
      <c r="D61" s="6">
        <f>Журнал32452123102330[[#This Row],[Конец]]-Журнал32452123102330[[#This Row],[Начало]]+1</f>
        <v>2</v>
      </c>
      <c r="E61" s="5"/>
      <c r="F61" s="6">
        <f>Журнал32452123102330[[#This Row],[Календарные дни]]-Журнал32452123102330[[#This Row],[Праздничные дни]]</f>
        <v>2</v>
      </c>
      <c r="G61" s="3">
        <v>41609</v>
      </c>
      <c r="H61" s="90">
        <f t="shared" si="4"/>
        <v>41973</v>
      </c>
      <c r="I61" s="73"/>
      <c r="J61" s="74" t="s">
        <v>24</v>
      </c>
      <c r="K61" s="74"/>
      <c r="L61" s="75">
        <f t="shared" si="5"/>
        <v>41973</v>
      </c>
    </row>
    <row r="62" spans="1:13" x14ac:dyDescent="0.3">
      <c r="B62" s="4">
        <v>42191</v>
      </c>
      <c r="C62" s="4">
        <v>42193</v>
      </c>
      <c r="D62" s="6">
        <f>Журнал32452123102330[[#This Row],[Конец]]-Журнал32452123102330[[#This Row],[Начало]]+1</f>
        <v>3</v>
      </c>
      <c r="E62" s="5"/>
      <c r="F62" s="6">
        <f>Журнал32452123102330[[#This Row],[Календарные дни]]-Журнал32452123102330[[#This Row],[Праздничные дни]]</f>
        <v>3</v>
      </c>
      <c r="G62" s="40">
        <v>41974</v>
      </c>
      <c r="H62" s="72">
        <f t="shared" si="4"/>
        <v>42338</v>
      </c>
      <c r="I62" s="73"/>
      <c r="J62" s="74" t="s">
        <v>24</v>
      </c>
      <c r="K62" s="74"/>
      <c r="L62" s="75">
        <f t="shared" si="5"/>
        <v>42338</v>
      </c>
    </row>
    <row r="63" spans="1:13" x14ac:dyDescent="0.3">
      <c r="B63" s="4">
        <v>42268</v>
      </c>
      <c r="C63" s="4">
        <v>42271</v>
      </c>
      <c r="D63" s="6">
        <f>Журнал32452123102330[[#This Row],[Конец]]-Журнал32452123102330[[#This Row],[Начало]]+1</f>
        <v>4</v>
      </c>
      <c r="E63" s="5"/>
      <c r="F63" s="6">
        <f>Журнал32452123102330[[#This Row],[Календарные дни]]-Журнал32452123102330[[#This Row],[Праздничные дни]]</f>
        <v>4</v>
      </c>
      <c r="G63" s="3">
        <v>41974</v>
      </c>
      <c r="H63" s="72">
        <f t="shared" si="4"/>
        <v>42338</v>
      </c>
      <c r="I63" s="73"/>
      <c r="J63" s="74" t="s">
        <v>24</v>
      </c>
      <c r="K63" s="74"/>
      <c r="L63" s="75">
        <f t="shared" si="5"/>
        <v>42338</v>
      </c>
    </row>
    <row r="64" spans="1:13" x14ac:dyDescent="0.3">
      <c r="B64" s="4">
        <v>42333</v>
      </c>
      <c r="C64" s="4">
        <v>42335</v>
      </c>
      <c r="D64" s="6">
        <f>Журнал32452123102330[[#This Row],[Конец]]-Журнал32452123102330[[#This Row],[Начало]]+1</f>
        <v>3</v>
      </c>
      <c r="E64" s="5"/>
      <c r="F64" s="6">
        <f>Журнал32452123102330[[#This Row],[Календарные дни]]-Журнал32452123102330[[#This Row],[Праздничные дни]]</f>
        <v>3</v>
      </c>
      <c r="G64" s="3">
        <v>41974</v>
      </c>
      <c r="H64" s="90">
        <f t="shared" si="4"/>
        <v>42338</v>
      </c>
      <c r="I64" s="73"/>
      <c r="J64" s="77" t="s">
        <v>24</v>
      </c>
      <c r="K64" s="77"/>
      <c r="L64" s="75">
        <f t="shared" si="5"/>
        <v>42338</v>
      </c>
    </row>
    <row r="65" spans="1:13" x14ac:dyDescent="0.3">
      <c r="B65" s="4">
        <v>42345</v>
      </c>
      <c r="C65" s="4">
        <v>42346</v>
      </c>
      <c r="D65" s="6">
        <f>Журнал32452123102330[[#This Row],[Конец]]-Журнал32452123102330[[#This Row],[Начало]]+1</f>
        <v>2</v>
      </c>
      <c r="E65" s="5"/>
      <c r="F65" s="6">
        <f>Журнал32452123102330[[#This Row],[Календарные дни]]-Журнал32452123102330[[#This Row],[Праздничные дни]]</f>
        <v>2</v>
      </c>
      <c r="G65" s="40">
        <v>42339</v>
      </c>
      <c r="H65" s="72">
        <f t="shared" si="4"/>
        <v>42703</v>
      </c>
      <c r="I65" s="73"/>
      <c r="J65" s="77" t="s">
        <v>24</v>
      </c>
      <c r="K65" s="77"/>
      <c r="L65" s="75">
        <f t="shared" si="5"/>
        <v>42703</v>
      </c>
      <c r="M65" s="76"/>
    </row>
    <row r="66" spans="1:13" x14ac:dyDescent="0.3">
      <c r="J66" s="22"/>
      <c r="K66" s="22"/>
    </row>
    <row r="67" spans="1:13" x14ac:dyDescent="0.3">
      <c r="J67" s="22"/>
      <c r="K67" s="22"/>
    </row>
    <row r="68" spans="1:13" x14ac:dyDescent="0.3">
      <c r="J68" s="22"/>
      <c r="K68" s="22"/>
    </row>
    <row r="69" spans="1:13" s="1" customFormat="1" ht="24.75" thickBot="1" x14ac:dyDescent="0.5">
      <c r="A69" s="13"/>
      <c r="B69" s="1" t="s">
        <v>25</v>
      </c>
      <c r="F69" s="26"/>
      <c r="H69" s="26"/>
      <c r="I69" s="64"/>
    </row>
    <row r="70" spans="1:13" ht="9" customHeight="1" thickTop="1" x14ac:dyDescent="0.3">
      <c r="H70" s="22"/>
      <c r="I70" s="43"/>
    </row>
    <row r="71" spans="1:13" ht="34.5" customHeight="1" x14ac:dyDescent="0.3">
      <c r="B71" s="20" t="s">
        <v>1</v>
      </c>
      <c r="C71" s="20" t="s">
        <v>2</v>
      </c>
      <c r="D71" s="20" t="s">
        <v>5</v>
      </c>
      <c r="E71" s="19" t="s">
        <v>15</v>
      </c>
      <c r="F71" s="30" t="s">
        <v>31</v>
      </c>
      <c r="G71" s="22"/>
      <c r="H71" s="22"/>
      <c r="I71" s="43"/>
    </row>
    <row r="72" spans="1:13" x14ac:dyDescent="0.3">
      <c r="B72" s="4">
        <v>42478</v>
      </c>
      <c r="C72" s="4">
        <v>42617</v>
      </c>
      <c r="D72" s="6">
        <f>Журнал32452123242541445255192431[[#This Row],[Конец]]-Журнал32452123242541445255192431[[#This Row],[Начало]]+1</f>
        <v>140</v>
      </c>
      <c r="E72" s="41"/>
      <c r="F72" s="4"/>
      <c r="G72" s="22"/>
      <c r="H72" s="78"/>
      <c r="I72" s="79"/>
    </row>
    <row r="73" spans="1:13" x14ac:dyDescent="0.3">
      <c r="B73" s="4"/>
      <c r="C73" s="4"/>
      <c r="D73" s="5">
        <f>Журнал32452123242541445255192431[[#This Row],[Конец]]-Журнал32452123242541445255192431[[#This Row],[Начало]]+1</f>
        <v>1</v>
      </c>
      <c r="E73" s="4"/>
      <c r="F73" s="4"/>
      <c r="G73" s="12"/>
      <c r="H73" s="78"/>
      <c r="I73" s="43"/>
    </row>
    <row r="74" spans="1:13" x14ac:dyDescent="0.3">
      <c r="B74" s="4"/>
      <c r="C74" s="4"/>
      <c r="D74" s="5">
        <f>Журнал32452123242541445255192431[[#This Row],[Конец]]-Журнал32452123242541445255192431[[#This Row],[Начало]]+1</f>
        <v>1</v>
      </c>
      <c r="E74" s="4"/>
      <c r="F74" s="4"/>
      <c r="G74" s="27"/>
      <c r="H74" s="22"/>
      <c r="I74" s="43"/>
    </row>
    <row r="75" spans="1:13" x14ac:dyDescent="0.3">
      <c r="J75" s="22"/>
      <c r="K75" s="22"/>
    </row>
    <row r="76" spans="1:13" x14ac:dyDescent="0.3">
      <c r="J76" s="22"/>
      <c r="K76" s="22"/>
    </row>
    <row r="77" spans="1:13" s="1" customFormat="1" ht="24.75" thickBot="1" x14ac:dyDescent="0.5">
      <c r="A77" s="13"/>
      <c r="B77" s="1" t="s">
        <v>26</v>
      </c>
      <c r="E77" s="26"/>
      <c r="F77" s="26"/>
      <c r="H77" s="26"/>
      <c r="I77" s="80"/>
    </row>
    <row r="78" spans="1:13" ht="9" customHeight="1" thickTop="1" x14ac:dyDescent="0.3">
      <c r="H78" s="22"/>
      <c r="I78" s="43"/>
    </row>
    <row r="79" spans="1:13" ht="34.5" customHeight="1" x14ac:dyDescent="0.3">
      <c r="B79" s="20" t="s">
        <v>1</v>
      </c>
      <c r="C79" s="20" t="s">
        <v>2</v>
      </c>
      <c r="D79" s="20" t="s">
        <v>5</v>
      </c>
      <c r="E79" s="103" t="s">
        <v>40</v>
      </c>
      <c r="F79" s="104"/>
      <c r="G79" s="19" t="s">
        <v>15</v>
      </c>
      <c r="H79" s="39" t="s">
        <v>23</v>
      </c>
      <c r="I79" s="39" t="s">
        <v>29</v>
      </c>
      <c r="J79" s="39" t="s">
        <v>28</v>
      </c>
      <c r="K79" s="49" t="s">
        <v>31</v>
      </c>
    </row>
    <row r="80" spans="1:13" x14ac:dyDescent="0.3">
      <c r="B80" s="4">
        <v>42618</v>
      </c>
      <c r="C80" s="4">
        <v>43620</v>
      </c>
      <c r="D80" s="5">
        <f>Журнал324521232647505356202532[[#This Row],[Конец]]-Журнал324521232647505356202532[[#This Row],[Начало]]+1</f>
        <v>1003</v>
      </c>
      <c r="E80" s="4">
        <v>42339</v>
      </c>
      <c r="F80" s="67">
        <f>(E80+365)*(E80&gt;0)</f>
        <v>42704</v>
      </c>
      <c r="G80" s="12"/>
      <c r="H80" s="81" t="s">
        <v>27</v>
      </c>
      <c r="I80" s="82">
        <f>Журнал324521232647505356202532[[#This Row],[Календарные дни]]</f>
        <v>1003</v>
      </c>
      <c r="J80" s="83">
        <f>F80+I80</f>
        <v>43707</v>
      </c>
      <c r="K80" s="84"/>
    </row>
    <row r="81" spans="1:11" x14ac:dyDescent="0.3">
      <c r="B81" s="4"/>
      <c r="C81" s="4"/>
      <c r="D81" s="5"/>
      <c r="E81" s="67"/>
      <c r="F81" s="67">
        <f t="shared" ref="F81:F83" si="6">(E81+364)*(E81&gt;0)</f>
        <v>0</v>
      </c>
      <c r="G81" s="85"/>
      <c r="H81" s="86" t="s">
        <v>24</v>
      </c>
      <c r="I81" s="87">
        <f>Журнал324521232647505356202532[[#This Row],[Календарные дни]]</f>
        <v>0</v>
      </c>
      <c r="J81" s="88">
        <f t="shared" ref="J81:J83" si="7">F81+I81</f>
        <v>0</v>
      </c>
      <c r="K81" s="89"/>
    </row>
    <row r="82" spans="1:11" x14ac:dyDescent="0.3">
      <c r="B82" s="4"/>
      <c r="C82" s="4"/>
      <c r="D82" s="5"/>
      <c r="E82" s="67"/>
      <c r="F82" s="67">
        <f t="shared" si="6"/>
        <v>0</v>
      </c>
      <c r="G82" s="85"/>
      <c r="H82" s="86" t="s">
        <v>24</v>
      </c>
      <c r="I82" s="87">
        <f>Журнал324521232647505356202532[[#This Row],[Календарные дни]]</f>
        <v>0</v>
      </c>
      <c r="J82" s="88">
        <f t="shared" si="7"/>
        <v>0</v>
      </c>
      <c r="K82" s="89"/>
    </row>
    <row r="83" spans="1:11" x14ac:dyDescent="0.3">
      <c r="B83" s="4"/>
      <c r="C83" s="4"/>
      <c r="D83" s="5"/>
      <c r="E83" s="67"/>
      <c r="F83" s="67">
        <f t="shared" si="6"/>
        <v>0</v>
      </c>
      <c r="G83" s="85"/>
      <c r="H83" s="86" t="s">
        <v>24</v>
      </c>
      <c r="I83" s="87">
        <f>Журнал324521232647505356202532[[#This Row],[Календарные дни]]</f>
        <v>0</v>
      </c>
      <c r="J83" s="88">
        <f t="shared" si="7"/>
        <v>0</v>
      </c>
      <c r="K83" s="89"/>
    </row>
    <row r="84" spans="1:11" x14ac:dyDescent="0.3">
      <c r="J84" s="22"/>
      <c r="K84" s="22"/>
    </row>
    <row r="85" spans="1:11" x14ac:dyDescent="0.3">
      <c r="J85" s="22"/>
      <c r="K85" s="22"/>
    </row>
    <row r="86" spans="1:11" s="1" customFormat="1" ht="19.5" thickBot="1" x14ac:dyDescent="0.4">
      <c r="A86" s="13"/>
      <c r="B86" s="1" t="s">
        <v>32</v>
      </c>
      <c r="G86" s="26"/>
      <c r="I86" s="64"/>
    </row>
    <row r="87" spans="1:11" ht="9" customHeight="1" thickTop="1" x14ac:dyDescent="0.3"/>
    <row r="88" spans="1:11" ht="47.25" customHeight="1" x14ac:dyDescent="0.3">
      <c r="B88" s="51" t="s">
        <v>33</v>
      </c>
      <c r="C88" s="51" t="s">
        <v>34</v>
      </c>
      <c r="D88" s="51" t="s">
        <v>5</v>
      </c>
      <c r="E88" s="52" t="s">
        <v>23</v>
      </c>
      <c r="F88" s="52" t="s">
        <v>29</v>
      </c>
      <c r="G88" s="52" t="s">
        <v>28</v>
      </c>
      <c r="H88" s="52" t="s">
        <v>35</v>
      </c>
    </row>
    <row r="89" spans="1:11" x14ac:dyDescent="0.3">
      <c r="B89" s="4">
        <v>42339</v>
      </c>
      <c r="C89" s="67">
        <v>42704</v>
      </c>
      <c r="D89" s="5">
        <v>1003</v>
      </c>
      <c r="E89" s="44" t="s">
        <v>27</v>
      </c>
      <c r="F89" s="44">
        <v>1003</v>
      </c>
      <c r="G89" s="50">
        <f>Журнал324521232824673101241129[[#This Row],[Начало (должен быть)]]</f>
        <v>42339</v>
      </c>
      <c r="H89" s="53">
        <f>Журнал324521232824673101241129[[#This Row],[Конец (должен быть)]]+Журнал324521232824673101241129[[#This Row],[На сколько дней меняет период]]</f>
        <v>43707</v>
      </c>
    </row>
    <row r="90" spans="1:11" x14ac:dyDescent="0.3">
      <c r="B90" s="4"/>
      <c r="C90" s="4"/>
      <c r="D90" s="5">
        <f t="shared" ref="D90:D95" si="8">D81</f>
        <v>0</v>
      </c>
      <c r="E90" s="44" t="s">
        <v>24</v>
      </c>
      <c r="F90" s="44">
        <f>Журнал324521232824673101241129[[#This Row],[Календарные дни]]</f>
        <v>0</v>
      </c>
      <c r="G90" s="42">
        <f>Журнал324521232824673101241129[[#This Row],[Начало (должен быть)]]</f>
        <v>0</v>
      </c>
      <c r="H90" s="5">
        <f>Журнал324521232824673101241129[[#This Row],[Конец (должен быть)]]+Журнал324521232824673101241129[[#This Row],[На сколько дней меняет период]]</f>
        <v>0</v>
      </c>
    </row>
    <row r="91" spans="1:11" x14ac:dyDescent="0.3">
      <c r="B91" s="4"/>
      <c r="C91" s="4"/>
      <c r="D91" s="6">
        <f t="shared" si="8"/>
        <v>0</v>
      </c>
      <c r="E91" s="44" t="s">
        <v>24</v>
      </c>
      <c r="F91" s="44">
        <f>Журнал324521232824673101241129[[#This Row],[Календарные дни]]</f>
        <v>0</v>
      </c>
      <c r="G91" s="42">
        <f>Журнал324521232824673101241129[[#This Row],[Начало (должен быть)]]</f>
        <v>0</v>
      </c>
      <c r="H91" s="5">
        <f>Журнал324521232824673101241129[[#This Row],[Конец (должен быть)]]+Журнал324521232824673101241129[[#This Row],[На сколько дней меняет период]]</f>
        <v>0</v>
      </c>
    </row>
    <row r="92" spans="1:11" x14ac:dyDescent="0.3">
      <c r="B92" s="4"/>
      <c r="C92" s="4"/>
      <c r="D92" s="6">
        <f t="shared" si="8"/>
        <v>0</v>
      </c>
      <c r="E92" s="44" t="s">
        <v>24</v>
      </c>
      <c r="F92" s="44">
        <f>Журнал324521232824673101241129[[#This Row],[Календарные дни]]</f>
        <v>0</v>
      </c>
      <c r="G92" s="42">
        <f>Журнал324521232824673101241129[[#This Row],[Начало (должен быть)]]</f>
        <v>0</v>
      </c>
      <c r="H92" s="5">
        <f>Журнал324521232824673101241129[[#This Row],[Конец (должен быть)]]+Журнал324521232824673101241129[[#This Row],[На сколько дней меняет период]]</f>
        <v>0</v>
      </c>
    </row>
    <row r="93" spans="1:11" x14ac:dyDescent="0.3">
      <c r="B93" s="4"/>
      <c r="C93" s="4"/>
      <c r="D93" s="6">
        <f t="shared" si="8"/>
        <v>0</v>
      </c>
      <c r="E93" s="44" t="s">
        <v>24</v>
      </c>
      <c r="F93" s="44">
        <f>Журнал324521232824673101241129[[#This Row],[Календарные дни]]</f>
        <v>0</v>
      </c>
      <c r="G93" s="42">
        <f>Журнал324521232824673101241129[[#This Row],[Начало (должен быть)]]</f>
        <v>0</v>
      </c>
      <c r="H93" s="5">
        <f>Журнал324521232824673101241129[[#This Row],[Конец (должен быть)]]+Журнал324521232824673101241129[[#This Row],[На сколько дней меняет период]]</f>
        <v>0</v>
      </c>
    </row>
    <row r="94" spans="1:11" x14ac:dyDescent="0.3">
      <c r="B94" s="4"/>
      <c r="C94" s="4"/>
      <c r="D94" s="6">
        <f t="shared" si="8"/>
        <v>0</v>
      </c>
      <c r="E94" s="45" t="s">
        <v>24</v>
      </c>
      <c r="F94" s="45">
        <f>Журнал324521232824673101241129[[#This Row],[Календарные дни]]</f>
        <v>0</v>
      </c>
      <c r="G94" s="42">
        <f>Журнал324521232824673101241129[[#This Row],[Начало (должен быть)]]</f>
        <v>0</v>
      </c>
      <c r="H94" s="5">
        <f>Журнал324521232824673101241129[[#This Row],[Конец (должен быть)]]+Журнал324521232824673101241129[[#This Row],[На сколько дней меняет период]]</f>
        <v>0</v>
      </c>
    </row>
    <row r="95" spans="1:11" x14ac:dyDescent="0.3">
      <c r="B95" s="4"/>
      <c r="C95" s="4"/>
      <c r="D95" s="6">
        <f t="shared" si="8"/>
        <v>0</v>
      </c>
      <c r="E95" s="45" t="s">
        <v>24</v>
      </c>
      <c r="F95" s="45">
        <f>Журнал324521232824673101241129[[#This Row],[Календарные дни]]</f>
        <v>0</v>
      </c>
      <c r="G95" s="42">
        <f>Журнал324521232824673101241129[[#This Row],[Начало (должен быть)]]</f>
        <v>0</v>
      </c>
      <c r="H95" s="5">
        <f>Журнал324521232824673101241129[[#This Row],[Конец (должен быть)]]+Журнал324521232824673101241129[[#This Row],[На сколько дней меняет период]]</f>
        <v>0</v>
      </c>
    </row>
    <row r="97" spans="10:11" x14ac:dyDescent="0.3">
      <c r="J97" s="22"/>
      <c r="K97" s="22"/>
    </row>
    <row r="98" spans="10:11" x14ac:dyDescent="0.3">
      <c r="J98" s="22"/>
      <c r="K98" s="22"/>
    </row>
    <row r="99" spans="10:11" x14ac:dyDescent="0.3">
      <c r="J99" s="22"/>
      <c r="K99" s="22"/>
    </row>
    <row r="100" spans="10:11" x14ac:dyDescent="0.3">
      <c r="J100" s="22"/>
      <c r="K100" s="22"/>
    </row>
    <row r="101" spans="10:11" x14ac:dyDescent="0.3">
      <c r="J101" s="22"/>
      <c r="K101" s="22"/>
    </row>
    <row r="102" spans="10:11" x14ac:dyDescent="0.3">
      <c r="J102" s="22"/>
      <c r="K102" s="22"/>
    </row>
    <row r="103" spans="10:11" x14ac:dyDescent="0.3">
      <c r="J103" s="22"/>
      <c r="K103" s="22"/>
    </row>
    <row r="104" spans="10:11" x14ac:dyDescent="0.3">
      <c r="J104" s="22"/>
      <c r="K104" s="22"/>
    </row>
    <row r="105" spans="10:11" x14ac:dyDescent="0.3">
      <c r="J105" s="22"/>
      <c r="K105" s="22"/>
    </row>
    <row r="106" spans="10:11" x14ac:dyDescent="0.3">
      <c r="J106" s="22"/>
      <c r="K106" s="22"/>
    </row>
    <row r="107" spans="10:11" x14ac:dyDescent="0.3">
      <c r="J107" s="22"/>
      <c r="K107" s="22"/>
    </row>
    <row r="108" spans="10:11" x14ac:dyDescent="0.3">
      <c r="J108" s="22"/>
      <c r="K108" s="22"/>
    </row>
    <row r="109" spans="10:11" x14ac:dyDescent="0.3">
      <c r="J109" s="22"/>
      <c r="K109" s="22"/>
    </row>
    <row r="110" spans="10:11" x14ac:dyDescent="0.3">
      <c r="J110" s="22"/>
      <c r="K110" s="22"/>
    </row>
    <row r="111" spans="10:11" x14ac:dyDescent="0.3">
      <c r="J111" s="22"/>
      <c r="K111" s="22"/>
    </row>
    <row r="112" spans="10:11" x14ac:dyDescent="0.3">
      <c r="J112" s="22"/>
      <c r="K112" s="22"/>
    </row>
    <row r="113" spans="10:11" x14ac:dyDescent="0.3">
      <c r="J113" s="22"/>
      <c r="K113" s="22"/>
    </row>
    <row r="114" spans="10:11" x14ac:dyDescent="0.3">
      <c r="J114" s="22"/>
      <c r="K114" s="22"/>
    </row>
    <row r="115" spans="10:11" x14ac:dyDescent="0.3">
      <c r="J115" s="22"/>
      <c r="K115" s="22"/>
    </row>
    <row r="116" spans="10:11" x14ac:dyDescent="0.3">
      <c r="J116" s="22"/>
      <c r="K116" s="22"/>
    </row>
    <row r="117" spans="10:11" x14ac:dyDescent="0.3">
      <c r="J117" s="22"/>
      <c r="K117" s="22"/>
    </row>
    <row r="118" spans="10:11" x14ac:dyDescent="0.3">
      <c r="J118" s="22"/>
      <c r="K118" s="22"/>
    </row>
    <row r="119" spans="10:11" x14ac:dyDescent="0.3">
      <c r="J119" s="22"/>
      <c r="K119" s="22"/>
    </row>
    <row r="120" spans="10:11" x14ac:dyDescent="0.3">
      <c r="J120" s="22"/>
      <c r="K120" s="22"/>
    </row>
    <row r="121" spans="10:11" x14ac:dyDescent="0.3">
      <c r="J121" s="22"/>
      <c r="K121" s="22"/>
    </row>
    <row r="122" spans="10:11" x14ac:dyDescent="0.3">
      <c r="J122" s="22"/>
      <c r="K122" s="22"/>
    </row>
    <row r="123" spans="10:11" x14ac:dyDescent="0.3">
      <c r="J123" s="22"/>
      <c r="K123" s="22"/>
    </row>
    <row r="124" spans="10:11" x14ac:dyDescent="0.3">
      <c r="J124" s="22"/>
      <c r="K124" s="22"/>
    </row>
    <row r="125" spans="10:11" x14ac:dyDescent="0.3">
      <c r="J125" s="22"/>
      <c r="K125" s="22"/>
    </row>
    <row r="126" spans="10:11" x14ac:dyDescent="0.3">
      <c r="J126" s="22"/>
      <c r="K126" s="22"/>
    </row>
    <row r="127" spans="10:11" x14ac:dyDescent="0.3">
      <c r="J127" s="22"/>
      <c r="K127" s="22"/>
    </row>
    <row r="128" spans="10:11" x14ac:dyDescent="0.3">
      <c r="J128" s="22"/>
      <c r="K128" s="22"/>
    </row>
    <row r="129" spans="10:11" x14ac:dyDescent="0.3">
      <c r="J129" s="22"/>
      <c r="K129" s="22"/>
    </row>
    <row r="130" spans="10:11" x14ac:dyDescent="0.3">
      <c r="J130" s="22"/>
      <c r="K130" s="22"/>
    </row>
    <row r="131" spans="10:11" x14ac:dyDescent="0.3">
      <c r="J131" s="22"/>
      <c r="K131" s="22"/>
    </row>
    <row r="132" spans="10:11" x14ac:dyDescent="0.3">
      <c r="J132" s="22"/>
      <c r="K132" s="22"/>
    </row>
    <row r="133" spans="10:11" x14ac:dyDescent="0.3">
      <c r="J133" s="22"/>
      <c r="K133" s="22"/>
    </row>
    <row r="134" spans="10:11" x14ac:dyDescent="0.3">
      <c r="J134" s="22"/>
      <c r="K134" s="22"/>
    </row>
    <row r="135" spans="10:11" x14ac:dyDescent="0.3">
      <c r="J135" s="22"/>
      <c r="K135" s="22"/>
    </row>
    <row r="136" spans="10:11" x14ac:dyDescent="0.3">
      <c r="J136" s="22"/>
      <c r="K136" s="22"/>
    </row>
    <row r="137" spans="10:11" x14ac:dyDescent="0.3">
      <c r="J137" s="22"/>
      <c r="K137" s="22"/>
    </row>
    <row r="138" spans="10:11" x14ac:dyDescent="0.3">
      <c r="J138" s="22"/>
      <c r="K138" s="22"/>
    </row>
    <row r="139" spans="10:11" x14ac:dyDescent="0.3">
      <c r="J139" s="22"/>
      <c r="K139" s="22"/>
    </row>
    <row r="140" spans="10:11" x14ac:dyDescent="0.3">
      <c r="J140" s="22"/>
      <c r="K140" s="22"/>
    </row>
    <row r="141" spans="10:11" x14ac:dyDescent="0.3">
      <c r="J141" s="22"/>
      <c r="K141" s="22"/>
    </row>
    <row r="142" spans="10:11" x14ac:dyDescent="0.3">
      <c r="J142" s="22"/>
      <c r="K142" s="22"/>
    </row>
    <row r="143" spans="10:11" x14ac:dyDescent="0.3">
      <c r="J143" s="22"/>
      <c r="K143" s="22"/>
    </row>
    <row r="144" spans="10:11" x14ac:dyDescent="0.3">
      <c r="J144" s="22"/>
      <c r="K144" s="22"/>
    </row>
    <row r="145" spans="10:11" x14ac:dyDescent="0.3">
      <c r="J145" s="22"/>
      <c r="K145" s="22"/>
    </row>
    <row r="146" spans="10:11" x14ac:dyDescent="0.3">
      <c r="J146" s="22"/>
      <c r="K146" s="22"/>
    </row>
    <row r="147" spans="10:11" x14ac:dyDescent="0.3">
      <c r="J147" s="22"/>
      <c r="K147" s="22"/>
    </row>
    <row r="148" spans="10:11" x14ac:dyDescent="0.3">
      <c r="J148" s="22"/>
      <c r="K148" s="22"/>
    </row>
    <row r="149" spans="10:11" x14ac:dyDescent="0.3">
      <c r="J149" s="22"/>
      <c r="K149" s="22"/>
    </row>
    <row r="150" spans="10:11" x14ac:dyDescent="0.3">
      <c r="J150" s="22"/>
      <c r="K150" s="22"/>
    </row>
    <row r="151" spans="10:11" x14ac:dyDescent="0.3">
      <c r="J151" s="22"/>
      <c r="K151" s="22"/>
    </row>
    <row r="152" spans="10:11" x14ac:dyDescent="0.3">
      <c r="J152" s="22"/>
      <c r="K152" s="22"/>
    </row>
    <row r="153" spans="10:11" x14ac:dyDescent="0.3">
      <c r="J153" s="22"/>
      <c r="K153" s="22"/>
    </row>
    <row r="154" spans="10:11" x14ac:dyDescent="0.3">
      <c r="J154" s="22"/>
      <c r="K154" s="22"/>
    </row>
    <row r="155" spans="10:11" x14ac:dyDescent="0.3">
      <c r="J155" s="22"/>
      <c r="K155" s="22"/>
    </row>
    <row r="156" spans="10:11" x14ac:dyDescent="0.3">
      <c r="J156" s="22"/>
      <c r="K156" s="22"/>
    </row>
    <row r="157" spans="10:11" x14ac:dyDescent="0.3">
      <c r="J157" s="22"/>
      <c r="K157" s="22"/>
    </row>
    <row r="158" spans="10:11" x14ac:dyDescent="0.3">
      <c r="J158" s="22"/>
      <c r="K158" s="22"/>
    </row>
    <row r="159" spans="10:11" x14ac:dyDescent="0.3">
      <c r="J159" s="22"/>
      <c r="K159" s="22"/>
    </row>
    <row r="160" spans="10:11" x14ac:dyDescent="0.3">
      <c r="J160" s="22"/>
      <c r="K160" s="22"/>
    </row>
    <row r="161" spans="10:11" x14ac:dyDescent="0.3">
      <c r="J161" s="22"/>
      <c r="K161" s="22"/>
    </row>
    <row r="162" spans="10:11" x14ac:dyDescent="0.3">
      <c r="J162" s="22"/>
      <c r="K162" s="22"/>
    </row>
    <row r="163" spans="10:11" x14ac:dyDescent="0.3">
      <c r="J163" s="22"/>
      <c r="K163" s="22"/>
    </row>
    <row r="164" spans="10:11" x14ac:dyDescent="0.3">
      <c r="J164" s="22"/>
      <c r="K164" s="22"/>
    </row>
    <row r="165" spans="10:11" x14ac:dyDescent="0.3">
      <c r="J165" s="22"/>
      <c r="K165" s="22"/>
    </row>
    <row r="166" spans="10:11" x14ac:dyDescent="0.3">
      <c r="J166" s="22"/>
      <c r="K166" s="22"/>
    </row>
    <row r="167" spans="10:11" x14ac:dyDescent="0.3">
      <c r="J167" s="22"/>
      <c r="K167" s="22"/>
    </row>
    <row r="168" spans="10:11" x14ac:dyDescent="0.3">
      <c r="J168" s="22"/>
      <c r="K168" s="22"/>
    </row>
    <row r="169" spans="10:11" x14ac:dyDescent="0.3">
      <c r="J169" s="22"/>
      <c r="K169" s="22"/>
    </row>
    <row r="170" spans="10:11" x14ac:dyDescent="0.3">
      <c r="J170" s="22"/>
      <c r="K170" s="22"/>
    </row>
    <row r="171" spans="10:11" x14ac:dyDescent="0.3">
      <c r="J171" s="22"/>
      <c r="K171" s="22"/>
    </row>
    <row r="172" spans="10:11" x14ac:dyDescent="0.3">
      <c r="J172" s="22"/>
      <c r="K172" s="22"/>
    </row>
    <row r="173" spans="10:11" x14ac:dyDescent="0.3">
      <c r="J173" s="22"/>
      <c r="K173" s="22"/>
    </row>
    <row r="174" spans="10:11" x14ac:dyDescent="0.3">
      <c r="J174" s="22"/>
      <c r="K174" s="22"/>
    </row>
    <row r="175" spans="10:11" x14ac:dyDescent="0.3">
      <c r="J175" s="22"/>
      <c r="K175" s="22"/>
    </row>
    <row r="176" spans="10:11" x14ac:dyDescent="0.3">
      <c r="J176" s="22"/>
      <c r="K176" s="22"/>
    </row>
    <row r="177" spans="10:11" x14ac:dyDescent="0.3">
      <c r="J177" s="22"/>
      <c r="K177" s="22"/>
    </row>
    <row r="178" spans="10:11" x14ac:dyDescent="0.3">
      <c r="J178" s="22"/>
      <c r="K178" s="22"/>
    </row>
    <row r="179" spans="10:11" x14ac:dyDescent="0.3">
      <c r="J179" s="22"/>
      <c r="K179" s="22"/>
    </row>
    <row r="180" spans="10:11" x14ac:dyDescent="0.3">
      <c r="J180" s="22"/>
      <c r="K180" s="22"/>
    </row>
    <row r="181" spans="10:11" x14ac:dyDescent="0.3">
      <c r="J181" s="22"/>
      <c r="K181" s="22"/>
    </row>
  </sheetData>
  <mergeCells count="16">
    <mergeCell ref="G39:H39"/>
    <mergeCell ref="G57:H57"/>
    <mergeCell ref="E79:F79"/>
    <mergeCell ref="F3:J3"/>
    <mergeCell ref="B1:F1"/>
    <mergeCell ref="H1:K1"/>
    <mergeCell ref="G5:J5"/>
    <mergeCell ref="K5:M5"/>
    <mergeCell ref="I6:J6"/>
    <mergeCell ref="K6:M11"/>
    <mergeCell ref="I7:J7"/>
    <mergeCell ref="B9:C9"/>
    <mergeCell ref="L24:O25"/>
    <mergeCell ref="O11:P11"/>
    <mergeCell ref="G14:H14"/>
    <mergeCell ref="F7:F10"/>
  </mergeCells>
  <conditionalFormatting sqref="G15:G34">
    <cfRule type="expression" dxfId="88" priority="45">
      <formula>TRUNC(SUM(F$14:F14)/28)&gt;TRUNC(SUM(F13:F$14)/28)-ISTEXT(F14)</formula>
    </cfRule>
  </conditionalFormatting>
  <conditionalFormatting sqref="J35:K36 J66:K68 J97:K133 J85:K85 J44:K45 J53:K54">
    <cfRule type="notContainsBlanks" dxfId="87" priority="44">
      <formula>LEN(TRIM(J35))&gt;0</formula>
    </cfRule>
  </conditionalFormatting>
  <conditionalFormatting sqref="G15:G34">
    <cfRule type="expression" priority="43">
      <formula>TRUNC(SUM(F$14:F15)/28)&gt;TRUNC(SUM(F$14:F14)/28)</formula>
    </cfRule>
  </conditionalFormatting>
  <conditionalFormatting sqref="H66:H68">
    <cfRule type="expression" priority="46">
      <formula>TRUNC(SUM(F$14:F23)/28)&gt;TRUNC(SUM(F$14:F22)/28)</formula>
    </cfRule>
  </conditionalFormatting>
  <conditionalFormatting sqref="H15:H23 H26:H28">
    <cfRule type="expression" dxfId="86" priority="42">
      <formula>TRUNC(SUM(F$14:F15)/28)&gt;TRUNC(SUM(F$14:F14)/28)</formula>
    </cfRule>
  </conditionalFormatting>
  <conditionalFormatting sqref="H15:H23 H26:H28">
    <cfRule type="expression" priority="41">
      <formula>TRUNC(SUM(G$14:G15)/28)&gt;TRUNC(SUM(G$14:G14)/28)</formula>
    </cfRule>
  </conditionalFormatting>
  <conditionalFormatting sqref="H29:H36">
    <cfRule type="expression" dxfId="85" priority="40">
      <formula>TRUNC(SUM(F$15:F29)/28)&gt;TRUNC(SUM(F$15:F28)/28)</formula>
    </cfRule>
  </conditionalFormatting>
  <conditionalFormatting sqref="G35:G36">
    <cfRule type="expression" dxfId="84" priority="39">
      <formula>TRUNC(SUM(F$15:F34)/28)&gt;TRUNC(SUM(F$15:F33)/28)-ISTEXT(F34)</formula>
    </cfRule>
  </conditionalFormatting>
  <conditionalFormatting sqref="G35:H36 H29:H34">
    <cfRule type="expression" priority="38">
      <formula>TRUNC(SUM(F$15:F29)/28)&gt;TRUNC(SUM(F$15:F28)/28)</formula>
    </cfRule>
  </conditionalFormatting>
  <conditionalFormatting sqref="H53:H54">
    <cfRule type="expression" dxfId="83" priority="47">
      <formula>TRUNC(SUM(F$15:F53)/28)&gt;TRUNC(SUM(F$15:F35)/28)</formula>
    </cfRule>
  </conditionalFormatting>
  <conditionalFormatting sqref="G53:G54">
    <cfRule type="expression" dxfId="82" priority="48">
      <formula>TRUNC(SUM(F$15:F35)/28)&gt;TRUNC(SUM(F$15:F34)/28)-ISTEXT(F35)</formula>
    </cfRule>
  </conditionalFormatting>
  <conditionalFormatting sqref="G53:H54">
    <cfRule type="expression" priority="49">
      <formula>TRUNC(SUM(F$15:F53)/28)&gt;TRUNC(SUM(F$15:F35)/28)</formula>
    </cfRule>
  </conditionalFormatting>
  <conditionalFormatting sqref="J15:J34">
    <cfRule type="notContainsBlanks" dxfId="81" priority="37" stopIfTrue="1">
      <formula>LEN(TRIM(J15))&gt;0</formula>
    </cfRule>
  </conditionalFormatting>
  <conditionalFormatting sqref="J15:J34">
    <cfRule type="notContainsBlanks" dxfId="80" priority="35">
      <formula>LEN(TRIM(J15))&gt;0</formula>
    </cfRule>
  </conditionalFormatting>
  <conditionalFormatting sqref="K15:K34">
    <cfRule type="cellIs" dxfId="79" priority="34" operator="equal">
      <formula>0</formula>
    </cfRule>
  </conditionalFormatting>
  <conditionalFormatting sqref="J75:K76">
    <cfRule type="notContainsBlanks" dxfId="78" priority="32">
      <formula>LEN(TRIM(J75))&gt;0</formula>
    </cfRule>
  </conditionalFormatting>
  <conditionalFormatting sqref="H75:H76">
    <cfRule type="expression" priority="33">
      <formula>TRUNC(SUM(F$14:F26)/28)&gt;TRUNC(SUM(F$14:F25)/28)</formula>
    </cfRule>
  </conditionalFormatting>
  <conditionalFormatting sqref="J84:K84">
    <cfRule type="notContainsBlanks" dxfId="77" priority="31">
      <formula>LEN(TRIM(J84))&gt;0</formula>
    </cfRule>
  </conditionalFormatting>
  <conditionalFormatting sqref="F89:F95">
    <cfRule type="cellIs" dxfId="76" priority="26" operator="greaterThan">
      <formula>0.1</formula>
    </cfRule>
    <cfRule type="cellIs" priority="27" operator="greaterThan">
      <formula>0.1</formula>
    </cfRule>
  </conditionalFormatting>
  <conditionalFormatting sqref="E89">
    <cfRule type="containsText" dxfId="75" priority="25" operator="containsText" text="Да">
      <formula>NOT(ISERROR(SEARCH("Да",E89)))</formula>
    </cfRule>
  </conditionalFormatting>
  <conditionalFormatting sqref="G89:H89">
    <cfRule type="uniqueValues" dxfId="74" priority="24"/>
  </conditionalFormatting>
  <conditionalFormatting sqref="G86">
    <cfRule type="notContainsBlanks" dxfId="73" priority="29">
      <formula>LEN(TRIM(#REF!))&gt;0</formula>
    </cfRule>
  </conditionalFormatting>
  <conditionalFormatting sqref="E89:E95">
    <cfRule type="containsText" dxfId="72" priority="28" operator="containsText" text="Да">
      <formula>NOT(ISERROR(SEARCH("Да",#REF!)))</formula>
    </cfRule>
  </conditionalFormatting>
  <conditionalFormatting sqref="G89:G95">
    <cfRule type="cellIs" dxfId="71" priority="30" operator="notEqual">
      <formula>#REF!</formula>
    </cfRule>
  </conditionalFormatting>
  <conditionalFormatting sqref="J55:K56">
    <cfRule type="notContainsBlanks" dxfId="70" priority="21">
      <formula>LEN(TRIM(J55))&gt;0</formula>
    </cfRule>
  </conditionalFormatting>
  <conditionalFormatting sqref="H62:H63">
    <cfRule type="expression" priority="22">
      <formula>TRUNC(SUM(F$14:F19)/28)&gt;TRUNC(SUM(F$14:F18)/28)</formula>
    </cfRule>
  </conditionalFormatting>
  <conditionalFormatting sqref="H64:H65">
    <cfRule type="expression" priority="23">
      <formula>TRUNC(SUM(F$14:F20)/28)&gt;TRUNC(SUM(F$14:F19)/28)</formula>
    </cfRule>
  </conditionalFormatting>
  <conditionalFormatting sqref="G55:H55">
    <cfRule type="notContainsBlanks" dxfId="69" priority="20">
      <formula>LEN(TRIM(G55))&gt;0</formula>
    </cfRule>
  </conditionalFormatting>
  <conditionalFormatting sqref="J58:J65">
    <cfRule type="containsText" dxfId="68" priority="19" operator="containsText" text="Да">
      <formula>NOT(ISERROR(SEARCH("Да",J58)))</formula>
    </cfRule>
  </conditionalFormatting>
  <conditionalFormatting sqref="K58:K65">
    <cfRule type="cellIs" dxfId="67" priority="17" operator="greaterThan">
      <formula>0.1</formula>
    </cfRule>
    <cfRule type="cellIs" priority="18" operator="greaterThan">
      <formula>0.1</formula>
    </cfRule>
  </conditionalFormatting>
  <conditionalFormatting sqref="L58:L65">
    <cfRule type="cellIs" dxfId="66" priority="16" operator="notEqual">
      <formula>$H58</formula>
    </cfRule>
  </conditionalFormatting>
  <conditionalFormatting sqref="F69 H70:I74 G71:G72 H69">
    <cfRule type="notContainsBlanks" dxfId="65" priority="15">
      <formula>LEN(TRIM(#REF!))&gt;0</formula>
    </cfRule>
  </conditionalFormatting>
  <conditionalFormatting sqref="H80:H83">
    <cfRule type="containsText" dxfId="64" priority="7" operator="containsText" text="да">
      <formula>NOT(ISERROR(SEARCH("да",H80)))</formula>
    </cfRule>
  </conditionalFormatting>
  <conditionalFormatting sqref="I80:I83">
    <cfRule type="cellIs" dxfId="63" priority="11" operator="greaterThan">
      <formula>0.01</formula>
    </cfRule>
  </conditionalFormatting>
  <conditionalFormatting sqref="J80:J83">
    <cfRule type="uniqueValues" dxfId="62" priority="10"/>
  </conditionalFormatting>
  <conditionalFormatting sqref="H77:I78 E77:F77">
    <cfRule type="notContainsBlanks" dxfId="61" priority="14">
      <formula>LEN(TRIM(#REF!))&gt;0</formula>
    </cfRule>
  </conditionalFormatting>
  <conditionalFormatting sqref="H80:H83">
    <cfRule type="containsText" dxfId="60" priority="12" operator="containsText" text="Да">
      <formula>NOT(ISERROR(SEARCH("Да",#REF!)))</formula>
    </cfRule>
    <cfRule type="containsText" dxfId="59" priority="13" operator="containsText" text="Да">
      <formula>NOT(ISERROR(SEARCH("Да",#REF!)))</formula>
    </cfRule>
  </conditionalFormatting>
  <conditionalFormatting sqref="H44:H45">
    <cfRule type="expression" dxfId="58" priority="50">
      <formula>TRUNC(SUM(F$15:F44)/28)&gt;TRUNC(SUM(F$15:F35)/28)</formula>
    </cfRule>
  </conditionalFormatting>
  <conditionalFormatting sqref="G44:G45">
    <cfRule type="expression" dxfId="57" priority="51">
      <formula>TRUNC(SUM(F$15:F35)/28)&gt;TRUNC(SUM(F$15:F34)/28)-ISTEXT(F35)</formula>
    </cfRule>
  </conditionalFormatting>
  <conditionalFormatting sqref="G44:H45">
    <cfRule type="expression" priority="52">
      <formula>TRUNC(SUM(F$15:F44)/28)&gt;TRUNC(SUM(F$15:F35)/28)</formula>
    </cfRule>
  </conditionalFormatting>
  <conditionalFormatting sqref="J37:K38 K43">
    <cfRule type="notContainsBlanks" dxfId="56" priority="6">
      <formula>LEN(TRIM(J37))&gt;0</formula>
    </cfRule>
  </conditionalFormatting>
  <conditionalFormatting sqref="J40:J43">
    <cfRule type="notContainsBlanks" dxfId="55" priority="5" stopIfTrue="1">
      <formula>LEN(TRIM(J40))&gt;0</formula>
    </cfRule>
  </conditionalFormatting>
  <conditionalFormatting sqref="J40:J43">
    <cfRule type="notContainsBlanks" dxfId="54" priority="3">
      <formula>LEN(TRIM(J40))&gt;0</formula>
    </cfRule>
  </conditionalFormatting>
  <conditionalFormatting sqref="J52:K52">
    <cfRule type="notContainsBlanks" dxfId="53" priority="2">
      <formula>LEN(TRIM(J52))&gt;0</formula>
    </cfRule>
  </conditionalFormatting>
  <conditionalFormatting sqref="E46:F47 F49:F52">
    <cfRule type="notContainsBlanks" dxfId="52" priority="1">
      <formula>LEN(TRIM(#REF!))&gt;0</formula>
    </cfRule>
  </conditionalFormatting>
  <conditionalFormatting sqref="H80:H83">
    <cfRule type="containsText" dxfId="50" priority="8" operator="containsText" text="Да">
      <formula>NOT(ISERROR(SEARCH("Да",#REF!)))</formula>
    </cfRule>
    <cfRule type="containsText" priority="9" operator="containsText" text="Да">
      <formula>NOT(ISERROR(SEARCH("Да",#REF!)))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720B23A1-79DD-4472-A620-B15445BEF8EC}">
            <xm:f>NOT(ISERROR(SEARCH($J$17,J15)))</xm:f>
            <xm:f>$J$17</xm:f>
            <x14:dxf>
              <font>
                <color rgb="FF9C0006"/>
              </font>
            </x14:dxf>
          </x14:cfRule>
          <xm:sqref>J15:J34</xm:sqref>
        </x14:conditionalFormatting>
        <x14:conditionalFormatting xmlns:xm="http://schemas.microsoft.com/office/excel/2006/main">
          <x14:cfRule type="containsText" priority="4" operator="containsText" id="{FE5C1FBF-26EC-4128-8910-70215FFE7464}">
            <xm:f>NOT(ISERROR(SEARCH($J$17,J40)))</xm:f>
            <xm:f>$J$17</xm:f>
            <x14:dxf>
              <font>
                <color rgb="FF9C0006"/>
              </font>
            </x14:dxf>
          </x14:cfRule>
          <xm:sqref>J40:J43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anna-otdel-kadrov@yandex.ru - Анна Владимировна Пестова</dc:creator>
  <cp:lastModifiedBy>pestova</cp:lastModifiedBy>
  <cp:lastPrinted>2016-07-19T07:32:40Z</cp:lastPrinted>
  <dcterms:created xsi:type="dcterms:W3CDTF">2015-04-18T21:29:46Z</dcterms:created>
  <dcterms:modified xsi:type="dcterms:W3CDTF">2016-08-26T05:13:19Z</dcterms:modified>
</cp:coreProperties>
</file>