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5775" yWindow="360" windowWidth="13455" windowHeight="7710" tabRatio="790" activeTab="2"/>
  </bookViews>
  <sheets>
    <sheet name="Ведомость" sheetId="1" r:id="rId1"/>
    <sheet name="Цели" sheetId="30" r:id="rId2"/>
    <sheet name="Условия" sheetId="33" r:id="rId3"/>
  </sheets>
  <definedNames>
    <definedName name="solver_adj" localSheetId="2" hidden="1">Условия!$I$39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Условия!$G$39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  <definedName name="Месяц">#REF!</definedName>
  </definedNames>
  <calcPr calcId="125725"/>
</workbook>
</file>

<file path=xl/calcChain.xml><?xml version="1.0" encoding="utf-8"?>
<calcChain xmlns="http://schemas.openxmlformats.org/spreadsheetml/2006/main">
  <c r="D1" i="33"/>
  <c r="C3" s="1"/>
  <c r="D7"/>
  <c r="D11" l="1"/>
  <c r="C11" s="1"/>
  <c r="L3" i="30" l="1"/>
  <c r="J3"/>
  <c r="H3"/>
  <c r="F3"/>
  <c r="D3"/>
  <c r="D59" i="33" l="1"/>
  <c r="D39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12"/>
  <c r="D13" s="1"/>
  <c r="D3"/>
  <c r="D4" s="1"/>
  <c r="D5" s="1"/>
  <c r="D6" s="1"/>
  <c r="D8" s="1"/>
  <c r="D9" s="1"/>
  <c r="D10" s="1"/>
  <c r="B48" i="30"/>
  <c r="B41"/>
  <c r="B34"/>
  <c r="B27"/>
  <c r="B20"/>
  <c r="D14"/>
  <c r="D14" i="33" l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B4"/>
  <c r="B5" l="1"/>
  <c r="D47" i="30"/>
  <c r="C47"/>
  <c r="B47"/>
  <c r="A46"/>
  <c r="D48"/>
  <c r="D49" s="1"/>
  <c r="D40"/>
  <c r="C40"/>
  <c r="B40"/>
  <c r="A39"/>
  <c r="D41"/>
  <c r="D42" s="1"/>
  <c r="D33"/>
  <c r="C33"/>
  <c r="B33"/>
  <c r="A32"/>
  <c r="D34"/>
  <c r="D35" s="1"/>
  <c r="D26"/>
  <c r="C26"/>
  <c r="B26"/>
  <c r="A25"/>
  <c r="D27"/>
  <c r="D28" s="1"/>
  <c r="D50" l="1"/>
  <c r="D43"/>
  <c r="D36"/>
  <c r="D29"/>
  <c r="B6" i="33"/>
  <c r="D20" i="30"/>
  <c r="D19"/>
  <c r="C19"/>
  <c r="B19"/>
  <c r="A18"/>
  <c r="K13" i="1"/>
  <c r="M9"/>
  <c r="M8"/>
  <c r="D21" i="30" l="1"/>
  <c r="D22" s="1"/>
  <c r="B7" i="33"/>
  <c r="C8" i="30"/>
  <c r="C7"/>
  <c r="C6"/>
  <c r="C5"/>
  <c r="B8" i="33" l="1"/>
  <c r="C10" i="30"/>
  <c r="B9" i="33" l="1"/>
  <c r="E8" i="30"/>
  <c r="B10" i="33" l="1"/>
  <c r="M8" i="30"/>
  <c r="B6" i="1"/>
  <c r="H8"/>
  <c r="J8"/>
  <c r="J13" s="1"/>
  <c r="H9"/>
  <c r="J9"/>
  <c r="H10"/>
  <c r="J10"/>
  <c r="M10"/>
  <c r="H11"/>
  <c r="J11"/>
  <c r="M11"/>
  <c r="H12"/>
  <c r="M12"/>
  <c r="B10" i="30"/>
  <c r="D10"/>
  <c r="B11" i="33" l="1"/>
  <c r="D10" i="1"/>
  <c r="M13"/>
  <c r="B12" i="33" l="1"/>
  <c r="F10" i="30"/>
  <c r="F14" s="1"/>
  <c r="H10"/>
  <c r="H14" s="1"/>
  <c r="J10"/>
  <c r="J14" s="1"/>
  <c r="L10"/>
  <c r="L14" s="1"/>
  <c r="B13" i="33" l="1"/>
  <c r="D11" i="1"/>
  <c r="D8"/>
  <c r="D12"/>
  <c r="D9"/>
  <c r="B14" i="33" l="1"/>
  <c r="D13" i="1"/>
  <c r="B15" i="33" l="1"/>
  <c r="M7" i="30"/>
  <c r="M5"/>
  <c r="M6"/>
  <c r="B16" i="33" l="1"/>
  <c r="M10" i="30"/>
  <c r="E8" i="1" s="1"/>
  <c r="B17" i="33" l="1"/>
  <c r="E5" i="30"/>
  <c r="E7"/>
  <c r="E6"/>
  <c r="G8"/>
  <c r="I5"/>
  <c r="I7"/>
  <c r="I6"/>
  <c r="K8"/>
  <c r="G5"/>
  <c r="G7"/>
  <c r="G6"/>
  <c r="I8"/>
  <c r="K5"/>
  <c r="K7"/>
  <c r="K6"/>
  <c r="B18" i="33" l="1"/>
  <c r="E10" i="30"/>
  <c r="K10"/>
  <c r="E12" i="1" s="1"/>
  <c r="I10" i="30"/>
  <c r="E11" i="1" s="1"/>
  <c r="G10" i="30"/>
  <c r="B19" i="33" l="1"/>
  <c r="E10" i="1"/>
  <c r="E9"/>
  <c r="B20" i="33" l="1"/>
  <c r="B21" l="1"/>
  <c r="B22" l="1"/>
  <c r="B23" l="1"/>
  <c r="B24" l="1"/>
  <c r="B25" l="1"/>
  <c r="B26" l="1"/>
  <c r="B27" l="1"/>
  <c r="B28" l="1"/>
  <c r="B29" l="1"/>
  <c r="B30" l="1"/>
  <c r="B31" l="1"/>
  <c r="B32" l="1"/>
  <c r="B33" l="1"/>
  <c r="B34" l="1"/>
  <c r="B35" l="1"/>
  <c r="B36" l="1"/>
  <c r="B37" l="1"/>
  <c r="B38" l="1"/>
  <c r="B39" l="1"/>
  <c r="B40" l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E3" l="1"/>
  <c r="F3"/>
  <c r="G3"/>
  <c r="E4"/>
  <c r="F4"/>
  <c r="G4" s="1"/>
  <c r="E5"/>
  <c r="F5"/>
  <c r="E6"/>
  <c r="F6"/>
  <c r="G6" s="1"/>
  <c r="E7"/>
  <c r="F7"/>
  <c r="E8"/>
  <c r="F8"/>
  <c r="G8" s="1"/>
  <c r="E9"/>
  <c r="F9"/>
  <c r="E10"/>
  <c r="F10"/>
  <c r="E11"/>
  <c r="F11"/>
  <c r="E12"/>
  <c r="F12"/>
  <c r="E13"/>
  <c r="F13"/>
  <c r="E14"/>
  <c r="G14" s="1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L8" i="1" l="1"/>
  <c r="L12"/>
  <c r="L11"/>
  <c r="L9"/>
  <c r="L10"/>
  <c r="C10"/>
  <c r="I10" s="1"/>
  <c r="C12"/>
  <c r="C9"/>
  <c r="I9" s="1"/>
  <c r="C11"/>
  <c r="C8"/>
  <c r="G59" i="33"/>
  <c r="G58"/>
  <c r="G48"/>
  <c r="G44"/>
  <c r="G42"/>
  <c r="G41"/>
  <c r="H41" s="1"/>
  <c r="G40"/>
  <c r="G39"/>
  <c r="G28"/>
  <c r="G20"/>
  <c r="G16"/>
  <c r="G13"/>
  <c r="G12"/>
  <c r="H13" s="1"/>
  <c r="G11"/>
  <c r="G5"/>
  <c r="H5" s="1"/>
  <c r="H59"/>
  <c r="G56"/>
  <c r="G52"/>
  <c r="G50"/>
  <c r="G49"/>
  <c r="H49" s="1"/>
  <c r="G54"/>
  <c r="G53"/>
  <c r="H53" s="1"/>
  <c r="G46"/>
  <c r="G45"/>
  <c r="H45" s="1"/>
  <c r="G57"/>
  <c r="H57" s="1"/>
  <c r="G55"/>
  <c r="H55" s="1"/>
  <c r="G51"/>
  <c r="H51" s="1"/>
  <c r="G47"/>
  <c r="G43"/>
  <c r="H43" s="1"/>
  <c r="G36"/>
  <c r="G32"/>
  <c r="G30"/>
  <c r="G29"/>
  <c r="H29" s="1"/>
  <c r="G38"/>
  <c r="G37"/>
  <c r="G24"/>
  <c r="G22"/>
  <c r="G21"/>
  <c r="H21" s="1"/>
  <c r="G34"/>
  <c r="G33"/>
  <c r="H33" s="1"/>
  <c r="G26"/>
  <c r="G25"/>
  <c r="H25" s="1"/>
  <c r="G18"/>
  <c r="G17"/>
  <c r="H17" s="1"/>
  <c r="H39"/>
  <c r="G35"/>
  <c r="H35" s="1"/>
  <c r="G31"/>
  <c r="H31" s="1"/>
  <c r="G27"/>
  <c r="H27" s="1"/>
  <c r="G23"/>
  <c r="H23" s="1"/>
  <c r="G19"/>
  <c r="H19" s="1"/>
  <c r="G15"/>
  <c r="H15" s="1"/>
  <c r="H36"/>
  <c r="H32"/>
  <c r="H28"/>
  <c r="H24"/>
  <c r="H20"/>
  <c r="H16"/>
  <c r="G10"/>
  <c r="H11" s="1"/>
  <c r="G9"/>
  <c r="H9" s="1"/>
  <c r="G7"/>
  <c r="H7" s="1"/>
  <c r="H40"/>
  <c r="H12"/>
  <c r="H4"/>
  <c r="H58"/>
  <c r="H50"/>
  <c r="H46"/>
  <c r="H42"/>
  <c r="H38"/>
  <c r="H34"/>
  <c r="H30"/>
  <c r="H26"/>
  <c r="H22"/>
  <c r="H18"/>
  <c r="H14"/>
  <c r="H6"/>
  <c r="I12" i="1"/>
  <c r="N12" s="1"/>
  <c r="I11"/>
  <c r="N11" s="1"/>
  <c r="L13"/>
  <c r="N10" l="1"/>
  <c r="C13"/>
  <c r="I8"/>
  <c r="N8" s="1"/>
  <c r="H54" i="33"/>
  <c r="H47"/>
  <c r="H48"/>
  <c r="H56"/>
  <c r="H44"/>
  <c r="H52"/>
  <c r="H37"/>
  <c r="H10"/>
  <c r="H8"/>
  <c r="N9" i="1"/>
  <c r="N13" l="1"/>
  <c r="I13"/>
  <c r="I3" i="33"/>
  <c r="C51" l="1"/>
  <c r="I51" s="1"/>
  <c r="C43"/>
  <c r="I43" s="1"/>
  <c r="C35"/>
  <c r="I35" s="1"/>
  <c r="C27"/>
  <c r="I27" s="1"/>
  <c r="C19"/>
  <c r="I19" s="1"/>
  <c r="I11"/>
  <c r="C55"/>
  <c r="I55" s="1"/>
  <c r="C50"/>
  <c r="I50" s="1"/>
  <c r="C57"/>
  <c r="I57" s="1"/>
  <c r="C47"/>
  <c r="I47" s="1"/>
  <c r="C39"/>
  <c r="I39" s="1"/>
  <c r="C31"/>
  <c r="I31" s="1"/>
  <c r="C23"/>
  <c r="I23" s="1"/>
  <c r="C15"/>
  <c r="I15" s="1"/>
  <c r="C7"/>
  <c r="I7" s="1"/>
  <c r="C56"/>
  <c r="I56" s="1"/>
  <c r="C36"/>
  <c r="I36" s="1"/>
  <c r="C59"/>
  <c r="I59" s="1"/>
  <c r="C53"/>
  <c r="I53" s="1"/>
  <c r="C49"/>
  <c r="I49" s="1"/>
  <c r="C45"/>
  <c r="I45" s="1"/>
  <c r="C41"/>
  <c r="I41" s="1"/>
  <c r="C37"/>
  <c r="I37" s="1"/>
  <c r="C33"/>
  <c r="I33" s="1"/>
  <c r="C29"/>
  <c r="I29" s="1"/>
  <c r="C25"/>
  <c r="I25" s="1"/>
  <c r="C21"/>
  <c r="I21" s="1"/>
  <c r="C17"/>
  <c r="I17" s="1"/>
  <c r="C13"/>
  <c r="I13" s="1"/>
  <c r="C9"/>
  <c r="I9" s="1"/>
  <c r="C5"/>
  <c r="I5" s="1"/>
  <c r="C58"/>
  <c r="I58" s="1"/>
  <c r="C54"/>
  <c r="I54" s="1"/>
  <c r="C46"/>
  <c r="I46" s="1"/>
  <c r="C20"/>
  <c r="I20" s="1"/>
  <c r="C52"/>
  <c r="I52" s="1"/>
  <c r="C48"/>
  <c r="I48" s="1"/>
  <c r="C44"/>
  <c r="I44" s="1"/>
  <c r="C28"/>
  <c r="I28" s="1"/>
  <c r="C12"/>
  <c r="I12" s="1"/>
  <c r="C40"/>
  <c r="I40" s="1"/>
  <c r="C32"/>
  <c r="I32" s="1"/>
  <c r="C24"/>
  <c r="I24" s="1"/>
  <c r="C16"/>
  <c r="I16" s="1"/>
  <c r="C8"/>
  <c r="I8" s="1"/>
  <c r="C42"/>
  <c r="I42" s="1"/>
  <c r="C38"/>
  <c r="I38" s="1"/>
  <c r="C34"/>
  <c r="I34" s="1"/>
  <c r="C30"/>
  <c r="I30" s="1"/>
  <c r="C26"/>
  <c r="I26" s="1"/>
  <c r="C22"/>
  <c r="I22" s="1"/>
  <c r="C18"/>
  <c r="I18" s="1"/>
  <c r="C14"/>
  <c r="I14" s="1"/>
  <c r="C10"/>
  <c r="I10" s="1"/>
  <c r="C4"/>
  <c r="I4" s="1"/>
  <c r="C6"/>
  <c r="I6" s="1"/>
</calcChain>
</file>

<file path=xl/comments1.xml><?xml version="1.0" encoding="utf-8"?>
<comments xmlns="http://schemas.openxmlformats.org/spreadsheetml/2006/main">
  <authors>
    <author>Горностаев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04"/>
          </rPr>
          <t>Горностаев:</t>
        </r>
        <r>
          <rPr>
            <sz val="8"/>
            <color indexed="81"/>
            <rFont val="Tahoma"/>
            <family val="2"/>
            <charset val="204"/>
          </rPr>
          <t xml:space="preserve">
на руки - без ПФР и НДФЛ</t>
        </r>
      </text>
    </comment>
  </commentList>
</comments>
</file>

<file path=xl/sharedStrings.xml><?xml version="1.0" encoding="utf-8"?>
<sst xmlns="http://schemas.openxmlformats.org/spreadsheetml/2006/main" count="162" uniqueCount="62">
  <si>
    <t xml:space="preserve">Месяц: </t>
  </si>
  <si>
    <t>Выполнение плана</t>
  </si>
  <si>
    <t>Должность</t>
  </si>
  <si>
    <t>Лобанов Г.Д.</t>
  </si>
  <si>
    <t>Итого</t>
  </si>
  <si>
    <t>Факт</t>
  </si>
  <si>
    <t>Релизация запчастей</t>
  </si>
  <si>
    <t>% отработанного времени к норме</t>
  </si>
  <si>
    <t>менеджер</t>
  </si>
  <si>
    <t>Заключение договоров с покупателями</t>
  </si>
  <si>
    <t>ст.менеджер</t>
  </si>
  <si>
    <t>Сизоненко В.Н.</t>
  </si>
  <si>
    <t>Фактическая выручка</t>
  </si>
  <si>
    <t>БЧ</t>
  </si>
  <si>
    <t>Факт. ПЧ с надбавкой за выполнение плана</t>
  </si>
  <si>
    <t>ФИО</t>
  </si>
  <si>
    <t>Целевые показатели</t>
  </si>
  <si>
    <t>Менеджеры</t>
  </si>
  <si>
    <t>Вып-ие</t>
  </si>
  <si>
    <t>Сопутка</t>
  </si>
  <si>
    <t>План подразд.</t>
  </si>
  <si>
    <t>План менедж.</t>
  </si>
  <si>
    <t>% выполнения</t>
  </si>
  <si>
    <t>Ефанов А.В.</t>
  </si>
  <si>
    <t>Запчасти</t>
  </si>
  <si>
    <t>Переменная часть начисленная</t>
  </si>
  <si>
    <t>Итого ЗП</t>
  </si>
  <si>
    <t>Система мотивации менеджеров СМ</t>
  </si>
  <si>
    <t>Масло розлив</t>
  </si>
  <si>
    <t>Сумма розничных продаж</t>
  </si>
  <si>
    <t>91-100%</t>
  </si>
  <si>
    <t>Часы План</t>
  </si>
  <si>
    <t>Часы Факт</t>
  </si>
  <si>
    <t>БЧ факт</t>
  </si>
  <si>
    <t>Размер вознаграждения</t>
  </si>
  <si>
    <t>&gt;100%</t>
  </si>
  <si>
    <t>АКБ отечественные</t>
  </si>
  <si>
    <t>АКБ импортные</t>
  </si>
  <si>
    <t>ПЧ ст. менеджера</t>
  </si>
  <si>
    <t>Выполнение плана продаж подразделения</t>
  </si>
  <si>
    <t>&lt;90%</t>
  </si>
  <si>
    <t>План по выручке</t>
  </si>
  <si>
    <t>Старший менеджер</t>
  </si>
  <si>
    <t>Июль</t>
  </si>
  <si>
    <t>Соловьёв В.Е.</t>
  </si>
  <si>
    <t>Выручка</t>
  </si>
  <si>
    <t>Наценка</t>
  </si>
  <si>
    <t>План</t>
  </si>
  <si>
    <t>Выполн-е</t>
  </si>
  <si>
    <t>Вес</t>
  </si>
  <si>
    <t>Результативность</t>
  </si>
  <si>
    <t>Шаг</t>
  </si>
  <si>
    <t>Базовая часть</t>
  </si>
  <si>
    <t>Переменная часть</t>
  </si>
  <si>
    <t>ФОТ</t>
  </si>
  <si>
    <t>ФОТ на 1 менеджера</t>
  </si>
  <si>
    <t>Столяров К.Е.</t>
  </si>
  <si>
    <t>Доля ФОТ в выручке подразделения</t>
  </si>
  <si>
    <t>Пройден мин. порог результат-ти 70%</t>
  </si>
  <si>
    <t>План наценки</t>
  </si>
  <si>
    <t>+</t>
  </si>
  <si>
    <t>Грейды</t>
  </si>
</sst>
</file>

<file path=xl/styles.xml><?xml version="1.0" encoding="utf-8"?>
<styleSheet xmlns="http://schemas.openxmlformats.org/spreadsheetml/2006/main">
  <numFmts count="7">
    <numFmt numFmtId="41" formatCode="_-* #,##0_р_._-;\-* #,##0_р_._-;_-* &quot;-&quot;_р_._-;_-@_-"/>
    <numFmt numFmtId="164" formatCode="[$-419]d\ mmm;@"/>
    <numFmt numFmtId="165" formatCode="#,##0_ ;[Red]\-#,##0\ "/>
    <numFmt numFmtId="166" formatCode="#,##0&quot;р.&quot;"/>
    <numFmt numFmtId="167" formatCode="0.0"/>
    <numFmt numFmtId="168" formatCode="0.0%"/>
    <numFmt numFmtId="169" formatCode="#,##0.0&quot;р.&quot;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2" fillId="0" borderId="17" xfId="0" applyNumberFormat="1" applyFont="1" applyBorder="1"/>
    <xf numFmtId="10" fontId="2" fillId="0" borderId="6" xfId="0" applyNumberFormat="1" applyFont="1" applyBorder="1"/>
    <xf numFmtId="0" fontId="3" fillId="0" borderId="17" xfId="0" applyFont="1" applyFill="1" applyBorder="1"/>
    <xf numFmtId="3" fontId="3" fillId="0" borderId="11" xfId="0" applyNumberFormat="1" applyFont="1" applyBorder="1"/>
    <xf numFmtId="3" fontId="3" fillId="0" borderId="14" xfId="0" applyNumberFormat="1" applyFont="1" applyBorder="1"/>
    <xf numFmtId="0" fontId="3" fillId="0" borderId="0" xfId="0" applyFont="1"/>
    <xf numFmtId="3" fontId="3" fillId="0" borderId="7" xfId="0" applyNumberFormat="1" applyFont="1" applyBorder="1"/>
    <xf numFmtId="2" fontId="2" fillId="0" borderId="0" xfId="0" applyNumberFormat="1" applyFont="1"/>
    <xf numFmtId="4" fontId="2" fillId="0" borderId="0" xfId="0" applyNumberFormat="1" applyFont="1"/>
    <xf numFmtId="10" fontId="3" fillId="0" borderId="6" xfId="0" applyNumberFormat="1" applyFont="1" applyBorder="1"/>
    <xf numFmtId="0" fontId="2" fillId="3" borderId="0" xfId="0" applyFont="1" applyFill="1"/>
    <xf numFmtId="3" fontId="2" fillId="2" borderId="5" xfId="0" applyNumberFormat="1" applyFont="1" applyFill="1" applyBorder="1"/>
    <xf numFmtId="3" fontId="2" fillId="2" borderId="3" xfId="0" applyNumberFormat="1" applyFont="1" applyFill="1" applyBorder="1"/>
    <xf numFmtId="3" fontId="2" fillId="2" borderId="10" xfId="0" applyNumberFormat="1" applyFont="1" applyFill="1" applyBorder="1"/>
    <xf numFmtId="3" fontId="2" fillId="2" borderId="7" xfId="0" applyNumberFormat="1" applyFont="1" applyFill="1" applyBorder="1"/>
    <xf numFmtId="3" fontId="2" fillId="0" borderId="0" xfId="0" applyNumberFormat="1" applyFont="1"/>
    <xf numFmtId="0" fontId="5" fillId="0" borderId="7" xfId="0" applyFont="1" applyBorder="1" applyAlignment="1">
      <alignment horizontal="left"/>
    </xf>
    <xf numFmtId="3" fontId="4" fillId="2" borderId="7" xfId="0" applyNumberFormat="1" applyFont="1" applyFill="1" applyBorder="1"/>
    <xf numFmtId="3" fontId="2" fillId="3" borderId="0" xfId="0" applyNumberFormat="1" applyFont="1" applyFill="1"/>
    <xf numFmtId="0" fontId="3" fillId="3" borderId="0" xfId="0" applyFont="1" applyFill="1"/>
    <xf numFmtId="3" fontId="2" fillId="5" borderId="7" xfId="0" applyNumberFormat="1" applyFont="1" applyFill="1" applyBorder="1"/>
    <xf numFmtId="3" fontId="3" fillId="0" borderId="0" xfId="0" applyNumberFormat="1" applyFont="1"/>
    <xf numFmtId="10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/>
    </xf>
    <xf numFmtId="3" fontId="7" fillId="3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wrapText="1"/>
    </xf>
    <xf numFmtId="165" fontId="7" fillId="2" borderId="4" xfId="0" applyNumberFormat="1" applyFont="1" applyFill="1" applyBorder="1" applyAlignment="1">
      <alignment horizontal="center"/>
    </xf>
    <xf numFmtId="9" fontId="7" fillId="0" borderId="0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10" fontId="7" fillId="3" borderId="16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164" fontId="6" fillId="4" borderId="7" xfId="0" applyNumberFormat="1" applyFont="1" applyFill="1" applyBorder="1" applyAlignment="1">
      <alignment horizontal="center" vertical="center" textRotation="90" wrapText="1"/>
    </xf>
    <xf numFmtId="0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/>
    </xf>
    <xf numFmtId="9" fontId="7" fillId="0" borderId="7" xfId="0" applyNumberFormat="1" applyFont="1" applyFill="1" applyBorder="1" applyAlignment="1">
      <alignment horizontal="right"/>
    </xf>
    <xf numFmtId="3" fontId="7" fillId="2" borderId="7" xfId="0" applyNumberFormat="1" applyFont="1" applyFill="1" applyBorder="1"/>
    <xf numFmtId="4" fontId="7" fillId="0" borderId="7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/>
    <xf numFmtId="3" fontId="7" fillId="0" borderId="7" xfId="0" applyNumberFormat="1" applyFont="1" applyBorder="1"/>
    <xf numFmtId="0" fontId="7" fillId="0" borderId="7" xfId="0" applyNumberFormat="1" applyFont="1" applyFill="1" applyBorder="1" applyAlignment="1"/>
    <xf numFmtId="4" fontId="7" fillId="0" borderId="7" xfId="0" applyNumberFormat="1" applyFont="1" applyBorder="1" applyAlignment="1"/>
    <xf numFmtId="0" fontId="6" fillId="4" borderId="7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horizontal="right"/>
    </xf>
    <xf numFmtId="4" fontId="6" fillId="4" borderId="7" xfId="0" applyNumberFormat="1" applyFont="1" applyFill="1" applyBorder="1"/>
    <xf numFmtId="3" fontId="6" fillId="4" borderId="7" xfId="0" applyNumberFormat="1" applyFont="1" applyFill="1" applyBorder="1"/>
    <xf numFmtId="3" fontId="7" fillId="3" borderId="7" xfId="0" applyNumberFormat="1" applyFont="1" applyFill="1" applyBorder="1" applyAlignment="1">
      <alignment horizontal="righ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4" fontId="7" fillId="0" borderId="0" xfId="0" applyNumberFormat="1" applyFont="1"/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5" borderId="7" xfId="0" applyFont="1" applyFill="1" applyBorder="1"/>
    <xf numFmtId="10" fontId="3" fillId="0" borderId="25" xfId="0" applyNumberFormat="1" applyFont="1" applyBorder="1"/>
    <xf numFmtId="0" fontId="3" fillId="0" borderId="7" xfId="0" applyFont="1" applyBorder="1" applyAlignment="1">
      <alignment horizontal="center"/>
    </xf>
    <xf numFmtId="3" fontId="2" fillId="0" borderId="7" xfId="0" applyNumberFormat="1" applyFont="1" applyBorder="1"/>
    <xf numFmtId="10" fontId="2" fillId="0" borderId="7" xfId="0" applyNumberFormat="1" applyFont="1" applyBorder="1"/>
    <xf numFmtId="10" fontId="2" fillId="0" borderId="7" xfId="0" applyNumberFormat="1" applyFont="1" applyBorder="1" applyAlignment="1">
      <alignment horizontal="center" vertical="center"/>
    </xf>
    <xf numFmtId="0" fontId="8" fillId="0" borderId="17" xfId="0" applyFont="1" applyBorder="1"/>
    <xf numFmtId="0" fontId="3" fillId="0" borderId="17" xfId="0" applyFont="1" applyBorder="1"/>
    <xf numFmtId="3" fontId="8" fillId="0" borderId="26" xfId="0" applyNumberFormat="1" applyFont="1" applyBorder="1" applyAlignment="1">
      <alignment horizontal="center"/>
    </xf>
    <xf numFmtId="10" fontId="3" fillId="0" borderId="26" xfId="0" applyNumberFormat="1" applyFont="1" applyBorder="1" applyAlignment="1">
      <alignment horizontal="center"/>
    </xf>
    <xf numFmtId="10" fontId="2" fillId="0" borderId="8" xfId="0" applyNumberFormat="1" applyFont="1" applyBorder="1"/>
    <xf numFmtId="10" fontId="2" fillId="0" borderId="8" xfId="0" applyNumberFormat="1" applyFont="1" applyBorder="1" applyAlignment="1">
      <alignment horizontal="center" vertical="center"/>
    </xf>
    <xf numFmtId="0" fontId="8" fillId="0" borderId="22" xfId="0" applyFont="1" applyBorder="1"/>
    <xf numFmtId="0" fontId="8" fillId="0" borderId="27" xfId="0" applyFont="1" applyBorder="1"/>
    <xf numFmtId="0" fontId="2" fillId="0" borderId="24" xfId="0" applyFont="1" applyBorder="1"/>
    <xf numFmtId="0" fontId="2" fillId="0" borderId="28" xfId="0" applyFont="1" applyBorder="1"/>
    <xf numFmtId="0" fontId="8" fillId="0" borderId="8" xfId="0" applyFont="1" applyBorder="1"/>
    <xf numFmtId="0" fontId="2" fillId="0" borderId="10" xfId="0" applyFont="1" applyBorder="1"/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166" fontId="2" fillId="3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9" fontId="2" fillId="0" borderId="0" xfId="0" applyNumberFormat="1" applyFont="1" applyAlignment="1">
      <alignment vertical="center"/>
    </xf>
    <xf numFmtId="166" fontId="2" fillId="7" borderId="30" xfId="0" applyNumberFormat="1" applyFont="1" applyFill="1" applyBorder="1" applyAlignment="1">
      <alignment vertical="center"/>
    </xf>
    <xf numFmtId="166" fontId="2" fillId="8" borderId="30" xfId="0" applyNumberFormat="1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69" fontId="2" fillId="3" borderId="0" xfId="0" applyNumberFormat="1" applyFont="1" applyFill="1" applyBorder="1" applyAlignment="1">
      <alignment horizontal="center" vertical="center" wrapText="1"/>
    </xf>
    <xf numFmtId="166" fontId="2" fillId="8" borderId="0" xfId="0" applyNumberFormat="1" applyFont="1" applyFill="1" applyBorder="1" applyAlignment="1">
      <alignment vertical="center"/>
    </xf>
    <xf numFmtId="168" fontId="2" fillId="3" borderId="0" xfId="0" applyNumberFormat="1" applyFont="1" applyFill="1" applyBorder="1" applyAlignment="1">
      <alignment horizontal="right" vertical="center"/>
    </xf>
    <xf numFmtId="166" fontId="2" fillId="6" borderId="0" xfId="0" applyNumberFormat="1" applyFont="1" applyFill="1" applyBorder="1" applyAlignment="1">
      <alignment vertical="center"/>
    </xf>
    <xf numFmtId="169" fontId="2" fillId="3" borderId="32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horizontal="center" vertical="center"/>
    </xf>
    <xf numFmtId="166" fontId="2" fillId="3" borderId="31" xfId="0" applyNumberFormat="1" applyFont="1" applyFill="1" applyBorder="1" applyAlignment="1">
      <alignment horizontal="center" vertical="center"/>
    </xf>
    <xf numFmtId="166" fontId="3" fillId="3" borderId="29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 wrapText="1"/>
    </xf>
    <xf numFmtId="166" fontId="2" fillId="3" borderId="10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6" fontId="2" fillId="3" borderId="7" xfId="0" applyNumberFormat="1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166" fontId="2" fillId="3" borderId="31" xfId="0" applyNumberFormat="1" applyFont="1" applyFill="1" applyBorder="1" applyAlignment="1">
      <alignment horizontal="center" vertical="center" wrapText="1"/>
    </xf>
    <xf numFmtId="169" fontId="2" fillId="3" borderId="0" xfId="0" applyNumberFormat="1" applyFont="1" applyFill="1" applyBorder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 wrapText="1"/>
    </xf>
    <xf numFmtId="166" fontId="2" fillId="3" borderId="8" xfId="0" applyNumberFormat="1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>
      <alignment horizontal="center" vertical="center"/>
    </xf>
    <xf numFmtId="168" fontId="2" fillId="3" borderId="30" xfId="0" applyNumberFormat="1" applyFont="1" applyFill="1" applyBorder="1" applyAlignment="1">
      <alignment horizontal="center" vertical="center"/>
    </xf>
    <xf numFmtId="168" fontId="2" fillId="3" borderId="0" xfId="0" applyNumberFormat="1" applyFont="1" applyFill="1" applyBorder="1" applyAlignment="1">
      <alignment horizontal="center" vertical="center"/>
    </xf>
    <xf numFmtId="169" fontId="2" fillId="3" borderId="3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">
    <cellStyle name="0,0_x000d__x000a_NA_x000d__x000a_" xfId="1"/>
    <cellStyle name="Обычный" xfId="0" builtinId="0"/>
    <cellStyle name="Обычный 2" xfId="3"/>
    <cellStyle name="Финансовый [0] 2" xfId="2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  <pageSetUpPr fitToPage="1"/>
  </sheetPr>
  <dimension ref="A1:R24"/>
  <sheetViews>
    <sheetView workbookViewId="0">
      <selection activeCell="B8" sqref="B8"/>
    </sheetView>
  </sheetViews>
  <sheetFormatPr defaultColWidth="9.140625" defaultRowHeight="12"/>
  <cols>
    <col min="1" max="1" width="18.42578125" style="32" customWidth="1"/>
    <col min="2" max="2" width="11.7109375" style="32" customWidth="1"/>
    <col min="3" max="3" width="7.85546875" style="32" customWidth="1"/>
    <col min="4" max="4" width="9.140625" style="32" customWidth="1"/>
    <col min="5" max="6" width="7.7109375" style="32" customWidth="1"/>
    <col min="7" max="7" width="8.28515625" style="32" customWidth="1"/>
    <col min="8" max="8" width="8.5703125" style="32" customWidth="1"/>
    <col min="9" max="9" width="7.5703125" style="32" customWidth="1"/>
    <col min="10" max="10" width="11.28515625" style="32" hidden="1" customWidth="1"/>
    <col min="11" max="11" width="0.7109375" style="32" hidden="1" customWidth="1"/>
    <col min="12" max="12" width="7.42578125" style="32" customWidth="1"/>
    <col min="13" max="13" width="7.28515625" style="32" customWidth="1"/>
    <col min="14" max="14" width="11.5703125" style="32" customWidth="1"/>
    <col min="15" max="15" width="8.140625" style="32" customWidth="1"/>
    <col min="16" max="16" width="5.5703125" style="32" customWidth="1"/>
    <col min="17" max="17" width="9" style="32" customWidth="1"/>
    <col min="18" max="18" width="7.140625" style="32" customWidth="1"/>
    <col min="19" max="16384" width="9.140625" style="32"/>
  </cols>
  <sheetData>
    <row r="1" spans="1:18">
      <c r="A1" s="31" t="s">
        <v>27</v>
      </c>
    </row>
    <row r="3" spans="1:18" ht="12.75" thickBot="1">
      <c r="A3" s="33" t="s">
        <v>0</v>
      </c>
      <c r="B3" s="65" t="s">
        <v>43</v>
      </c>
    </row>
    <row r="4" spans="1:18" ht="11.25" customHeight="1">
      <c r="A4" s="34" t="s">
        <v>12</v>
      </c>
      <c r="B4" s="130">
        <v>2947295.52</v>
      </c>
      <c r="F4" s="35"/>
      <c r="G4" s="35"/>
      <c r="H4" s="35"/>
      <c r="I4" s="35"/>
      <c r="J4" s="35"/>
      <c r="K4" s="35"/>
      <c r="L4" s="35"/>
      <c r="M4" s="35"/>
      <c r="N4" s="35"/>
    </row>
    <row r="5" spans="1:18">
      <c r="A5" s="36" t="s">
        <v>41</v>
      </c>
      <c r="B5" s="37">
        <v>4200000</v>
      </c>
      <c r="F5" s="38"/>
      <c r="G5" s="38"/>
      <c r="H5" s="38"/>
      <c r="I5" s="38"/>
      <c r="J5" s="38"/>
      <c r="K5" s="38"/>
      <c r="L5" s="38"/>
      <c r="M5" s="38"/>
      <c r="N5" s="38"/>
    </row>
    <row r="6" spans="1:18">
      <c r="A6" s="39" t="s">
        <v>1</v>
      </c>
      <c r="B6" s="40">
        <f>B4/B5</f>
        <v>0.70173702857142861</v>
      </c>
      <c r="M6" s="41">
        <v>0.05</v>
      </c>
      <c r="N6" s="42"/>
      <c r="P6" s="1"/>
      <c r="Q6" s="131" t="s">
        <v>38</v>
      </c>
      <c r="R6" s="131"/>
    </row>
    <row r="7" spans="1:18" ht="88.5" customHeight="1">
      <c r="A7" s="43" t="s">
        <v>15</v>
      </c>
      <c r="B7" s="43" t="s">
        <v>2</v>
      </c>
      <c r="C7" s="43" t="s">
        <v>13</v>
      </c>
      <c r="D7" s="44" t="s">
        <v>29</v>
      </c>
      <c r="E7" s="44" t="s">
        <v>22</v>
      </c>
      <c r="F7" s="45" t="s">
        <v>31</v>
      </c>
      <c r="G7" s="45" t="s">
        <v>32</v>
      </c>
      <c r="H7" s="45" t="s">
        <v>7</v>
      </c>
      <c r="I7" s="43" t="s">
        <v>33</v>
      </c>
      <c r="J7" s="43" t="s">
        <v>14</v>
      </c>
      <c r="K7" s="43" t="s">
        <v>9</v>
      </c>
      <c r="L7" s="44" t="s">
        <v>25</v>
      </c>
      <c r="M7" s="44" t="s">
        <v>6</v>
      </c>
      <c r="N7" s="44" t="s">
        <v>26</v>
      </c>
      <c r="P7" s="28"/>
      <c r="Q7" s="30" t="s">
        <v>39</v>
      </c>
      <c r="R7" s="30" t="s">
        <v>34</v>
      </c>
    </row>
    <row r="8" spans="1:18" ht="12.75" customHeight="1">
      <c r="A8" s="46" t="s">
        <v>11</v>
      </c>
      <c r="B8" s="46" t="s">
        <v>10</v>
      </c>
      <c r="C8" s="47">
        <f>VLOOKUP($B$4,Условия!$B$3:$E$59,4,TRUE)</f>
        <v>15000</v>
      </c>
      <c r="D8" s="47">
        <f>Цели!L10</f>
        <v>419739.22</v>
      </c>
      <c r="E8" s="48">
        <f>Цели!M10</f>
        <v>0.44086996014285718</v>
      </c>
      <c r="F8" s="49">
        <v>188</v>
      </c>
      <c r="G8" s="49">
        <v>143</v>
      </c>
      <c r="H8" s="50">
        <f>G8/F8</f>
        <v>0.76063829787234039</v>
      </c>
      <c r="I8" s="51">
        <f>IF(H8&gt;=1,C8,IF(H8&lt;1,C8*H8,0))</f>
        <v>11409.574468085106</v>
      </c>
      <c r="J8" s="50" t="e">
        <f>#REF!</f>
        <v>#REF!</v>
      </c>
      <c r="K8" s="50"/>
      <c r="L8" s="52">
        <f>VLOOKUP($B$4,Условия!$B$3:$F$59,5,TRUE)*INDEX(Цели!$D$18:$D$50,MATCH(Ведомость!A8,Цели!$A$18:$A$50,0)+4)</f>
        <v>9919.5741032142869</v>
      </c>
      <c r="M8" s="53">
        <f>M6*Цели!L12</f>
        <v>0</v>
      </c>
      <c r="N8" s="60">
        <f>SUM(I8,L8,M8)</f>
        <v>21329.148571299393</v>
      </c>
      <c r="P8" s="1"/>
      <c r="Q8" s="29" t="s">
        <v>40</v>
      </c>
      <c r="R8" s="27">
        <v>0</v>
      </c>
    </row>
    <row r="9" spans="1:18">
      <c r="A9" s="54" t="s">
        <v>3</v>
      </c>
      <c r="B9" s="46" t="s">
        <v>8</v>
      </c>
      <c r="C9" s="47">
        <f>VLOOKUP($B$4,Условия!$B$3:$E$59,4,TRUE)</f>
        <v>15000</v>
      </c>
      <c r="D9" s="47">
        <f>Цели!F10</f>
        <v>867802.35999999987</v>
      </c>
      <c r="E9" s="48">
        <f>Цели!G10</f>
        <v>0.89645368193333341</v>
      </c>
      <c r="F9" s="49">
        <v>172</v>
      </c>
      <c r="G9" s="49">
        <v>172</v>
      </c>
      <c r="H9" s="50">
        <f t="shared" ref="H9:H12" si="0">G9/F9</f>
        <v>1</v>
      </c>
      <c r="I9" s="51">
        <f t="shared" ref="I9:I11" si="1">IF(H9&gt;=1,C9,IF(H9&lt;1,C9*H9,0))</f>
        <v>15000</v>
      </c>
      <c r="J9" s="55" t="e">
        <f>#REF!</f>
        <v>#REF!</v>
      </c>
      <c r="K9" s="50"/>
      <c r="L9" s="52">
        <f>VLOOKUP($B$4,Условия!$B$3:$F$59,5,TRUE)*INDEX(Цели!$D$18:$D$50,MATCH(Ведомость!A9,Цели!$A$18:$A$50,0)+4)</f>
        <v>18155.103921750004</v>
      </c>
      <c r="M9" s="53">
        <f>M6*Цели!F12</f>
        <v>0</v>
      </c>
      <c r="N9" s="60">
        <f t="shared" ref="N9:N12" si="2">SUM(I9,L9,M9)</f>
        <v>33155.103921750007</v>
      </c>
      <c r="P9" s="1"/>
      <c r="Q9" s="29" t="s">
        <v>30</v>
      </c>
      <c r="R9" s="27">
        <v>1E-3</v>
      </c>
    </row>
    <row r="10" spans="1:18" ht="14.25" customHeight="1">
      <c r="A10" s="46" t="s">
        <v>23</v>
      </c>
      <c r="B10" s="46" t="s">
        <v>8</v>
      </c>
      <c r="C10" s="47">
        <f>VLOOKUP($B$4,Условия!$B$3:$E$59,4,TRUE)</f>
        <v>15000</v>
      </c>
      <c r="D10" s="47">
        <f>Цели!D10</f>
        <v>792463.97</v>
      </c>
      <c r="E10" s="48">
        <f>Цели!E10</f>
        <v>0.83876540128333332</v>
      </c>
      <c r="F10" s="49">
        <v>178</v>
      </c>
      <c r="G10" s="49">
        <v>178</v>
      </c>
      <c r="H10" s="50">
        <f>G10/F10</f>
        <v>1</v>
      </c>
      <c r="I10" s="51">
        <f t="shared" si="1"/>
        <v>15000</v>
      </c>
      <c r="J10" s="50" t="e">
        <f>#REF!</f>
        <v>#REF!</v>
      </c>
      <c r="K10" s="50"/>
      <c r="L10" s="52">
        <f>VLOOKUP($B$4,Условия!$B$3:$F$59,5,TRUE)*INDEX(Цели!$D$18:$D$50,MATCH(Ведомость!A10,Цели!$A$18:$A$50,0)+4)</f>
        <v>17961.735764437501</v>
      </c>
      <c r="M10" s="53">
        <f>M6*Цели!D12</f>
        <v>0</v>
      </c>
      <c r="N10" s="60">
        <f t="shared" si="2"/>
        <v>32961.735764437501</v>
      </c>
      <c r="P10" s="1"/>
      <c r="Q10" s="29" t="s">
        <v>35</v>
      </c>
      <c r="R10" s="27">
        <v>1.1999999999999999E-3</v>
      </c>
    </row>
    <row r="11" spans="1:18" ht="12.75" customHeight="1">
      <c r="A11" s="46" t="s">
        <v>44</v>
      </c>
      <c r="B11" s="46" t="s">
        <v>8</v>
      </c>
      <c r="C11" s="47">
        <f>VLOOKUP($B$4,Условия!$B$3:$E$59,4,TRUE)</f>
        <v>15000</v>
      </c>
      <c r="D11" s="47">
        <f>Цели!H10</f>
        <v>158380.45000000001</v>
      </c>
      <c r="E11" s="48">
        <f>Цели!I10</f>
        <v>0.15961004208809523</v>
      </c>
      <c r="F11" s="49">
        <v>168</v>
      </c>
      <c r="G11" s="49">
        <v>113</v>
      </c>
      <c r="H11" s="50">
        <f t="shared" ref="H11" si="3">G11/F11</f>
        <v>0.67261904761904767</v>
      </c>
      <c r="I11" s="51">
        <f t="shared" si="1"/>
        <v>10089.285714285716</v>
      </c>
      <c r="J11" s="50" t="e">
        <f>#REF!</f>
        <v>#REF!</v>
      </c>
      <c r="K11" s="50"/>
      <c r="L11" s="52">
        <f>VLOOKUP($B$4,Условия!$B$3:$F$59,5,TRUE)*INDEX(Цели!$D$18:$D$50,MATCH(Ведомость!A11,Цели!$A$18:$A$50,0)+4)</f>
        <v>3591.2259469821429</v>
      </c>
      <c r="M11" s="53">
        <f>M6*Цели!H12</f>
        <v>0</v>
      </c>
      <c r="N11" s="60">
        <f t="shared" si="2"/>
        <v>13680.511661267858</v>
      </c>
      <c r="P11" s="1"/>
      <c r="Q11" s="1"/>
      <c r="R11" s="1"/>
    </row>
    <row r="12" spans="1:18">
      <c r="A12" s="46" t="s">
        <v>56</v>
      </c>
      <c r="B12" s="46" t="s">
        <v>8</v>
      </c>
      <c r="C12" s="47">
        <f>VLOOKUP($B$4,Условия!$B$3:$E$59,4,TRUE)</f>
        <v>15000</v>
      </c>
      <c r="D12" s="47">
        <f>Цели!J10</f>
        <v>673013.05</v>
      </c>
      <c r="E12" s="48">
        <f>Цели!K10</f>
        <v>0.714559540252381</v>
      </c>
      <c r="F12" s="49">
        <v>183</v>
      </c>
      <c r="G12" s="49">
        <v>167</v>
      </c>
      <c r="H12" s="50">
        <f t="shared" si="0"/>
        <v>0.91256830601092898</v>
      </c>
      <c r="I12" s="51">
        <f>IF(H12&gt;=1,C12,IF(H12&lt;1,C12*H12,0))</f>
        <v>13688.524590163935</v>
      </c>
      <c r="J12" s="50"/>
      <c r="K12" s="50"/>
      <c r="L12" s="52">
        <f>VLOOKUP($B$4,Условия!$B$3:$F$59,5,TRUE)*INDEX(Цели!$D$18:$D$50,MATCH(Ведомость!A12,Цели!$A$18:$A$50,0)+4)</f>
        <v>16703.169827839287</v>
      </c>
      <c r="M12" s="53">
        <f>M6*Цели!J12</f>
        <v>0</v>
      </c>
      <c r="N12" s="60">
        <f t="shared" si="2"/>
        <v>30391.694418003222</v>
      </c>
      <c r="P12" s="1"/>
      <c r="Q12" s="63"/>
      <c r="R12" s="63"/>
    </row>
    <row r="13" spans="1:18">
      <c r="A13" s="56" t="s">
        <v>4</v>
      </c>
      <c r="B13" s="56"/>
      <c r="C13" s="57">
        <f>SUM(C8:C12)</f>
        <v>75000</v>
      </c>
      <c r="D13" s="57">
        <f>SUM(D8:D12)</f>
        <v>2911399.05</v>
      </c>
      <c r="E13" s="57"/>
      <c r="F13" s="58"/>
      <c r="G13" s="58"/>
      <c r="H13" s="58"/>
      <c r="I13" s="57">
        <f>SUM(I8:I12)</f>
        <v>65187.384772534759</v>
      </c>
      <c r="J13" s="57" t="e">
        <f t="shared" ref="J13:L13" si="4">SUM(J8:J12)</f>
        <v>#REF!</v>
      </c>
      <c r="K13" s="57">
        <f t="shared" si="4"/>
        <v>0</v>
      </c>
      <c r="L13" s="57">
        <f t="shared" si="4"/>
        <v>66330.809564223222</v>
      </c>
      <c r="M13" s="59">
        <f>SUM(M8:M12)</f>
        <v>0</v>
      </c>
      <c r="N13" s="59">
        <f>SUM(N8:N12)</f>
        <v>131518.19433675797</v>
      </c>
      <c r="P13" s="1"/>
      <c r="Q13" s="1"/>
      <c r="R13" s="1"/>
    </row>
    <row r="15" spans="1:18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7" spans="14:15">
      <c r="N17" s="69"/>
    </row>
    <row r="19" spans="14:15">
      <c r="N19" s="69"/>
    </row>
    <row r="21" spans="14:15">
      <c r="N21" s="69"/>
    </row>
    <row r="23" spans="14:15">
      <c r="N23" s="69"/>
    </row>
    <row r="24" spans="14:15" ht="12.75" customHeight="1">
      <c r="O24" s="1"/>
    </row>
  </sheetData>
  <mergeCells count="1">
    <mergeCell ref="Q6:R6"/>
  </mergeCells>
  <conditionalFormatting sqref="D8:D12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N8:N12">
    <cfRule type="dataBar" priority="20">
      <dataBar>
        <cfvo type="min" val="0"/>
        <cfvo type="max" val="0"/>
        <color rgb="FF63C384"/>
      </dataBar>
    </cfRule>
  </conditionalFormatting>
  <conditionalFormatting sqref="I8:I12">
    <cfRule type="dataBar" priority="21">
      <dataBar>
        <cfvo type="min" val="0"/>
        <cfvo type="max" val="0"/>
        <color rgb="FF63C384"/>
      </dataBar>
    </cfRule>
  </conditionalFormatting>
  <conditionalFormatting sqref="L8:L12">
    <cfRule type="dataBar" priority="22">
      <dataBar>
        <cfvo type="min" val="0"/>
        <cfvo type="max" val="0"/>
        <color rgb="FF63C384"/>
      </dataBar>
    </cfRule>
  </conditionalFormatting>
  <pageMargins left="0" right="0" top="0" bottom="0" header="0.51181102362204722" footer="0.51181102362204722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P50"/>
  <sheetViews>
    <sheetView workbookViewId="0">
      <selection activeCell="C41" sqref="C41"/>
    </sheetView>
  </sheetViews>
  <sheetFormatPr defaultRowHeight="12"/>
  <cols>
    <col min="1" max="1" width="35.28515625" style="1" customWidth="1"/>
    <col min="2" max="2" width="10" style="1" customWidth="1"/>
    <col min="3" max="3" width="9.85546875" style="1" customWidth="1"/>
    <col min="4" max="9" width="8.85546875" style="1" customWidth="1"/>
    <col min="10" max="10" width="9.28515625" style="1" customWidth="1"/>
    <col min="11" max="11" width="8.85546875" style="1" customWidth="1"/>
    <col min="12" max="12" width="9" style="1" customWidth="1"/>
    <col min="13" max="13" width="9.140625" style="1"/>
    <col min="14" max="14" width="6.7109375" style="1" customWidth="1"/>
    <col min="15" max="15" width="10" style="1" customWidth="1"/>
    <col min="16" max="16384" width="9.140625" style="1"/>
  </cols>
  <sheetData>
    <row r="2" spans="1:16" ht="15" customHeight="1" thickBot="1">
      <c r="A2" s="134" t="s">
        <v>16</v>
      </c>
      <c r="B2" s="137" t="s">
        <v>20</v>
      </c>
      <c r="C2" s="140" t="s">
        <v>21</v>
      </c>
      <c r="D2" s="147" t="s">
        <v>17</v>
      </c>
      <c r="E2" s="148"/>
      <c r="F2" s="148"/>
      <c r="G2" s="148"/>
      <c r="H2" s="148"/>
      <c r="I2" s="148"/>
      <c r="J2" s="148"/>
      <c r="K2" s="148"/>
      <c r="L2" s="145" t="s">
        <v>42</v>
      </c>
      <c r="M2" s="146"/>
      <c r="O2" s="132" t="s">
        <v>59</v>
      </c>
      <c r="P2" s="133">
        <v>0.6</v>
      </c>
    </row>
    <row r="3" spans="1:16" ht="15" customHeight="1">
      <c r="A3" s="135"/>
      <c r="B3" s="138"/>
      <c r="C3" s="141"/>
      <c r="D3" s="143" t="str">
        <f>Ведомость!A10</f>
        <v>Ефанов А.В.</v>
      </c>
      <c r="E3" s="144"/>
      <c r="F3" s="143" t="str">
        <f>Ведомость!A9</f>
        <v>Лобанов Г.Д.</v>
      </c>
      <c r="G3" s="144"/>
      <c r="H3" s="143" t="str">
        <f>Ведомость!A11</f>
        <v>Соловьёв В.Е.</v>
      </c>
      <c r="I3" s="144"/>
      <c r="J3" s="143" t="str">
        <f>Ведомость!A12</f>
        <v>Столяров К.Е.</v>
      </c>
      <c r="K3" s="144"/>
      <c r="L3" s="143" t="str">
        <f>Ведомость!A8</f>
        <v>Сизоненко В.Н.</v>
      </c>
      <c r="M3" s="144"/>
      <c r="O3" s="132"/>
      <c r="P3" s="133"/>
    </row>
    <row r="4" spans="1:16" ht="12.75" thickBot="1">
      <c r="A4" s="136"/>
      <c r="B4" s="139"/>
      <c r="C4" s="142"/>
      <c r="D4" s="2" t="s">
        <v>5</v>
      </c>
      <c r="E4" s="3" t="s">
        <v>18</v>
      </c>
      <c r="F4" s="4" t="s">
        <v>5</v>
      </c>
      <c r="G4" s="3" t="s">
        <v>18</v>
      </c>
      <c r="H4" s="4" t="s">
        <v>5</v>
      </c>
      <c r="I4" s="3" t="s">
        <v>18</v>
      </c>
      <c r="J4" s="2" t="s">
        <v>5</v>
      </c>
      <c r="K4" s="3" t="s">
        <v>18</v>
      </c>
      <c r="L4" s="2" t="s">
        <v>5</v>
      </c>
      <c r="M4" s="3" t="s">
        <v>18</v>
      </c>
    </row>
    <row r="5" spans="1:16">
      <c r="A5" s="70" t="s">
        <v>36</v>
      </c>
      <c r="B5" s="19">
        <v>900000</v>
      </c>
      <c r="C5" s="5">
        <f>B5/4.29</f>
        <v>209790.20979020977</v>
      </c>
      <c r="D5" s="16">
        <v>264902</v>
      </c>
      <c r="E5" s="6">
        <f>D5/C5</f>
        <v>1.2626995333333335</v>
      </c>
      <c r="F5" s="18">
        <v>283447.69999999995</v>
      </c>
      <c r="G5" s="6">
        <f>F5/C5</f>
        <v>1.3511007033333333</v>
      </c>
      <c r="H5" s="18">
        <v>58395.400000000009</v>
      </c>
      <c r="I5" s="6">
        <f>H5/C5</f>
        <v>0.27835140666666675</v>
      </c>
      <c r="J5" s="16">
        <v>242761.9</v>
      </c>
      <c r="K5" s="6">
        <f>J5/C5</f>
        <v>1.1571650566666667</v>
      </c>
      <c r="L5" s="16">
        <v>128866.20000000001</v>
      </c>
      <c r="M5" s="6">
        <f>L5/C5</f>
        <v>0.61426222000000008</v>
      </c>
    </row>
    <row r="6" spans="1:16">
      <c r="A6" s="70" t="s">
        <v>37</v>
      </c>
      <c r="B6" s="19">
        <v>1250000</v>
      </c>
      <c r="C6" s="5">
        <f t="shared" ref="C6:C8" si="0">B6/4.29</f>
        <v>291375.29137529136</v>
      </c>
      <c r="D6" s="17">
        <v>192510.8</v>
      </c>
      <c r="E6" s="6">
        <f t="shared" ref="E6:E8" si="1">D6/C6</f>
        <v>0.66069706559999997</v>
      </c>
      <c r="F6" s="19">
        <v>262052.90000000002</v>
      </c>
      <c r="G6" s="6">
        <f t="shared" ref="G6:G8" si="2">F6/C6</f>
        <v>0.89936555280000008</v>
      </c>
      <c r="H6" s="19">
        <v>52000.2</v>
      </c>
      <c r="I6" s="6">
        <f t="shared" ref="I6:I8" si="3">H6/C6</f>
        <v>0.17846468639999999</v>
      </c>
      <c r="J6" s="17">
        <v>160030.6</v>
      </c>
      <c r="K6" s="6">
        <f t="shared" ref="K6:K8" si="4">J6/C6</f>
        <v>0.5492250192</v>
      </c>
      <c r="L6" s="17">
        <v>71748.399999999994</v>
      </c>
      <c r="M6" s="6">
        <f>L6/C6</f>
        <v>0.24624050880000001</v>
      </c>
    </row>
    <row r="7" spans="1:16">
      <c r="A7" s="71" t="s">
        <v>28</v>
      </c>
      <c r="B7" s="19">
        <v>350000</v>
      </c>
      <c r="C7" s="5">
        <f t="shared" si="0"/>
        <v>81585.081585081585</v>
      </c>
      <c r="D7" s="17">
        <v>50379</v>
      </c>
      <c r="E7" s="6">
        <f t="shared" si="1"/>
        <v>0.61750260000000001</v>
      </c>
      <c r="F7" s="19">
        <v>44009.7</v>
      </c>
      <c r="G7" s="6">
        <f t="shared" si="2"/>
        <v>0.53943317999999996</v>
      </c>
      <c r="H7" s="19">
        <v>4723.5</v>
      </c>
      <c r="I7" s="6">
        <f t="shared" si="3"/>
        <v>5.7896614285714285E-2</v>
      </c>
      <c r="J7" s="17">
        <v>40333.25</v>
      </c>
      <c r="K7" s="6">
        <f t="shared" si="4"/>
        <v>0.49437040714285713</v>
      </c>
      <c r="L7" s="17">
        <v>29400.5</v>
      </c>
      <c r="M7" s="6">
        <f>L7/C7</f>
        <v>0.36036612857142858</v>
      </c>
    </row>
    <row r="8" spans="1:16">
      <c r="A8" s="71" t="s">
        <v>19</v>
      </c>
      <c r="B8" s="19">
        <v>1500000</v>
      </c>
      <c r="C8" s="5">
        <f t="shared" si="0"/>
        <v>349650.34965034964</v>
      </c>
      <c r="D8" s="17">
        <v>284672.17</v>
      </c>
      <c r="E8" s="6">
        <f t="shared" si="1"/>
        <v>0.81416240620000002</v>
      </c>
      <c r="F8" s="19">
        <v>278292.06</v>
      </c>
      <c r="G8" s="6">
        <f t="shared" si="2"/>
        <v>0.79591529159999996</v>
      </c>
      <c r="H8" s="19">
        <v>43261.35</v>
      </c>
      <c r="I8" s="6">
        <f t="shared" si="3"/>
        <v>0.123727461</v>
      </c>
      <c r="J8" s="17">
        <v>229887.3</v>
      </c>
      <c r="K8" s="6">
        <f t="shared" si="4"/>
        <v>0.65747767800000001</v>
      </c>
      <c r="L8" s="17">
        <v>189724.12</v>
      </c>
      <c r="M8" s="6">
        <f>L8/C8</f>
        <v>0.54261098320000001</v>
      </c>
    </row>
    <row r="9" spans="1:16" ht="12.75">
      <c r="A9" s="21"/>
      <c r="B9" s="22"/>
      <c r="C9" s="5"/>
      <c r="D9" s="17"/>
      <c r="E9" s="6"/>
      <c r="F9" s="19"/>
      <c r="G9" s="6"/>
      <c r="H9" s="19"/>
      <c r="I9" s="6"/>
      <c r="J9" s="17"/>
      <c r="K9" s="6"/>
      <c r="L9" s="17"/>
      <c r="M9" s="6"/>
    </row>
    <row r="10" spans="1:16" s="10" customFormat="1" ht="12.75" thickBot="1">
      <c r="A10" s="7" t="s">
        <v>4</v>
      </c>
      <c r="B10" s="11">
        <f>SUM(B5:B9)</f>
        <v>4000000</v>
      </c>
      <c r="C10" s="11">
        <f>SUM(C5:C9)</f>
        <v>932400.9324009323</v>
      </c>
      <c r="D10" s="8">
        <f>SUM(D5:D9)</f>
        <v>792463.97</v>
      </c>
      <c r="E10" s="14">
        <f>AVERAGE(E5:E8)</f>
        <v>0.83876540128333332</v>
      </c>
      <c r="F10" s="9">
        <f>SUM(F5:F9)</f>
        <v>867802.35999999987</v>
      </c>
      <c r="G10" s="14">
        <f>AVERAGE(G5:G8)</f>
        <v>0.89645368193333341</v>
      </c>
      <c r="H10" s="9">
        <f>SUM(H5:H9)</f>
        <v>158380.45000000001</v>
      </c>
      <c r="I10" s="14">
        <f>AVERAGE(I5:I8)</f>
        <v>0.15961004208809523</v>
      </c>
      <c r="J10" s="8">
        <f>SUM(J5:J9)</f>
        <v>673013.05</v>
      </c>
      <c r="K10" s="73">
        <f>AVERAGE(K5:K8)</f>
        <v>0.714559540252381</v>
      </c>
      <c r="L10" s="8">
        <f>SUM(L5:L9)</f>
        <v>419739.22</v>
      </c>
      <c r="M10" s="73">
        <f>AVERAGE(M5:M8)</f>
        <v>0.44086996014285718</v>
      </c>
    </row>
    <row r="12" spans="1:16" s="15" customFormat="1">
      <c r="A12" s="24" t="s">
        <v>24</v>
      </c>
      <c r="D12" s="25"/>
      <c r="E12" s="23"/>
      <c r="F12" s="25"/>
      <c r="G12" s="23"/>
      <c r="H12" s="25"/>
      <c r="I12" s="23"/>
      <c r="J12" s="25"/>
      <c r="K12" s="23"/>
      <c r="L12" s="72"/>
    </row>
    <row r="13" spans="1:16">
      <c r="E13" s="13"/>
      <c r="I13" s="12"/>
    </row>
    <row r="14" spans="1:16">
      <c r="A14" s="10" t="s">
        <v>4</v>
      </c>
      <c r="D14" s="26">
        <f>SUM(D10,D12)</f>
        <v>792463.97</v>
      </c>
      <c r="E14" s="26"/>
      <c r="F14" s="26">
        <f>SUM(F10,F12)</f>
        <v>867802.35999999987</v>
      </c>
      <c r="G14" s="26"/>
      <c r="H14" s="26">
        <f t="shared" ref="H14" si="5">SUM(H10,H12)</f>
        <v>158380.45000000001</v>
      </c>
      <c r="I14" s="26"/>
      <c r="J14" s="26">
        <f>SUM(J10,J12)</f>
        <v>673013.05</v>
      </c>
      <c r="K14" s="26"/>
      <c r="L14" s="26">
        <f>SUM(L10,L12)</f>
        <v>419739.22</v>
      </c>
    </row>
    <row r="16" spans="1:16">
      <c r="D16" s="63"/>
      <c r="I16" s="20"/>
    </row>
    <row r="17" spans="1:10">
      <c r="D17" s="64"/>
      <c r="E17" s="61"/>
      <c r="F17" s="62"/>
      <c r="G17" s="62"/>
      <c r="H17" s="62"/>
      <c r="I17" s="61"/>
    </row>
    <row r="18" spans="1:10">
      <c r="A18" s="74" t="str">
        <f>D3</f>
        <v>Ефанов А.В.</v>
      </c>
      <c r="B18" s="67" t="s">
        <v>47</v>
      </c>
      <c r="C18" s="67" t="s">
        <v>5</v>
      </c>
      <c r="D18" s="68" t="s">
        <v>48</v>
      </c>
      <c r="E18" s="67" t="s">
        <v>49</v>
      </c>
    </row>
    <row r="19" spans="1:10">
      <c r="A19" s="66" t="s">
        <v>45</v>
      </c>
      <c r="B19" s="75">
        <f>C10</f>
        <v>932400.9324009323</v>
      </c>
      <c r="C19" s="75">
        <f>D10</f>
        <v>792463.97</v>
      </c>
      <c r="D19" s="76">
        <f>E10</f>
        <v>0.83876540128333332</v>
      </c>
      <c r="E19" s="77">
        <v>0.5</v>
      </c>
    </row>
    <row r="20" spans="1:10">
      <c r="A20" s="66" t="s">
        <v>46</v>
      </c>
      <c r="B20" s="82">
        <f>P2</f>
        <v>0.6</v>
      </c>
      <c r="C20" s="82">
        <v>0.45469999999999999</v>
      </c>
      <c r="D20" s="76">
        <f>C20/B20</f>
        <v>0.75783333333333336</v>
      </c>
      <c r="E20" s="83">
        <v>0.5</v>
      </c>
    </row>
    <row r="21" spans="1:10">
      <c r="A21" s="78" t="s">
        <v>58</v>
      </c>
      <c r="B21" s="84"/>
      <c r="C21" s="85"/>
      <c r="D21" s="80" t="str">
        <f>IF(AND(D19&gt;70%,D20&gt;70%),"Да","Нет")</f>
        <v>Да</v>
      </c>
      <c r="E21" s="88"/>
      <c r="I21" s="20"/>
      <c r="J21" s="13"/>
    </row>
    <row r="22" spans="1:10">
      <c r="A22" s="79" t="s">
        <v>50</v>
      </c>
      <c r="B22" s="86"/>
      <c r="C22" s="87"/>
      <c r="D22" s="81">
        <f>IF(D21="Да",SUMPRODUCT(D19:D20,E19:E20),MIN(D19:D20))</f>
        <v>0.7982993673083334</v>
      </c>
      <c r="E22" s="89"/>
    </row>
    <row r="23" spans="1:10">
      <c r="D23" s="20"/>
    </row>
    <row r="25" spans="1:10">
      <c r="A25" s="74" t="str">
        <f>F3</f>
        <v>Лобанов Г.Д.</v>
      </c>
      <c r="B25" s="67" t="s">
        <v>47</v>
      </c>
      <c r="C25" s="67" t="s">
        <v>5</v>
      </c>
      <c r="D25" s="68" t="s">
        <v>48</v>
      </c>
      <c r="E25" s="67" t="s">
        <v>49</v>
      </c>
    </row>
    <row r="26" spans="1:10">
      <c r="A26" s="66" t="s">
        <v>45</v>
      </c>
      <c r="B26" s="75">
        <f>C10</f>
        <v>932400.9324009323</v>
      </c>
      <c r="C26" s="75">
        <f>F10</f>
        <v>867802.35999999987</v>
      </c>
      <c r="D26" s="76">
        <f>G10</f>
        <v>0.89645368193333341</v>
      </c>
      <c r="E26" s="77">
        <v>0.5</v>
      </c>
    </row>
    <row r="27" spans="1:10">
      <c r="A27" s="66" t="s">
        <v>46</v>
      </c>
      <c r="B27" s="82">
        <f>P2</f>
        <v>0.6</v>
      </c>
      <c r="C27" s="82">
        <v>0.4304</v>
      </c>
      <c r="D27" s="76">
        <f>C27/B27</f>
        <v>0.71733333333333338</v>
      </c>
      <c r="E27" s="83">
        <v>0.5</v>
      </c>
    </row>
    <row r="28" spans="1:10">
      <c r="A28" s="78" t="s">
        <v>58</v>
      </c>
      <c r="B28" s="84"/>
      <c r="C28" s="85"/>
      <c r="D28" s="80" t="str">
        <f>IF(AND(D26&gt;70%,D27&gt;70%),"Да","Нет")</f>
        <v>Да</v>
      </c>
      <c r="E28" s="88"/>
    </row>
    <row r="29" spans="1:10">
      <c r="A29" s="79" t="s">
        <v>50</v>
      </c>
      <c r="B29" s="86"/>
      <c r="C29" s="87"/>
      <c r="D29" s="81">
        <f>IF(D28="Да",SUMPRODUCT(D26:D27,E26:E27),MIN(D26:D27))</f>
        <v>0.80689350763333345</v>
      </c>
      <c r="E29" s="89"/>
    </row>
    <row r="32" spans="1:10">
      <c r="A32" s="74" t="str">
        <f>H3</f>
        <v>Соловьёв В.Е.</v>
      </c>
      <c r="B32" s="67" t="s">
        <v>47</v>
      </c>
      <c r="C32" s="67" t="s">
        <v>5</v>
      </c>
      <c r="D32" s="68" t="s">
        <v>48</v>
      </c>
      <c r="E32" s="67" t="s">
        <v>49</v>
      </c>
    </row>
    <row r="33" spans="1:5">
      <c r="A33" s="66" t="s">
        <v>45</v>
      </c>
      <c r="B33" s="75">
        <f>C10</f>
        <v>932400.9324009323</v>
      </c>
      <c r="C33" s="75">
        <f>H10</f>
        <v>158380.45000000001</v>
      </c>
      <c r="D33" s="76">
        <f>I10</f>
        <v>0.15961004208809523</v>
      </c>
      <c r="E33" s="77">
        <v>0.5</v>
      </c>
    </row>
    <row r="34" spans="1:5">
      <c r="A34" s="66" t="s">
        <v>46</v>
      </c>
      <c r="B34" s="82">
        <f>P2</f>
        <v>0.6</v>
      </c>
      <c r="C34" s="82">
        <v>0.46279999999999999</v>
      </c>
      <c r="D34" s="76">
        <f>C34/B34</f>
        <v>0.77133333333333332</v>
      </c>
      <c r="E34" s="83">
        <v>0.5</v>
      </c>
    </row>
    <row r="35" spans="1:5">
      <c r="A35" s="78" t="s">
        <v>58</v>
      </c>
      <c r="B35" s="84"/>
      <c r="C35" s="85"/>
      <c r="D35" s="80" t="str">
        <f>IF(AND(D33&gt;70%,D34&gt;70%),"Да","Нет")</f>
        <v>Нет</v>
      </c>
      <c r="E35" s="88"/>
    </row>
    <row r="36" spans="1:5">
      <c r="A36" s="79" t="s">
        <v>50</v>
      </c>
      <c r="B36" s="86"/>
      <c r="C36" s="87"/>
      <c r="D36" s="81">
        <f>IF(D35="Да",SUMPRODUCT(D33:D34,E33:E34),MIN(D33:D34))</f>
        <v>0.15961004208809523</v>
      </c>
      <c r="E36" s="89"/>
    </row>
    <row r="39" spans="1:5">
      <c r="A39" s="74" t="str">
        <f>J3</f>
        <v>Столяров К.Е.</v>
      </c>
      <c r="B39" s="67" t="s">
        <v>47</v>
      </c>
      <c r="C39" s="67" t="s">
        <v>5</v>
      </c>
      <c r="D39" s="68" t="s">
        <v>48</v>
      </c>
      <c r="E39" s="67" t="s">
        <v>49</v>
      </c>
    </row>
    <row r="40" spans="1:5">
      <c r="A40" s="66" t="s">
        <v>45</v>
      </c>
      <c r="B40" s="75">
        <f>C10</f>
        <v>932400.9324009323</v>
      </c>
      <c r="C40" s="75">
        <f>J10</f>
        <v>673013.05</v>
      </c>
      <c r="D40" s="76">
        <f>K10</f>
        <v>0.714559540252381</v>
      </c>
      <c r="E40" s="77">
        <v>0.5</v>
      </c>
    </row>
    <row r="41" spans="1:5">
      <c r="A41" s="66" t="s">
        <v>46</v>
      </c>
      <c r="B41" s="82">
        <f>P2</f>
        <v>0.6</v>
      </c>
      <c r="C41" s="82">
        <v>0.46210000000000001</v>
      </c>
      <c r="D41" s="76">
        <f>C41/B41</f>
        <v>0.77016666666666667</v>
      </c>
      <c r="E41" s="83">
        <v>0.5</v>
      </c>
    </row>
    <row r="42" spans="1:5">
      <c r="A42" s="78" t="s">
        <v>58</v>
      </c>
      <c r="B42" s="84"/>
      <c r="C42" s="85"/>
      <c r="D42" s="80" t="str">
        <f>IF(AND(D40&gt;70%,D41&gt;70%),"Да","Нет")</f>
        <v>Да</v>
      </c>
      <c r="E42" s="88"/>
    </row>
    <row r="43" spans="1:5">
      <c r="A43" s="79" t="s">
        <v>50</v>
      </c>
      <c r="B43" s="86"/>
      <c r="C43" s="87"/>
      <c r="D43" s="81">
        <f>IF(D42="Да",SUMPRODUCT(D40:D41,E40:E41),MIN(D40:D41))</f>
        <v>0.74236310345952383</v>
      </c>
      <c r="E43" s="89"/>
    </row>
    <row r="46" spans="1:5">
      <c r="A46" s="74" t="str">
        <f>L3</f>
        <v>Сизоненко В.Н.</v>
      </c>
      <c r="B46" s="67" t="s">
        <v>47</v>
      </c>
      <c r="C46" s="67" t="s">
        <v>5</v>
      </c>
      <c r="D46" s="68" t="s">
        <v>48</v>
      </c>
      <c r="E46" s="67" t="s">
        <v>49</v>
      </c>
    </row>
    <row r="47" spans="1:5">
      <c r="A47" s="66" t="s">
        <v>45</v>
      </c>
      <c r="B47" s="75">
        <f>C10</f>
        <v>932400.9324009323</v>
      </c>
      <c r="C47" s="75">
        <f>L10</f>
        <v>419739.22</v>
      </c>
      <c r="D47" s="76">
        <f>M10</f>
        <v>0.44086996014285718</v>
      </c>
      <c r="E47" s="77">
        <v>0.5</v>
      </c>
    </row>
    <row r="48" spans="1:5">
      <c r="A48" s="66" t="s">
        <v>46</v>
      </c>
      <c r="B48" s="82">
        <f>P2</f>
        <v>0.6</v>
      </c>
      <c r="C48" s="82">
        <v>0.48089999999999999</v>
      </c>
      <c r="D48" s="76">
        <f>C48/B48</f>
        <v>0.80149999999999999</v>
      </c>
      <c r="E48" s="83">
        <v>0.5</v>
      </c>
    </row>
    <row r="49" spans="1:5">
      <c r="A49" s="78" t="s">
        <v>58</v>
      </c>
      <c r="B49" s="84"/>
      <c r="C49" s="85"/>
      <c r="D49" s="80" t="str">
        <f>IF(AND(D47&gt;70%,D48&gt;70%),"Да","Нет")</f>
        <v>Нет</v>
      </c>
      <c r="E49" s="88"/>
    </row>
    <row r="50" spans="1:5">
      <c r="A50" s="79" t="s">
        <v>50</v>
      </c>
      <c r="B50" s="86"/>
      <c r="C50" s="87"/>
      <c r="D50" s="81">
        <f>IF(D49="Да",SUMPRODUCT(D47:D48,E47:E48),MIN(D47:D48))</f>
        <v>0.44086996014285718</v>
      </c>
      <c r="E50" s="89"/>
    </row>
  </sheetData>
  <mergeCells count="12">
    <mergeCell ref="O2:O3"/>
    <mergeCell ref="P2:P3"/>
    <mergeCell ref="A2:A4"/>
    <mergeCell ref="B2:B4"/>
    <mergeCell ref="C2:C4"/>
    <mergeCell ref="L3:M3"/>
    <mergeCell ref="D3:E3"/>
    <mergeCell ref="F3:G3"/>
    <mergeCell ref="H3:I3"/>
    <mergeCell ref="J3:K3"/>
    <mergeCell ref="L2:M2"/>
    <mergeCell ref="D2:K2"/>
  </mergeCell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K59"/>
  <sheetViews>
    <sheetView tabSelected="1" topLeftCell="B1" workbookViewId="0">
      <selection activeCell="G9" sqref="G9"/>
    </sheetView>
  </sheetViews>
  <sheetFormatPr defaultRowHeight="11.25" customHeight="1"/>
  <cols>
    <col min="1" max="1" width="9.140625" style="96" hidden="1" customWidth="1"/>
    <col min="2" max="2" width="14.28515625" style="96" customWidth="1"/>
    <col min="3" max="3" width="13.140625" style="96" customWidth="1"/>
    <col min="4" max="4" width="11.85546875" style="96" customWidth="1"/>
    <col min="5" max="6" width="12" style="96" customWidth="1"/>
    <col min="7" max="7" width="13.5703125" style="99" customWidth="1"/>
    <col min="8" max="8" width="10.42578125" style="96" hidden="1" customWidth="1"/>
    <col min="9" max="9" width="14.42578125" style="100" customWidth="1"/>
    <col min="10" max="10" width="6" style="100" customWidth="1"/>
    <col min="11" max="11" width="9.28515625" style="101" bestFit="1" customWidth="1"/>
    <col min="12" max="16384" width="9.140625" style="96"/>
  </cols>
  <sheetData>
    <row r="1" spans="1:11" ht="11.25" customHeight="1">
      <c r="C1" s="97"/>
      <c r="D1" s="98">
        <f>COUNT(Ведомость!D8:D12)</f>
        <v>5</v>
      </c>
      <c r="E1" s="97">
        <v>0.4</v>
      </c>
      <c r="F1" s="97">
        <v>0.6</v>
      </c>
    </row>
    <row r="2" spans="1:11" s="90" customFormat="1" ht="40.5" customHeight="1" thickBot="1">
      <c r="A2" s="90" t="s">
        <v>51</v>
      </c>
      <c r="B2" s="95" t="s">
        <v>45</v>
      </c>
      <c r="C2" s="95" t="s">
        <v>54</v>
      </c>
      <c r="D2" s="95" t="s">
        <v>55</v>
      </c>
      <c r="E2" s="95" t="s">
        <v>52</v>
      </c>
      <c r="F2" s="95" t="s">
        <v>53</v>
      </c>
      <c r="G2" s="91" t="s">
        <v>4</v>
      </c>
      <c r="I2" s="94" t="s">
        <v>57</v>
      </c>
      <c r="J2" s="94"/>
      <c r="K2" s="92" t="s">
        <v>61</v>
      </c>
    </row>
    <row r="3" spans="1:11" s="107" customFormat="1" ht="11.25" customHeight="1" thickBot="1">
      <c r="A3" s="105">
        <v>250000</v>
      </c>
      <c r="B3" s="115">
        <v>1000000</v>
      </c>
      <c r="C3" s="114">
        <f>D3*$D$1</f>
        <v>100000</v>
      </c>
      <c r="D3" s="114">
        <f>K3</f>
        <v>20000</v>
      </c>
      <c r="E3" s="114">
        <f>D3*$E$1</f>
        <v>8000</v>
      </c>
      <c r="F3" s="114">
        <f>D3*$F$1</f>
        <v>12000</v>
      </c>
      <c r="G3" s="116">
        <f>SUM(E3:F3)</f>
        <v>20000</v>
      </c>
      <c r="H3" s="102"/>
      <c r="I3" s="127">
        <f>C3/B3</f>
        <v>0.1</v>
      </c>
      <c r="J3" s="127"/>
      <c r="K3" s="129">
        <v>20000</v>
      </c>
    </row>
    <row r="4" spans="1:11" s="108" customFormat="1" ht="11.25" customHeight="1">
      <c r="B4" s="117">
        <f t="shared" ref="B4:B59" si="0">B3+$A$3</f>
        <v>1250000</v>
      </c>
      <c r="C4" s="118">
        <f t="shared" ref="C4:C59" si="1">D4*$D$1</f>
        <v>112500</v>
      </c>
      <c r="D4" s="118">
        <f t="shared" ref="D4:D10" si="2">D3+K4</f>
        <v>22500</v>
      </c>
      <c r="E4" s="118">
        <f t="shared" ref="E4:E38" si="3">D4*$E$1</f>
        <v>9000</v>
      </c>
      <c r="F4" s="118">
        <f t="shared" ref="F4:F38" si="4">D4*$F$1</f>
        <v>13500</v>
      </c>
      <c r="G4" s="119">
        <f t="shared" ref="G4:G21" si="5">SUM(E4:F4)</f>
        <v>22500</v>
      </c>
      <c r="H4" s="106">
        <f>G4-G3</f>
        <v>2500</v>
      </c>
      <c r="I4" s="128">
        <f t="shared" ref="I4:I59" si="6">C4/B4</f>
        <v>0.09</v>
      </c>
      <c r="J4" s="111" t="s">
        <v>60</v>
      </c>
      <c r="K4" s="109">
        <v>2500</v>
      </c>
    </row>
    <row r="5" spans="1:11" s="107" customFormat="1" ht="11.25" customHeight="1">
      <c r="B5" s="93">
        <f t="shared" si="0"/>
        <v>1500000</v>
      </c>
      <c r="C5" s="120">
        <f t="shared" si="1"/>
        <v>125000</v>
      </c>
      <c r="D5" s="120">
        <f t="shared" si="2"/>
        <v>25000</v>
      </c>
      <c r="E5" s="120">
        <f t="shared" si="3"/>
        <v>10000</v>
      </c>
      <c r="F5" s="120">
        <f t="shared" si="4"/>
        <v>15000</v>
      </c>
      <c r="G5" s="121">
        <f t="shared" si="5"/>
        <v>25000</v>
      </c>
      <c r="H5" s="106">
        <f t="shared" ref="H5:H11" si="7">G5-G4</f>
        <v>2500</v>
      </c>
      <c r="I5" s="128">
        <f t="shared" si="6"/>
        <v>8.3333333333333329E-2</v>
      </c>
      <c r="J5" s="111" t="s">
        <v>60</v>
      </c>
      <c r="K5" s="109">
        <v>2500</v>
      </c>
    </row>
    <row r="6" spans="1:11" s="107" customFormat="1" ht="11.25" customHeight="1">
      <c r="B6" s="93">
        <f t="shared" si="0"/>
        <v>1750000</v>
      </c>
      <c r="C6" s="120">
        <f t="shared" si="1"/>
        <v>137500</v>
      </c>
      <c r="D6" s="120">
        <f t="shared" si="2"/>
        <v>27500</v>
      </c>
      <c r="E6" s="120">
        <f t="shared" si="3"/>
        <v>11000</v>
      </c>
      <c r="F6" s="120">
        <f t="shared" si="4"/>
        <v>16500</v>
      </c>
      <c r="G6" s="121">
        <f t="shared" si="5"/>
        <v>27500</v>
      </c>
      <c r="H6" s="106">
        <f t="shared" si="7"/>
        <v>2500</v>
      </c>
      <c r="I6" s="128">
        <f t="shared" si="6"/>
        <v>7.857142857142857E-2</v>
      </c>
      <c r="J6" s="111" t="s">
        <v>60</v>
      </c>
      <c r="K6" s="109">
        <v>2500</v>
      </c>
    </row>
    <row r="7" spans="1:11" s="107" customFormat="1" ht="11.25" customHeight="1">
      <c r="B7" s="93">
        <f t="shared" si="0"/>
        <v>2000000</v>
      </c>
      <c r="C7" s="120">
        <f t="shared" si="1"/>
        <v>150000</v>
      </c>
      <c r="D7" s="120">
        <f>D6+K7</f>
        <v>30000</v>
      </c>
      <c r="E7" s="120">
        <f t="shared" si="3"/>
        <v>12000</v>
      </c>
      <c r="F7" s="120">
        <f t="shared" si="4"/>
        <v>18000</v>
      </c>
      <c r="G7" s="121">
        <f t="shared" si="5"/>
        <v>30000</v>
      </c>
      <c r="H7" s="106">
        <f t="shared" si="7"/>
        <v>2500</v>
      </c>
      <c r="I7" s="128">
        <f t="shared" si="6"/>
        <v>7.4999999999999997E-2</v>
      </c>
      <c r="J7" s="111" t="s">
        <v>60</v>
      </c>
      <c r="K7" s="109">
        <v>2500</v>
      </c>
    </row>
    <row r="8" spans="1:11" s="107" customFormat="1" ht="11.25" customHeight="1">
      <c r="B8" s="93">
        <f t="shared" si="0"/>
        <v>2250000</v>
      </c>
      <c r="C8" s="120">
        <f t="shared" si="1"/>
        <v>162500</v>
      </c>
      <c r="D8" s="120">
        <f t="shared" si="2"/>
        <v>32500</v>
      </c>
      <c r="E8" s="120">
        <f t="shared" si="3"/>
        <v>13000</v>
      </c>
      <c r="F8" s="120">
        <f t="shared" si="4"/>
        <v>19500</v>
      </c>
      <c r="G8" s="121">
        <f t="shared" si="5"/>
        <v>32500</v>
      </c>
      <c r="H8" s="106">
        <f t="shared" si="7"/>
        <v>2500</v>
      </c>
      <c r="I8" s="128">
        <f t="shared" si="6"/>
        <v>7.2222222222222215E-2</v>
      </c>
      <c r="J8" s="111" t="s">
        <v>60</v>
      </c>
      <c r="K8" s="109">
        <v>2500</v>
      </c>
    </row>
    <row r="9" spans="1:11" s="107" customFormat="1" ht="11.25" customHeight="1">
      <c r="B9" s="93">
        <f t="shared" si="0"/>
        <v>2500000</v>
      </c>
      <c r="C9" s="120">
        <f t="shared" si="1"/>
        <v>175000</v>
      </c>
      <c r="D9" s="120">
        <f t="shared" si="2"/>
        <v>35000</v>
      </c>
      <c r="E9" s="120">
        <f t="shared" si="3"/>
        <v>14000</v>
      </c>
      <c r="F9" s="120">
        <f t="shared" si="4"/>
        <v>21000</v>
      </c>
      <c r="G9" s="121">
        <f t="shared" si="5"/>
        <v>35000</v>
      </c>
      <c r="H9" s="106">
        <f t="shared" si="7"/>
        <v>2500</v>
      </c>
      <c r="I9" s="128">
        <f t="shared" si="6"/>
        <v>7.0000000000000007E-2</v>
      </c>
      <c r="J9" s="111" t="s">
        <v>60</v>
      </c>
      <c r="K9" s="109">
        <v>2500</v>
      </c>
    </row>
    <row r="10" spans="1:11" s="107" customFormat="1" ht="11.25" customHeight="1" thickBot="1">
      <c r="B10" s="124">
        <f t="shared" si="0"/>
        <v>2750000</v>
      </c>
      <c r="C10" s="125">
        <f t="shared" si="1"/>
        <v>187500</v>
      </c>
      <c r="D10" s="125">
        <f t="shared" si="2"/>
        <v>37500</v>
      </c>
      <c r="E10" s="125">
        <f t="shared" si="3"/>
        <v>15000</v>
      </c>
      <c r="F10" s="125">
        <f t="shared" si="4"/>
        <v>22500</v>
      </c>
      <c r="G10" s="126">
        <f t="shared" si="5"/>
        <v>37500</v>
      </c>
      <c r="H10" s="110">
        <f t="shared" si="7"/>
        <v>2500</v>
      </c>
      <c r="I10" s="128">
        <f t="shared" si="6"/>
        <v>6.8181818181818177E-2</v>
      </c>
      <c r="J10" s="111" t="s">
        <v>60</v>
      </c>
      <c r="K10" s="109">
        <v>2500</v>
      </c>
    </row>
    <row r="11" spans="1:11" s="107" customFormat="1" ht="11.25" customHeight="1" thickBot="1">
      <c r="B11" s="122">
        <f t="shared" si="0"/>
        <v>3000000</v>
      </c>
      <c r="C11" s="114">
        <f>D11*$D$1</f>
        <v>200000</v>
      </c>
      <c r="D11" s="114">
        <f>K11</f>
        <v>40000</v>
      </c>
      <c r="E11" s="114">
        <f t="shared" si="3"/>
        <v>16000</v>
      </c>
      <c r="F11" s="114">
        <f t="shared" si="4"/>
        <v>24000</v>
      </c>
      <c r="G11" s="116">
        <f t="shared" si="5"/>
        <v>40000</v>
      </c>
      <c r="H11" s="103">
        <f t="shared" si="7"/>
        <v>2500</v>
      </c>
      <c r="I11" s="127">
        <f t="shared" si="6"/>
        <v>6.6666666666666666E-2</v>
      </c>
      <c r="J11" s="127"/>
      <c r="K11" s="113">
        <v>40000</v>
      </c>
    </row>
    <row r="12" spans="1:11" s="107" customFormat="1" ht="11.25" customHeight="1">
      <c r="B12" s="117">
        <f t="shared" si="0"/>
        <v>3250000</v>
      </c>
      <c r="C12" s="118">
        <f t="shared" si="1"/>
        <v>206250</v>
      </c>
      <c r="D12" s="118">
        <f t="shared" ref="D12:D38" si="8">D11+K12</f>
        <v>41250</v>
      </c>
      <c r="E12" s="118">
        <f t="shared" si="3"/>
        <v>16500</v>
      </c>
      <c r="F12" s="118">
        <f t="shared" si="4"/>
        <v>24750</v>
      </c>
      <c r="G12" s="119">
        <f t="shared" si="5"/>
        <v>41250</v>
      </c>
      <c r="H12" s="110">
        <f>G12-G11</f>
        <v>1250</v>
      </c>
      <c r="I12" s="128">
        <f t="shared" si="6"/>
        <v>6.3461538461538458E-2</v>
      </c>
      <c r="J12" s="111" t="s">
        <v>60</v>
      </c>
      <c r="K12" s="123">
        <v>1250</v>
      </c>
    </row>
    <row r="13" spans="1:11" s="107" customFormat="1" ht="11.25" customHeight="1">
      <c r="B13" s="93">
        <f t="shared" si="0"/>
        <v>3500000</v>
      </c>
      <c r="C13" s="120">
        <f t="shared" si="1"/>
        <v>212500</v>
      </c>
      <c r="D13" s="120">
        <f t="shared" si="8"/>
        <v>42500</v>
      </c>
      <c r="E13" s="120">
        <f t="shared" si="3"/>
        <v>17000</v>
      </c>
      <c r="F13" s="120">
        <f t="shared" si="4"/>
        <v>25500</v>
      </c>
      <c r="G13" s="121">
        <f t="shared" si="5"/>
        <v>42500</v>
      </c>
      <c r="H13" s="110">
        <f t="shared" ref="H13:H39" si="9">G13-G12</f>
        <v>1250</v>
      </c>
      <c r="I13" s="128">
        <f t="shared" si="6"/>
        <v>6.0714285714285714E-2</v>
      </c>
      <c r="J13" s="111" t="s">
        <v>60</v>
      </c>
      <c r="K13" s="123">
        <v>1250</v>
      </c>
    </row>
    <row r="14" spans="1:11" s="107" customFormat="1" ht="11.25" customHeight="1">
      <c r="B14" s="93">
        <f t="shared" si="0"/>
        <v>3750000</v>
      </c>
      <c r="C14" s="120">
        <f t="shared" si="1"/>
        <v>218750</v>
      </c>
      <c r="D14" s="120">
        <f t="shared" si="8"/>
        <v>43750</v>
      </c>
      <c r="E14" s="120">
        <f t="shared" si="3"/>
        <v>17500</v>
      </c>
      <c r="F14" s="120">
        <f t="shared" si="4"/>
        <v>26250</v>
      </c>
      <c r="G14" s="121">
        <f>SUM(E14:F14)</f>
        <v>43750</v>
      </c>
      <c r="H14" s="110">
        <f t="shared" si="9"/>
        <v>1250</v>
      </c>
      <c r="I14" s="128">
        <f t="shared" si="6"/>
        <v>5.8333333333333334E-2</v>
      </c>
      <c r="J14" s="111" t="s">
        <v>60</v>
      </c>
      <c r="K14" s="123">
        <v>1250</v>
      </c>
    </row>
    <row r="15" spans="1:11" s="107" customFormat="1" ht="11.25" customHeight="1">
      <c r="B15" s="93">
        <f t="shared" si="0"/>
        <v>4000000</v>
      </c>
      <c r="C15" s="120">
        <f t="shared" si="1"/>
        <v>225000</v>
      </c>
      <c r="D15" s="120">
        <f t="shared" si="8"/>
        <v>45000</v>
      </c>
      <c r="E15" s="120">
        <f t="shared" si="3"/>
        <v>18000</v>
      </c>
      <c r="F15" s="120">
        <f t="shared" si="4"/>
        <v>27000</v>
      </c>
      <c r="G15" s="121">
        <f t="shared" si="5"/>
        <v>45000</v>
      </c>
      <c r="H15" s="110">
        <f t="shared" si="9"/>
        <v>1250</v>
      </c>
      <c r="I15" s="128">
        <f t="shared" si="6"/>
        <v>5.6250000000000001E-2</v>
      </c>
      <c r="J15" s="111" t="s">
        <v>60</v>
      </c>
      <c r="K15" s="123">
        <v>1250</v>
      </c>
    </row>
    <row r="16" spans="1:11" s="107" customFormat="1" ht="11.25" customHeight="1">
      <c r="B16" s="93">
        <f t="shared" si="0"/>
        <v>4250000</v>
      </c>
      <c r="C16" s="120">
        <f t="shared" si="1"/>
        <v>231250</v>
      </c>
      <c r="D16" s="120">
        <f t="shared" si="8"/>
        <v>46250</v>
      </c>
      <c r="E16" s="120">
        <f t="shared" si="3"/>
        <v>18500</v>
      </c>
      <c r="F16" s="120">
        <f t="shared" si="4"/>
        <v>27750</v>
      </c>
      <c r="G16" s="121">
        <f t="shared" si="5"/>
        <v>46250</v>
      </c>
      <c r="H16" s="110">
        <f t="shared" si="9"/>
        <v>1250</v>
      </c>
      <c r="I16" s="128">
        <f t="shared" si="6"/>
        <v>5.4411764705882354E-2</v>
      </c>
      <c r="J16" s="111" t="s">
        <v>60</v>
      </c>
      <c r="K16" s="123">
        <v>1250</v>
      </c>
    </row>
    <row r="17" spans="2:11" s="107" customFormat="1" ht="11.25" customHeight="1">
      <c r="B17" s="93">
        <f t="shared" si="0"/>
        <v>4500000</v>
      </c>
      <c r="C17" s="120">
        <f t="shared" si="1"/>
        <v>237500</v>
      </c>
      <c r="D17" s="120">
        <f t="shared" si="8"/>
        <v>47500</v>
      </c>
      <c r="E17" s="120">
        <f t="shared" si="3"/>
        <v>19000</v>
      </c>
      <c r="F17" s="120">
        <f t="shared" si="4"/>
        <v>28500</v>
      </c>
      <c r="G17" s="121">
        <f t="shared" si="5"/>
        <v>47500</v>
      </c>
      <c r="H17" s="110">
        <f t="shared" si="9"/>
        <v>1250</v>
      </c>
      <c r="I17" s="128">
        <f t="shared" si="6"/>
        <v>5.2777777777777778E-2</v>
      </c>
      <c r="J17" s="111" t="s">
        <v>60</v>
      </c>
      <c r="K17" s="123">
        <v>1250</v>
      </c>
    </row>
    <row r="18" spans="2:11" s="107" customFormat="1" ht="11.25" customHeight="1">
      <c r="B18" s="93">
        <f t="shared" si="0"/>
        <v>4750000</v>
      </c>
      <c r="C18" s="120">
        <f t="shared" si="1"/>
        <v>243750</v>
      </c>
      <c r="D18" s="120">
        <f t="shared" si="8"/>
        <v>48750</v>
      </c>
      <c r="E18" s="120">
        <f t="shared" si="3"/>
        <v>19500</v>
      </c>
      <c r="F18" s="120">
        <f t="shared" si="4"/>
        <v>29250</v>
      </c>
      <c r="G18" s="121">
        <f t="shared" si="5"/>
        <v>48750</v>
      </c>
      <c r="H18" s="110">
        <f t="shared" si="9"/>
        <v>1250</v>
      </c>
      <c r="I18" s="128">
        <f t="shared" si="6"/>
        <v>5.131578947368421E-2</v>
      </c>
      <c r="J18" s="111" t="s">
        <v>60</v>
      </c>
      <c r="K18" s="123">
        <v>1250</v>
      </c>
    </row>
    <row r="19" spans="2:11" s="107" customFormat="1" ht="11.25" customHeight="1">
      <c r="B19" s="93">
        <f t="shared" si="0"/>
        <v>5000000</v>
      </c>
      <c r="C19" s="120">
        <f t="shared" si="1"/>
        <v>250000</v>
      </c>
      <c r="D19" s="120">
        <f t="shared" si="8"/>
        <v>50000</v>
      </c>
      <c r="E19" s="120">
        <f t="shared" si="3"/>
        <v>20000</v>
      </c>
      <c r="F19" s="120">
        <f t="shared" si="4"/>
        <v>30000</v>
      </c>
      <c r="G19" s="121">
        <f t="shared" si="5"/>
        <v>50000</v>
      </c>
      <c r="H19" s="110">
        <f t="shared" si="9"/>
        <v>1250</v>
      </c>
      <c r="I19" s="128">
        <f t="shared" si="6"/>
        <v>0.05</v>
      </c>
      <c r="J19" s="111" t="s">
        <v>60</v>
      </c>
      <c r="K19" s="123">
        <v>1250</v>
      </c>
    </row>
    <row r="20" spans="2:11" s="107" customFormat="1" ht="11.25" customHeight="1">
      <c r="B20" s="93">
        <f t="shared" si="0"/>
        <v>5250000</v>
      </c>
      <c r="C20" s="120">
        <f t="shared" si="1"/>
        <v>256250</v>
      </c>
      <c r="D20" s="120">
        <f t="shared" si="8"/>
        <v>51250</v>
      </c>
      <c r="E20" s="120">
        <f t="shared" si="3"/>
        <v>20500</v>
      </c>
      <c r="F20" s="120">
        <f t="shared" si="4"/>
        <v>30750</v>
      </c>
      <c r="G20" s="121">
        <f t="shared" si="5"/>
        <v>51250</v>
      </c>
      <c r="H20" s="106">
        <f t="shared" si="9"/>
        <v>1250</v>
      </c>
      <c r="I20" s="128">
        <f t="shared" si="6"/>
        <v>4.880952380952381E-2</v>
      </c>
      <c r="J20" s="111" t="s">
        <v>60</v>
      </c>
      <c r="K20" s="123">
        <v>1250</v>
      </c>
    </row>
    <row r="21" spans="2:11" s="107" customFormat="1" ht="11.25" customHeight="1">
      <c r="B21" s="93">
        <f t="shared" si="0"/>
        <v>5500000</v>
      </c>
      <c r="C21" s="120">
        <f t="shared" si="1"/>
        <v>262500</v>
      </c>
      <c r="D21" s="120">
        <f t="shared" si="8"/>
        <v>52500</v>
      </c>
      <c r="E21" s="120">
        <f t="shared" si="3"/>
        <v>21000</v>
      </c>
      <c r="F21" s="120">
        <f t="shared" si="4"/>
        <v>31500</v>
      </c>
      <c r="G21" s="121">
        <f t="shared" si="5"/>
        <v>52500</v>
      </c>
      <c r="H21" s="106">
        <f t="shared" si="9"/>
        <v>1250</v>
      </c>
      <c r="I21" s="128">
        <f t="shared" si="6"/>
        <v>4.7727272727272729E-2</v>
      </c>
      <c r="J21" s="111" t="s">
        <v>60</v>
      </c>
      <c r="K21" s="123">
        <v>1250</v>
      </c>
    </row>
    <row r="22" spans="2:11" s="107" customFormat="1" ht="11.25" customHeight="1">
      <c r="B22" s="93">
        <f t="shared" si="0"/>
        <v>5750000</v>
      </c>
      <c r="C22" s="120">
        <f t="shared" si="1"/>
        <v>268750</v>
      </c>
      <c r="D22" s="120">
        <f t="shared" si="8"/>
        <v>53750</v>
      </c>
      <c r="E22" s="120">
        <f t="shared" si="3"/>
        <v>21500</v>
      </c>
      <c r="F22" s="120">
        <f t="shared" si="4"/>
        <v>32250</v>
      </c>
      <c r="G22" s="121">
        <f t="shared" ref="G22:G36" si="10">SUM(E22:F22)</f>
        <v>53750</v>
      </c>
      <c r="H22" s="106">
        <f t="shared" si="9"/>
        <v>1250</v>
      </c>
      <c r="I22" s="128">
        <f t="shared" si="6"/>
        <v>4.6739130434782609E-2</v>
      </c>
      <c r="J22" s="111" t="s">
        <v>60</v>
      </c>
      <c r="K22" s="123">
        <v>1250</v>
      </c>
    </row>
    <row r="23" spans="2:11" s="107" customFormat="1" ht="11.25" customHeight="1">
      <c r="B23" s="93">
        <f t="shared" si="0"/>
        <v>6000000</v>
      </c>
      <c r="C23" s="120">
        <f t="shared" si="1"/>
        <v>275000</v>
      </c>
      <c r="D23" s="120">
        <f t="shared" si="8"/>
        <v>55000</v>
      </c>
      <c r="E23" s="120">
        <f t="shared" si="3"/>
        <v>22000</v>
      </c>
      <c r="F23" s="120">
        <f t="shared" si="4"/>
        <v>33000</v>
      </c>
      <c r="G23" s="121">
        <f t="shared" si="10"/>
        <v>55000</v>
      </c>
      <c r="H23" s="106">
        <f t="shared" si="9"/>
        <v>1250</v>
      </c>
      <c r="I23" s="128">
        <f t="shared" si="6"/>
        <v>4.583333333333333E-2</v>
      </c>
      <c r="J23" s="111" t="s">
        <v>60</v>
      </c>
      <c r="K23" s="123">
        <v>1250</v>
      </c>
    </row>
    <row r="24" spans="2:11" s="107" customFormat="1" ht="11.25" customHeight="1">
      <c r="B24" s="93">
        <f t="shared" si="0"/>
        <v>6250000</v>
      </c>
      <c r="C24" s="120">
        <f t="shared" si="1"/>
        <v>281250</v>
      </c>
      <c r="D24" s="120">
        <f t="shared" si="8"/>
        <v>56250</v>
      </c>
      <c r="E24" s="120">
        <f t="shared" si="3"/>
        <v>22500</v>
      </c>
      <c r="F24" s="120">
        <f t="shared" si="4"/>
        <v>33750</v>
      </c>
      <c r="G24" s="121">
        <f t="shared" si="10"/>
        <v>56250</v>
      </c>
      <c r="H24" s="106">
        <f t="shared" si="9"/>
        <v>1250</v>
      </c>
      <c r="I24" s="128">
        <f t="shared" si="6"/>
        <v>4.4999999999999998E-2</v>
      </c>
      <c r="J24" s="111" t="s">
        <v>60</v>
      </c>
      <c r="K24" s="123">
        <v>1250</v>
      </c>
    </row>
    <row r="25" spans="2:11" s="107" customFormat="1" ht="11.25" customHeight="1">
      <c r="B25" s="93">
        <f t="shared" si="0"/>
        <v>6500000</v>
      </c>
      <c r="C25" s="120">
        <f t="shared" si="1"/>
        <v>287500</v>
      </c>
      <c r="D25" s="120">
        <f t="shared" si="8"/>
        <v>57500</v>
      </c>
      <c r="E25" s="120">
        <f t="shared" si="3"/>
        <v>23000</v>
      </c>
      <c r="F25" s="120">
        <f t="shared" si="4"/>
        <v>34500</v>
      </c>
      <c r="G25" s="121">
        <f t="shared" si="10"/>
        <v>57500</v>
      </c>
      <c r="H25" s="106">
        <f t="shared" si="9"/>
        <v>1250</v>
      </c>
      <c r="I25" s="128">
        <f t="shared" si="6"/>
        <v>4.4230769230769233E-2</v>
      </c>
      <c r="J25" s="111" t="s">
        <v>60</v>
      </c>
      <c r="K25" s="123">
        <v>1250</v>
      </c>
    </row>
    <row r="26" spans="2:11" s="107" customFormat="1" ht="11.25" customHeight="1">
      <c r="B26" s="93">
        <f t="shared" si="0"/>
        <v>6750000</v>
      </c>
      <c r="C26" s="120">
        <f t="shared" si="1"/>
        <v>293750</v>
      </c>
      <c r="D26" s="120">
        <f t="shared" si="8"/>
        <v>58750</v>
      </c>
      <c r="E26" s="120">
        <f t="shared" si="3"/>
        <v>23500</v>
      </c>
      <c r="F26" s="120">
        <f t="shared" si="4"/>
        <v>35250</v>
      </c>
      <c r="G26" s="121">
        <f t="shared" si="10"/>
        <v>58750</v>
      </c>
      <c r="H26" s="106">
        <f t="shared" si="9"/>
        <v>1250</v>
      </c>
      <c r="I26" s="128">
        <f t="shared" si="6"/>
        <v>4.3518518518518519E-2</v>
      </c>
      <c r="J26" s="111" t="s">
        <v>60</v>
      </c>
      <c r="K26" s="123">
        <v>1250</v>
      </c>
    </row>
    <row r="27" spans="2:11" s="107" customFormat="1" ht="11.25" customHeight="1">
      <c r="B27" s="93">
        <f t="shared" si="0"/>
        <v>7000000</v>
      </c>
      <c r="C27" s="120">
        <f t="shared" si="1"/>
        <v>300000</v>
      </c>
      <c r="D27" s="120">
        <f t="shared" si="8"/>
        <v>60000</v>
      </c>
      <c r="E27" s="120">
        <f t="shared" si="3"/>
        <v>24000</v>
      </c>
      <c r="F27" s="120">
        <f t="shared" si="4"/>
        <v>36000</v>
      </c>
      <c r="G27" s="121">
        <f t="shared" si="10"/>
        <v>60000</v>
      </c>
      <c r="H27" s="106">
        <f t="shared" si="9"/>
        <v>1250</v>
      </c>
      <c r="I27" s="128">
        <f t="shared" si="6"/>
        <v>4.2857142857142858E-2</v>
      </c>
      <c r="J27" s="111" t="s">
        <v>60</v>
      </c>
      <c r="K27" s="123">
        <v>1250</v>
      </c>
    </row>
    <row r="28" spans="2:11" s="107" customFormat="1" ht="11.25" customHeight="1">
      <c r="B28" s="93">
        <f t="shared" si="0"/>
        <v>7250000</v>
      </c>
      <c r="C28" s="120">
        <f t="shared" si="1"/>
        <v>306250</v>
      </c>
      <c r="D28" s="120">
        <f t="shared" si="8"/>
        <v>61250</v>
      </c>
      <c r="E28" s="120">
        <f t="shared" si="3"/>
        <v>24500</v>
      </c>
      <c r="F28" s="120">
        <f t="shared" si="4"/>
        <v>36750</v>
      </c>
      <c r="G28" s="121">
        <f t="shared" si="10"/>
        <v>61250</v>
      </c>
      <c r="H28" s="106">
        <f t="shared" si="9"/>
        <v>1250</v>
      </c>
      <c r="I28" s="128">
        <f t="shared" si="6"/>
        <v>4.2241379310344829E-2</v>
      </c>
      <c r="J28" s="111" t="s">
        <v>60</v>
      </c>
      <c r="K28" s="123">
        <v>1250</v>
      </c>
    </row>
    <row r="29" spans="2:11" s="107" customFormat="1" ht="11.25" customHeight="1">
      <c r="B29" s="93">
        <f t="shared" si="0"/>
        <v>7500000</v>
      </c>
      <c r="C29" s="120">
        <f t="shared" si="1"/>
        <v>312500</v>
      </c>
      <c r="D29" s="120">
        <f t="shared" si="8"/>
        <v>62500</v>
      </c>
      <c r="E29" s="120">
        <f t="shared" si="3"/>
        <v>25000</v>
      </c>
      <c r="F29" s="120">
        <f t="shared" si="4"/>
        <v>37500</v>
      </c>
      <c r="G29" s="121">
        <f t="shared" si="10"/>
        <v>62500</v>
      </c>
      <c r="H29" s="106">
        <f t="shared" si="9"/>
        <v>1250</v>
      </c>
      <c r="I29" s="128">
        <f t="shared" si="6"/>
        <v>4.1666666666666664E-2</v>
      </c>
      <c r="J29" s="111" t="s">
        <v>60</v>
      </c>
      <c r="K29" s="123">
        <v>1250</v>
      </c>
    </row>
    <row r="30" spans="2:11" s="107" customFormat="1" ht="11.25" customHeight="1">
      <c r="B30" s="93">
        <f t="shared" si="0"/>
        <v>7750000</v>
      </c>
      <c r="C30" s="120">
        <f t="shared" si="1"/>
        <v>318750</v>
      </c>
      <c r="D30" s="120">
        <f t="shared" si="8"/>
        <v>63750</v>
      </c>
      <c r="E30" s="120">
        <f t="shared" si="3"/>
        <v>25500</v>
      </c>
      <c r="F30" s="120">
        <f t="shared" si="4"/>
        <v>38250</v>
      </c>
      <c r="G30" s="121">
        <f t="shared" si="10"/>
        <v>63750</v>
      </c>
      <c r="H30" s="112">
        <f t="shared" si="9"/>
        <v>1250</v>
      </c>
      <c r="I30" s="128">
        <f t="shared" si="6"/>
        <v>4.1129032258064517E-2</v>
      </c>
      <c r="J30" s="111" t="s">
        <v>60</v>
      </c>
      <c r="K30" s="123">
        <v>1250</v>
      </c>
    </row>
    <row r="31" spans="2:11" s="107" customFormat="1" ht="11.25" customHeight="1">
      <c r="B31" s="93">
        <f t="shared" si="0"/>
        <v>8000000</v>
      </c>
      <c r="C31" s="120">
        <f t="shared" si="1"/>
        <v>325000</v>
      </c>
      <c r="D31" s="120">
        <f t="shared" si="8"/>
        <v>65000</v>
      </c>
      <c r="E31" s="120">
        <f t="shared" si="3"/>
        <v>26000</v>
      </c>
      <c r="F31" s="120">
        <f t="shared" si="4"/>
        <v>39000</v>
      </c>
      <c r="G31" s="121">
        <f t="shared" si="10"/>
        <v>65000</v>
      </c>
      <c r="H31" s="112">
        <f t="shared" si="9"/>
        <v>1250</v>
      </c>
      <c r="I31" s="128">
        <f t="shared" si="6"/>
        <v>4.0625000000000001E-2</v>
      </c>
      <c r="J31" s="111" t="s">
        <v>60</v>
      </c>
      <c r="K31" s="123">
        <v>1250</v>
      </c>
    </row>
    <row r="32" spans="2:11" s="107" customFormat="1" ht="11.25" customHeight="1">
      <c r="B32" s="93">
        <f t="shared" si="0"/>
        <v>8250000</v>
      </c>
      <c r="C32" s="120">
        <f t="shared" si="1"/>
        <v>331250</v>
      </c>
      <c r="D32" s="120">
        <f t="shared" si="8"/>
        <v>66250</v>
      </c>
      <c r="E32" s="120">
        <f t="shared" si="3"/>
        <v>26500</v>
      </c>
      <c r="F32" s="120">
        <f t="shared" si="4"/>
        <v>39750</v>
      </c>
      <c r="G32" s="121">
        <f t="shared" si="10"/>
        <v>66250</v>
      </c>
      <c r="H32" s="112">
        <f t="shared" si="9"/>
        <v>1250</v>
      </c>
      <c r="I32" s="128">
        <f t="shared" si="6"/>
        <v>4.0151515151515153E-2</v>
      </c>
      <c r="J32" s="111" t="s">
        <v>60</v>
      </c>
      <c r="K32" s="123">
        <v>1250</v>
      </c>
    </row>
    <row r="33" spans="2:11" s="107" customFormat="1" ht="11.25" customHeight="1">
      <c r="B33" s="93">
        <f t="shared" si="0"/>
        <v>8500000</v>
      </c>
      <c r="C33" s="120">
        <f t="shared" si="1"/>
        <v>337500</v>
      </c>
      <c r="D33" s="120">
        <f t="shared" si="8"/>
        <v>67500</v>
      </c>
      <c r="E33" s="120">
        <f t="shared" si="3"/>
        <v>27000</v>
      </c>
      <c r="F33" s="120">
        <f t="shared" si="4"/>
        <v>40500</v>
      </c>
      <c r="G33" s="121">
        <f t="shared" si="10"/>
        <v>67500</v>
      </c>
      <c r="H33" s="112">
        <f t="shared" si="9"/>
        <v>1250</v>
      </c>
      <c r="I33" s="128">
        <f t="shared" si="6"/>
        <v>3.9705882352941174E-2</v>
      </c>
      <c r="J33" s="111" t="s">
        <v>60</v>
      </c>
      <c r="K33" s="123">
        <v>1250</v>
      </c>
    </row>
    <row r="34" spans="2:11" s="107" customFormat="1" ht="11.25" customHeight="1">
      <c r="B34" s="93">
        <f t="shared" si="0"/>
        <v>8750000</v>
      </c>
      <c r="C34" s="120">
        <f t="shared" si="1"/>
        <v>343750</v>
      </c>
      <c r="D34" s="120">
        <f t="shared" si="8"/>
        <v>68750</v>
      </c>
      <c r="E34" s="120">
        <f t="shared" si="3"/>
        <v>27500</v>
      </c>
      <c r="F34" s="120">
        <f t="shared" si="4"/>
        <v>41250</v>
      </c>
      <c r="G34" s="121">
        <f t="shared" si="10"/>
        <v>68750</v>
      </c>
      <c r="H34" s="112">
        <f t="shared" si="9"/>
        <v>1250</v>
      </c>
      <c r="I34" s="128">
        <f t="shared" si="6"/>
        <v>3.9285714285714285E-2</v>
      </c>
      <c r="J34" s="111" t="s">
        <v>60</v>
      </c>
      <c r="K34" s="123">
        <v>1250</v>
      </c>
    </row>
    <row r="35" spans="2:11" s="107" customFormat="1" ht="11.25" customHeight="1">
      <c r="B35" s="93">
        <f t="shared" si="0"/>
        <v>9000000</v>
      </c>
      <c r="C35" s="120">
        <f t="shared" si="1"/>
        <v>350000</v>
      </c>
      <c r="D35" s="120">
        <f t="shared" si="8"/>
        <v>70000</v>
      </c>
      <c r="E35" s="120">
        <f t="shared" si="3"/>
        <v>28000</v>
      </c>
      <c r="F35" s="120">
        <f t="shared" si="4"/>
        <v>42000</v>
      </c>
      <c r="G35" s="121">
        <f t="shared" si="10"/>
        <v>70000</v>
      </c>
      <c r="H35" s="112">
        <f t="shared" si="9"/>
        <v>1250</v>
      </c>
      <c r="I35" s="128">
        <f t="shared" si="6"/>
        <v>3.888888888888889E-2</v>
      </c>
      <c r="J35" s="111" t="s">
        <v>60</v>
      </c>
      <c r="K35" s="123">
        <v>1250</v>
      </c>
    </row>
    <row r="36" spans="2:11" s="107" customFormat="1" ht="11.25" customHeight="1">
      <c r="B36" s="93">
        <f t="shared" si="0"/>
        <v>9250000</v>
      </c>
      <c r="C36" s="120">
        <f t="shared" si="1"/>
        <v>356250</v>
      </c>
      <c r="D36" s="120">
        <f t="shared" si="8"/>
        <v>71250</v>
      </c>
      <c r="E36" s="120">
        <f t="shared" si="3"/>
        <v>28500</v>
      </c>
      <c r="F36" s="120">
        <f t="shared" si="4"/>
        <v>42750</v>
      </c>
      <c r="G36" s="121">
        <f t="shared" si="10"/>
        <v>71250</v>
      </c>
      <c r="H36" s="112">
        <f t="shared" si="9"/>
        <v>1250</v>
      </c>
      <c r="I36" s="128">
        <f t="shared" si="6"/>
        <v>3.8513513513513516E-2</v>
      </c>
      <c r="J36" s="111" t="s">
        <v>60</v>
      </c>
      <c r="K36" s="123">
        <v>1250</v>
      </c>
    </row>
    <row r="37" spans="2:11" s="107" customFormat="1" ht="11.25" customHeight="1">
      <c r="B37" s="93">
        <f t="shared" si="0"/>
        <v>9500000</v>
      </c>
      <c r="C37" s="120">
        <f t="shared" si="1"/>
        <v>362500</v>
      </c>
      <c r="D37" s="120">
        <f t="shared" si="8"/>
        <v>72500</v>
      </c>
      <c r="E37" s="120">
        <f t="shared" si="3"/>
        <v>29000</v>
      </c>
      <c r="F37" s="120">
        <f t="shared" si="4"/>
        <v>43500</v>
      </c>
      <c r="G37" s="121">
        <f t="shared" ref="G37:G38" si="11">SUM(E37:F37)</f>
        <v>72500</v>
      </c>
      <c r="H37" s="112">
        <f t="shared" si="9"/>
        <v>1250</v>
      </c>
      <c r="I37" s="128">
        <f t="shared" si="6"/>
        <v>3.8157894736842106E-2</v>
      </c>
      <c r="J37" s="111" t="s">
        <v>60</v>
      </c>
      <c r="K37" s="123">
        <v>1250</v>
      </c>
    </row>
    <row r="38" spans="2:11" s="107" customFormat="1" ht="11.25" customHeight="1" thickBot="1">
      <c r="B38" s="124">
        <f t="shared" si="0"/>
        <v>9750000</v>
      </c>
      <c r="C38" s="125">
        <f t="shared" si="1"/>
        <v>368750</v>
      </c>
      <c r="D38" s="125">
        <f t="shared" si="8"/>
        <v>73750</v>
      </c>
      <c r="E38" s="125">
        <f t="shared" si="3"/>
        <v>29500</v>
      </c>
      <c r="F38" s="125">
        <f t="shared" si="4"/>
        <v>44250</v>
      </c>
      <c r="G38" s="126">
        <f t="shared" si="11"/>
        <v>73750</v>
      </c>
      <c r="H38" s="112">
        <f t="shared" si="9"/>
        <v>1250</v>
      </c>
      <c r="I38" s="128">
        <f t="shared" si="6"/>
        <v>3.7820512820512818E-2</v>
      </c>
      <c r="J38" s="111" t="s">
        <v>60</v>
      </c>
      <c r="K38" s="123">
        <v>1250</v>
      </c>
    </row>
    <row r="39" spans="2:11" s="107" customFormat="1" ht="11.25" customHeight="1" thickBot="1">
      <c r="B39" s="122">
        <f t="shared" si="0"/>
        <v>10000000</v>
      </c>
      <c r="C39" s="114">
        <f t="shared" si="1"/>
        <v>375000</v>
      </c>
      <c r="D39" s="114">
        <f>K39</f>
        <v>75000</v>
      </c>
      <c r="E39" s="114">
        <f t="shared" ref="E39:E59" si="12">D39*$E$1</f>
        <v>30000</v>
      </c>
      <c r="F39" s="114">
        <f t="shared" ref="F39:F59" si="13">D39*$F$1</f>
        <v>45000</v>
      </c>
      <c r="G39" s="116">
        <f t="shared" ref="G39:G59" si="14">SUM(E39:F39)</f>
        <v>75000</v>
      </c>
      <c r="H39" s="104">
        <f t="shared" si="9"/>
        <v>1250</v>
      </c>
      <c r="I39" s="127">
        <f t="shared" si="6"/>
        <v>3.7499999999999999E-2</v>
      </c>
      <c r="J39" s="127"/>
      <c r="K39" s="113">
        <v>75000</v>
      </c>
    </row>
    <row r="40" spans="2:11" s="107" customFormat="1" ht="11.25" customHeight="1">
      <c r="B40" s="117">
        <f t="shared" si="0"/>
        <v>10250000</v>
      </c>
      <c r="C40" s="118">
        <f t="shared" si="1"/>
        <v>377500</v>
      </c>
      <c r="D40" s="118">
        <f t="shared" ref="D40:D58" si="15">D39+K40</f>
        <v>75500</v>
      </c>
      <c r="E40" s="118">
        <f t="shared" si="12"/>
        <v>30200</v>
      </c>
      <c r="F40" s="118">
        <f t="shared" si="13"/>
        <v>45300</v>
      </c>
      <c r="G40" s="119">
        <f t="shared" si="14"/>
        <v>75500</v>
      </c>
      <c r="H40" s="106">
        <f t="shared" ref="H40:H59" si="16">G40-G39</f>
        <v>500</v>
      </c>
      <c r="I40" s="128">
        <f t="shared" si="6"/>
        <v>3.6829268292682925E-2</v>
      </c>
      <c r="J40" s="111" t="s">
        <v>60</v>
      </c>
      <c r="K40" s="123">
        <v>500</v>
      </c>
    </row>
    <row r="41" spans="2:11" s="107" customFormat="1" ht="11.25" customHeight="1">
      <c r="B41" s="93">
        <f t="shared" si="0"/>
        <v>10500000</v>
      </c>
      <c r="C41" s="120">
        <f t="shared" si="1"/>
        <v>380000</v>
      </c>
      <c r="D41" s="120">
        <f t="shared" si="15"/>
        <v>76000</v>
      </c>
      <c r="E41" s="120">
        <f t="shared" si="12"/>
        <v>30400</v>
      </c>
      <c r="F41" s="120">
        <f t="shared" si="13"/>
        <v>45600</v>
      </c>
      <c r="G41" s="121">
        <f t="shared" si="14"/>
        <v>76000</v>
      </c>
      <c r="H41" s="106">
        <f t="shared" si="16"/>
        <v>500</v>
      </c>
      <c r="I41" s="128">
        <f t="shared" si="6"/>
        <v>3.619047619047619E-2</v>
      </c>
      <c r="J41" s="111" t="s">
        <v>60</v>
      </c>
      <c r="K41" s="123">
        <v>500</v>
      </c>
    </row>
    <row r="42" spans="2:11" s="107" customFormat="1" ht="11.25" customHeight="1">
      <c r="B42" s="93">
        <f t="shared" si="0"/>
        <v>10750000</v>
      </c>
      <c r="C42" s="120">
        <f t="shared" si="1"/>
        <v>382500</v>
      </c>
      <c r="D42" s="120">
        <f t="shared" si="15"/>
        <v>76500</v>
      </c>
      <c r="E42" s="120">
        <f t="shared" si="12"/>
        <v>30600</v>
      </c>
      <c r="F42" s="120">
        <f t="shared" si="13"/>
        <v>45900</v>
      </c>
      <c r="G42" s="121">
        <f t="shared" si="14"/>
        <v>76500</v>
      </c>
      <c r="H42" s="106">
        <f t="shared" si="16"/>
        <v>500</v>
      </c>
      <c r="I42" s="128">
        <f t="shared" si="6"/>
        <v>3.5581395348837211E-2</v>
      </c>
      <c r="J42" s="111" t="s">
        <v>60</v>
      </c>
      <c r="K42" s="123">
        <v>500</v>
      </c>
    </row>
    <row r="43" spans="2:11" s="107" customFormat="1" ht="11.25" customHeight="1">
      <c r="B43" s="93">
        <f t="shared" si="0"/>
        <v>11000000</v>
      </c>
      <c r="C43" s="120">
        <f t="shared" si="1"/>
        <v>385000</v>
      </c>
      <c r="D43" s="120">
        <f t="shared" si="15"/>
        <v>77000</v>
      </c>
      <c r="E43" s="120">
        <f t="shared" si="12"/>
        <v>30800</v>
      </c>
      <c r="F43" s="120">
        <f t="shared" si="13"/>
        <v>46200</v>
      </c>
      <c r="G43" s="121">
        <f t="shared" si="14"/>
        <v>77000</v>
      </c>
      <c r="H43" s="106">
        <f t="shared" si="16"/>
        <v>500</v>
      </c>
      <c r="I43" s="128">
        <f t="shared" si="6"/>
        <v>3.5000000000000003E-2</v>
      </c>
      <c r="J43" s="111" t="s">
        <v>60</v>
      </c>
      <c r="K43" s="123">
        <v>500</v>
      </c>
    </row>
    <row r="44" spans="2:11" s="107" customFormat="1" ht="11.25" customHeight="1">
      <c r="B44" s="93">
        <f t="shared" si="0"/>
        <v>11250000</v>
      </c>
      <c r="C44" s="120">
        <f t="shared" si="1"/>
        <v>387500</v>
      </c>
      <c r="D44" s="120">
        <f t="shared" si="15"/>
        <v>77500</v>
      </c>
      <c r="E44" s="120">
        <f t="shared" si="12"/>
        <v>31000</v>
      </c>
      <c r="F44" s="120">
        <f t="shared" si="13"/>
        <v>46500</v>
      </c>
      <c r="G44" s="121">
        <f t="shared" si="14"/>
        <v>77500</v>
      </c>
      <c r="H44" s="106">
        <f t="shared" si="16"/>
        <v>500</v>
      </c>
      <c r="I44" s="128">
        <f t="shared" si="6"/>
        <v>3.4444444444444444E-2</v>
      </c>
      <c r="J44" s="111" t="s">
        <v>60</v>
      </c>
      <c r="K44" s="123">
        <v>500</v>
      </c>
    </row>
    <row r="45" spans="2:11" s="107" customFormat="1" ht="11.25" customHeight="1">
      <c r="B45" s="93">
        <f t="shared" si="0"/>
        <v>11500000</v>
      </c>
      <c r="C45" s="120">
        <f t="shared" si="1"/>
        <v>390000</v>
      </c>
      <c r="D45" s="120">
        <f t="shared" si="15"/>
        <v>78000</v>
      </c>
      <c r="E45" s="120">
        <f t="shared" si="12"/>
        <v>31200</v>
      </c>
      <c r="F45" s="120">
        <f t="shared" si="13"/>
        <v>46800</v>
      </c>
      <c r="G45" s="121">
        <f t="shared" si="14"/>
        <v>78000</v>
      </c>
      <c r="H45" s="106">
        <f t="shared" si="16"/>
        <v>500</v>
      </c>
      <c r="I45" s="128">
        <f t="shared" si="6"/>
        <v>3.3913043478260872E-2</v>
      </c>
      <c r="J45" s="111" t="s">
        <v>60</v>
      </c>
      <c r="K45" s="123">
        <v>500</v>
      </c>
    </row>
    <row r="46" spans="2:11" s="107" customFormat="1" ht="11.25" customHeight="1">
      <c r="B46" s="93">
        <f t="shared" si="0"/>
        <v>11750000</v>
      </c>
      <c r="C46" s="120">
        <f t="shared" si="1"/>
        <v>392500</v>
      </c>
      <c r="D46" s="120">
        <f t="shared" si="15"/>
        <v>78500</v>
      </c>
      <c r="E46" s="120">
        <f t="shared" si="12"/>
        <v>31400</v>
      </c>
      <c r="F46" s="120">
        <f t="shared" si="13"/>
        <v>47100</v>
      </c>
      <c r="G46" s="121">
        <f t="shared" si="14"/>
        <v>78500</v>
      </c>
      <c r="H46" s="106">
        <f t="shared" si="16"/>
        <v>500</v>
      </c>
      <c r="I46" s="128">
        <f t="shared" si="6"/>
        <v>3.3404255319148937E-2</v>
      </c>
      <c r="J46" s="111" t="s">
        <v>60</v>
      </c>
      <c r="K46" s="123">
        <v>500</v>
      </c>
    </row>
    <row r="47" spans="2:11" s="107" customFormat="1" ht="11.25" customHeight="1">
      <c r="B47" s="93">
        <f t="shared" si="0"/>
        <v>12000000</v>
      </c>
      <c r="C47" s="120">
        <f t="shared" si="1"/>
        <v>395000</v>
      </c>
      <c r="D47" s="120">
        <f t="shared" si="15"/>
        <v>79000</v>
      </c>
      <c r="E47" s="120">
        <f t="shared" si="12"/>
        <v>31600</v>
      </c>
      <c r="F47" s="120">
        <f t="shared" si="13"/>
        <v>47400</v>
      </c>
      <c r="G47" s="121">
        <f t="shared" si="14"/>
        <v>79000</v>
      </c>
      <c r="H47" s="106">
        <f t="shared" si="16"/>
        <v>500</v>
      </c>
      <c r="I47" s="128">
        <f t="shared" si="6"/>
        <v>3.2916666666666664E-2</v>
      </c>
      <c r="J47" s="111" t="s">
        <v>60</v>
      </c>
      <c r="K47" s="123">
        <v>500</v>
      </c>
    </row>
    <row r="48" spans="2:11" s="107" customFormat="1" ht="11.25" customHeight="1">
      <c r="B48" s="93">
        <f t="shared" si="0"/>
        <v>12250000</v>
      </c>
      <c r="C48" s="120">
        <f t="shared" si="1"/>
        <v>397500</v>
      </c>
      <c r="D48" s="120">
        <f t="shared" si="15"/>
        <v>79500</v>
      </c>
      <c r="E48" s="120">
        <f t="shared" si="12"/>
        <v>31800</v>
      </c>
      <c r="F48" s="120">
        <f t="shared" si="13"/>
        <v>47700</v>
      </c>
      <c r="G48" s="121">
        <f t="shared" si="14"/>
        <v>79500</v>
      </c>
      <c r="H48" s="106">
        <f t="shared" si="16"/>
        <v>500</v>
      </c>
      <c r="I48" s="128">
        <f t="shared" si="6"/>
        <v>3.2448979591836735E-2</v>
      </c>
      <c r="J48" s="111" t="s">
        <v>60</v>
      </c>
      <c r="K48" s="123">
        <v>500</v>
      </c>
    </row>
    <row r="49" spans="2:11" s="107" customFormat="1" ht="11.25" customHeight="1">
      <c r="B49" s="93">
        <f t="shared" si="0"/>
        <v>12500000</v>
      </c>
      <c r="C49" s="120">
        <f t="shared" si="1"/>
        <v>400000</v>
      </c>
      <c r="D49" s="120">
        <f t="shared" si="15"/>
        <v>80000</v>
      </c>
      <c r="E49" s="120">
        <f t="shared" si="12"/>
        <v>32000</v>
      </c>
      <c r="F49" s="120">
        <f t="shared" si="13"/>
        <v>48000</v>
      </c>
      <c r="G49" s="121">
        <f t="shared" si="14"/>
        <v>80000</v>
      </c>
      <c r="H49" s="106">
        <f t="shared" si="16"/>
        <v>500</v>
      </c>
      <c r="I49" s="128">
        <f t="shared" si="6"/>
        <v>3.2000000000000001E-2</v>
      </c>
      <c r="J49" s="111" t="s">
        <v>60</v>
      </c>
      <c r="K49" s="123">
        <v>500</v>
      </c>
    </row>
    <row r="50" spans="2:11" s="107" customFormat="1" ht="11.25" customHeight="1">
      <c r="B50" s="93">
        <f t="shared" si="0"/>
        <v>12750000</v>
      </c>
      <c r="C50" s="120">
        <f t="shared" si="1"/>
        <v>402500</v>
      </c>
      <c r="D50" s="120">
        <f t="shared" si="15"/>
        <v>80500</v>
      </c>
      <c r="E50" s="120">
        <f t="shared" si="12"/>
        <v>32200</v>
      </c>
      <c r="F50" s="120">
        <f t="shared" si="13"/>
        <v>48300</v>
      </c>
      <c r="G50" s="121">
        <f t="shared" si="14"/>
        <v>80500</v>
      </c>
      <c r="H50" s="112">
        <f t="shared" si="16"/>
        <v>500</v>
      </c>
      <c r="I50" s="128">
        <f t="shared" si="6"/>
        <v>3.1568627450980394E-2</v>
      </c>
      <c r="J50" s="111" t="s">
        <v>60</v>
      </c>
      <c r="K50" s="123">
        <v>500</v>
      </c>
    </row>
    <row r="51" spans="2:11" s="107" customFormat="1" ht="11.25" customHeight="1">
      <c r="B51" s="93">
        <f t="shared" si="0"/>
        <v>13000000</v>
      </c>
      <c r="C51" s="120">
        <f t="shared" si="1"/>
        <v>405000</v>
      </c>
      <c r="D51" s="120">
        <f t="shared" si="15"/>
        <v>81000</v>
      </c>
      <c r="E51" s="120">
        <f t="shared" si="12"/>
        <v>32400</v>
      </c>
      <c r="F51" s="120">
        <f t="shared" si="13"/>
        <v>48600</v>
      </c>
      <c r="G51" s="121">
        <f t="shared" si="14"/>
        <v>81000</v>
      </c>
      <c r="H51" s="112">
        <f t="shared" si="16"/>
        <v>500</v>
      </c>
      <c r="I51" s="128">
        <f t="shared" si="6"/>
        <v>3.1153846153846153E-2</v>
      </c>
      <c r="J51" s="111" t="s">
        <v>60</v>
      </c>
      <c r="K51" s="123">
        <v>500</v>
      </c>
    </row>
    <row r="52" spans="2:11" s="107" customFormat="1" ht="11.25" customHeight="1">
      <c r="B52" s="93">
        <f t="shared" si="0"/>
        <v>13250000</v>
      </c>
      <c r="C52" s="120">
        <f t="shared" si="1"/>
        <v>407500</v>
      </c>
      <c r="D52" s="120">
        <f t="shared" si="15"/>
        <v>81500</v>
      </c>
      <c r="E52" s="120">
        <f t="shared" si="12"/>
        <v>32600</v>
      </c>
      <c r="F52" s="120">
        <f t="shared" si="13"/>
        <v>48900</v>
      </c>
      <c r="G52" s="121">
        <f t="shared" si="14"/>
        <v>81500</v>
      </c>
      <c r="H52" s="112">
        <f t="shared" si="16"/>
        <v>500</v>
      </c>
      <c r="I52" s="128">
        <f t="shared" si="6"/>
        <v>3.0754716981132076E-2</v>
      </c>
      <c r="J52" s="111" t="s">
        <v>60</v>
      </c>
      <c r="K52" s="123">
        <v>500</v>
      </c>
    </row>
    <row r="53" spans="2:11" s="107" customFormat="1" ht="11.25" customHeight="1">
      <c r="B53" s="93">
        <f t="shared" si="0"/>
        <v>13500000</v>
      </c>
      <c r="C53" s="120">
        <f t="shared" si="1"/>
        <v>410000</v>
      </c>
      <c r="D53" s="120">
        <f t="shared" si="15"/>
        <v>82000</v>
      </c>
      <c r="E53" s="120">
        <f t="shared" si="12"/>
        <v>32800</v>
      </c>
      <c r="F53" s="120">
        <f t="shared" si="13"/>
        <v>49200</v>
      </c>
      <c r="G53" s="121">
        <f t="shared" si="14"/>
        <v>82000</v>
      </c>
      <c r="H53" s="112">
        <f t="shared" si="16"/>
        <v>500</v>
      </c>
      <c r="I53" s="128">
        <f t="shared" si="6"/>
        <v>3.037037037037037E-2</v>
      </c>
      <c r="J53" s="111" t="s">
        <v>60</v>
      </c>
      <c r="K53" s="123">
        <v>500</v>
      </c>
    </row>
    <row r="54" spans="2:11" s="107" customFormat="1" ht="11.25" customHeight="1">
      <c r="B54" s="93">
        <f t="shared" si="0"/>
        <v>13750000</v>
      </c>
      <c r="C54" s="120">
        <f t="shared" si="1"/>
        <v>412500</v>
      </c>
      <c r="D54" s="120">
        <f t="shared" si="15"/>
        <v>82500</v>
      </c>
      <c r="E54" s="120">
        <f t="shared" si="12"/>
        <v>33000</v>
      </c>
      <c r="F54" s="120">
        <f t="shared" si="13"/>
        <v>49500</v>
      </c>
      <c r="G54" s="121">
        <f t="shared" si="14"/>
        <v>82500</v>
      </c>
      <c r="H54" s="112">
        <f t="shared" si="16"/>
        <v>500</v>
      </c>
      <c r="I54" s="128">
        <f t="shared" si="6"/>
        <v>0.03</v>
      </c>
      <c r="J54" s="111" t="s">
        <v>60</v>
      </c>
      <c r="K54" s="123">
        <v>500</v>
      </c>
    </row>
    <row r="55" spans="2:11" s="107" customFormat="1" ht="11.25" customHeight="1">
      <c r="B55" s="93">
        <f t="shared" si="0"/>
        <v>14000000</v>
      </c>
      <c r="C55" s="120">
        <f t="shared" si="1"/>
        <v>415000</v>
      </c>
      <c r="D55" s="120">
        <f t="shared" si="15"/>
        <v>83000</v>
      </c>
      <c r="E55" s="120">
        <f t="shared" si="12"/>
        <v>33200</v>
      </c>
      <c r="F55" s="120">
        <f t="shared" si="13"/>
        <v>49800</v>
      </c>
      <c r="G55" s="121">
        <f t="shared" si="14"/>
        <v>83000</v>
      </c>
      <c r="H55" s="112">
        <f t="shared" si="16"/>
        <v>500</v>
      </c>
      <c r="I55" s="128">
        <f t="shared" si="6"/>
        <v>2.9642857142857144E-2</v>
      </c>
      <c r="J55" s="111" t="s">
        <v>60</v>
      </c>
      <c r="K55" s="123">
        <v>500</v>
      </c>
    </row>
    <row r="56" spans="2:11" s="107" customFormat="1" ht="11.25" customHeight="1">
      <c r="B56" s="93">
        <f t="shared" si="0"/>
        <v>14250000</v>
      </c>
      <c r="C56" s="120">
        <f t="shared" si="1"/>
        <v>417500</v>
      </c>
      <c r="D56" s="120">
        <f t="shared" si="15"/>
        <v>83500</v>
      </c>
      <c r="E56" s="120">
        <f t="shared" si="12"/>
        <v>33400</v>
      </c>
      <c r="F56" s="120">
        <f t="shared" si="13"/>
        <v>50100</v>
      </c>
      <c r="G56" s="121">
        <f t="shared" si="14"/>
        <v>83500</v>
      </c>
      <c r="H56" s="112">
        <f t="shared" si="16"/>
        <v>500</v>
      </c>
      <c r="I56" s="128">
        <f t="shared" si="6"/>
        <v>2.9298245614035087E-2</v>
      </c>
      <c r="J56" s="111" t="s">
        <v>60</v>
      </c>
      <c r="K56" s="123">
        <v>500</v>
      </c>
    </row>
    <row r="57" spans="2:11" s="107" customFormat="1" ht="11.25" customHeight="1">
      <c r="B57" s="93">
        <f t="shared" si="0"/>
        <v>14500000</v>
      </c>
      <c r="C57" s="120">
        <f t="shared" si="1"/>
        <v>420000</v>
      </c>
      <c r="D57" s="120">
        <f t="shared" si="15"/>
        <v>84000</v>
      </c>
      <c r="E57" s="120">
        <f t="shared" si="12"/>
        <v>33600</v>
      </c>
      <c r="F57" s="120">
        <f t="shared" si="13"/>
        <v>50400</v>
      </c>
      <c r="G57" s="121">
        <f t="shared" si="14"/>
        <v>84000</v>
      </c>
      <c r="H57" s="112">
        <f t="shared" si="16"/>
        <v>500</v>
      </c>
      <c r="I57" s="128">
        <f t="shared" si="6"/>
        <v>2.8965517241379312E-2</v>
      </c>
      <c r="J57" s="111" t="s">
        <v>60</v>
      </c>
      <c r="K57" s="123">
        <v>500</v>
      </c>
    </row>
    <row r="58" spans="2:11" s="107" customFormat="1" ht="11.25" customHeight="1" thickBot="1">
      <c r="B58" s="124">
        <f t="shared" si="0"/>
        <v>14750000</v>
      </c>
      <c r="C58" s="125">
        <f t="shared" si="1"/>
        <v>422500</v>
      </c>
      <c r="D58" s="125">
        <f t="shared" si="15"/>
        <v>84500</v>
      </c>
      <c r="E58" s="125">
        <f t="shared" si="12"/>
        <v>33800</v>
      </c>
      <c r="F58" s="125">
        <f t="shared" si="13"/>
        <v>50700</v>
      </c>
      <c r="G58" s="126">
        <f t="shared" si="14"/>
        <v>84500</v>
      </c>
      <c r="H58" s="112">
        <f t="shared" si="16"/>
        <v>500</v>
      </c>
      <c r="I58" s="128">
        <f t="shared" si="6"/>
        <v>2.8644067796610169E-2</v>
      </c>
      <c r="J58" s="111" t="s">
        <v>60</v>
      </c>
      <c r="K58" s="123">
        <v>500</v>
      </c>
    </row>
    <row r="59" spans="2:11" s="107" customFormat="1" ht="11.25" customHeight="1" thickBot="1">
      <c r="B59" s="122">
        <f t="shared" si="0"/>
        <v>15000000</v>
      </c>
      <c r="C59" s="114">
        <f t="shared" si="1"/>
        <v>425000</v>
      </c>
      <c r="D59" s="114">
        <f>K59</f>
        <v>85000</v>
      </c>
      <c r="E59" s="114">
        <f t="shared" si="12"/>
        <v>34000</v>
      </c>
      <c r="F59" s="114">
        <f t="shared" si="13"/>
        <v>51000</v>
      </c>
      <c r="G59" s="116">
        <f t="shared" si="14"/>
        <v>85000</v>
      </c>
      <c r="H59" s="104">
        <f t="shared" si="16"/>
        <v>500</v>
      </c>
      <c r="I59" s="127">
        <f t="shared" si="6"/>
        <v>2.8333333333333332E-2</v>
      </c>
      <c r="J59" s="127"/>
      <c r="K59" s="113">
        <v>85000</v>
      </c>
    </row>
  </sheetData>
  <pageMargins left="0" right="0" top="0" bottom="0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Ведомость</vt:lpstr>
      <vt:lpstr>Цели</vt:lpstr>
      <vt:lpstr>Условия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Горностаев</cp:lastModifiedBy>
  <cp:lastPrinted>2016-08-24T04:33:10Z</cp:lastPrinted>
  <dcterms:created xsi:type="dcterms:W3CDTF">2011-12-30T03:04:57Z</dcterms:created>
  <dcterms:modified xsi:type="dcterms:W3CDTF">2016-08-25T00:59:17Z</dcterms:modified>
</cp:coreProperties>
</file>