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15195" windowHeight="7425"/>
  </bookViews>
  <sheets>
    <sheet name="Расчет" sheetId="2" r:id="rId1"/>
    <sheet name="Результаты" sheetId="11" r:id="rId2"/>
    <sheet name="Таблица Л.1, таблица П.1" sheetId="15" r:id="rId3"/>
    <sheet name="Таблица П.6 (Тж)" sheetId="18" r:id="rId4"/>
    <sheet name="Кнал и Кпр, Т" sheetId="17" r:id="rId5"/>
  </sheets>
  <externalReferences>
    <externalReference r:id="rId6"/>
  </externalReferences>
  <definedNames>
    <definedName name="Kmaxp" localSheetId="0">INDEX([0]!КТаблица,[0]!НомСтр,IF([0]!НомСтолб&gt;0,[0]!НомСтолб,NA()))</definedName>
    <definedName name="Kp" localSheetId="0">INDEX([0]!КТаблица,[0]!НомСтр,IF([0]!НомСтолб&gt;0,[0]!НомСтолб,NA()))</definedName>
    <definedName name="Вариант_налива">'Кнал и Кпр, Т'!$A$11:$A$12</definedName>
    <definedName name="Выбор_таблицы">'Таблица Л.1, таблица П.1'!$A$1:$A$2</definedName>
    <definedName name="Данные_об_ССВ">'[1]Таблица Ж1 (Приложение Ж) Kmaxp'!$B$30:$B$32</definedName>
    <definedName name="Конструкция_резервуара_2">'[1]Таблица К1 (Приложение К) Коб'!$B$14:$B$15</definedName>
    <definedName name="НомСтолб" localSheetId="4">[0]!Объем.1+[0]!Объем.2+[0]!Объем.3+[0]!Объем.4</definedName>
    <definedName name="НомСтолб">[0]!Объем.1+[0]!Объем.2+[0]!Объем.3+[0]!Объем.4+[0]!Объем.5+[0]!Объем.6+[0]!Объем.7</definedName>
    <definedName name="НомСтр">MATCH(Расчет!#REF!&amp;Расчет!#REF!,#REF!&amp;#REF!,0)</definedName>
    <definedName name="Объем.1">AND(Расчет!$AG$19&gt;0,Расчет!$AG$19&lt;=100)*1</definedName>
    <definedName name="Объем.2">AND(Расчет!$AG$19&gt;100,Расчет!$AG$19&lt;200)*2</definedName>
    <definedName name="Объем.3">AND(Расчет!$AG$19&gt;=200,Расчет!$AG$19&lt;=400)*3</definedName>
    <definedName name="Объем.4">AND(Расчет!$AG$19&gt;400,Расчет!$AG$19&lt;700)*4</definedName>
    <definedName name="Объем.5">AND(Расчет!$AG$19&gt;=700,Расчет!$AG$19&lt;=1000)*5</definedName>
    <definedName name="Объем.6">AND(Расчет!$AG$19&gt;1000,Расчет!$AG$19&lt;2000)*6</definedName>
    <definedName name="Объем.7">(Расчет!$AG$19&gt;=2000)*7</definedName>
    <definedName name="Способ">'Кнал и Кпр, Т'!$A$1:$A$3</definedName>
    <definedName name="Температура">'Кнал и Кпр, Т'!$A$6:$A$8</definedName>
  </definedNames>
  <calcPr calcId="145621"/>
</workbook>
</file>

<file path=xl/calcChain.xml><?xml version="1.0" encoding="utf-8"?>
<calcChain xmlns="http://schemas.openxmlformats.org/spreadsheetml/2006/main">
  <c r="U28" i="2" l="1"/>
  <c r="U27" i="2"/>
  <c r="U26" i="2"/>
  <c r="U25" i="2"/>
  <c r="U24" i="2"/>
  <c r="U23" i="2"/>
  <c r="U22" i="2"/>
  <c r="AB28" i="2"/>
  <c r="AC28" i="2" s="1"/>
  <c r="V28" i="2"/>
  <c r="AB27" i="2"/>
  <c r="AC27" i="2" s="1"/>
  <c r="V27" i="2"/>
  <c r="AB26" i="2"/>
  <c r="AC26" i="2" s="1"/>
  <c r="V26" i="2"/>
  <c r="B8" i="17" l="1"/>
  <c r="AE19" i="2" s="1"/>
  <c r="AD19" i="2"/>
  <c r="AO28" i="2" l="1"/>
  <c r="AO27" i="2"/>
  <c r="AO26" i="2"/>
  <c r="AN28" i="2"/>
  <c r="AN27" i="2"/>
  <c r="AN26" i="2"/>
  <c r="AM19" i="2"/>
  <c r="AL19" i="2"/>
  <c r="AN25" i="2" l="1"/>
  <c r="S23" i="11"/>
  <c r="AO24" i="2"/>
  <c r="T23" i="11"/>
  <c r="AN20" i="2"/>
  <c r="AN22" i="2"/>
  <c r="AN24" i="2"/>
  <c r="AN19" i="2"/>
  <c r="AN21" i="2"/>
  <c r="AN23" i="2"/>
  <c r="AO20" i="2"/>
  <c r="AO19" i="2"/>
  <c r="AO21" i="2"/>
  <c r="AO23" i="2"/>
  <c r="AO25" i="2"/>
  <c r="AO22" i="2"/>
  <c r="R32" i="11" l="1"/>
  <c r="R31" i="11"/>
  <c r="R30" i="11"/>
  <c r="R29" i="11"/>
  <c r="R28" i="11"/>
  <c r="R27" i="11"/>
  <c r="R26" i="11"/>
  <c r="R25" i="11"/>
  <c r="R24" i="11"/>
  <c r="R23" i="11"/>
  <c r="Q32" i="11"/>
  <c r="Q31" i="11"/>
  <c r="Q30" i="11"/>
  <c r="Q29" i="11"/>
  <c r="Q28" i="11"/>
  <c r="Q27" i="11"/>
  <c r="Q26" i="11"/>
  <c r="Q25" i="11"/>
  <c r="Q24" i="11"/>
  <c r="Q23" i="11"/>
  <c r="P32" i="11"/>
  <c r="P31" i="11"/>
  <c r="P30" i="11"/>
  <c r="P29" i="11"/>
  <c r="P28" i="11"/>
  <c r="P27" i="11"/>
  <c r="P26" i="11"/>
  <c r="P25" i="11"/>
  <c r="P24" i="11"/>
  <c r="P23" i="11"/>
  <c r="O23" i="11"/>
  <c r="N23" i="11"/>
  <c r="M23" i="11"/>
  <c r="L23" i="11"/>
  <c r="J23" i="11"/>
  <c r="H23" i="11"/>
  <c r="G23" i="11"/>
  <c r="D23" i="11"/>
  <c r="C23" i="11"/>
  <c r="B23" i="11"/>
  <c r="A23" i="11"/>
  <c r="G17" i="11" l="1"/>
  <c r="G16" i="11"/>
  <c r="H15" i="11"/>
  <c r="D14" i="11"/>
  <c r="J13" i="11"/>
  <c r="G9" i="11"/>
  <c r="G8" i="11"/>
  <c r="G7" i="11"/>
  <c r="G6" i="11"/>
  <c r="G5" i="11"/>
  <c r="G3" i="11"/>
  <c r="AP28" i="2" l="1"/>
  <c r="W32" i="11" s="1"/>
  <c r="AP27" i="2"/>
  <c r="W31" i="11" s="1"/>
  <c r="AP26" i="2"/>
  <c r="W30" i="11" s="1"/>
  <c r="AQ28" i="2"/>
  <c r="X32" i="11" s="1"/>
  <c r="AQ27" i="2"/>
  <c r="X31" i="11" s="1"/>
  <c r="AQ26" i="2"/>
  <c r="X30" i="11" s="1"/>
  <c r="V32" i="11"/>
  <c r="U32" i="11"/>
  <c r="V31" i="11"/>
  <c r="U31" i="11"/>
  <c r="V30" i="11"/>
  <c r="U30" i="11"/>
  <c r="E23" i="11" l="1"/>
  <c r="B7" i="17"/>
  <c r="B6" i="17"/>
  <c r="U21" i="2"/>
  <c r="U20" i="2"/>
  <c r="U19" i="2"/>
  <c r="AB25" i="2"/>
  <c r="AC25" i="2" s="1"/>
  <c r="V25" i="2"/>
  <c r="AB24" i="2"/>
  <c r="AC24" i="2" s="1"/>
  <c r="V24" i="2"/>
  <c r="AB23" i="2"/>
  <c r="AC23" i="2" s="1"/>
  <c r="V23" i="2"/>
  <c r="AB22" i="2"/>
  <c r="AC22" i="2" s="1"/>
  <c r="V22" i="2"/>
  <c r="AB21" i="2"/>
  <c r="AC21" i="2" s="1"/>
  <c r="V21" i="2"/>
  <c r="AB20" i="2"/>
  <c r="AC20" i="2" s="1"/>
  <c r="V20" i="2"/>
  <c r="AB19" i="2"/>
  <c r="AC19" i="2" s="1"/>
  <c r="V19" i="2"/>
  <c r="F23" i="11" l="1"/>
  <c r="S29" i="2" l="1"/>
  <c r="I198" i="15" l="1"/>
  <c r="I197" i="15"/>
  <c r="I196" i="15"/>
  <c r="I195" i="15"/>
  <c r="I194" i="15"/>
  <c r="I193" i="15"/>
  <c r="I192" i="15"/>
  <c r="I191" i="15"/>
  <c r="I190" i="15"/>
  <c r="I189" i="15"/>
  <c r="I188" i="15"/>
  <c r="I187" i="15"/>
  <c r="I186" i="15"/>
  <c r="I185" i="15"/>
  <c r="I184" i="15"/>
  <c r="I183" i="15"/>
  <c r="I182" i="15"/>
  <c r="I181" i="15"/>
  <c r="I180" i="15"/>
  <c r="I179" i="15"/>
  <c r="I178" i="15"/>
  <c r="I177" i="15"/>
  <c r="I176" i="15"/>
  <c r="I175" i="15"/>
  <c r="I174" i="15"/>
  <c r="I173" i="15"/>
  <c r="I172" i="15"/>
  <c r="I171" i="15"/>
  <c r="I170" i="15"/>
  <c r="I169" i="15"/>
  <c r="I168" i="15"/>
  <c r="I167" i="15"/>
  <c r="I166" i="15"/>
  <c r="I165" i="15"/>
  <c r="I164" i="15"/>
  <c r="I163" i="15"/>
  <c r="U28" i="11" l="1"/>
  <c r="U26" i="11"/>
  <c r="U24" i="11"/>
  <c r="U29" i="11"/>
  <c r="U27" i="11"/>
  <c r="U25" i="11"/>
  <c r="V23" i="11" l="1"/>
  <c r="AI19" i="2"/>
  <c r="K23" i="11" s="1"/>
  <c r="V26" i="11"/>
  <c r="AP22" i="2"/>
  <c r="W26" i="11" s="1"/>
  <c r="V25" i="11"/>
  <c r="AP21" i="2"/>
  <c r="W25" i="11" s="1"/>
  <c r="V29" i="11"/>
  <c r="AP25" i="2"/>
  <c r="W29" i="11" s="1"/>
  <c r="V24" i="11"/>
  <c r="AP20" i="2"/>
  <c r="W24" i="11" s="1"/>
  <c r="V28" i="11"/>
  <c r="AP24" i="2"/>
  <c r="W28" i="11" s="1"/>
  <c r="V27" i="11"/>
  <c r="AP23" i="2"/>
  <c r="W27" i="11" s="1"/>
  <c r="U23" i="11"/>
  <c r="AF19" i="2"/>
  <c r="I23" i="11" s="1"/>
  <c r="AP19" i="2" l="1"/>
  <c r="W23" i="11" s="1"/>
  <c r="W33" i="11" s="1"/>
  <c r="AQ24" i="2"/>
  <c r="X28" i="11" s="1"/>
  <c r="AQ22" i="2"/>
  <c r="X26" i="11" s="1"/>
  <c r="AQ20" i="2"/>
  <c r="X24" i="11" s="1"/>
  <c r="AQ25" i="2"/>
  <c r="X29" i="11" s="1"/>
  <c r="AQ23" i="2"/>
  <c r="X27" i="11" s="1"/>
  <c r="AQ21" i="2"/>
  <c r="X25" i="11" s="1"/>
  <c r="AQ19" i="2"/>
  <c r="X23" i="11" s="1"/>
  <c r="X33" i="11" l="1"/>
</calcChain>
</file>

<file path=xl/comments1.xml><?xml version="1.0" encoding="utf-8"?>
<comments xmlns="http://schemas.openxmlformats.org/spreadsheetml/2006/main">
  <authors>
    <author>Демонстрационная версия</author>
  </authors>
  <commentList>
    <comment ref="C1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F15" authorId="0">
      <text>
        <r>
          <rPr>
            <b/>
            <sz val="8"/>
            <color indexed="12"/>
            <rFont val="Arial"/>
            <family val="2"/>
            <charset val="204"/>
          </rPr>
          <t>Средняя плотность жидкости, определяемая инструментальными методами или по паспорту физико-химических показателей жидкости, а при отсутствии показателя в паспорте – по справочным данным, кг/м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</text>
    </comment>
    <comment ref="G15" authorId="0">
      <text>
        <r>
          <rPr>
            <b/>
            <sz val="8"/>
            <color indexed="12"/>
            <rFont val="Arial"/>
            <family val="2"/>
            <charset val="204"/>
          </rPr>
          <t>Количество жидкости, поступившей в емкость транспортировки в течении года или иного периода времени, определяемое по материальному балансу или технологическому регламенту, т/год (т/период)</t>
        </r>
      </text>
    </comment>
    <comment ref="H15" authorId="0">
      <text>
        <r>
          <rPr>
            <b/>
            <sz val="8"/>
            <color indexed="12"/>
            <rFont val="Arial"/>
            <family val="2"/>
            <charset val="204"/>
          </rPr>
          <t>Объемный расход закачки жидкости в емкость транспортировки, соответствующий максимальной производительности насоса, определяемой по паспортным данным на насос, 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  <r>
          <rPr>
            <b/>
            <sz val="8"/>
            <color indexed="12"/>
            <rFont val="Arial"/>
            <family val="2"/>
            <charset val="204"/>
          </rPr>
          <t>/час</t>
        </r>
      </text>
    </comment>
    <comment ref="O15" authorId="0">
      <text>
        <r>
          <rPr>
            <b/>
            <sz val="8"/>
            <color indexed="12"/>
            <rFont val="Arial"/>
            <family val="2"/>
            <charset val="204"/>
          </rPr>
          <t>Средняя температура жидкости в цистерне, определяемая как среднее арифметическое между максимальной и минимальной температурами жидкости в цистерне, которые определяются по технологическому регламенту или инструментальными методами за определяемый период, °К.</t>
        </r>
      </text>
    </comment>
    <comment ref="P15" authorId="0">
      <text>
        <r>
          <rPr>
            <b/>
            <sz val="8"/>
            <color indexed="12"/>
            <rFont val="Arial"/>
            <family val="2"/>
            <charset val="204"/>
          </rPr>
          <t>Максимальная температура жидкости в цистерне, определяемая по технологическому регламенту, °К</t>
        </r>
      </text>
    </comment>
    <comment ref="S15" authorId="0">
      <text>
        <r>
          <rPr>
            <b/>
            <sz val="8"/>
            <color indexed="39"/>
            <rFont val="Arial"/>
            <family val="2"/>
            <charset val="204"/>
          </rPr>
          <t>Концентрация i-го вещества или группы веществ в насыщенных парах углеводородной жидкости, определяемая инструментальными методами, мг/м</t>
        </r>
        <r>
          <rPr>
            <b/>
            <vertAlign val="superscript"/>
            <sz val="8"/>
            <color indexed="39"/>
            <rFont val="Arial"/>
            <family val="2"/>
            <charset val="204"/>
          </rPr>
          <t>3</t>
        </r>
      </text>
    </comment>
    <comment ref="W15" authorId="0">
      <text>
        <r>
          <rPr>
            <b/>
            <sz val="8"/>
            <color indexed="12"/>
            <rFont val="Arial"/>
            <family val="2"/>
            <charset val="204"/>
          </rPr>
          <t>Принимается по технической документации на средство снижения потерь</t>
        </r>
      </text>
    </comment>
    <comment ref="AF15" authorId="0">
      <text>
        <r>
          <rPr>
            <b/>
            <sz val="8"/>
            <color indexed="12"/>
            <rFont val="Arial"/>
            <family val="2"/>
            <charset val="204"/>
          </rPr>
          <t>Валовой приведенный расход газов</t>
        </r>
      </text>
    </comment>
    <comment ref="AG15" authorId="0">
      <text>
        <r>
          <rPr>
            <b/>
            <sz val="8"/>
            <color indexed="12"/>
            <rFont val="Arial"/>
            <family val="2"/>
            <charset val="204"/>
          </rPr>
          <t>Средняя объёмная доля паров ( для жидкостей с температурой начала кипения не менее 633 К максимальная объемная доля паров принимается равной нулю)</t>
        </r>
      </text>
    </comment>
    <comment ref="AH15" authorId="0">
      <text>
        <r>
          <rPr>
            <b/>
            <sz val="8"/>
            <color indexed="12"/>
            <rFont val="Arial"/>
            <family val="2"/>
            <charset val="204"/>
          </rPr>
          <t>Максимальная объёмная доля паров - максимальная объемная доля паров, определяемая в соответствии  с 10.2.1.7, для жидкостей с температурой начала кипения не менее 633 К максимальная объемная доля паров принимается равной нулю.</t>
        </r>
      </text>
    </comment>
    <comment ref="AI15" authorId="0">
      <text>
        <r>
          <rPr>
            <b/>
            <sz val="8"/>
            <color indexed="12"/>
            <rFont val="Arial"/>
            <family val="2"/>
            <charset val="204"/>
          </rPr>
          <t>Максимальный расход газов</t>
        </r>
      </text>
    </comment>
    <comment ref="AJ15" authorId="0">
      <text>
        <r>
          <rPr>
            <b/>
            <sz val="8"/>
            <color indexed="12"/>
            <rFont val="Arial"/>
            <family val="2"/>
            <charset val="204"/>
          </rPr>
          <t>Среднее значение опытного коэффициента, определяемое по таблице Ж.1 (приложение Ж)</t>
        </r>
      </text>
    </comment>
    <comment ref="AK15" authorId="0">
      <text>
        <r>
          <rPr>
            <b/>
            <sz val="8"/>
            <color indexed="12"/>
            <rFont val="Arial"/>
            <family val="2"/>
            <charset val="204"/>
          </rPr>
          <t>Максимальное значение опытного коэффициента, определяемое по таблице Ж.1 (приложение Ж)</t>
        </r>
      </text>
    </comment>
    <comment ref="AL15" authorId="0">
      <text>
        <r>
          <rPr>
            <b/>
            <sz val="8"/>
            <color indexed="39"/>
            <rFont val="Arial"/>
            <family val="2"/>
            <charset val="204"/>
          </rPr>
          <t>Коэффициент пересчета концентраций при средней температуре жидкости, определяемый по таблице П.6 (Приложение П)</t>
        </r>
      </text>
    </comment>
    <comment ref="AM15" authorId="0">
      <text>
        <r>
          <rPr>
            <b/>
            <sz val="8"/>
            <color indexed="39"/>
            <rFont val="Arial"/>
            <family val="2"/>
            <charset val="204"/>
          </rPr>
          <t>Коэффициент пересчета концентраций при максимальной температуре жидкости, определяемый по таблице П.6 (Приложение П)</t>
        </r>
      </text>
    </comment>
    <comment ref="AN15" authorId="0">
      <text>
        <r>
          <rPr>
            <b/>
            <sz val="8"/>
            <color indexed="12"/>
            <rFont val="Arial"/>
            <family val="2"/>
            <charset val="204"/>
          </rPr>
          <t>Средняя концентрация i-го вещества в насыщенных парах по полному составу жидкости, определяемая в соответствии с 10.4 при средней температуре жидкости Т</t>
        </r>
        <r>
          <rPr>
            <b/>
            <vertAlign val="subscript"/>
            <sz val="8"/>
            <color indexed="12"/>
            <rFont val="Arial"/>
            <family val="2"/>
            <charset val="204"/>
          </rPr>
          <t>ж</t>
        </r>
        <r>
          <rPr>
            <b/>
            <sz val="8"/>
            <color indexed="12"/>
            <rFont val="Arial"/>
            <family val="2"/>
            <charset val="204"/>
          </rPr>
          <t>, мг/м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</text>
    </comment>
    <comment ref="AO15" authorId="0">
      <text>
        <r>
          <rPr>
            <b/>
            <sz val="8"/>
            <color indexed="12"/>
            <rFont val="Arial"/>
            <family val="2"/>
            <charset val="204"/>
          </rPr>
          <t>Максимальная концентрация i-го вещества в насыщенных парах по полному составу жидкости, определяемая в соответствии с 10.4 при максимальной температуре жидкости Т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max</t>
        </r>
        <r>
          <rPr>
            <b/>
            <vertAlign val="subscript"/>
            <sz val="8"/>
            <color indexed="12"/>
            <rFont val="Arial"/>
            <family val="2"/>
            <charset val="204"/>
          </rPr>
          <t>ж</t>
        </r>
        <r>
          <rPr>
            <b/>
            <sz val="8"/>
            <color indexed="12"/>
            <rFont val="Arial"/>
            <family val="2"/>
            <charset val="204"/>
          </rPr>
          <t>, мг/м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</text>
    </comment>
    <comment ref="AP15" authorId="0">
      <text>
        <r>
          <rPr>
            <b/>
            <sz val="8"/>
            <color indexed="12"/>
            <rFont val="Arial"/>
            <family val="2"/>
            <charset val="204"/>
          </rPr>
          <t>Максимальный выброс i-го вещества (группы веществ), г/с</t>
        </r>
      </text>
    </comment>
    <comment ref="AQ15" authorId="0">
      <text>
        <r>
          <rPr>
            <b/>
            <sz val="8"/>
            <color indexed="12"/>
            <rFont val="Arial"/>
            <family val="2"/>
            <charset val="204"/>
          </rPr>
          <t>Валовый выброс i-го вещества (группы веществ), т/год (т/период)</t>
        </r>
      </text>
    </comment>
    <comment ref="AC16" authorId="0">
      <text>
        <r>
          <rPr>
            <b/>
            <sz val="8"/>
            <color indexed="12"/>
            <rFont val="Arial"/>
            <family val="2"/>
            <charset val="204"/>
          </rPr>
          <t>В том случае если имеется значение эффективности выносного средства сокращения потерь и по паспортным данным и согласно расчету по п.10.1.1.8 в расчет данные по расчёту согласно п.10.1.1.8</t>
        </r>
      </text>
    </comment>
    <comment ref="A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B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C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D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E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F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G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H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I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J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K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O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P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Q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T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19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19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19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D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E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F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G19" authorId="0">
      <text>
        <r>
          <rPr>
            <b/>
            <sz val="8"/>
            <color indexed="10"/>
            <rFont val="Arial"/>
            <family val="2"/>
            <charset val="204"/>
          </rPr>
          <t>Константа!</t>
        </r>
      </text>
    </comment>
    <comment ref="AH19" authorId="0">
      <text>
        <r>
          <rPr>
            <b/>
            <sz val="8"/>
            <color indexed="10"/>
            <rFont val="Arial"/>
            <family val="2"/>
            <charset val="204"/>
          </rPr>
          <t>Константа!</t>
        </r>
      </text>
    </comment>
    <comment ref="AI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J19" authorId="0">
      <text>
        <r>
          <rPr>
            <b/>
            <sz val="8"/>
            <color indexed="12"/>
            <rFont val="Arial"/>
            <family val="2"/>
            <charset val="204"/>
          </rPr>
          <t>С учетом того, что максимальный объём транспортных цистерн не превышает 100 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  <r>
          <rPr>
            <b/>
            <sz val="8"/>
            <color indexed="12"/>
            <rFont val="Arial"/>
            <family val="2"/>
            <charset val="204"/>
          </rPr>
          <t>, значение коэффициента Кр принято как константа равная 0,7 (таблица Ж.1 - режим эксплуатации - "мерник", конструкция - "горизонтальный", объём - 100 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  <r>
          <rPr>
            <b/>
            <sz val="8"/>
            <color indexed="12"/>
            <rFont val="Arial"/>
            <family val="2"/>
            <charset val="204"/>
          </rPr>
          <t xml:space="preserve"> и менее.</t>
        </r>
      </text>
    </comment>
    <comment ref="AK19" authorId="0">
      <text>
        <r>
          <rPr>
            <b/>
            <sz val="8"/>
            <color indexed="12"/>
            <rFont val="Arial"/>
            <family val="2"/>
            <charset val="204"/>
          </rPr>
          <t>С учетом того, что максимальный объём транспортных цистерн не превышает 100 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  <r>
          <rPr>
            <b/>
            <sz val="8"/>
            <color indexed="12"/>
            <rFont val="Arial"/>
            <family val="2"/>
            <charset val="204"/>
          </rPr>
          <t>, значение коэффициента Кр принято как константа равная 1,0 (таблица Ж.1 - режим эксплуатации - "мерник", конструкция - "горизонтальный", объём - 100 м</t>
        </r>
        <r>
          <rPr>
            <b/>
            <vertAlign val="superscript"/>
            <sz val="8"/>
            <color indexed="12"/>
            <rFont val="Arial"/>
            <family val="2"/>
            <charset val="204"/>
          </rPr>
          <t>3</t>
        </r>
        <r>
          <rPr>
            <b/>
            <sz val="8"/>
            <color indexed="12"/>
            <rFont val="Arial"/>
            <family val="2"/>
            <charset val="204"/>
          </rPr>
          <t xml:space="preserve"> и менее.</t>
        </r>
      </text>
    </comment>
    <comment ref="AL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M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19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0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0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0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0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0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0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0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0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0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1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1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1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1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1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1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1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1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1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2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2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2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2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2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2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2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2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2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3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3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3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3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3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3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3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3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3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4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4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4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4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4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4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4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4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4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5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5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6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6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6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6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6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6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6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6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6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7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7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7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7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7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7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7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7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7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Q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R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S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U28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V28" authorId="0">
      <text>
        <r>
          <rPr>
            <b/>
            <sz val="8"/>
            <color indexed="10"/>
            <rFont val="Arial"/>
            <family val="2"/>
            <charset val="204"/>
          </rPr>
          <t>Копируется автоматически при наличии ССВ</t>
        </r>
      </text>
    </comment>
    <comment ref="W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X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Y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Z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A28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 (при наличии), при отсутствии информации "-" (прочерк)</t>
        </r>
      </text>
    </comment>
    <comment ref="AB28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C28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N28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O28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P28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AQ28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</commentList>
</comments>
</file>

<file path=xl/comments2.xml><?xml version="1.0" encoding="utf-8"?>
<comments xmlns="http://schemas.openxmlformats.org/spreadsheetml/2006/main">
  <authors>
    <author>Демонстрационная версия</author>
  </authors>
  <commentList>
    <comment ref="H1" authorId="0">
      <text>
        <r>
          <rPr>
            <b/>
            <sz val="8"/>
            <color indexed="10"/>
            <rFont val="Arial"/>
            <family val="2"/>
            <charset val="204"/>
          </rPr>
          <t>Значения температурного коэффициента, значения давления насыщенных паров</t>
        </r>
      </text>
    </comment>
    <comment ref="A4" authorId="0">
      <text>
        <r>
          <rPr>
            <b/>
            <sz val="8"/>
            <color indexed="12"/>
            <rFont val="Arial"/>
            <family val="2"/>
            <charset val="204"/>
          </rPr>
          <t>Значения молекулярной массы паров нефтей, газовых конденсатов, ловушечных продуктов mk, в зависимости от температуры начала кипения Тнк, °К (ТКП 17.08-16-2011)</t>
        </r>
      </text>
    </comment>
    <comment ref="D4" authorId="0">
      <text>
        <r>
          <rPr>
            <b/>
            <sz val="8"/>
            <color indexed="12"/>
            <rFont val="Arial"/>
            <family val="2"/>
            <charset val="204"/>
          </rPr>
          <t>Значения молекулярной массы паров нефтепродуктов М зависимости от температуры начала кипения tнк, °C (Методика расчетно-экспериментального определения выбросов загрязняющих веществ в атмосферу за счет испарения из емкостей хранения нефтепродуктов. Краснодар, 1996 г. )</t>
        </r>
      </text>
    </comment>
    <comment ref="H4" authorId="0">
      <text>
        <r>
          <rPr>
            <b/>
            <sz val="8"/>
            <color indexed="10"/>
            <rFont val="Arial"/>
            <family val="2"/>
            <charset val="204"/>
          </rPr>
          <t>Значение давления насыщенных паров Р</t>
        </r>
        <r>
          <rPr>
            <b/>
            <vertAlign val="subscript"/>
            <sz val="8"/>
            <color indexed="10"/>
            <rFont val="Arial"/>
            <family val="2"/>
            <charset val="204"/>
          </rPr>
          <t>kS(38)</t>
        </r>
        <r>
          <rPr>
            <b/>
            <sz val="8"/>
            <color indexed="10"/>
            <rFont val="Arial"/>
            <family val="2"/>
            <charset val="204"/>
          </rPr>
          <t xml:space="preserve">, Па, в зависимости от эквивалентной температуры начала кипения компонента </t>
        </r>
        <r>
          <rPr>
            <b/>
            <i/>
            <sz val="8"/>
            <color indexed="10"/>
            <rFont val="Arial"/>
            <family val="2"/>
            <charset val="204"/>
          </rPr>
          <t>Т</t>
        </r>
        <r>
          <rPr>
            <b/>
            <i/>
            <vertAlign val="subscript"/>
            <sz val="8"/>
            <color indexed="10"/>
            <rFont val="Arial"/>
            <family val="2"/>
            <charset val="204"/>
          </rPr>
          <t>экв</t>
        </r>
        <r>
          <rPr>
            <b/>
            <sz val="8"/>
            <color indexed="10"/>
            <rFont val="Arial"/>
            <family val="2"/>
            <charset val="204"/>
          </rPr>
          <t>, °К</t>
        </r>
      </text>
    </comment>
  </commentList>
</comments>
</file>

<file path=xl/sharedStrings.xml><?xml version="1.0" encoding="utf-8"?>
<sst xmlns="http://schemas.openxmlformats.org/spreadsheetml/2006/main" count="205" uniqueCount="123">
  <si>
    <t>Код ЗВ</t>
  </si>
  <si>
    <t>Наименование ЗВ</t>
  </si>
  <si>
    <t>№ источника выбросов ЗВ</t>
  </si>
  <si>
    <t>Производство, цех</t>
  </si>
  <si>
    <t>Отделение (участок, сектор и пр.)</t>
  </si>
  <si>
    <r>
      <t>k</t>
    </r>
    <r>
      <rPr>
        <i/>
        <vertAlign val="subscript"/>
        <sz val="10"/>
        <color theme="1"/>
        <rFont val="Arial"/>
        <family val="2"/>
        <charset val="204"/>
      </rPr>
      <t>p</t>
    </r>
  </si>
  <si>
    <t>-</t>
  </si>
  <si>
    <r>
      <t>ρ</t>
    </r>
    <r>
      <rPr>
        <i/>
        <vertAlign val="subscript"/>
        <sz val="10"/>
        <color theme="1"/>
        <rFont val="Arial"/>
        <family val="2"/>
        <charset val="204"/>
      </rPr>
      <t>ж</t>
    </r>
    <r>
      <rPr>
        <i/>
        <sz val="10"/>
        <color theme="1"/>
        <rFont val="Arial"/>
        <family val="2"/>
        <charset val="204"/>
      </rPr>
      <t>, кг/м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</si>
  <si>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В</t>
    </r>
    <r>
      <rPr>
        <i/>
        <vertAlign val="subscript"/>
        <sz val="10"/>
        <color theme="1"/>
        <rFont val="Arial"/>
        <family val="2"/>
        <charset val="204"/>
      </rPr>
      <t>ж</t>
    </r>
    <r>
      <rPr>
        <i/>
        <sz val="10"/>
        <color theme="1"/>
        <rFont val="Arial"/>
        <family val="2"/>
        <charset val="204"/>
      </rPr>
      <t>, т/год (т/период)</t>
    </r>
  </si>
  <si>
    <r>
      <t>T</t>
    </r>
    <r>
      <rPr>
        <i/>
        <vertAlign val="superscript"/>
        <sz val="10"/>
        <color theme="1"/>
        <rFont val="Arial"/>
        <family val="2"/>
        <charset val="204"/>
      </rPr>
      <t>max</t>
    </r>
    <r>
      <rPr>
        <i/>
        <vertAlign val="subscript"/>
        <sz val="10"/>
        <color theme="1"/>
        <rFont val="Arial"/>
        <family val="2"/>
        <charset val="204"/>
      </rPr>
      <t>ж</t>
    </r>
    <r>
      <rPr>
        <i/>
        <sz val="10"/>
        <color theme="1"/>
        <rFont val="Arial"/>
        <family val="2"/>
        <charset val="204"/>
      </rPr>
      <t xml:space="preserve">, </t>
    </r>
    <r>
      <rPr>
        <sz val="10"/>
        <color theme="1"/>
        <rFont val="Arial"/>
        <family val="2"/>
        <charset val="204"/>
      </rPr>
      <t>°</t>
    </r>
    <r>
      <rPr>
        <i/>
        <sz val="10"/>
        <color theme="1"/>
        <rFont val="Arial"/>
        <family val="2"/>
        <charset val="204"/>
      </rPr>
      <t>К</t>
    </r>
  </si>
  <si>
    <r>
      <t>T</t>
    </r>
    <r>
      <rPr>
        <i/>
        <vertAlign val="subscript"/>
        <sz val="10"/>
        <color theme="1"/>
        <rFont val="Arial"/>
        <family val="2"/>
        <charset val="204"/>
      </rPr>
      <t>ж</t>
    </r>
    <r>
      <rPr>
        <i/>
        <sz val="10"/>
        <color theme="1"/>
        <rFont val="Arial"/>
        <family val="2"/>
        <charset val="204"/>
      </rPr>
      <t xml:space="preserve">, </t>
    </r>
    <r>
      <rPr>
        <sz val="10"/>
        <color theme="1"/>
        <rFont val="Arial"/>
        <family val="2"/>
        <charset val="204"/>
      </rPr>
      <t>°</t>
    </r>
    <r>
      <rPr>
        <i/>
        <sz val="10"/>
        <color theme="1"/>
        <rFont val="Arial"/>
        <family val="2"/>
        <charset val="204"/>
      </rPr>
      <t>К</t>
    </r>
  </si>
  <si>
    <t>Реализованы следующие подразделы раздела 10 "Порядок определения выбросов загрязняющих веществ из резервуаров хранения и емкостей транспортировки жидкостей инструментально-расчетными методами" ТКП 17.08-16-2011</t>
  </si>
  <si>
    <t>Gi, т/год (т/период)</t>
  </si>
  <si>
    <t>Расчетный период:</t>
  </si>
  <si>
    <t>Продукт</t>
  </si>
  <si>
    <t>УСЛОВИЯ РАСЧЁТА</t>
  </si>
  <si>
    <t>2012 год</t>
  </si>
  <si>
    <r>
      <t>M</t>
    </r>
    <r>
      <rPr>
        <i/>
        <vertAlign val="superscript"/>
        <sz val="10"/>
        <color theme="1"/>
        <rFont val="Arial"/>
        <family val="2"/>
        <charset val="204"/>
      </rPr>
      <t>max</t>
    </r>
    <r>
      <rPr>
        <i/>
        <vertAlign val="subscript"/>
        <sz val="10"/>
        <color theme="1"/>
        <rFont val="Arial"/>
        <family val="2"/>
        <charset val="204"/>
      </rPr>
      <t>i</t>
    </r>
    <r>
      <rPr>
        <i/>
        <sz val="10"/>
        <color theme="1"/>
        <rFont val="Arial"/>
        <family val="2"/>
        <charset val="204"/>
      </rPr>
      <t>, г/с</t>
    </r>
  </si>
  <si>
    <t>№ ист.</t>
  </si>
  <si>
    <t>Производство, цех:</t>
  </si>
  <si>
    <t>Отделение (участок, сектор и пр.):</t>
  </si>
  <si>
    <t>№ источника выбросов ЗВ:</t>
  </si>
  <si>
    <t>Продукт:</t>
  </si>
  <si>
    <t>Расчетный период (год, месяц):</t>
  </si>
  <si>
    <t>Суммарно:</t>
  </si>
  <si>
    <t>Определение концентраций веществ в насыщенных парах жидкостей:</t>
  </si>
  <si>
    <t>Таблица Л.1</t>
  </si>
  <si>
    <t>Приложение П</t>
  </si>
  <si>
    <t>Приложение Г</t>
  </si>
  <si>
    <t>Таблица П.1</t>
  </si>
  <si>
    <r>
      <t>T</t>
    </r>
    <r>
      <rPr>
        <i/>
        <vertAlign val="subscript"/>
        <sz val="10"/>
        <rFont val="Arial"/>
        <family val="2"/>
        <charset val="204"/>
      </rPr>
      <t>нк</t>
    </r>
    <r>
      <rPr>
        <i/>
        <sz val="10"/>
        <rFont val="Arial"/>
        <family val="2"/>
        <charset val="204"/>
      </rPr>
      <t>,</t>
    </r>
    <r>
      <rPr>
        <sz val="10"/>
        <rFont val="Arial"/>
        <family val="2"/>
        <charset val="204"/>
      </rPr>
      <t>°</t>
    </r>
    <r>
      <rPr>
        <i/>
        <sz val="10"/>
        <rFont val="Arial"/>
        <family val="2"/>
        <charset val="204"/>
      </rPr>
      <t>K</t>
    </r>
  </si>
  <si>
    <r>
      <t>m</t>
    </r>
    <r>
      <rPr>
        <i/>
        <vertAlign val="subscript"/>
        <sz val="10"/>
        <rFont val="Arial"/>
        <family val="2"/>
        <charset val="204"/>
      </rPr>
      <t>k</t>
    </r>
  </si>
  <si>
    <r>
      <t>t</t>
    </r>
    <r>
      <rPr>
        <i/>
        <vertAlign val="subscript"/>
        <sz val="10"/>
        <rFont val="Arial"/>
        <family val="2"/>
        <charset val="204"/>
      </rPr>
      <t>HK</t>
    </r>
    <r>
      <rPr>
        <i/>
        <sz val="10"/>
        <rFont val="Cambria"/>
        <family val="1"/>
        <charset val="204"/>
      </rPr>
      <t xml:space="preserve">, </t>
    </r>
    <r>
      <rPr>
        <sz val="10"/>
        <rFont val="Cambria"/>
        <family val="1"/>
        <charset val="204"/>
      </rPr>
      <t>°</t>
    </r>
    <r>
      <rPr>
        <i/>
        <sz val="10"/>
        <rFont val="Cambria"/>
        <family val="1"/>
        <charset val="204"/>
      </rPr>
      <t>C</t>
    </r>
  </si>
  <si>
    <t>М</t>
  </si>
  <si>
    <r>
      <t>Т</t>
    </r>
    <r>
      <rPr>
        <i/>
        <vertAlign val="subscript"/>
        <sz val="11"/>
        <rFont val="Garamond"/>
        <family val="1"/>
        <charset val="204"/>
      </rPr>
      <t>экв</t>
    </r>
    <r>
      <rPr>
        <i/>
        <sz val="11"/>
        <rFont val="Garamond"/>
        <family val="1"/>
        <charset val="204"/>
      </rPr>
      <t xml:space="preserve">, </t>
    </r>
    <r>
      <rPr>
        <sz val="11"/>
        <rFont val="Calibri"/>
        <family val="2"/>
        <charset val="204"/>
      </rPr>
      <t>°</t>
    </r>
    <r>
      <rPr>
        <i/>
        <sz val="11"/>
        <rFont val="Garamond"/>
        <family val="1"/>
        <charset val="204"/>
      </rPr>
      <t>К</t>
    </r>
  </si>
  <si>
    <r>
      <t>Р</t>
    </r>
    <r>
      <rPr>
        <i/>
        <vertAlign val="subscript"/>
        <sz val="10"/>
        <color theme="1"/>
        <rFont val="Arial"/>
        <family val="2"/>
        <charset val="204"/>
      </rPr>
      <t>kS(38)</t>
    </r>
    <r>
      <rPr>
        <i/>
        <sz val="10"/>
        <color theme="1"/>
        <rFont val="Arial"/>
        <family val="2"/>
        <charset val="204"/>
      </rPr>
      <t>, Па</t>
    </r>
  </si>
  <si>
    <t>Сумма:</t>
  </si>
  <si>
    <r>
      <t>c</t>
    </r>
    <r>
      <rPr>
        <i/>
        <vertAlign val="subscript"/>
        <sz val="10"/>
        <color theme="1"/>
        <rFont val="Arial"/>
        <family val="2"/>
        <charset val="204"/>
      </rPr>
      <t>i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</si>
  <si>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t>Имеются ячейки с проверкой данных и условным форматированием</t>
  </si>
  <si>
    <t>Углеводороды непредельные</t>
  </si>
  <si>
    <t>Углеводороды пред. С1-С10</t>
  </si>
  <si>
    <t>Метан</t>
  </si>
  <si>
    <t>Наименование эстакады/узла слива (номер)</t>
  </si>
  <si>
    <t>Результаты расчёта</t>
  </si>
  <si>
    <r>
      <t>ρ</t>
    </r>
    <r>
      <rPr>
        <i/>
        <vertAlign val="subscript"/>
        <sz val="7"/>
        <rFont val="Arial"/>
        <family val="2"/>
        <charset val="204"/>
      </rPr>
      <t>ж</t>
    </r>
    <r>
      <rPr>
        <i/>
        <sz val="7"/>
        <rFont val="Arial"/>
        <family val="2"/>
        <charset val="204"/>
      </rPr>
      <t>, кг/м</t>
    </r>
    <r>
      <rPr>
        <i/>
        <vertAlign val="superscript"/>
        <sz val="7"/>
        <rFont val="Arial"/>
        <family val="2"/>
        <charset val="204"/>
      </rPr>
      <t>3</t>
    </r>
  </si>
  <si>
    <r>
      <t>T</t>
    </r>
    <r>
      <rPr>
        <i/>
        <vertAlign val="subscript"/>
        <sz val="7"/>
        <rFont val="Arial"/>
        <family val="2"/>
        <charset val="204"/>
      </rPr>
      <t>ж</t>
    </r>
    <r>
      <rPr>
        <i/>
        <sz val="7"/>
        <rFont val="Arial"/>
        <family val="2"/>
        <charset val="204"/>
      </rPr>
      <t xml:space="preserve">, </t>
    </r>
    <r>
      <rPr>
        <sz val="7"/>
        <rFont val="Arial"/>
        <family val="2"/>
        <charset val="204"/>
      </rPr>
      <t>°</t>
    </r>
    <r>
      <rPr>
        <i/>
        <sz val="7"/>
        <rFont val="Arial"/>
        <family val="2"/>
        <charset val="204"/>
      </rPr>
      <t>К</t>
    </r>
  </si>
  <si>
    <r>
      <t>T</t>
    </r>
    <r>
      <rPr>
        <i/>
        <vertAlign val="superscript"/>
        <sz val="7"/>
        <rFont val="Arial"/>
        <family val="2"/>
        <charset val="204"/>
      </rPr>
      <t>max</t>
    </r>
    <r>
      <rPr>
        <i/>
        <vertAlign val="subscript"/>
        <sz val="7"/>
        <rFont val="Arial"/>
        <family val="2"/>
        <charset val="204"/>
      </rPr>
      <t>ж</t>
    </r>
    <r>
      <rPr>
        <i/>
        <sz val="7"/>
        <rFont val="Arial"/>
        <family val="2"/>
        <charset val="204"/>
      </rPr>
      <t xml:space="preserve">, </t>
    </r>
    <r>
      <rPr>
        <sz val="7"/>
        <rFont val="Arial"/>
        <family val="2"/>
        <charset val="204"/>
      </rPr>
      <t>°</t>
    </r>
    <r>
      <rPr>
        <i/>
        <sz val="7"/>
        <rFont val="Arial"/>
        <family val="2"/>
        <charset val="204"/>
      </rPr>
      <t>К</t>
    </r>
  </si>
  <si>
    <r>
      <t>k</t>
    </r>
    <r>
      <rPr>
        <i/>
        <vertAlign val="subscript"/>
        <sz val="7"/>
        <rFont val="Arial"/>
        <family val="2"/>
        <charset val="204"/>
      </rPr>
      <t>p</t>
    </r>
  </si>
  <si>
    <r>
      <t>c</t>
    </r>
    <r>
      <rPr>
        <i/>
        <vertAlign val="subscript"/>
        <sz val="7"/>
        <rFont val="Arial"/>
        <family val="2"/>
        <charset val="204"/>
      </rPr>
      <t>i</t>
    </r>
    <r>
      <rPr>
        <i/>
        <sz val="7"/>
        <rFont val="Arial"/>
        <family val="2"/>
        <charset val="204"/>
      </rPr>
      <t>, мг/м</t>
    </r>
    <r>
      <rPr>
        <i/>
        <vertAlign val="superscript"/>
        <sz val="7"/>
        <rFont val="Arial"/>
        <family val="2"/>
        <charset val="204"/>
      </rPr>
      <t>3</t>
    </r>
  </si>
  <si>
    <r>
      <t>c</t>
    </r>
    <r>
      <rPr>
        <i/>
        <vertAlign val="superscript"/>
        <sz val="7"/>
        <rFont val="Arial"/>
        <family val="2"/>
        <charset val="204"/>
      </rPr>
      <t>max</t>
    </r>
    <r>
      <rPr>
        <i/>
        <vertAlign val="subscript"/>
        <sz val="7"/>
        <rFont val="Arial"/>
        <family val="2"/>
        <charset val="204"/>
      </rPr>
      <t>i</t>
    </r>
    <r>
      <rPr>
        <i/>
        <sz val="7"/>
        <rFont val="Arial"/>
        <family val="2"/>
        <charset val="204"/>
      </rPr>
      <t>, мг/м</t>
    </r>
    <r>
      <rPr>
        <i/>
        <vertAlign val="superscript"/>
        <sz val="7"/>
        <rFont val="Arial"/>
        <family val="2"/>
        <charset val="204"/>
      </rPr>
      <t>3</t>
    </r>
  </si>
  <si>
    <t>Расчетный блок №2 (налив жидкостей)</t>
  </si>
  <si>
    <t>Расчет максимального выброса  i-го вещества, группы веществ во время налива емкостей транспортировки с остатками жидкостей в соответствии с 10.2.1.3 (формула 10.14);</t>
  </si>
  <si>
    <t>Расчет валового выброса  i-го вещества, группы веществ во время налива емкостей транспортировки с остатками жидкостей в соответствии с 10.2.1.4 (формула 10.15);</t>
  </si>
  <si>
    <t>Расчет максимального выброса -го вещества, группы веществ во время налива емкостей транспортировки без остатков жидкостей в соответствии с 10.2.1.9;</t>
  </si>
  <si>
    <t>Расчет валового выброса -го вещества, группы веществ во время налива емкостей транспортировки без остатков жидкостей в соответствии с 10.2.1.10.</t>
  </si>
  <si>
    <t>Налив сверху открытой струёй</t>
  </si>
  <si>
    <t>Налив сверху полуоткрытой струёй</t>
  </si>
  <si>
    <t>Налив снизу или под слой жидкости</t>
  </si>
  <si>
    <r>
      <t>температура конца кипения не более 473</t>
    </r>
    <r>
      <rPr>
        <sz val="11"/>
        <color theme="1"/>
        <rFont val="Calibri"/>
        <family val="2"/>
        <charset val="204"/>
      </rPr>
      <t>°К</t>
    </r>
  </si>
  <si>
    <r>
      <t>температура конца кипения не более 653</t>
    </r>
    <r>
      <rPr>
        <sz val="11"/>
        <color theme="1"/>
        <rFont val="Calibri"/>
        <family val="2"/>
        <charset val="204"/>
      </rPr>
      <t>°К</t>
    </r>
  </si>
  <si>
    <r>
      <t>температура конца кипения более 653</t>
    </r>
    <r>
      <rPr>
        <sz val="11"/>
        <color theme="1"/>
        <rFont val="Calibri"/>
        <family val="2"/>
        <charset val="204"/>
      </rPr>
      <t>°К</t>
    </r>
  </si>
  <si>
    <t>Налив емкостей транспортировки с остатками жидкостей</t>
  </si>
  <si>
    <t>Налив емкостей транспортировки без остатков жидкостей</t>
  </si>
  <si>
    <t>Вариант налива</t>
  </si>
  <si>
    <r>
      <t xml:space="preserve">Рабочий объем транспортной емкости, </t>
    </r>
    <r>
      <rPr>
        <i/>
        <sz val="10"/>
        <rFont val="Arial"/>
        <family val="2"/>
        <charset val="204"/>
      </rPr>
      <t>V</t>
    </r>
    <r>
      <rPr>
        <i/>
        <vertAlign val="subscript"/>
        <sz val="10"/>
        <rFont val="Arial"/>
        <family val="2"/>
        <charset val="204"/>
      </rPr>
      <t>раб</t>
    </r>
    <r>
      <rPr>
        <sz val="10"/>
        <rFont val="Arial"/>
        <family val="2"/>
        <charset val="204"/>
      </rPr>
      <t>, м</t>
    </r>
    <r>
      <rPr>
        <vertAlign val="superscript"/>
        <sz val="10"/>
        <rFont val="Arial"/>
        <family val="2"/>
        <charset val="204"/>
      </rPr>
      <t>3</t>
    </r>
  </si>
  <si>
    <r>
      <t xml:space="preserve">Внутренний диаметр наливного рукава, </t>
    </r>
    <r>
      <rPr>
        <i/>
        <sz val="10"/>
        <rFont val="Arial"/>
        <family val="2"/>
        <charset val="204"/>
      </rPr>
      <t>d</t>
    </r>
    <r>
      <rPr>
        <sz val="10"/>
        <rFont val="Arial"/>
        <family val="2"/>
        <charset val="204"/>
      </rPr>
      <t>, мм</t>
    </r>
  </si>
  <si>
    <t>Температура конца кипения продукта, °К</t>
  </si>
  <si>
    <r>
      <t xml:space="preserve">Коэффициента учета потерь жидкости за счет проливов и через неплотности разъемных соединений наливного оборудования, </t>
    </r>
    <r>
      <rPr>
        <i/>
        <sz val="10"/>
        <rFont val="Arial"/>
        <family val="2"/>
        <charset val="204"/>
      </rPr>
      <t>к</t>
    </r>
    <r>
      <rPr>
        <i/>
        <vertAlign val="subscript"/>
        <sz val="10"/>
        <rFont val="Arial"/>
        <family val="2"/>
        <charset val="204"/>
      </rPr>
      <t>пр</t>
    </r>
  </si>
  <si>
    <t>Способ налива жидкости в транспортные цистерны</t>
  </si>
  <si>
    <r>
      <t xml:space="preserve">Коэффициент налива, </t>
    </r>
    <r>
      <rPr>
        <i/>
        <sz val="10"/>
        <rFont val="Arial"/>
        <family val="2"/>
        <charset val="204"/>
      </rPr>
      <t>к</t>
    </r>
    <r>
      <rPr>
        <i/>
        <vertAlign val="subscript"/>
        <sz val="10"/>
        <rFont val="Arial"/>
        <family val="2"/>
        <charset val="204"/>
      </rPr>
      <t>нал</t>
    </r>
  </si>
  <si>
    <t>Наименование средства снижения потерь (при наличии)</t>
  </si>
  <si>
    <t>По паспортным данным средства сокращения потерь</t>
  </si>
  <si>
    <r>
      <t xml:space="preserve">Эффективность выносного средства сокращения потерь </t>
    </r>
    <r>
      <rPr>
        <i/>
        <sz val="10"/>
        <color theme="1"/>
        <rFont val="Arial"/>
        <family val="2"/>
        <charset val="204"/>
      </rPr>
      <t>η</t>
    </r>
    <r>
      <rPr>
        <i/>
        <vertAlign val="subscript"/>
        <sz val="10"/>
        <color theme="1"/>
        <rFont val="Arial"/>
        <family val="2"/>
        <charset val="204"/>
      </rPr>
      <t>ccn</t>
    </r>
    <r>
      <rPr>
        <sz val="10"/>
        <color theme="1"/>
        <rFont val="Arial"/>
        <family val="2"/>
        <charset val="204"/>
      </rPr>
      <t>, %</t>
    </r>
  </si>
  <si>
    <r>
      <t>Q</t>
    </r>
    <r>
      <rPr>
        <i/>
        <vertAlign val="subscript"/>
        <sz val="10"/>
        <color theme="1"/>
        <rFont val="Arial"/>
        <family val="2"/>
        <charset val="204"/>
      </rPr>
      <t>пр</t>
    </r>
    <r>
      <rPr>
        <i/>
        <sz val="10"/>
        <color theme="1"/>
        <rFont val="Arial"/>
        <family val="2"/>
        <charset val="204"/>
      </rPr>
      <t>, м</t>
    </r>
    <r>
      <rPr>
        <i/>
        <vertAlign val="superscript"/>
        <sz val="10"/>
        <color theme="1"/>
        <rFont val="Arial"/>
        <family val="2"/>
        <charset val="204"/>
      </rPr>
      <t>3</t>
    </r>
    <r>
      <rPr>
        <i/>
        <sz val="10"/>
        <color theme="1"/>
        <rFont val="Arial"/>
        <family val="2"/>
        <charset val="204"/>
      </rPr>
      <t>/год</t>
    </r>
  </si>
  <si>
    <r>
      <t>Q</t>
    </r>
    <r>
      <rPr>
        <i/>
        <vertAlign val="subscript"/>
        <sz val="10"/>
        <color theme="1"/>
        <rFont val="Arial"/>
        <family val="2"/>
        <charset val="204"/>
      </rPr>
      <t>Ƞ</t>
    </r>
    <r>
      <rPr>
        <i/>
        <sz val="10"/>
        <color theme="1"/>
        <rFont val="Arial"/>
        <family val="2"/>
        <charset val="204"/>
      </rPr>
      <t>, м</t>
    </r>
    <r>
      <rPr>
        <i/>
        <vertAlign val="superscript"/>
        <sz val="10"/>
        <color theme="1"/>
        <rFont val="Arial"/>
        <family val="2"/>
        <charset val="204"/>
      </rPr>
      <t>3</t>
    </r>
    <r>
      <rPr>
        <i/>
        <sz val="10"/>
        <color theme="1"/>
        <rFont val="Arial"/>
        <family val="2"/>
        <charset val="204"/>
      </rPr>
      <t>/час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</si>
  <si>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нас</t>
    </r>
  </si>
  <si>
    <r>
      <t>Y</t>
    </r>
    <r>
      <rPr>
        <i/>
        <vertAlign val="superscript"/>
        <sz val="10"/>
        <color theme="1"/>
        <rFont val="Arial"/>
        <family val="2"/>
        <charset val="204"/>
      </rPr>
      <t>max</t>
    </r>
    <r>
      <rPr>
        <i/>
        <vertAlign val="subscript"/>
        <sz val="10"/>
        <color theme="1"/>
        <rFont val="Arial"/>
        <family val="2"/>
        <charset val="204"/>
      </rPr>
      <t>нас</t>
    </r>
  </si>
  <si>
    <r>
      <t>L</t>
    </r>
    <r>
      <rPr>
        <i/>
        <vertAlign val="superscript"/>
        <sz val="10"/>
        <color theme="1"/>
        <rFont val="Arial"/>
        <family val="2"/>
        <charset val="204"/>
      </rPr>
      <t>max</t>
    </r>
    <r>
      <rPr>
        <i/>
        <sz val="10"/>
        <color theme="1"/>
        <rFont val="Arial"/>
        <family val="2"/>
        <charset val="204"/>
      </rPr>
      <t>, м</t>
    </r>
    <r>
      <rPr>
        <i/>
        <vertAlign val="superscript"/>
        <sz val="10"/>
        <color theme="1"/>
        <rFont val="Arial"/>
        <family val="2"/>
        <charset val="204"/>
      </rPr>
      <t>3</t>
    </r>
    <r>
      <rPr>
        <i/>
        <sz val="10"/>
        <color theme="1"/>
        <rFont val="Arial"/>
        <family val="2"/>
        <charset val="204"/>
      </rPr>
      <t>/с</t>
    </r>
  </si>
  <si>
    <t>В соответствии с п. 10.1.1.8</t>
  </si>
  <si>
    <t>Принятая в расчёт</t>
  </si>
  <si>
    <r>
      <t>c</t>
    </r>
    <r>
      <rPr>
        <i/>
        <vertAlign val="subscript"/>
        <sz val="10"/>
        <color theme="1"/>
        <rFont val="Arial"/>
        <family val="2"/>
        <charset val="204"/>
      </rPr>
      <t>i вх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</si>
  <si>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c</t>
    </r>
    <r>
      <rPr>
        <i/>
        <vertAlign val="subscript"/>
        <sz val="10"/>
        <color theme="1"/>
        <rFont val="Arial"/>
        <family val="2"/>
        <charset val="204"/>
      </rPr>
      <t>iвых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</si>
  <si>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сум вх</t>
    </r>
    <r>
      <rPr>
        <i/>
        <sz val="10"/>
        <color theme="1"/>
        <rFont val="Arial"/>
        <family val="2"/>
        <charset val="204"/>
      </rPr>
      <t>, % об.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</si>
  <si>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сум вых</t>
    </r>
    <r>
      <rPr>
        <i/>
        <sz val="10"/>
        <color theme="1"/>
        <rFont val="Arial"/>
        <family val="2"/>
        <charset val="204"/>
      </rPr>
      <t>, % об.</t>
    </r>
  </si>
  <si>
    <t>По формуле 10.8</t>
  </si>
  <si>
    <r>
      <t>k</t>
    </r>
    <r>
      <rPr>
        <i/>
        <vertAlign val="superscript"/>
        <sz val="10"/>
        <color theme="1"/>
        <rFont val="Arial"/>
        <family val="2"/>
        <charset val="204"/>
      </rPr>
      <t>max</t>
    </r>
    <r>
      <rPr>
        <i/>
        <vertAlign val="subscript"/>
        <sz val="10"/>
        <color theme="1"/>
        <rFont val="Arial"/>
        <family val="2"/>
        <charset val="204"/>
      </rPr>
      <t>p</t>
    </r>
  </si>
  <si>
    <t>Наименование резервуара:</t>
  </si>
  <si>
    <t>Вариант налива:</t>
  </si>
  <si>
    <t>Способ налива жидкости в транспортные цистерны:</t>
  </si>
  <si>
    <t>Температура конца кипения продукта, °К:</t>
  </si>
  <si>
    <t>Средства сокращения выбросов (ССВ):</t>
  </si>
  <si>
    <r>
      <rPr>
        <i/>
        <sz val="7"/>
        <rFont val="Arial"/>
        <family val="2"/>
        <charset val="204"/>
      </rPr>
      <t>V</t>
    </r>
    <r>
      <rPr>
        <i/>
        <vertAlign val="subscript"/>
        <sz val="7"/>
        <rFont val="Arial"/>
        <family val="2"/>
        <charset val="204"/>
      </rPr>
      <t>раб</t>
    </r>
    <r>
      <rPr>
        <sz val="7"/>
        <rFont val="Arial"/>
        <family val="2"/>
        <charset val="204"/>
      </rPr>
      <t>, м</t>
    </r>
    <r>
      <rPr>
        <vertAlign val="superscript"/>
        <sz val="7"/>
        <rFont val="Arial"/>
        <family val="2"/>
        <charset val="204"/>
      </rPr>
      <t>3</t>
    </r>
  </si>
  <si>
    <t>d, мм</t>
  </si>
  <si>
    <r>
      <t>к</t>
    </r>
    <r>
      <rPr>
        <i/>
        <vertAlign val="subscript"/>
        <sz val="7"/>
        <rFont val="Arial"/>
        <family val="2"/>
        <charset val="204"/>
      </rPr>
      <t>пр</t>
    </r>
  </si>
  <si>
    <r>
      <t>к</t>
    </r>
    <r>
      <rPr>
        <i/>
        <vertAlign val="subscript"/>
        <sz val="7"/>
        <rFont val="Arial"/>
        <family val="2"/>
        <charset val="204"/>
      </rPr>
      <t>нал</t>
    </r>
  </si>
  <si>
    <r>
      <t>Количеситво одновременно наливаемых цистерн, n</t>
    </r>
    <r>
      <rPr>
        <vertAlign val="subscript"/>
        <sz val="10"/>
        <rFont val="Arial"/>
        <family val="2"/>
        <charset val="204"/>
      </rPr>
      <t>цист.</t>
    </r>
    <r>
      <rPr>
        <sz val="10"/>
        <rFont val="Arial"/>
        <family val="2"/>
        <charset val="204"/>
      </rPr>
      <t>, шт.</t>
    </r>
  </si>
  <si>
    <r>
      <t>n</t>
    </r>
    <r>
      <rPr>
        <i/>
        <vertAlign val="subscript"/>
        <sz val="7"/>
        <rFont val="Arial"/>
        <family val="2"/>
        <charset val="204"/>
      </rPr>
      <t>цист.</t>
    </r>
    <r>
      <rPr>
        <i/>
        <sz val="7"/>
        <rFont val="Arial"/>
        <family val="2"/>
        <charset val="204"/>
      </rPr>
      <t>, шт.</t>
    </r>
  </si>
  <si>
    <r>
      <t>c</t>
    </r>
    <r>
      <rPr>
        <i/>
        <vertAlign val="superscript"/>
        <sz val="10"/>
        <color theme="1"/>
        <rFont val="Arial"/>
        <family val="2"/>
        <charset val="204"/>
      </rPr>
      <t>max</t>
    </r>
    <r>
      <rPr>
        <i/>
        <vertAlign val="subscript"/>
        <sz val="10"/>
        <color theme="1"/>
        <rFont val="Arial"/>
        <family val="2"/>
        <charset val="204"/>
      </rPr>
      <t>i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</si>
  <si>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В</t>
    </r>
    <r>
      <rPr>
        <i/>
        <vertAlign val="subscript"/>
        <sz val="7"/>
        <rFont val="Arial"/>
        <family val="2"/>
        <charset val="204"/>
      </rPr>
      <t>ж</t>
    </r>
    <r>
      <rPr>
        <i/>
        <sz val="7"/>
        <rFont val="Arial"/>
        <family val="2"/>
        <charset val="204"/>
      </rPr>
      <t xml:space="preserve">, </t>
    </r>
    <r>
      <rPr>
        <i/>
        <sz val="6"/>
        <rFont val="Arial"/>
        <family val="2"/>
        <charset val="204"/>
      </rPr>
      <t>(т/период)</t>
    </r>
  </si>
  <si>
    <r>
      <t>Q</t>
    </r>
    <r>
      <rPr>
        <i/>
        <vertAlign val="subscript"/>
        <sz val="7"/>
        <rFont val="Arial"/>
        <family val="2"/>
        <charset val="204"/>
      </rPr>
      <t>пр</t>
    </r>
    <r>
      <rPr>
        <i/>
        <sz val="7"/>
        <rFont val="Arial"/>
        <family val="2"/>
        <charset val="204"/>
      </rPr>
      <t>, м</t>
    </r>
    <r>
      <rPr>
        <i/>
        <vertAlign val="superscript"/>
        <sz val="7"/>
        <rFont val="Arial"/>
        <family val="2"/>
        <charset val="204"/>
      </rPr>
      <t>3</t>
    </r>
    <r>
      <rPr>
        <i/>
        <sz val="7"/>
        <rFont val="Arial"/>
        <family val="2"/>
        <charset val="204"/>
      </rPr>
      <t>/год</t>
    </r>
  </si>
  <si>
    <r>
      <t>Q</t>
    </r>
    <r>
      <rPr>
        <i/>
        <vertAlign val="subscript"/>
        <sz val="7"/>
        <rFont val="Arial"/>
        <family val="2"/>
        <charset val="204"/>
      </rPr>
      <t>Ƞ</t>
    </r>
    <r>
      <rPr>
        <i/>
        <sz val="7"/>
        <rFont val="Arial"/>
        <family val="2"/>
        <charset val="204"/>
      </rPr>
      <t>, м</t>
    </r>
    <r>
      <rPr>
        <i/>
        <vertAlign val="superscript"/>
        <sz val="7"/>
        <rFont val="Arial"/>
        <family val="2"/>
        <charset val="204"/>
      </rPr>
      <t>3</t>
    </r>
    <r>
      <rPr>
        <i/>
        <sz val="7"/>
        <rFont val="Arial"/>
        <family val="2"/>
        <charset val="204"/>
      </rPr>
      <t>/час</t>
    </r>
  </si>
  <si>
    <r>
      <t>L</t>
    </r>
    <r>
      <rPr>
        <i/>
        <vertAlign val="superscript"/>
        <sz val="7"/>
        <rFont val="Arial"/>
        <family val="2"/>
        <charset val="204"/>
      </rPr>
      <t>max</t>
    </r>
    <r>
      <rPr>
        <i/>
        <sz val="7"/>
        <rFont val="Arial"/>
        <family val="2"/>
        <charset val="204"/>
      </rPr>
      <t>, м</t>
    </r>
    <r>
      <rPr>
        <i/>
        <vertAlign val="superscript"/>
        <sz val="7"/>
        <rFont val="Arial"/>
        <family val="2"/>
        <charset val="204"/>
      </rPr>
      <t>3</t>
    </r>
    <r>
      <rPr>
        <i/>
        <sz val="7"/>
        <rFont val="Arial"/>
        <family val="2"/>
        <charset val="204"/>
      </rPr>
      <t>/с</t>
    </r>
  </si>
  <si>
    <r>
      <t>k</t>
    </r>
    <r>
      <rPr>
        <i/>
        <vertAlign val="superscript"/>
        <sz val="7"/>
        <rFont val="Arial"/>
        <family val="2"/>
        <charset val="204"/>
      </rPr>
      <t>max</t>
    </r>
    <r>
      <rPr>
        <i/>
        <vertAlign val="subscript"/>
        <sz val="7"/>
        <rFont val="Arial"/>
        <family val="2"/>
        <charset val="204"/>
      </rPr>
      <t>p</t>
    </r>
  </si>
  <si>
    <r>
      <t>M</t>
    </r>
    <r>
      <rPr>
        <i/>
        <vertAlign val="superscript"/>
        <sz val="7"/>
        <rFont val="Arial"/>
        <family val="2"/>
        <charset val="204"/>
      </rPr>
      <t>max</t>
    </r>
    <r>
      <rPr>
        <i/>
        <vertAlign val="subscript"/>
        <sz val="7"/>
        <rFont val="Arial"/>
        <family val="2"/>
        <charset val="204"/>
      </rPr>
      <t>i</t>
    </r>
    <r>
      <rPr>
        <i/>
        <sz val="7"/>
        <rFont val="Arial"/>
        <family val="2"/>
        <charset val="204"/>
      </rPr>
      <t>, г/с</t>
    </r>
  </si>
  <si>
    <r>
      <t>G</t>
    </r>
    <r>
      <rPr>
        <i/>
        <vertAlign val="subscript"/>
        <sz val="7"/>
        <rFont val="Arial"/>
        <family val="2"/>
        <charset val="204"/>
      </rPr>
      <t>i</t>
    </r>
    <r>
      <rPr>
        <i/>
        <sz val="7"/>
        <rFont val="Arial"/>
        <family val="2"/>
        <charset val="204"/>
      </rPr>
      <t>, т/период</t>
    </r>
  </si>
  <si>
    <r>
      <t xml:space="preserve">10.4.1.3 Концентрация i-го вещества или группы веществ в насыщенных парах углеводородных жидкостей с температурой начало кипения не менее 633 </t>
    </r>
    <r>
      <rPr>
        <b/>
        <sz val="10"/>
        <color rgb="FF0000FF"/>
        <rFont val="Calibri"/>
        <family val="2"/>
        <charset val="204"/>
      </rPr>
      <t>°</t>
    </r>
    <r>
      <rPr>
        <b/>
        <sz val="10"/>
        <color rgb="FF0000FF"/>
        <rFont val="Arial"/>
        <family val="2"/>
        <charset val="204"/>
      </rPr>
      <t>К</t>
    </r>
  </si>
  <si>
    <t>максимальная объемная доля паров, определяемая в соответствии  с10.2.1.7, для жидкостей с температурой начала кипения не менее 633 К максимальная объемная доля паров принимается равной нулю.</t>
  </si>
  <si>
    <r>
      <t>c</t>
    </r>
    <r>
      <rPr>
        <i/>
        <vertAlign val="superscript"/>
        <sz val="10"/>
        <color theme="1"/>
        <rFont val="Arial"/>
        <family val="2"/>
        <charset val="204"/>
      </rPr>
      <t>инс</t>
    </r>
    <r>
      <rPr>
        <i/>
        <vertAlign val="subscript"/>
        <sz val="10"/>
        <color theme="1"/>
        <rFont val="Arial"/>
        <family val="2"/>
        <charset val="204"/>
      </rPr>
      <t>i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</si>
  <si>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 xml:space="preserve">Таблица П.6 - Значения коэффициента </t>
    </r>
    <r>
      <rPr>
        <b/>
        <i/>
        <sz val="10"/>
        <rFont val="Arial"/>
        <family val="2"/>
        <charset val="204"/>
      </rPr>
      <t>k</t>
    </r>
    <r>
      <rPr>
        <b/>
        <i/>
        <vertAlign val="subscript"/>
        <sz val="10"/>
        <rFont val="Arial"/>
        <family val="2"/>
        <charset val="204"/>
      </rPr>
      <t>TT</t>
    </r>
    <r>
      <rPr>
        <b/>
        <sz val="10"/>
        <rFont val="Arial"/>
        <family val="2"/>
        <charset val="204"/>
      </rPr>
      <t xml:space="preserve"> в зависимости от температуры жидкости </t>
    </r>
    <r>
      <rPr>
        <b/>
        <i/>
        <sz val="10"/>
        <rFont val="Arial"/>
        <family val="2"/>
        <charset val="204"/>
      </rPr>
      <t>Т</t>
    </r>
    <r>
      <rPr>
        <b/>
        <i/>
        <vertAlign val="subscript"/>
        <sz val="10"/>
        <rFont val="Arial"/>
        <family val="2"/>
        <charset val="204"/>
      </rPr>
      <t>ж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Calibri"/>
        <family val="2"/>
        <charset val="204"/>
      </rPr>
      <t>°K</t>
    </r>
  </si>
  <si>
    <r>
      <t>Т</t>
    </r>
    <r>
      <rPr>
        <i/>
        <vertAlign val="subscript"/>
        <sz val="10"/>
        <rFont val="Arial"/>
        <family val="2"/>
        <charset val="204"/>
      </rPr>
      <t>ж</t>
    </r>
    <r>
      <rPr>
        <i/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°</t>
    </r>
    <r>
      <rPr>
        <i/>
        <sz val="10"/>
        <rFont val="Arial"/>
        <family val="2"/>
        <charset val="204"/>
      </rPr>
      <t>K</t>
    </r>
  </si>
  <si>
    <r>
      <t>k</t>
    </r>
    <r>
      <rPr>
        <b/>
        <i/>
        <vertAlign val="subscript"/>
        <sz val="10"/>
        <rFont val="Arial"/>
        <family val="2"/>
        <charset val="204"/>
      </rPr>
      <t>TT</t>
    </r>
  </si>
  <si>
    <r>
      <t>к</t>
    </r>
    <r>
      <rPr>
        <i/>
        <vertAlign val="subscript"/>
        <sz val="10"/>
        <color theme="1"/>
        <rFont val="Arial"/>
        <family val="2"/>
        <charset val="204"/>
      </rPr>
      <t>ТТ</t>
    </r>
  </si>
  <si>
    <r>
      <t>к</t>
    </r>
    <r>
      <rPr>
        <i/>
        <vertAlign val="subscript"/>
        <sz val="10"/>
        <color theme="1"/>
        <rFont val="Arial"/>
        <family val="2"/>
        <charset val="204"/>
      </rPr>
      <t>ТТmax</t>
    </r>
  </si>
  <si>
    <t>Парк СПТ. Ж/д эстакада слива-налива СПТ</t>
  </si>
  <si>
    <t>Смола пиролиза тяжелая</t>
  </si>
  <si>
    <t>к.423</t>
  </si>
  <si>
    <t>Цех 016 (складское хозяйство)</t>
  </si>
  <si>
    <t>температура конца кипения более 653°К</t>
  </si>
  <si>
    <t>Углеводороды ароматические</t>
  </si>
  <si>
    <t>Углеводороды пред. С11-С19</t>
  </si>
  <si>
    <r>
      <t>c</t>
    </r>
    <r>
      <rPr>
        <i/>
        <vertAlign val="superscript"/>
        <sz val="7"/>
        <color theme="1"/>
        <rFont val="Arial"/>
        <family val="2"/>
        <charset val="204"/>
      </rPr>
      <t>инс</t>
    </r>
    <r>
      <rPr>
        <i/>
        <vertAlign val="subscript"/>
        <sz val="7"/>
        <color theme="1"/>
        <rFont val="Arial"/>
        <family val="2"/>
        <charset val="204"/>
      </rPr>
      <t>i</t>
    </r>
    <r>
      <rPr>
        <i/>
        <sz val="7"/>
        <color theme="1"/>
        <rFont val="Arial"/>
        <family val="2"/>
        <charset val="204"/>
      </rPr>
      <t>, мг/м</t>
    </r>
    <r>
      <rPr>
        <i/>
        <vertAlign val="superscript"/>
        <sz val="7"/>
        <color theme="1"/>
        <rFont val="Arial"/>
        <family val="2"/>
        <charset val="204"/>
      </rPr>
      <t>3</t>
    </r>
  </si>
  <si>
    <r>
      <t>к</t>
    </r>
    <r>
      <rPr>
        <i/>
        <vertAlign val="subscript"/>
        <sz val="7"/>
        <color theme="1"/>
        <rFont val="Arial"/>
        <family val="2"/>
        <charset val="204"/>
      </rPr>
      <t>ТТ</t>
    </r>
  </si>
  <si>
    <r>
      <t>к</t>
    </r>
    <r>
      <rPr>
        <i/>
        <vertAlign val="subscript"/>
        <sz val="7"/>
        <color theme="1"/>
        <rFont val="Arial"/>
        <family val="2"/>
        <charset val="204"/>
      </rPr>
      <t>ТТmax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</si>
</sst>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0"/>
    <numFmt numFmtId="165" formatCode="0.0"/>
    <numFmt numFmtId="166" formatCode="0.000000"/>
    <numFmt numFmtId="167" formatCode="0.00000"/>
    <numFmt numFmtId="168" formatCode="0.000"/>
    <numFmt numFmtId="169" formatCode="0.000E+00"/>
    <numFmt numFmtId="170" formatCode="0.0000"/>
  </numFmts>
  <fonts count="5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vertAlign val="subscript"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b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8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vertAlign val="superscript"/>
      <sz val="8"/>
      <color indexed="12"/>
      <name val="Arial"/>
      <family val="2"/>
      <charset val="204"/>
    </font>
    <font>
      <b/>
      <vertAlign val="subscript"/>
      <sz val="8"/>
      <color indexed="12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vertAlign val="subscript"/>
      <sz val="8"/>
      <color indexed="10"/>
      <name val="Arial"/>
      <family val="2"/>
      <charset val="204"/>
    </font>
    <font>
      <b/>
      <sz val="8"/>
      <color indexed="39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i/>
      <sz val="7"/>
      <name val="Arial"/>
      <family val="2"/>
      <charset val="204"/>
    </font>
    <font>
      <i/>
      <sz val="7"/>
      <name val="Arial"/>
      <family val="2"/>
      <charset val="204"/>
    </font>
    <font>
      <i/>
      <vertAlign val="subscript"/>
      <sz val="7"/>
      <name val="Arial"/>
      <family val="2"/>
      <charset val="204"/>
    </font>
    <font>
      <i/>
      <vertAlign val="superscript"/>
      <sz val="7"/>
      <name val="Arial"/>
      <family val="2"/>
      <charset val="204"/>
    </font>
    <font>
      <b/>
      <sz val="10"/>
      <color rgb="FF0000FF"/>
      <name val="Arial"/>
      <family val="2"/>
      <charset val="204"/>
    </font>
    <font>
      <strike/>
      <sz val="10"/>
      <color rgb="FFFF00FF"/>
      <name val="Arial"/>
      <family val="2"/>
      <charset val="204"/>
    </font>
    <font>
      <b/>
      <vertAlign val="subscript"/>
      <sz val="8"/>
      <color indexed="1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name val="Cambria"/>
      <family val="1"/>
      <charset val="204"/>
    </font>
    <font>
      <sz val="10"/>
      <name val="Cambria"/>
      <family val="1"/>
      <charset val="204"/>
    </font>
    <font>
      <i/>
      <sz val="11"/>
      <name val="Garamond"/>
      <family val="1"/>
      <charset val="204"/>
    </font>
    <font>
      <i/>
      <vertAlign val="subscript"/>
      <sz val="11"/>
      <name val="Garamond"/>
      <family val="1"/>
      <charset val="204"/>
    </font>
    <font>
      <sz val="11"/>
      <name val="Calibri"/>
      <family val="2"/>
      <charset val="204"/>
    </font>
    <font>
      <b/>
      <i/>
      <sz val="10"/>
      <name val="Arial"/>
      <family val="2"/>
      <charset val="204"/>
    </font>
    <font>
      <b/>
      <i/>
      <vertAlign val="subscript"/>
      <sz val="10"/>
      <name val="Arial"/>
      <family val="2"/>
      <charset val="204"/>
    </font>
    <font>
      <sz val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perscript"/>
      <sz val="7"/>
      <name val="Arial"/>
      <family val="2"/>
      <charset val="204"/>
    </font>
    <font>
      <vertAlign val="subscript"/>
      <sz val="10"/>
      <name val="Arial"/>
      <family val="2"/>
      <charset val="204"/>
    </font>
    <font>
      <i/>
      <sz val="6"/>
      <name val="Arial"/>
      <family val="2"/>
      <charset val="204"/>
    </font>
    <font>
      <b/>
      <sz val="10"/>
      <color rgb="FF0000FF"/>
      <name val="Calibri"/>
      <family val="2"/>
      <charset val="204"/>
    </font>
    <font>
      <b/>
      <vertAlign val="superscript"/>
      <sz val="8"/>
      <color indexed="39"/>
      <name val="Arial"/>
      <family val="2"/>
      <charset val="204"/>
    </font>
    <font>
      <b/>
      <sz val="10"/>
      <name val="Calibri"/>
      <family val="2"/>
      <charset val="204"/>
    </font>
    <font>
      <i/>
      <sz val="7"/>
      <color theme="1"/>
      <name val="Arial"/>
      <family val="2"/>
      <charset val="204"/>
    </font>
    <font>
      <i/>
      <vertAlign val="superscript"/>
      <sz val="7"/>
      <color theme="1"/>
      <name val="Arial"/>
      <family val="2"/>
      <charset val="204"/>
    </font>
    <font>
      <i/>
      <vertAlign val="subscript"/>
      <sz val="7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215">
    <xf numFmtId="0" fontId="0" fillId="0" borderId="0" xfId="0"/>
    <xf numFmtId="0" fontId="15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>
      <alignment vertical="top"/>
    </xf>
    <xf numFmtId="0" fontId="1" fillId="0" borderId="0" xfId="1" applyNumberFormat="1" applyFont="1" applyFill="1" applyBorder="1" applyAlignment="1" applyProtection="1">
      <alignment horizontal="center" vertical="top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2" fontId="23" fillId="0" borderId="1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left" vertical="center"/>
    </xf>
    <xf numFmtId="164" fontId="23" fillId="0" borderId="0" xfId="0" applyNumberFormat="1" applyFont="1" applyBorder="1" applyAlignment="1">
      <alignment horizontal="left" vertical="center"/>
    </xf>
    <xf numFmtId="164" fontId="23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164" fontId="23" fillId="0" borderId="3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/>
    </xf>
    <xf numFmtId="165" fontId="23" fillId="0" borderId="6" xfId="0" applyNumberFormat="1" applyFont="1" applyBorder="1" applyAlignment="1">
      <alignment horizontal="center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23" fillId="0" borderId="8" xfId="0" applyNumberFormat="1" applyFont="1" applyFill="1" applyBorder="1" applyAlignment="1" applyProtection="1">
      <alignment horizontal="left" vertical="center" wrapText="1"/>
    </xf>
    <xf numFmtId="165" fontId="23" fillId="0" borderId="8" xfId="0" applyNumberFormat="1" applyFont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13" fillId="0" borderId="0" xfId="1" applyNumberFormat="1" applyFont="1" applyFill="1" applyBorder="1" applyAlignment="1" applyProtection="1">
      <alignment vertical="top"/>
    </xf>
    <xf numFmtId="0" fontId="31" fillId="0" borderId="9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right" vertical="top" wrapText="1"/>
    </xf>
    <xf numFmtId="0" fontId="2" fillId="0" borderId="1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4" fillId="0" borderId="1" xfId="1" applyNumberFormat="1" applyFont="1" applyFill="1" applyBorder="1" applyAlignment="1" applyProtection="1">
      <alignment horizontal="center" vertical="top"/>
    </xf>
    <xf numFmtId="0" fontId="5" fillId="0" borderId="1" xfId="1" applyFont="1" applyBorder="1" applyAlignment="1">
      <alignment horizontal="center" vertical="center"/>
    </xf>
    <xf numFmtId="0" fontId="34" fillId="0" borderId="0" xfId="1" applyNumberFormat="1" applyFont="1" applyFill="1" applyBorder="1" applyAlignment="1" applyProtection="1">
      <alignment horizontal="center" vertical="top"/>
    </xf>
    <xf numFmtId="1" fontId="1" fillId="0" borderId="1" xfId="1" applyNumberFormat="1" applyFont="1" applyFill="1" applyBorder="1" applyAlignment="1" applyProtection="1">
      <alignment horizontal="center" vertical="top"/>
    </xf>
    <xf numFmtId="165" fontId="1" fillId="0" borderId="1" xfId="1" applyNumberFormat="1" applyFont="1" applyFill="1" applyBorder="1" applyAlignment="1" applyProtection="1">
      <alignment horizontal="center" vertical="center" wrapText="1"/>
    </xf>
    <xf numFmtId="169" fontId="13" fillId="0" borderId="1" xfId="1" applyNumberFormat="1" applyFont="1" applyFill="1" applyBorder="1" applyAlignment="1" applyProtection="1">
      <alignment horizontal="center" vertical="center"/>
    </xf>
    <xf numFmtId="1" fontId="1" fillId="0" borderId="1" xfId="1" applyNumberFormat="1" applyFont="1" applyFill="1" applyBorder="1" applyAlignment="1" applyProtection="1">
      <alignment horizontal="center" vertical="center" wrapText="1"/>
    </xf>
    <xf numFmtId="0" fontId="37" fillId="0" borderId="1" xfId="1" applyNumberFormat="1" applyFont="1" applyFill="1" applyBorder="1" applyAlignment="1" applyProtection="1">
      <alignment horizontal="center" vertical="top"/>
    </xf>
    <xf numFmtId="168" fontId="1" fillId="0" borderId="1" xfId="1" applyNumberFormat="1" applyFont="1" applyFill="1" applyBorder="1" applyAlignment="1" applyProtection="1">
      <alignment horizontal="center" vertical="top"/>
    </xf>
    <xf numFmtId="2" fontId="23" fillId="0" borderId="6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40" fillId="0" borderId="0" xfId="0" applyFont="1"/>
    <xf numFmtId="0" fontId="23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5" fontId="23" fillId="0" borderId="6" xfId="0" applyNumberFormat="1" applyFont="1" applyFill="1" applyBorder="1" applyAlignment="1" applyProtection="1">
      <alignment horizontal="center" vertical="center" wrapText="1"/>
    </xf>
    <xf numFmtId="168" fontId="23" fillId="0" borderId="6" xfId="0" applyNumberFormat="1" applyFont="1" applyFill="1" applyBorder="1" applyAlignment="1" applyProtection="1">
      <alignment horizontal="center" vertical="center" wrapText="1"/>
    </xf>
    <xf numFmtId="170" fontId="23" fillId="0" borderId="6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" fontId="23" fillId="0" borderId="6" xfId="0" applyNumberFormat="1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8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" fontId="15" fillId="0" borderId="1" xfId="1" applyNumberFormat="1" applyFont="1" applyFill="1" applyBorder="1" applyAlignment="1" applyProtection="1">
      <alignment horizontal="center" vertical="top"/>
    </xf>
    <xf numFmtId="168" fontId="15" fillId="0" borderId="1" xfId="1" applyNumberFormat="1" applyFont="1" applyFill="1" applyBorder="1" applyAlignment="1" applyProtection="1">
      <alignment horizontal="center" vertical="top"/>
    </xf>
    <xf numFmtId="168" fontId="11" fillId="0" borderId="5" xfId="1" applyNumberFormat="1" applyFont="1" applyFill="1" applyBorder="1" applyAlignment="1" applyProtection="1">
      <alignment horizontal="center" vertical="center"/>
    </xf>
    <xf numFmtId="168" fontId="11" fillId="0" borderId="15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12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vertical="center" wrapText="1"/>
      <protection locked="0"/>
    </xf>
    <xf numFmtId="2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Protection="1"/>
    <xf numFmtId="0" fontId="4" fillId="3" borderId="0" xfId="0" applyFont="1" applyFill="1" applyProtection="1"/>
    <xf numFmtId="0" fontId="13" fillId="3" borderId="0" xfId="0" applyFont="1" applyFill="1" applyProtection="1"/>
    <xf numFmtId="0" fontId="4" fillId="0" borderId="0" xfId="0" applyFont="1" applyProtection="1"/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2" borderId="0" xfId="0" applyFont="1" applyFill="1" applyProtection="1"/>
    <xf numFmtId="0" fontId="8" fillId="0" borderId="0" xfId="0" applyFont="1" applyProtection="1"/>
    <xf numFmtId="0" fontId="14" fillId="0" borderId="0" xfId="0" applyFont="1" applyProtection="1"/>
    <xf numFmtId="0" fontId="14" fillId="2" borderId="0" xfId="0" applyFont="1" applyFill="1" applyProtection="1"/>
    <xf numFmtId="0" fontId="14" fillId="0" borderId="0" xfId="0" applyFont="1" applyAlignment="1" applyProtection="1">
      <alignment wrapText="1"/>
    </xf>
    <xf numFmtId="49" fontId="13" fillId="0" borderId="0" xfId="0" applyNumberFormat="1" applyFont="1" applyFill="1" applyProtection="1"/>
    <xf numFmtId="0" fontId="14" fillId="0" borderId="0" xfId="0" applyFont="1" applyFill="1" applyProtection="1"/>
    <xf numFmtId="0" fontId="14" fillId="0" borderId="0" xfId="0" applyFont="1" applyFill="1" applyAlignment="1" applyProtection="1">
      <alignment wrapText="1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Fill="1" applyProtection="1"/>
    <xf numFmtId="0" fontId="4" fillId="0" borderId="0" xfId="0" applyFont="1" applyFill="1" applyProtection="1"/>
    <xf numFmtId="0" fontId="1" fillId="0" borderId="0" xfId="0" applyFont="1" applyProtection="1"/>
    <xf numFmtId="0" fontId="28" fillId="2" borderId="0" xfId="0" applyFont="1" applyFill="1" applyAlignment="1" applyProtection="1">
      <alignment horizontal="left" vertical="center"/>
    </xf>
    <xf numFmtId="0" fontId="13" fillId="0" borderId="0" xfId="0" applyFont="1" applyProtection="1"/>
    <xf numFmtId="0" fontId="13" fillId="0" borderId="0" xfId="0" applyFont="1" applyAlignment="1" applyProtection="1">
      <alignment wrapText="1"/>
    </xf>
    <xf numFmtId="0" fontId="1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66" fontId="1" fillId="0" borderId="0" xfId="0" applyNumberFormat="1" applyFont="1" applyFill="1" applyAlignment="1" applyProtection="1">
      <alignment horizontal="center" vertical="center" wrapText="1"/>
    </xf>
    <xf numFmtId="166" fontId="4" fillId="0" borderId="0" xfId="0" applyNumberFormat="1" applyFont="1" applyFill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</xf>
    <xf numFmtId="2" fontId="11" fillId="0" borderId="11" xfId="0" applyNumberFormat="1" applyFont="1" applyFill="1" applyBorder="1" applyAlignment="1" applyProtection="1">
      <alignment horizontal="center" vertical="center" wrapText="1"/>
    </xf>
    <xf numFmtId="165" fontId="11" fillId="0" borderId="12" xfId="0" applyNumberFormat="1" applyFont="1" applyFill="1" applyBorder="1" applyAlignment="1" applyProtection="1">
      <alignment horizontal="center" vertical="center"/>
    </xf>
    <xf numFmtId="168" fontId="11" fillId="0" borderId="12" xfId="0" applyNumberFormat="1" applyFont="1" applyFill="1" applyBorder="1" applyAlignment="1" applyProtection="1">
      <alignment horizontal="center" vertical="center"/>
    </xf>
    <xf numFmtId="165" fontId="11" fillId="0" borderId="12" xfId="0" applyNumberFormat="1" applyFont="1" applyFill="1" applyBorder="1" applyAlignment="1" applyProtection="1">
      <alignment horizontal="center" vertical="center" wrapText="1"/>
    </xf>
    <xf numFmtId="170" fontId="1" fillId="0" borderId="12" xfId="0" applyNumberFormat="1" applyFont="1" applyFill="1" applyBorder="1" applyAlignment="1" applyProtection="1">
      <alignment horizontal="center" vertical="center" wrapText="1"/>
    </xf>
    <xf numFmtId="170" fontId="11" fillId="0" borderId="12" xfId="0" applyNumberFormat="1" applyFont="1" applyFill="1" applyBorder="1" applyAlignment="1" applyProtection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2" fontId="11" fillId="0" borderId="2" xfId="0" applyNumberFormat="1" applyFont="1" applyFill="1" applyBorder="1" applyAlignment="1" applyProtection="1">
      <alignment horizontal="center" vertical="center" wrapText="1"/>
    </xf>
    <xf numFmtId="166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 applyProtection="1">
      <alignment horizontal="center" vertical="center" wrapText="1"/>
    </xf>
    <xf numFmtId="2" fontId="11" fillId="0" borderId="5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Protection="1"/>
    <xf numFmtId="2" fontId="11" fillId="0" borderId="0" xfId="0" applyNumberFormat="1" applyFont="1" applyFill="1" applyBorder="1" applyAlignment="1" applyProtection="1">
      <alignment horizontal="left" vertical="center"/>
    </xf>
    <xf numFmtId="167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vertical="center" wrapText="1"/>
    </xf>
    <xf numFmtId="2" fontId="11" fillId="0" borderId="9" xfId="0" applyNumberFormat="1" applyFont="1" applyFill="1" applyBorder="1" applyAlignment="1" applyProtection="1">
      <alignment horizontal="center" vertical="center" wrapText="1"/>
    </xf>
    <xf numFmtId="2" fontId="11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2" fontId="11" fillId="0" borderId="0" xfId="0" applyNumberFormat="1" applyFont="1" applyFill="1" applyAlignment="1" applyProtection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6" fontId="13" fillId="0" borderId="0" xfId="0" applyNumberFormat="1" applyFont="1" applyFill="1" applyAlignment="1" applyProtection="1">
      <alignment vertical="center"/>
    </xf>
    <xf numFmtId="166" fontId="13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wrapText="1"/>
    </xf>
    <xf numFmtId="0" fontId="1" fillId="0" borderId="0" xfId="0" applyFont="1" applyFill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13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00FF"/>
      <color rgb="FFCCFFFF"/>
      <color rgb="FF0066FF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1%2010.4.1.3%20(633%20&#1050;)%20&#1054;&#1087;&#1088;&#1077;&#1076;&#1077;&#1083;&#1077;&#1085;&#1080;&#1077;%20&#1074;&#1099;&#1073;&#1088;&#1086;&#1089;&#1086;&#1074;%20&#1047;&#1042;%20&#1080;&#1079;%20&#1088;&#1077;&#1079;&#1077;&#1088;&#1074;&#1091;&#1072;&#1088;&#1086;&#1074;%20&#1048;&#1056;&#1052;%20&#1048;&#1089;&#1087;&#1088;.&#1050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езультаты (10.1.1.10-11)"/>
      <sheetName val="Таблица Ж1 (Приложение Ж) Kmaxp"/>
      <sheetName val="Таблица Ж1 (Приложение Ж) Kp"/>
      <sheetName val="Таблица К1 (Приложение К) Коб"/>
      <sheetName val="Таблица П.6 (Тж)"/>
      <sheetName val="Таблица П.6 (Та)"/>
    </sheetNames>
    <sheetDataSet>
      <sheetData sheetId="0" refreshError="1"/>
      <sheetData sheetId="1" refreshError="1"/>
      <sheetData sheetId="2">
        <row r="30">
          <cell r="B30" t="str">
            <v>Понтон</v>
          </cell>
        </row>
        <row r="31">
          <cell r="B31" t="str">
            <v>Плавающая крыша</v>
          </cell>
        </row>
        <row r="32">
          <cell r="B32" t="str">
            <v>ССВ отсутствуют</v>
          </cell>
        </row>
      </sheetData>
      <sheetData sheetId="3" refreshError="1"/>
      <sheetData sheetId="4">
        <row r="14">
          <cell r="B14" t="str">
            <v>Все конструкции, кроме заглубленных, термоизолированных и расположенных в помещениях</v>
          </cell>
        </row>
        <row r="15">
          <cell r="B15" t="str">
            <v>Резервуары заглубленные, термоизолированные и расположенные в помещениях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</sheetPr>
  <dimension ref="A1:BK83"/>
  <sheetViews>
    <sheetView tabSelected="1" topLeftCell="T10" zoomScaleNormal="100" workbookViewId="0">
      <selection activeCell="E19" sqref="E19"/>
    </sheetView>
  </sheetViews>
  <sheetFormatPr defaultRowHeight="12.75" x14ac:dyDescent="0.2"/>
  <cols>
    <col min="1" max="1" width="12.140625" style="93" bestFit="1" customWidth="1"/>
    <col min="2" max="3" width="24.7109375" style="93" customWidth="1"/>
    <col min="4" max="4" width="14.7109375" style="93" customWidth="1"/>
    <col min="5" max="5" width="28.7109375" style="93" customWidth="1"/>
    <col min="6" max="11" width="14.7109375" style="93" customWidth="1"/>
    <col min="12" max="12" width="24.7109375" style="93" customWidth="1"/>
    <col min="13" max="13" width="40.7109375" style="93" customWidth="1"/>
    <col min="14" max="14" width="24.7109375" style="93" customWidth="1"/>
    <col min="15" max="17" width="14.7109375" style="93" customWidth="1"/>
    <col min="18" max="18" width="32.7109375" style="93" customWidth="1"/>
    <col min="19" max="19" width="12.7109375" style="93" customWidth="1"/>
    <col min="20" max="20" width="24.7109375" style="93" customWidth="1"/>
    <col min="21" max="21" width="9.140625" style="93"/>
    <col min="22" max="22" width="24.7109375" style="93" customWidth="1"/>
    <col min="23" max="23" width="14.7109375" style="93" customWidth="1"/>
    <col min="24" max="30" width="12.7109375" style="93" customWidth="1"/>
    <col min="31" max="31" width="24.7109375" style="93" customWidth="1"/>
    <col min="32" max="37" width="14.7109375" style="93" customWidth="1"/>
    <col min="38" max="43" width="12.7109375" style="93" customWidth="1"/>
    <col min="44" max="44" width="14.7109375" style="94" customWidth="1"/>
    <col min="45" max="46" width="9.140625" style="95"/>
    <col min="47" max="16384" width="9.140625" style="93"/>
  </cols>
  <sheetData>
    <row r="1" spans="1:46" x14ac:dyDescent="0.2">
      <c r="A1" s="90" t="s">
        <v>50</v>
      </c>
      <c r="B1" s="91"/>
      <c r="C1" s="92" t="s">
        <v>38</v>
      </c>
      <c r="AG1" s="91"/>
    </row>
    <row r="2" spans="1:46" x14ac:dyDescent="0.2">
      <c r="B2" s="96"/>
      <c r="C2" s="96"/>
    </row>
    <row r="3" spans="1:46" x14ac:dyDescent="0.2">
      <c r="A3" s="97" t="s">
        <v>11</v>
      </c>
      <c r="B3" s="96"/>
      <c r="C3" s="96"/>
    </row>
    <row r="4" spans="1:46" s="98" customFormat="1" x14ac:dyDescent="0.2">
      <c r="B4" s="99"/>
      <c r="C4" s="99"/>
      <c r="AR4" s="100"/>
      <c r="AS4" s="100"/>
      <c r="AT4" s="100"/>
    </row>
    <row r="5" spans="1:46" s="98" customFormat="1" x14ac:dyDescent="0.2">
      <c r="A5" s="101" t="s">
        <v>51</v>
      </c>
      <c r="B5" s="99"/>
      <c r="C5" s="99"/>
      <c r="AR5" s="100"/>
      <c r="AS5" s="100"/>
      <c r="AT5" s="100"/>
    </row>
    <row r="6" spans="1:46" s="102" customFormat="1" x14ac:dyDescent="0.2">
      <c r="A6" s="101" t="s">
        <v>52</v>
      </c>
      <c r="B6" s="96"/>
      <c r="C6" s="96"/>
      <c r="AR6" s="103"/>
      <c r="AS6" s="103"/>
      <c r="AT6" s="103"/>
    </row>
    <row r="7" spans="1:46" s="102" customFormat="1" x14ac:dyDescent="0.2">
      <c r="A7" s="104" t="s">
        <v>53</v>
      </c>
      <c r="B7" s="96"/>
      <c r="C7" s="96"/>
      <c r="AR7" s="103"/>
      <c r="AS7" s="103"/>
      <c r="AT7" s="103"/>
    </row>
    <row r="8" spans="1:46" s="102" customFormat="1" x14ac:dyDescent="0.2">
      <c r="A8" s="104" t="s">
        <v>54</v>
      </c>
      <c r="B8" s="105"/>
      <c r="C8" s="105"/>
      <c r="AR8" s="103"/>
      <c r="AS8" s="103"/>
      <c r="AT8" s="103"/>
    </row>
    <row r="9" spans="1:46" s="107" customFormat="1" x14ac:dyDescent="0.2">
      <c r="A9" s="93"/>
      <c r="B9" s="106"/>
      <c r="C9" s="106"/>
      <c r="AR9" s="94"/>
      <c r="AS9" s="94"/>
      <c r="AT9" s="94"/>
    </row>
    <row r="10" spans="1:46" x14ac:dyDescent="0.2">
      <c r="A10" s="108" t="s">
        <v>105</v>
      </c>
      <c r="B10" s="96"/>
      <c r="C10" s="96"/>
    </row>
    <row r="11" spans="1:46" s="109" customFormat="1" x14ac:dyDescent="0.2">
      <c r="A11" s="109" t="s">
        <v>106</v>
      </c>
      <c r="AR11" s="110"/>
      <c r="AS11" s="110"/>
      <c r="AT11" s="110"/>
    </row>
    <row r="12" spans="1:46" s="109" customFormat="1" x14ac:dyDescent="0.2">
      <c r="AR12" s="110"/>
      <c r="AS12" s="110"/>
      <c r="AT12" s="110"/>
    </row>
    <row r="13" spans="1:46" x14ac:dyDescent="0.2">
      <c r="A13" s="97" t="s">
        <v>13</v>
      </c>
      <c r="C13" s="70" t="s">
        <v>16</v>
      </c>
    </row>
    <row r="15" spans="1:46" s="112" customFormat="1" ht="25.5" customHeight="1" x14ac:dyDescent="0.25">
      <c r="A15" s="178" t="s">
        <v>2</v>
      </c>
      <c r="B15" s="179" t="s">
        <v>3</v>
      </c>
      <c r="C15" s="179" t="s">
        <v>4</v>
      </c>
      <c r="D15" s="179" t="s">
        <v>42</v>
      </c>
      <c r="E15" s="178" t="s">
        <v>14</v>
      </c>
      <c r="F15" s="190" t="s">
        <v>7</v>
      </c>
      <c r="G15" s="180" t="s">
        <v>8</v>
      </c>
      <c r="H15" s="181" t="s">
        <v>74</v>
      </c>
      <c r="I15" s="184" t="s">
        <v>64</v>
      </c>
      <c r="J15" s="191" t="s">
        <v>95</v>
      </c>
      <c r="K15" s="184" t="s">
        <v>65</v>
      </c>
      <c r="L15" s="184" t="s">
        <v>66</v>
      </c>
      <c r="M15" s="185" t="s">
        <v>63</v>
      </c>
      <c r="N15" s="184" t="s">
        <v>68</v>
      </c>
      <c r="O15" s="180" t="s">
        <v>10</v>
      </c>
      <c r="P15" s="180" t="s">
        <v>9</v>
      </c>
      <c r="Q15" s="178" t="s">
        <v>0</v>
      </c>
      <c r="R15" s="178" t="s">
        <v>1</v>
      </c>
      <c r="S15" s="181" t="s">
        <v>107</v>
      </c>
      <c r="T15" s="185" t="s">
        <v>70</v>
      </c>
      <c r="U15" s="178" t="s">
        <v>0</v>
      </c>
      <c r="V15" s="178" t="s">
        <v>1</v>
      </c>
      <c r="W15" s="185" t="s">
        <v>71</v>
      </c>
      <c r="X15" s="188" t="s">
        <v>72</v>
      </c>
      <c r="Y15" s="188"/>
      <c r="Z15" s="188"/>
      <c r="AA15" s="188"/>
      <c r="AB15" s="188"/>
      <c r="AC15" s="189"/>
      <c r="AD15" s="184" t="s">
        <v>69</v>
      </c>
      <c r="AE15" s="184" t="s">
        <v>67</v>
      </c>
      <c r="AF15" s="181" t="s">
        <v>73</v>
      </c>
      <c r="AG15" s="181" t="s">
        <v>75</v>
      </c>
      <c r="AH15" s="181" t="s">
        <v>76</v>
      </c>
      <c r="AI15" s="181" t="s">
        <v>77</v>
      </c>
      <c r="AJ15" s="180" t="s">
        <v>5</v>
      </c>
      <c r="AK15" s="180" t="s">
        <v>85</v>
      </c>
      <c r="AL15" s="194" t="s">
        <v>111</v>
      </c>
      <c r="AM15" s="180" t="s">
        <v>112</v>
      </c>
      <c r="AN15" s="197" t="s">
        <v>37</v>
      </c>
      <c r="AO15" s="181" t="s">
        <v>97</v>
      </c>
      <c r="AP15" s="190" t="s">
        <v>17</v>
      </c>
      <c r="AQ15" s="180" t="s">
        <v>12</v>
      </c>
      <c r="AR15" s="111"/>
    </row>
    <row r="16" spans="1:46" s="112" customFormat="1" ht="25.5" customHeight="1" x14ac:dyDescent="0.25">
      <c r="A16" s="178"/>
      <c r="B16" s="179"/>
      <c r="C16" s="179"/>
      <c r="D16" s="179"/>
      <c r="E16" s="178"/>
      <c r="F16" s="190"/>
      <c r="G16" s="180"/>
      <c r="H16" s="182"/>
      <c r="I16" s="184"/>
      <c r="J16" s="192"/>
      <c r="K16" s="184"/>
      <c r="L16" s="184"/>
      <c r="M16" s="186"/>
      <c r="N16" s="184"/>
      <c r="O16" s="180"/>
      <c r="P16" s="180"/>
      <c r="Q16" s="178"/>
      <c r="R16" s="178"/>
      <c r="S16" s="182"/>
      <c r="T16" s="186"/>
      <c r="U16" s="178"/>
      <c r="V16" s="178"/>
      <c r="W16" s="186"/>
      <c r="X16" s="189" t="s">
        <v>78</v>
      </c>
      <c r="Y16" s="178"/>
      <c r="Z16" s="178"/>
      <c r="AA16" s="178"/>
      <c r="AB16" s="178"/>
      <c r="AC16" s="185" t="s">
        <v>79</v>
      </c>
      <c r="AD16" s="184"/>
      <c r="AE16" s="184"/>
      <c r="AF16" s="182"/>
      <c r="AG16" s="182"/>
      <c r="AH16" s="182"/>
      <c r="AI16" s="182"/>
      <c r="AJ16" s="180"/>
      <c r="AK16" s="180"/>
      <c r="AL16" s="195"/>
      <c r="AM16" s="180"/>
      <c r="AN16" s="198"/>
      <c r="AO16" s="182"/>
      <c r="AP16" s="190"/>
      <c r="AQ16" s="180"/>
      <c r="AR16" s="111"/>
    </row>
    <row r="17" spans="1:63" s="112" customFormat="1" ht="25.5" x14ac:dyDescent="0.25">
      <c r="A17" s="178"/>
      <c r="B17" s="179"/>
      <c r="C17" s="179"/>
      <c r="D17" s="179"/>
      <c r="E17" s="178"/>
      <c r="F17" s="190"/>
      <c r="G17" s="180"/>
      <c r="H17" s="183"/>
      <c r="I17" s="184"/>
      <c r="J17" s="193"/>
      <c r="K17" s="184"/>
      <c r="L17" s="184"/>
      <c r="M17" s="187"/>
      <c r="N17" s="184"/>
      <c r="O17" s="180"/>
      <c r="P17" s="180"/>
      <c r="Q17" s="178"/>
      <c r="R17" s="178"/>
      <c r="S17" s="183"/>
      <c r="T17" s="187"/>
      <c r="U17" s="178"/>
      <c r="V17" s="178"/>
      <c r="W17" s="187"/>
      <c r="X17" s="113" t="s">
        <v>80</v>
      </c>
      <c r="Y17" s="114" t="s">
        <v>81</v>
      </c>
      <c r="Z17" s="114" t="s">
        <v>82</v>
      </c>
      <c r="AA17" s="114" t="s">
        <v>83</v>
      </c>
      <c r="AB17" s="115" t="s">
        <v>84</v>
      </c>
      <c r="AC17" s="187"/>
      <c r="AD17" s="184"/>
      <c r="AE17" s="184"/>
      <c r="AF17" s="183"/>
      <c r="AG17" s="183"/>
      <c r="AH17" s="183"/>
      <c r="AI17" s="183"/>
      <c r="AJ17" s="180"/>
      <c r="AK17" s="180"/>
      <c r="AL17" s="196"/>
      <c r="AM17" s="180"/>
      <c r="AN17" s="199"/>
      <c r="AO17" s="183"/>
      <c r="AP17" s="190"/>
      <c r="AQ17" s="180"/>
      <c r="AR17" s="116"/>
    </row>
    <row r="18" spans="1:63" s="112" customFormat="1" x14ac:dyDescent="0.25">
      <c r="A18" s="117"/>
      <c r="B18" s="118"/>
      <c r="C18" s="118"/>
      <c r="D18" s="118"/>
      <c r="E18" s="117"/>
      <c r="F18" s="117"/>
      <c r="G18" s="117"/>
      <c r="H18" s="117"/>
      <c r="I18" s="119"/>
      <c r="J18" s="119"/>
      <c r="K18" s="119"/>
      <c r="L18" s="119"/>
      <c r="M18" s="117"/>
      <c r="N18" s="119"/>
      <c r="O18" s="117"/>
      <c r="P18" s="117"/>
      <c r="Q18" s="115"/>
      <c r="R18" s="115"/>
      <c r="S18" s="115"/>
      <c r="T18" s="117"/>
      <c r="U18" s="115"/>
      <c r="V18" s="120"/>
      <c r="W18" s="120"/>
      <c r="X18" s="120"/>
      <c r="Y18" s="120"/>
      <c r="Z18" s="120"/>
      <c r="AA18" s="115"/>
      <c r="AB18" s="115"/>
      <c r="AC18" s="115"/>
      <c r="AD18" s="119"/>
      <c r="AE18" s="119"/>
      <c r="AF18" s="117"/>
      <c r="AG18" s="117"/>
      <c r="AH18" s="117"/>
      <c r="AI18" s="117"/>
      <c r="AJ18" s="117"/>
      <c r="AK18" s="117"/>
      <c r="AL18" s="121"/>
      <c r="AM18" s="115"/>
      <c r="AN18" s="122"/>
      <c r="AO18" s="115"/>
      <c r="AP18" s="115"/>
      <c r="AQ18" s="115"/>
      <c r="AR18" s="123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</row>
    <row r="19" spans="1:63" s="136" customFormat="1" ht="25.5" customHeight="1" x14ac:dyDescent="0.25">
      <c r="A19" s="71">
        <v>6066</v>
      </c>
      <c r="B19" s="72" t="s">
        <v>116</v>
      </c>
      <c r="C19" s="72" t="s">
        <v>113</v>
      </c>
      <c r="D19" s="73" t="s">
        <v>115</v>
      </c>
      <c r="E19" s="74" t="s">
        <v>114</v>
      </c>
      <c r="F19" s="75">
        <v>1040</v>
      </c>
      <c r="G19" s="75">
        <v>27976.1</v>
      </c>
      <c r="H19" s="75">
        <v>60</v>
      </c>
      <c r="I19" s="75">
        <v>68</v>
      </c>
      <c r="J19" s="76">
        <v>1</v>
      </c>
      <c r="K19" s="75">
        <v>150</v>
      </c>
      <c r="L19" s="77" t="s">
        <v>117</v>
      </c>
      <c r="M19" s="78" t="s">
        <v>62</v>
      </c>
      <c r="N19" s="77" t="s">
        <v>55</v>
      </c>
      <c r="O19" s="79">
        <v>311</v>
      </c>
      <c r="P19" s="80">
        <v>333</v>
      </c>
      <c r="Q19" s="81">
        <v>655</v>
      </c>
      <c r="R19" s="82" t="s">
        <v>118</v>
      </c>
      <c r="S19" s="83">
        <v>8.2200000000000006</v>
      </c>
      <c r="T19" s="84" t="s">
        <v>6</v>
      </c>
      <c r="U19" s="81" t="str">
        <f t="shared" ref="U19:U28" si="0">IF($T$19&lt;&gt;"-",Q19,"-")</f>
        <v>-</v>
      </c>
      <c r="V19" s="85" t="str">
        <f t="shared" ref="V19:V28" si="1">IF($T$19&lt;&gt;"-",R19,"-")</f>
        <v>-</v>
      </c>
      <c r="W19" s="86" t="s">
        <v>6</v>
      </c>
      <c r="X19" s="86" t="s">
        <v>6</v>
      </c>
      <c r="Y19" s="86" t="s">
        <v>6</v>
      </c>
      <c r="Z19" s="86" t="s">
        <v>6</v>
      </c>
      <c r="AA19" s="86" t="s">
        <v>6</v>
      </c>
      <c r="AB19" s="125" t="str">
        <f t="shared" ref="AB19:AB25" si="2">IF(AND(W19="-",X19&lt;&gt;"-"),(X19-Y19*(1-(Z19/100)+(AA19/100)))*100/X19,"-")</f>
        <v>-</v>
      </c>
      <c r="AC19" s="126" t="str">
        <f t="shared" ref="AC19:AC25" si="3">IF(AB19="-",W19,IF(W19="-","-",W19))</f>
        <v>-</v>
      </c>
      <c r="AD19" s="127">
        <f>IF(M19="Налив емкостей с остатками жидкостей",VLOOKUP(Расчет!N19,'Кнал и Кпр, Т'!A1:C3,2,FALSE),VLOOKUP(Расчет!N19,'Кнал и Кпр, Т'!A1:C3,3,FALSE))</f>
        <v>1.4</v>
      </c>
      <c r="AE19" s="128">
        <f>VLOOKUP(L19,'Кнал и Кпр, Т'!A6:B8,2,FALSE)</f>
        <v>29.095588235294116</v>
      </c>
      <c r="AF19" s="129">
        <f>273*10^3*G19*(1+AG19)/(F19*O19)</f>
        <v>23613.267684887458</v>
      </c>
      <c r="AG19" s="130">
        <v>0</v>
      </c>
      <c r="AH19" s="130">
        <v>0</v>
      </c>
      <c r="AI19" s="131">
        <f>0.0758*H19*(1+AH19)/P19</f>
        <v>1.3657657657657658E-2</v>
      </c>
      <c r="AJ19" s="132">
        <v>0.7</v>
      </c>
      <c r="AK19" s="133">
        <v>1</v>
      </c>
      <c r="AL19" s="69">
        <f>IF($O$19&lt;=373,INDEX('Таблица П.6 (Тж)'!A3:B134,MATCH(ROUND($O$19,0),'Таблица П.6 (Тж)'!A3:A134,0),2),7.4+0.1*($O$19-373))</f>
        <v>1.75</v>
      </c>
      <c r="AM19" s="68">
        <f>IF($P$19&lt;=373,INDEX('Таблица П.6 (Тж)'!A3:B134,MATCH(ROUND($P$19,0),'Таблица П.6 (Тж)'!A3:A134,0),2),7.4+0.1*($P$19-373))</f>
        <v>3.2</v>
      </c>
      <c r="AN19" s="134">
        <f t="shared" ref="AN19:AN28" si="4">IF(Q19&lt;&gt;"-",ROUND(S19*$AL$19,2),"-")</f>
        <v>14.39</v>
      </c>
      <c r="AO19" s="125">
        <f t="shared" ref="AO19:AO28" si="5">IF(Q19&lt;&gt;"-",ROUND(S19*$AM$19,2),"-")</f>
        <v>26.3</v>
      </c>
      <c r="AP19" s="135">
        <f>IF(Q19="-","-",IF($M$19="Налив емкостей транспортировки с остатками жидкостей",IF($T$19="-",0.5*AO19*($AK$19+$AJ$19)*$AI$19*10^-3,0.5*AO19*($AK$19+$AJ$19)*$AI$19*(1-F19/100)*10^-3),IF($T$19="-",0.5*AO19*$AK$19*$AI$19*$AD$19*10^-3,0.5*AO19*$AK$19*$AI$19*$AD$19*(1-F19/100)*10^-3)))</f>
        <v>2.5143747747747745E-4</v>
      </c>
      <c r="AQ19" s="135">
        <f>IF(Q19="-","-",IF(I19="Налив емкостей транспортировки с остатками жидкостей",IF($T$19="-",(0.5*AN19*($AK$19+$AJ$19)*$AD$19+$AE$19)*$AF$19*10^-9,(0.5*AN19*($AK$19+$AJ$19)*$AD$19+$AE$19)*$AF$19*(1-F19/100)*10^-9),IF($T$19="-",(0.5*AN19*$AK$19*$AD$19+$AE$19)*$AF$19*10^-9,(0.5*AN19*$AJ$19*$AD$19+$AE$19)*$AF$19*(1-F19/100)*10^-9)))</f>
        <v>9.2489835883913371E-4</v>
      </c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</row>
    <row r="20" spans="1:63" s="136" customFormat="1" x14ac:dyDescent="0.25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40"/>
      <c r="Q20" s="81">
        <v>550</v>
      </c>
      <c r="R20" s="82" t="s">
        <v>39</v>
      </c>
      <c r="S20" s="83">
        <v>621.85</v>
      </c>
      <c r="T20" s="140"/>
      <c r="U20" s="81" t="str">
        <f t="shared" si="0"/>
        <v>-</v>
      </c>
      <c r="V20" s="85" t="str">
        <f t="shared" si="1"/>
        <v>-</v>
      </c>
      <c r="W20" s="86" t="s">
        <v>6</v>
      </c>
      <c r="X20" s="86" t="s">
        <v>6</v>
      </c>
      <c r="Y20" s="86" t="s">
        <v>6</v>
      </c>
      <c r="Z20" s="86" t="s">
        <v>6</v>
      </c>
      <c r="AA20" s="86" t="s">
        <v>6</v>
      </c>
      <c r="AB20" s="125" t="str">
        <f t="shared" si="2"/>
        <v>-</v>
      </c>
      <c r="AC20" s="126" t="str">
        <f t="shared" si="3"/>
        <v>-</v>
      </c>
      <c r="AD20" s="141"/>
      <c r="AE20" s="141"/>
      <c r="AF20" s="141"/>
      <c r="AG20" s="141"/>
      <c r="AH20" s="141"/>
      <c r="AI20" s="141"/>
      <c r="AJ20" s="141"/>
      <c r="AK20" s="142"/>
      <c r="AL20" s="143"/>
      <c r="AM20" s="144"/>
      <c r="AN20" s="134">
        <f t="shared" si="4"/>
        <v>1088.24</v>
      </c>
      <c r="AO20" s="125">
        <f t="shared" si="5"/>
        <v>1989.92</v>
      </c>
      <c r="AP20" s="135">
        <f t="shared" ref="AP20:AP28" si="6">IF(Q20="-","-",IF($M$19="Налив емкостей транспортировки с остатками жидкостей",IF($T$19="-",0.5*AO20*($AK$19+$AJ$19)*$AI$19*10^-3,0.5*AO20*($AK$19+$AJ$19)*$AI$19*(1-AD20/100)*10^-3),IF($T$19="-",0.5*AO20*$AK$19*$AI$19*$AD$19*10^-3,0.5*AO20*$AK$19*$AI$19*$AD$19*(1-AD20/100)*10^-3)))</f>
        <v>1.9024352288288287E-2</v>
      </c>
      <c r="AQ20" s="135">
        <f t="shared" ref="AQ20:AQ28" si="7">IF(Q20="-","-",IF(N20="Налив емкостей транспортировки с остатками жидкостей",IF($T$19="-",(0.5*AN20*($AK$19+$AJ$19)*$AD$19+$AE$19)*$AF$19*10^-9,(0.5*AN20*($AK$19+$AJ$19)*$AD$19+$AE$19)*$AF$19*(1-AD20/100)*10^-9),IF($T$19="-",(0.5*AN20*$AK$19*$AD$19+$AE$19)*$AF$19*10^-9,(0.5*AN20*$AJ$19*$AD$19+$AE$19)*$AF$19*(1-AD20/100)*10^-9)))</f>
        <v>1.8674873611230613E-2</v>
      </c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</row>
    <row r="21" spans="1:63" s="136" customFormat="1" x14ac:dyDescent="0.2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81">
        <v>401</v>
      </c>
      <c r="R21" s="82" t="s">
        <v>40</v>
      </c>
      <c r="S21" s="83">
        <v>359.48</v>
      </c>
      <c r="T21" s="140"/>
      <c r="U21" s="81" t="str">
        <f t="shared" si="0"/>
        <v>-</v>
      </c>
      <c r="V21" s="85" t="str">
        <f t="shared" si="1"/>
        <v>-</v>
      </c>
      <c r="W21" s="86" t="s">
        <v>6</v>
      </c>
      <c r="X21" s="86" t="s">
        <v>6</v>
      </c>
      <c r="Y21" s="86" t="s">
        <v>6</v>
      </c>
      <c r="Z21" s="86" t="s">
        <v>6</v>
      </c>
      <c r="AA21" s="86" t="s">
        <v>6</v>
      </c>
      <c r="AB21" s="125" t="str">
        <f t="shared" si="2"/>
        <v>-</v>
      </c>
      <c r="AC21" s="126" t="str">
        <f t="shared" si="3"/>
        <v>-</v>
      </c>
      <c r="AD21" s="139"/>
      <c r="AE21" s="141"/>
      <c r="AF21" s="141"/>
      <c r="AG21" s="145"/>
      <c r="AH21" s="145"/>
      <c r="AI21" s="145"/>
      <c r="AJ21" s="141"/>
      <c r="AK21" s="142"/>
      <c r="AL21" s="146"/>
      <c r="AM21" s="144"/>
      <c r="AN21" s="134">
        <f t="shared" si="4"/>
        <v>629.09</v>
      </c>
      <c r="AO21" s="125">
        <f t="shared" si="5"/>
        <v>1150.3399999999999</v>
      </c>
      <c r="AP21" s="135">
        <f t="shared" si="6"/>
        <v>1.0997664936936935E-2</v>
      </c>
      <c r="AQ21" s="135">
        <f t="shared" si="7"/>
        <v>1.1085451310969358E-2</v>
      </c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</row>
    <row r="22" spans="1:63" s="136" customFormat="1" x14ac:dyDescent="0.25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40"/>
      <c r="Q22" s="81">
        <v>410</v>
      </c>
      <c r="R22" s="82" t="s">
        <v>41</v>
      </c>
      <c r="S22" s="83">
        <v>0</v>
      </c>
      <c r="T22" s="140"/>
      <c r="U22" s="81" t="str">
        <f t="shared" si="0"/>
        <v>-</v>
      </c>
      <c r="V22" s="85" t="str">
        <f t="shared" si="1"/>
        <v>-</v>
      </c>
      <c r="W22" s="86" t="s">
        <v>6</v>
      </c>
      <c r="X22" s="86" t="s">
        <v>6</v>
      </c>
      <c r="Y22" s="86" t="s">
        <v>6</v>
      </c>
      <c r="Z22" s="86" t="s">
        <v>6</v>
      </c>
      <c r="AA22" s="86" t="s">
        <v>6</v>
      </c>
      <c r="AB22" s="125" t="str">
        <f t="shared" si="2"/>
        <v>-</v>
      </c>
      <c r="AC22" s="126" t="str">
        <f t="shared" si="3"/>
        <v>-</v>
      </c>
      <c r="AD22" s="141"/>
      <c r="AE22" s="141"/>
      <c r="AF22" s="141"/>
      <c r="AG22" s="141"/>
      <c r="AH22" s="141"/>
      <c r="AI22" s="141"/>
      <c r="AJ22" s="141"/>
      <c r="AK22" s="142"/>
      <c r="AL22" s="143"/>
      <c r="AM22" s="144"/>
      <c r="AN22" s="134">
        <f t="shared" si="4"/>
        <v>0</v>
      </c>
      <c r="AO22" s="125">
        <f t="shared" si="5"/>
        <v>0</v>
      </c>
      <c r="AP22" s="135">
        <f t="shared" si="6"/>
        <v>0</v>
      </c>
      <c r="AQ22" s="135">
        <f t="shared" si="7"/>
        <v>6.870419134492623E-4</v>
      </c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</row>
    <row r="23" spans="1:63" s="136" customFormat="1" x14ac:dyDescent="0.25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0"/>
      <c r="Q23" s="81">
        <v>2754</v>
      </c>
      <c r="R23" s="82" t="s">
        <v>119</v>
      </c>
      <c r="S23" s="83">
        <v>78.540000000000006</v>
      </c>
      <c r="T23" s="140"/>
      <c r="U23" s="81" t="str">
        <f t="shared" si="0"/>
        <v>-</v>
      </c>
      <c r="V23" s="85" t="str">
        <f t="shared" si="1"/>
        <v>-</v>
      </c>
      <c r="W23" s="86" t="s">
        <v>6</v>
      </c>
      <c r="X23" s="86" t="s">
        <v>6</v>
      </c>
      <c r="Y23" s="86" t="s">
        <v>6</v>
      </c>
      <c r="Z23" s="86" t="s">
        <v>6</v>
      </c>
      <c r="AA23" s="86" t="s">
        <v>6</v>
      </c>
      <c r="AB23" s="125" t="str">
        <f t="shared" si="2"/>
        <v>-</v>
      </c>
      <c r="AC23" s="126" t="str">
        <f t="shared" si="3"/>
        <v>-</v>
      </c>
      <c r="AD23" s="141"/>
      <c r="AE23" s="141"/>
      <c r="AF23" s="141"/>
      <c r="AG23" s="141"/>
      <c r="AH23" s="141"/>
      <c r="AI23" s="141"/>
      <c r="AJ23" s="141"/>
      <c r="AK23" s="147"/>
      <c r="AL23" s="143"/>
      <c r="AM23" s="144"/>
      <c r="AN23" s="134">
        <f t="shared" si="4"/>
        <v>137.44999999999999</v>
      </c>
      <c r="AO23" s="125">
        <f t="shared" si="5"/>
        <v>251.33</v>
      </c>
      <c r="AP23" s="135">
        <f t="shared" si="6"/>
        <v>2.4028053693693693E-3</v>
      </c>
      <c r="AQ23" s="135">
        <f t="shared" si="7"/>
        <v>2.958992463750709E-3</v>
      </c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</row>
    <row r="24" spans="1:63" s="136" customFormat="1" x14ac:dyDescent="0.25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40"/>
      <c r="Q24" s="81" t="s">
        <v>6</v>
      </c>
      <c r="R24" s="85" t="s">
        <v>6</v>
      </c>
      <c r="S24" s="83" t="s">
        <v>6</v>
      </c>
      <c r="T24" s="140"/>
      <c r="U24" s="81" t="str">
        <f t="shared" si="0"/>
        <v>-</v>
      </c>
      <c r="V24" s="85" t="str">
        <f t="shared" si="1"/>
        <v>-</v>
      </c>
      <c r="W24" s="86" t="s">
        <v>6</v>
      </c>
      <c r="X24" s="86" t="s">
        <v>6</v>
      </c>
      <c r="Y24" s="86" t="s">
        <v>6</v>
      </c>
      <c r="Z24" s="86" t="s">
        <v>6</v>
      </c>
      <c r="AA24" s="86" t="s">
        <v>6</v>
      </c>
      <c r="AB24" s="125" t="str">
        <f t="shared" si="2"/>
        <v>-</v>
      </c>
      <c r="AC24" s="126" t="str">
        <f t="shared" si="3"/>
        <v>-</v>
      </c>
      <c r="AD24" s="141"/>
      <c r="AE24" s="141"/>
      <c r="AF24" s="141"/>
      <c r="AG24" s="141"/>
      <c r="AH24" s="141"/>
      <c r="AI24" s="141"/>
      <c r="AJ24" s="141"/>
      <c r="AK24" s="142"/>
      <c r="AL24" s="143"/>
      <c r="AM24" s="144"/>
      <c r="AN24" s="134" t="str">
        <f t="shared" si="4"/>
        <v>-</v>
      </c>
      <c r="AO24" s="125" t="str">
        <f t="shared" si="5"/>
        <v>-</v>
      </c>
      <c r="AP24" s="135" t="str">
        <f t="shared" si="6"/>
        <v>-</v>
      </c>
      <c r="AQ24" s="135" t="str">
        <f t="shared" si="7"/>
        <v>-</v>
      </c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</row>
    <row r="25" spans="1:63" s="136" customFormat="1" x14ac:dyDescent="0.25">
      <c r="A25" s="141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40"/>
      <c r="Q25" s="81" t="s">
        <v>6</v>
      </c>
      <c r="R25" s="85" t="s">
        <v>6</v>
      </c>
      <c r="S25" s="83" t="s">
        <v>6</v>
      </c>
      <c r="T25" s="140"/>
      <c r="U25" s="81" t="str">
        <f t="shared" si="0"/>
        <v>-</v>
      </c>
      <c r="V25" s="85" t="str">
        <f t="shared" si="1"/>
        <v>-</v>
      </c>
      <c r="W25" s="86" t="s">
        <v>6</v>
      </c>
      <c r="X25" s="86" t="s">
        <v>6</v>
      </c>
      <c r="Y25" s="86" t="s">
        <v>6</v>
      </c>
      <c r="Z25" s="86" t="s">
        <v>6</v>
      </c>
      <c r="AA25" s="86" t="s">
        <v>6</v>
      </c>
      <c r="AB25" s="125" t="str">
        <f t="shared" si="2"/>
        <v>-</v>
      </c>
      <c r="AC25" s="126" t="str">
        <f t="shared" si="3"/>
        <v>-</v>
      </c>
      <c r="AD25" s="141"/>
      <c r="AE25" s="141"/>
      <c r="AF25" s="141"/>
      <c r="AG25" s="141"/>
      <c r="AH25" s="141"/>
      <c r="AI25" s="141"/>
      <c r="AJ25" s="141"/>
      <c r="AK25" s="142"/>
      <c r="AL25" s="143"/>
      <c r="AM25" s="144"/>
      <c r="AN25" s="134" t="str">
        <f t="shared" si="4"/>
        <v>-</v>
      </c>
      <c r="AO25" s="125" t="str">
        <f t="shared" si="5"/>
        <v>-</v>
      </c>
      <c r="AP25" s="135" t="str">
        <f t="shared" si="6"/>
        <v>-</v>
      </c>
      <c r="AQ25" s="135" t="str">
        <f t="shared" si="7"/>
        <v>-</v>
      </c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</row>
    <row r="26" spans="1:63" s="136" customFormat="1" x14ac:dyDescent="0.2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2"/>
      <c r="Q26" s="81" t="s">
        <v>6</v>
      </c>
      <c r="R26" s="87" t="s">
        <v>6</v>
      </c>
      <c r="S26" s="83" t="s">
        <v>6</v>
      </c>
      <c r="T26" s="142"/>
      <c r="U26" s="81" t="str">
        <f t="shared" si="0"/>
        <v>-</v>
      </c>
      <c r="V26" s="85" t="str">
        <f t="shared" si="1"/>
        <v>-</v>
      </c>
      <c r="W26" s="86" t="s">
        <v>6</v>
      </c>
      <c r="X26" s="86" t="s">
        <v>6</v>
      </c>
      <c r="Y26" s="86" t="s">
        <v>6</v>
      </c>
      <c r="Z26" s="86" t="s">
        <v>6</v>
      </c>
      <c r="AA26" s="86" t="s">
        <v>6</v>
      </c>
      <c r="AB26" s="125" t="str">
        <f t="shared" ref="AB26:AB28" si="8">IF(AND(W26="-",X26&lt;&gt;"-"),(X26-Y26*(1-(Z26/100)+(AA26/100)))*100/X26,"-")</f>
        <v>-</v>
      </c>
      <c r="AC26" s="126" t="str">
        <f t="shared" ref="AC26:AC28" si="9">IF(AB26="-",W26,IF(W26="-","-",W26))</f>
        <v>-</v>
      </c>
      <c r="AD26" s="138"/>
      <c r="AE26" s="139"/>
      <c r="AF26" s="139"/>
      <c r="AG26" s="139"/>
      <c r="AH26" s="139"/>
      <c r="AI26" s="139"/>
      <c r="AJ26" s="141"/>
      <c r="AK26" s="142"/>
      <c r="AL26" s="143"/>
      <c r="AM26" s="144"/>
      <c r="AN26" s="134" t="str">
        <f t="shared" si="4"/>
        <v>-</v>
      </c>
      <c r="AO26" s="125" t="str">
        <f t="shared" si="5"/>
        <v>-</v>
      </c>
      <c r="AP26" s="135" t="str">
        <f t="shared" si="6"/>
        <v>-</v>
      </c>
      <c r="AQ26" s="135" t="str">
        <f t="shared" si="7"/>
        <v>-</v>
      </c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</row>
    <row r="27" spans="1:63" s="136" customFormat="1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  <c r="Q27" s="88" t="s">
        <v>6</v>
      </c>
      <c r="R27" s="89" t="s">
        <v>6</v>
      </c>
      <c r="S27" s="83" t="s">
        <v>6</v>
      </c>
      <c r="T27" s="142"/>
      <c r="U27" s="81" t="str">
        <f t="shared" si="0"/>
        <v>-</v>
      </c>
      <c r="V27" s="85" t="str">
        <f t="shared" si="1"/>
        <v>-</v>
      </c>
      <c r="W27" s="86" t="s">
        <v>6</v>
      </c>
      <c r="X27" s="86" t="s">
        <v>6</v>
      </c>
      <c r="Y27" s="86" t="s">
        <v>6</v>
      </c>
      <c r="Z27" s="86" t="s">
        <v>6</v>
      </c>
      <c r="AA27" s="86" t="s">
        <v>6</v>
      </c>
      <c r="AB27" s="125" t="str">
        <f t="shared" si="8"/>
        <v>-</v>
      </c>
      <c r="AC27" s="126" t="str">
        <f t="shared" si="9"/>
        <v>-</v>
      </c>
      <c r="AD27" s="138"/>
      <c r="AE27" s="139"/>
      <c r="AF27" s="139"/>
      <c r="AG27" s="139"/>
      <c r="AH27" s="139"/>
      <c r="AI27" s="139"/>
      <c r="AJ27" s="141"/>
      <c r="AK27" s="142"/>
      <c r="AL27" s="143"/>
      <c r="AM27" s="144"/>
      <c r="AN27" s="134" t="str">
        <f t="shared" si="4"/>
        <v>-</v>
      </c>
      <c r="AO27" s="125" t="str">
        <f t="shared" si="5"/>
        <v>-</v>
      </c>
      <c r="AP27" s="135" t="str">
        <f t="shared" si="6"/>
        <v>-</v>
      </c>
      <c r="AQ27" s="135" t="str">
        <f t="shared" si="7"/>
        <v>-</v>
      </c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</row>
    <row r="28" spans="1:63" s="136" customFormat="1" x14ac:dyDescent="0.25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9"/>
      <c r="Q28" s="88" t="s">
        <v>6</v>
      </c>
      <c r="R28" s="89" t="s">
        <v>6</v>
      </c>
      <c r="S28" s="83" t="s">
        <v>6</v>
      </c>
      <c r="T28" s="149"/>
      <c r="U28" s="81" t="str">
        <f t="shared" si="0"/>
        <v>-</v>
      </c>
      <c r="V28" s="85" t="str">
        <f t="shared" si="1"/>
        <v>-</v>
      </c>
      <c r="W28" s="86" t="s">
        <v>6</v>
      </c>
      <c r="X28" s="86" t="s">
        <v>6</v>
      </c>
      <c r="Y28" s="86" t="s">
        <v>6</v>
      </c>
      <c r="Z28" s="86" t="s">
        <v>6</v>
      </c>
      <c r="AA28" s="86" t="s">
        <v>6</v>
      </c>
      <c r="AB28" s="125" t="str">
        <f t="shared" si="8"/>
        <v>-</v>
      </c>
      <c r="AC28" s="126" t="str">
        <f t="shared" si="9"/>
        <v>-</v>
      </c>
      <c r="AD28" s="148"/>
      <c r="AE28" s="150"/>
      <c r="AF28" s="150"/>
      <c r="AG28" s="150"/>
      <c r="AH28" s="150"/>
      <c r="AI28" s="150"/>
      <c r="AJ28" s="148"/>
      <c r="AK28" s="149"/>
      <c r="AL28" s="151"/>
      <c r="AM28" s="152"/>
      <c r="AN28" s="134" t="str">
        <f t="shared" si="4"/>
        <v>-</v>
      </c>
      <c r="AO28" s="125" t="str">
        <f t="shared" si="5"/>
        <v>-</v>
      </c>
      <c r="AP28" s="135" t="str">
        <f t="shared" si="6"/>
        <v>-</v>
      </c>
      <c r="AQ28" s="135" t="str">
        <f t="shared" si="7"/>
        <v>-</v>
      </c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</row>
    <row r="29" spans="1:63" s="153" customFormat="1" x14ac:dyDescent="0.25">
      <c r="R29" s="154" t="s">
        <v>36</v>
      </c>
      <c r="S29" s="155">
        <f>SUM(S19:S28)</f>
        <v>1068.0900000000001</v>
      </c>
      <c r="AL29" s="156"/>
      <c r="AM29" s="156"/>
      <c r="AN29" s="157"/>
      <c r="AO29" s="157"/>
      <c r="AR29" s="158"/>
      <c r="AS29" s="159"/>
      <c r="AT29" s="159"/>
    </row>
    <row r="30" spans="1:63" s="153" customFormat="1" x14ac:dyDescent="0.25">
      <c r="AD30" s="160"/>
      <c r="AL30" s="157"/>
      <c r="AM30" s="157"/>
      <c r="AP30" s="161"/>
      <c r="AQ30" s="162"/>
      <c r="AR30" s="163"/>
      <c r="AS30" s="164"/>
      <c r="AT30" s="164"/>
    </row>
    <row r="31" spans="1:63" s="153" customFormat="1" x14ac:dyDescent="0.25">
      <c r="AD31" s="160"/>
    </row>
    <row r="32" spans="1:63" s="153" customFormat="1" x14ac:dyDescent="0.25">
      <c r="AD32" s="165"/>
    </row>
    <row r="33" spans="30:44" s="167" customFormat="1" x14ac:dyDescent="0.25">
      <c r="AD33" s="166"/>
    </row>
    <row r="34" spans="30:44" s="167" customFormat="1" x14ac:dyDescent="0.25">
      <c r="AD34" s="166"/>
    </row>
    <row r="35" spans="30:44" s="167" customFormat="1" x14ac:dyDescent="0.25">
      <c r="AD35" s="166"/>
      <c r="AN35" s="168"/>
      <c r="AO35" s="169"/>
      <c r="AP35" s="153"/>
      <c r="AQ35" s="157"/>
    </row>
    <row r="36" spans="30:44" s="167" customFormat="1" x14ac:dyDescent="0.25">
      <c r="AD36" s="166"/>
      <c r="AN36" s="168"/>
      <c r="AO36" s="169"/>
      <c r="AP36" s="157"/>
      <c r="AQ36" s="157"/>
    </row>
    <row r="37" spans="30:44" s="167" customFormat="1" x14ac:dyDescent="0.25">
      <c r="AD37" s="166"/>
      <c r="AP37" s="157"/>
      <c r="AQ37" s="157"/>
    </row>
    <row r="38" spans="30:44" s="167" customFormat="1" x14ac:dyDescent="0.25">
      <c r="AP38" s="157"/>
      <c r="AQ38" s="157"/>
      <c r="AR38" s="166"/>
    </row>
    <row r="39" spans="30:44" s="153" customFormat="1" x14ac:dyDescent="0.25">
      <c r="AD39" s="166"/>
      <c r="AP39" s="157"/>
      <c r="AQ39" s="157"/>
      <c r="AR39" s="165"/>
    </row>
    <row r="40" spans="30:44" s="153" customFormat="1" x14ac:dyDescent="0.25">
      <c r="AD40" s="166"/>
      <c r="AP40" s="157"/>
      <c r="AQ40" s="157"/>
      <c r="AR40" s="165"/>
    </row>
    <row r="41" spans="30:44" s="153" customFormat="1" x14ac:dyDescent="0.25">
      <c r="AD41" s="166"/>
      <c r="AP41" s="157"/>
      <c r="AQ41" s="157"/>
      <c r="AR41" s="165"/>
    </row>
    <row r="42" spans="30:44" s="153" customFormat="1" x14ac:dyDescent="0.25">
      <c r="AD42" s="165"/>
      <c r="AR42" s="165"/>
    </row>
    <row r="43" spans="30:44" s="153" customFormat="1" x14ac:dyDescent="0.25">
      <c r="AD43" s="166"/>
      <c r="AR43" s="165"/>
    </row>
    <row r="44" spans="30:44" s="153" customFormat="1" x14ac:dyDescent="0.25">
      <c r="AD44" s="166"/>
      <c r="AR44" s="165"/>
    </row>
    <row r="45" spans="30:44" s="153" customFormat="1" x14ac:dyDescent="0.25">
      <c r="AD45" s="166"/>
      <c r="AR45" s="165"/>
    </row>
    <row r="46" spans="30:44" s="153" customFormat="1" x14ac:dyDescent="0.25">
      <c r="AD46" s="166"/>
      <c r="AR46" s="165"/>
    </row>
    <row r="47" spans="30:44" s="153" customFormat="1" x14ac:dyDescent="0.25">
      <c r="AD47" s="166"/>
      <c r="AR47" s="165"/>
    </row>
    <row r="48" spans="30:44" s="153" customFormat="1" x14ac:dyDescent="0.25">
      <c r="AD48" s="165"/>
      <c r="AR48" s="165"/>
    </row>
    <row r="49" spans="30:44" s="153" customFormat="1" x14ac:dyDescent="0.25">
      <c r="AD49" s="166"/>
      <c r="AR49" s="165"/>
    </row>
    <row r="50" spans="30:44" s="153" customFormat="1" x14ac:dyDescent="0.25">
      <c r="AD50" s="165"/>
      <c r="AR50" s="165"/>
    </row>
    <row r="51" spans="30:44" s="153" customFormat="1" x14ac:dyDescent="0.25">
      <c r="AD51" s="170"/>
      <c r="AE51" s="171"/>
      <c r="AF51" s="171"/>
      <c r="AG51" s="171"/>
      <c r="AH51" s="171"/>
      <c r="AI51" s="171"/>
      <c r="AR51" s="165"/>
    </row>
    <row r="52" spans="30:44" s="153" customFormat="1" x14ac:dyDescent="0.25">
      <c r="AD52" s="170"/>
      <c r="AE52" s="171"/>
      <c r="AF52" s="171"/>
      <c r="AG52" s="171"/>
      <c r="AH52" s="171"/>
      <c r="AI52" s="171"/>
      <c r="AR52" s="165"/>
    </row>
    <row r="53" spans="30:44" s="153" customFormat="1" ht="12.75" customHeight="1" x14ac:dyDescent="0.25">
      <c r="AD53" s="170"/>
      <c r="AE53" s="171"/>
      <c r="AF53" s="171"/>
      <c r="AG53" s="171"/>
      <c r="AH53" s="171"/>
      <c r="AI53" s="171"/>
      <c r="AR53" s="165"/>
    </row>
    <row r="54" spans="30:44" s="153" customFormat="1" x14ac:dyDescent="0.25">
      <c r="AD54" s="170"/>
      <c r="AR54" s="165"/>
    </row>
    <row r="55" spans="30:44" s="153" customFormat="1" x14ac:dyDescent="0.25">
      <c r="AD55" s="170"/>
      <c r="AR55" s="165"/>
    </row>
    <row r="56" spans="30:44" s="153" customFormat="1" x14ac:dyDescent="0.25">
      <c r="AD56" s="170"/>
      <c r="AR56" s="165"/>
    </row>
    <row r="57" spans="30:44" s="153" customFormat="1" x14ac:dyDescent="0.25">
      <c r="AD57" s="166"/>
      <c r="AR57" s="165"/>
    </row>
    <row r="58" spans="30:44" s="153" customFormat="1" x14ac:dyDescent="0.2">
      <c r="AD58" s="172"/>
      <c r="AR58" s="165"/>
    </row>
    <row r="59" spans="30:44" s="153" customFormat="1" x14ac:dyDescent="0.2">
      <c r="AD59" s="172"/>
      <c r="AR59" s="165"/>
    </row>
    <row r="60" spans="30:44" s="153" customFormat="1" x14ac:dyDescent="0.2">
      <c r="AD60" s="172"/>
      <c r="AR60" s="165"/>
    </row>
    <row r="61" spans="30:44" s="153" customFormat="1" x14ac:dyDescent="0.2">
      <c r="AD61" s="172"/>
      <c r="AE61" s="171"/>
      <c r="AR61" s="165"/>
    </row>
    <row r="62" spans="30:44" s="153" customFormat="1" x14ac:dyDescent="0.25">
      <c r="AD62" s="170"/>
      <c r="AR62" s="165"/>
    </row>
    <row r="63" spans="30:44" s="153" customFormat="1" x14ac:dyDescent="0.25">
      <c r="AD63" s="170"/>
      <c r="AR63" s="165"/>
    </row>
    <row r="64" spans="30:44" s="153" customFormat="1" x14ac:dyDescent="0.25">
      <c r="AD64" s="170"/>
      <c r="AR64" s="165"/>
    </row>
    <row r="65" spans="30:46" s="153" customFormat="1" x14ac:dyDescent="0.25">
      <c r="AD65" s="165"/>
      <c r="AR65" s="165"/>
    </row>
    <row r="66" spans="30:46" s="173" customFormat="1" x14ac:dyDescent="0.2">
      <c r="AD66" s="166"/>
      <c r="AR66" s="174"/>
    </row>
    <row r="67" spans="30:46" s="173" customFormat="1" x14ac:dyDescent="0.2">
      <c r="AD67" s="166"/>
      <c r="AR67" s="174"/>
    </row>
    <row r="68" spans="30:46" s="173" customFormat="1" x14ac:dyDescent="0.2">
      <c r="AD68" s="166"/>
      <c r="AR68" s="174"/>
    </row>
    <row r="69" spans="30:46" s="175" customFormat="1" x14ac:dyDescent="0.2">
      <c r="AD69" s="174"/>
    </row>
    <row r="70" spans="30:46" s="175" customFormat="1" x14ac:dyDescent="0.2">
      <c r="AD70" s="166"/>
    </row>
    <row r="71" spans="30:46" s="175" customFormat="1" x14ac:dyDescent="0.2">
      <c r="AD71" s="166"/>
    </row>
    <row r="72" spans="30:46" s="175" customFormat="1" x14ac:dyDescent="0.2"/>
    <row r="73" spans="30:46" s="175" customFormat="1" x14ac:dyDescent="0.2"/>
    <row r="74" spans="30:46" s="175" customFormat="1" x14ac:dyDescent="0.2">
      <c r="AD74" s="170"/>
    </row>
    <row r="75" spans="30:46" s="175" customFormat="1" x14ac:dyDescent="0.2">
      <c r="AD75" s="166"/>
    </row>
    <row r="76" spans="30:46" s="175" customFormat="1" x14ac:dyDescent="0.2">
      <c r="AD76" s="166"/>
      <c r="AR76" s="176"/>
      <c r="AS76" s="176"/>
      <c r="AT76" s="176"/>
    </row>
    <row r="77" spans="30:46" s="175" customFormat="1" x14ac:dyDescent="0.2">
      <c r="AD77" s="172"/>
      <c r="AR77" s="176"/>
      <c r="AS77" s="176"/>
      <c r="AT77" s="176"/>
    </row>
    <row r="78" spans="30:46" s="177" customFormat="1" x14ac:dyDescent="0.2">
      <c r="AD78" s="170"/>
      <c r="AR78" s="176"/>
      <c r="AS78" s="176"/>
      <c r="AT78" s="176"/>
    </row>
    <row r="79" spans="30:46" s="177" customFormat="1" x14ac:dyDescent="0.2">
      <c r="AD79" s="172"/>
      <c r="AR79" s="176"/>
      <c r="AS79" s="176"/>
      <c r="AT79" s="176"/>
    </row>
    <row r="80" spans="30:46" s="177" customFormat="1" x14ac:dyDescent="0.2">
      <c r="AR80" s="176"/>
      <c r="AS80" s="176"/>
      <c r="AT80" s="176"/>
    </row>
    <row r="81" spans="44:46" s="177" customFormat="1" x14ac:dyDescent="0.2">
      <c r="AR81" s="176"/>
      <c r="AS81" s="176"/>
      <c r="AT81" s="176"/>
    </row>
    <row r="82" spans="44:46" s="177" customFormat="1" x14ac:dyDescent="0.2">
      <c r="AR82" s="176"/>
      <c r="AS82" s="176"/>
      <c r="AT82" s="176"/>
    </row>
    <row r="83" spans="44:46" s="177" customFormat="1" x14ac:dyDescent="0.2">
      <c r="AR83" s="176"/>
      <c r="AS83" s="176"/>
      <c r="AT83" s="176"/>
    </row>
  </sheetData>
  <dataConsolidate/>
  <mergeCells count="40">
    <mergeCell ref="AQ15:AQ17"/>
    <mergeCell ref="AP15:AP17"/>
    <mergeCell ref="AL15:AL17"/>
    <mergeCell ref="AO15:AO17"/>
    <mergeCell ref="AN15:AN17"/>
    <mergeCell ref="AM15:AM17"/>
    <mergeCell ref="F15:F17"/>
    <mergeCell ref="G15:G17"/>
    <mergeCell ref="AF15:AF17"/>
    <mergeCell ref="H15:H17"/>
    <mergeCell ref="AG15:AG17"/>
    <mergeCell ref="I15:I17"/>
    <mergeCell ref="K15:K17"/>
    <mergeCell ref="L15:L17"/>
    <mergeCell ref="N15:N17"/>
    <mergeCell ref="AC16:AC17"/>
    <mergeCell ref="J15:J17"/>
    <mergeCell ref="P15:P17"/>
    <mergeCell ref="M15:M17"/>
    <mergeCell ref="AJ15:AJ17"/>
    <mergeCell ref="AK15:AK17"/>
    <mergeCell ref="R15:R17"/>
    <mergeCell ref="S15:S17"/>
    <mergeCell ref="O15:O17"/>
    <mergeCell ref="AH15:AH17"/>
    <mergeCell ref="AI15:AI17"/>
    <mergeCell ref="AE15:AE17"/>
    <mergeCell ref="AD15:AD17"/>
    <mergeCell ref="T15:T17"/>
    <mergeCell ref="U15:U17"/>
    <mergeCell ref="V15:V17"/>
    <mergeCell ref="Q15:Q17"/>
    <mergeCell ref="W15:W17"/>
    <mergeCell ref="X15:AC15"/>
    <mergeCell ref="X16:AB16"/>
    <mergeCell ref="A15:A17"/>
    <mergeCell ref="B15:B17"/>
    <mergeCell ref="C15:C17"/>
    <mergeCell ref="D15:D17"/>
    <mergeCell ref="E15:E17"/>
  </mergeCells>
  <conditionalFormatting sqref="AC19">
    <cfRule type="cellIs" dxfId="12" priority="12" operator="equal">
      <formula>"Ошибка!"</formula>
    </cfRule>
  </conditionalFormatting>
  <conditionalFormatting sqref="AC20">
    <cfRule type="cellIs" dxfId="11" priority="11" operator="equal">
      <formula>"Ошибка!"</formula>
    </cfRule>
  </conditionalFormatting>
  <conditionalFormatting sqref="AC21">
    <cfRule type="cellIs" dxfId="10" priority="10" operator="equal">
      <formula>"Ошибка!"</formula>
    </cfRule>
  </conditionalFormatting>
  <conditionalFormatting sqref="AC22">
    <cfRule type="cellIs" dxfId="9" priority="9" operator="equal">
      <formula>"Ошибка!"</formula>
    </cfRule>
  </conditionalFormatting>
  <conditionalFormatting sqref="AC23">
    <cfRule type="cellIs" dxfId="8" priority="8" operator="equal">
      <formula>"Ошибка!"</formula>
    </cfRule>
  </conditionalFormatting>
  <conditionalFormatting sqref="AC24">
    <cfRule type="cellIs" dxfId="7" priority="7" operator="equal">
      <formula>"Ошибка!"</formula>
    </cfRule>
  </conditionalFormatting>
  <conditionalFormatting sqref="AC25">
    <cfRule type="cellIs" dxfId="6" priority="6" operator="equal">
      <formula>"Ошибка!"</formula>
    </cfRule>
  </conditionalFormatting>
  <conditionalFormatting sqref="AJ19">
    <cfRule type="cellIs" dxfId="5" priority="5" operator="equal">
      <formula>"Проверьте данные гр.7,10,21,22,24,25"</formula>
    </cfRule>
  </conditionalFormatting>
  <conditionalFormatting sqref="AK19">
    <cfRule type="cellIs" dxfId="4" priority="4" operator="equal">
      <formula>"Проверьте данные гр.7,10,21,22,24,25"</formula>
    </cfRule>
  </conditionalFormatting>
  <conditionalFormatting sqref="AC26">
    <cfRule type="cellIs" dxfId="3" priority="3" operator="equal">
      <formula>"Ошибка!"</formula>
    </cfRule>
  </conditionalFormatting>
  <conditionalFormatting sqref="AC27">
    <cfRule type="cellIs" dxfId="2" priority="2" operator="equal">
      <formula>"Ошибка!"</formula>
    </cfRule>
  </conditionalFormatting>
  <conditionalFormatting sqref="AC28">
    <cfRule type="cellIs" dxfId="1" priority="1" operator="equal">
      <formula>"Ошибка!"</formula>
    </cfRule>
  </conditionalFormatting>
  <dataValidations count="4">
    <dataValidation type="custom" allowBlank="1" showInputMessage="1" showErrorMessage="1" errorTitle="Внимание!" error="Проверьте правильность ввода температур жидкости!" promptTitle="Внимание!" prompt="В данную ячейку вносится максимальное значение температуры жидкости!" sqref="P19">
      <formula1>P19&gt;O19</formula1>
    </dataValidation>
    <dataValidation type="list" allowBlank="1" showInputMessage="1" showErrorMessage="1" errorTitle="Вариант налива" error="Вариант налива не выбран или выбран неверно!" promptTitle="Вариант налива" prompt="Выберите вариант налива" sqref="M19">
      <formula1>Вариант_налива</formula1>
    </dataValidation>
    <dataValidation type="list" allowBlank="1" showInputMessage="1" showErrorMessage="1" errorTitle="Способ налива" error="Не выбран способ налива" promptTitle="Способ налива" prompt="Выберите способ налива" sqref="N19">
      <formula1>Способ</formula1>
    </dataValidation>
    <dataValidation type="list" allowBlank="1" showInputMessage="1" showErrorMessage="1" errorTitle="Температура конца кипения" error="Неправильно выбрана температура конца кипения" promptTitle="Температура конца кипения" prompt="Выберите параметры конца кипения жидкости" sqref="L19">
      <formula1>Температура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00FF"/>
  </sheetPr>
  <dimension ref="A1:X33"/>
  <sheetViews>
    <sheetView topLeftCell="J10" zoomScale="130" zoomScaleNormal="130" workbookViewId="0">
      <selection activeCell="T31" sqref="T31"/>
    </sheetView>
  </sheetViews>
  <sheetFormatPr defaultRowHeight="9.75" x14ac:dyDescent="0.25"/>
  <cols>
    <col min="1" max="4" width="4.7109375" style="8" customWidth="1"/>
    <col min="5" max="5" width="6.28515625" style="8" customWidth="1"/>
    <col min="6" max="7" width="4.7109375" style="8" customWidth="1"/>
    <col min="8" max="9" width="6.5703125" style="8" customWidth="1"/>
    <col min="10" max="11" width="5.7109375" style="8" customWidth="1"/>
    <col min="12" max="13" width="5.28515625" style="8" customWidth="1"/>
    <col min="14" max="16" width="4.7109375" style="8" customWidth="1"/>
    <col min="17" max="17" width="19.85546875" style="8" customWidth="1"/>
    <col min="18" max="20" width="4.7109375" style="8" customWidth="1"/>
    <col min="21" max="22" width="7.7109375" style="8" customWidth="1"/>
    <col min="23" max="24" width="8.28515625" style="8" customWidth="1"/>
    <col min="25" max="25" width="5.7109375" style="8" customWidth="1"/>
    <col min="26" max="16384" width="9.140625" style="8"/>
  </cols>
  <sheetData>
    <row r="1" spans="1:12" x14ac:dyDescent="0.25">
      <c r="A1" s="200" t="s">
        <v>43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x14ac:dyDescent="0.25">
      <c r="A2" s="7"/>
      <c r="G2" s="42"/>
    </row>
    <row r="3" spans="1:12" x14ac:dyDescent="0.25">
      <c r="A3" s="7" t="s">
        <v>23</v>
      </c>
      <c r="B3" s="11"/>
      <c r="C3" s="11"/>
      <c r="D3" s="11"/>
      <c r="E3" s="11"/>
      <c r="F3" s="11"/>
      <c r="G3" s="9" t="str">
        <f>Расчет!C13</f>
        <v>2012 год</v>
      </c>
      <c r="J3" s="9"/>
      <c r="K3" s="9"/>
    </row>
    <row r="4" spans="1:12" x14ac:dyDescent="0.25">
      <c r="A4" s="12"/>
      <c r="B4" s="11"/>
      <c r="C4" s="11"/>
      <c r="D4" s="11"/>
      <c r="E4" s="11"/>
      <c r="F4" s="11"/>
    </row>
    <row r="5" spans="1:12" x14ac:dyDescent="0.25">
      <c r="A5" s="43" t="s">
        <v>19</v>
      </c>
      <c r="B5" s="44"/>
      <c r="C5" s="44"/>
      <c r="D5" s="44"/>
      <c r="E5" s="44"/>
      <c r="F5" s="44"/>
      <c r="G5" s="14" t="str">
        <f>Расчет!B19</f>
        <v>Цех 016 (складское хозяйство)</v>
      </c>
      <c r="J5" s="14"/>
      <c r="K5" s="14"/>
    </row>
    <row r="6" spans="1:12" x14ac:dyDescent="0.25">
      <c r="A6" s="43" t="s">
        <v>20</v>
      </c>
      <c r="B6" s="44"/>
      <c r="C6" s="44"/>
      <c r="D6" s="44"/>
      <c r="E6" s="44"/>
      <c r="F6" s="44"/>
      <c r="G6" s="14" t="str">
        <f>Расчет!C19</f>
        <v>Парк СПТ. Ж/д эстакада слива-налива СПТ</v>
      </c>
      <c r="J6" s="14"/>
      <c r="K6" s="14"/>
    </row>
    <row r="7" spans="1:12" x14ac:dyDescent="0.25">
      <c r="A7" s="43" t="s">
        <v>21</v>
      </c>
      <c r="B7" s="44"/>
      <c r="C7" s="44"/>
      <c r="D7" s="44"/>
      <c r="E7" s="44"/>
      <c r="F7" s="44"/>
      <c r="G7" s="15">
        <f>Расчет!A19</f>
        <v>6066</v>
      </c>
      <c r="J7" s="15"/>
      <c r="K7" s="15"/>
    </row>
    <row r="8" spans="1:12" x14ac:dyDescent="0.25">
      <c r="A8" s="43" t="s">
        <v>86</v>
      </c>
      <c r="B8" s="44"/>
      <c r="C8" s="44"/>
      <c r="D8" s="44"/>
      <c r="E8" s="44"/>
      <c r="F8" s="44"/>
      <c r="G8" s="15" t="str">
        <f>Расчет!D19</f>
        <v>к.423</v>
      </c>
      <c r="J8" s="15"/>
      <c r="K8" s="15"/>
    </row>
    <row r="9" spans="1:12" x14ac:dyDescent="0.25">
      <c r="A9" s="43" t="s">
        <v>22</v>
      </c>
      <c r="B9" s="44"/>
      <c r="C9" s="44"/>
      <c r="D9" s="44"/>
      <c r="E9" s="44"/>
      <c r="F9" s="44"/>
      <c r="G9" s="15" t="str">
        <f>Расчет!E19</f>
        <v>Смола пиролиза тяжелая</v>
      </c>
      <c r="J9" s="15"/>
      <c r="K9" s="15"/>
    </row>
    <row r="10" spans="1:12" x14ac:dyDescent="0.25">
      <c r="A10" s="43"/>
      <c r="B10" s="44"/>
      <c r="C10" s="44"/>
      <c r="D10" s="44"/>
      <c r="E10" s="44"/>
      <c r="F10" s="44"/>
      <c r="I10" s="15"/>
      <c r="J10" s="15"/>
      <c r="K10" s="15"/>
    </row>
    <row r="11" spans="1:12" x14ac:dyDescent="0.25">
      <c r="A11" s="7" t="s">
        <v>15</v>
      </c>
      <c r="G11" s="10"/>
    </row>
    <row r="12" spans="1:12" x14ac:dyDescent="0.25">
      <c r="A12" s="7"/>
      <c r="G12" s="42"/>
    </row>
    <row r="13" spans="1:12" x14ac:dyDescent="0.25">
      <c r="A13" s="7" t="s">
        <v>25</v>
      </c>
      <c r="G13" s="42"/>
      <c r="J13" s="8" t="str">
        <f>Расчет!A10</f>
        <v>10.4.1.3 Концентрация i-го вещества или группы веществ в насыщенных парах углеводородных жидкостей с температурой начало кипения не менее 633 °К</v>
      </c>
    </row>
    <row r="14" spans="1:12" x14ac:dyDescent="0.25">
      <c r="A14" s="7" t="s">
        <v>87</v>
      </c>
      <c r="D14" s="8" t="str">
        <f>Расчет!M19</f>
        <v>Налив емкостей транспортировки без остатков жидкостей</v>
      </c>
      <c r="G14" s="42"/>
    </row>
    <row r="15" spans="1:12" x14ac:dyDescent="0.25">
      <c r="A15" s="7" t="s">
        <v>88</v>
      </c>
      <c r="G15" s="42"/>
      <c r="H15" s="8" t="str">
        <f>Расчет!N19</f>
        <v>Налив сверху открытой струёй</v>
      </c>
    </row>
    <row r="16" spans="1:12" x14ac:dyDescent="0.25">
      <c r="A16" s="7" t="s">
        <v>89</v>
      </c>
      <c r="G16" s="8" t="str">
        <f>Расчет!L19</f>
        <v>температура конца кипения более 653°К</v>
      </c>
    </row>
    <row r="17" spans="1:24" x14ac:dyDescent="0.25">
      <c r="A17" s="51" t="s">
        <v>90</v>
      </c>
      <c r="G17" s="8" t="str">
        <f>Расчет!T19</f>
        <v>-</v>
      </c>
    </row>
    <row r="18" spans="1:24" x14ac:dyDescent="0.25">
      <c r="G18" s="42"/>
      <c r="P18" s="9"/>
      <c r="Q18" s="60"/>
    </row>
    <row r="19" spans="1:24" s="61" customFormat="1" ht="9.75" customHeight="1" x14ac:dyDescent="0.25">
      <c r="A19" s="201" t="s">
        <v>18</v>
      </c>
      <c r="B19" s="201" t="s">
        <v>91</v>
      </c>
      <c r="C19" s="203" t="s">
        <v>96</v>
      </c>
      <c r="D19" s="202" t="s">
        <v>92</v>
      </c>
      <c r="E19" s="203" t="s">
        <v>93</v>
      </c>
      <c r="F19" s="203" t="s">
        <v>94</v>
      </c>
      <c r="G19" s="202" t="s">
        <v>44</v>
      </c>
      <c r="H19" s="202" t="s">
        <v>98</v>
      </c>
      <c r="I19" s="203" t="s">
        <v>99</v>
      </c>
      <c r="J19" s="203" t="s">
        <v>100</v>
      </c>
      <c r="K19" s="203" t="s">
        <v>101</v>
      </c>
      <c r="L19" s="202" t="s">
        <v>45</v>
      </c>
      <c r="M19" s="202" t="s">
        <v>46</v>
      </c>
      <c r="N19" s="202" t="s">
        <v>47</v>
      </c>
      <c r="O19" s="202" t="s">
        <v>102</v>
      </c>
      <c r="P19" s="201" t="s">
        <v>0</v>
      </c>
      <c r="Q19" s="201" t="s">
        <v>1</v>
      </c>
      <c r="R19" s="208" t="s">
        <v>120</v>
      </c>
      <c r="S19" s="211" t="s">
        <v>121</v>
      </c>
      <c r="T19" s="207" t="s">
        <v>122</v>
      </c>
      <c r="U19" s="203" t="s">
        <v>48</v>
      </c>
      <c r="V19" s="203" t="s">
        <v>49</v>
      </c>
      <c r="W19" s="203" t="s">
        <v>103</v>
      </c>
      <c r="X19" s="203" t="s">
        <v>104</v>
      </c>
    </row>
    <row r="20" spans="1:24" s="61" customFormat="1" x14ac:dyDescent="0.25">
      <c r="A20" s="201"/>
      <c r="B20" s="201"/>
      <c r="C20" s="204"/>
      <c r="D20" s="202"/>
      <c r="E20" s="204"/>
      <c r="F20" s="204"/>
      <c r="G20" s="202"/>
      <c r="H20" s="202"/>
      <c r="I20" s="204"/>
      <c r="J20" s="204"/>
      <c r="K20" s="204"/>
      <c r="L20" s="202"/>
      <c r="M20" s="202"/>
      <c r="N20" s="202"/>
      <c r="O20" s="202"/>
      <c r="P20" s="201"/>
      <c r="Q20" s="201"/>
      <c r="R20" s="209"/>
      <c r="S20" s="212"/>
      <c r="T20" s="207"/>
      <c r="U20" s="204"/>
      <c r="V20" s="204"/>
      <c r="W20" s="204"/>
      <c r="X20" s="204"/>
    </row>
    <row r="21" spans="1:24" s="61" customFormat="1" x14ac:dyDescent="0.25">
      <c r="A21" s="201"/>
      <c r="B21" s="201"/>
      <c r="C21" s="205"/>
      <c r="D21" s="202"/>
      <c r="E21" s="205"/>
      <c r="F21" s="205"/>
      <c r="G21" s="202"/>
      <c r="H21" s="202"/>
      <c r="I21" s="205"/>
      <c r="J21" s="205"/>
      <c r="K21" s="205"/>
      <c r="L21" s="202"/>
      <c r="M21" s="202"/>
      <c r="N21" s="202"/>
      <c r="O21" s="202"/>
      <c r="P21" s="201"/>
      <c r="Q21" s="201"/>
      <c r="R21" s="210"/>
      <c r="S21" s="213"/>
      <c r="T21" s="207"/>
      <c r="U21" s="205"/>
      <c r="V21" s="205"/>
      <c r="W21" s="205"/>
      <c r="X21" s="205"/>
    </row>
    <row r="22" spans="1:24" x14ac:dyDescent="0.25">
      <c r="A22" s="50">
        <v>1</v>
      </c>
      <c r="B22" s="50">
        <v>2</v>
      </c>
      <c r="C22" s="50">
        <v>3</v>
      </c>
      <c r="D22" s="50">
        <v>4</v>
      </c>
      <c r="E22" s="50">
        <v>5</v>
      </c>
      <c r="F22" s="50">
        <v>6</v>
      </c>
      <c r="G22" s="50">
        <v>7</v>
      </c>
      <c r="H22" s="50">
        <v>8</v>
      </c>
      <c r="I22" s="50">
        <v>9</v>
      </c>
      <c r="J22" s="50">
        <v>10</v>
      </c>
      <c r="K22" s="50">
        <v>11</v>
      </c>
      <c r="L22" s="50">
        <v>12</v>
      </c>
      <c r="M22" s="50">
        <v>13</v>
      </c>
      <c r="N22" s="41">
        <v>14</v>
      </c>
      <c r="O22" s="62">
        <v>15</v>
      </c>
      <c r="P22" s="63">
        <v>16</v>
      </c>
      <c r="Q22" s="63">
        <v>17</v>
      </c>
      <c r="R22" s="63">
        <v>18</v>
      </c>
      <c r="S22" s="65">
        <v>19</v>
      </c>
      <c r="T22" s="65">
        <v>20</v>
      </c>
      <c r="U22" s="63">
        <v>21</v>
      </c>
      <c r="V22" s="63">
        <v>22</v>
      </c>
      <c r="W22" s="63">
        <v>23</v>
      </c>
      <c r="X22" s="63">
        <v>24</v>
      </c>
    </row>
    <row r="23" spans="1:24" x14ac:dyDescent="0.25">
      <c r="A23" s="18">
        <f>Расчет!A19</f>
        <v>6066</v>
      </c>
      <c r="B23" s="52">
        <f>Расчет!I19</f>
        <v>68</v>
      </c>
      <c r="C23" s="56">
        <f>Расчет!J19</f>
        <v>1</v>
      </c>
      <c r="D23" s="52">
        <f>Расчет!K19</f>
        <v>150</v>
      </c>
      <c r="E23" s="53">
        <f>Расчет!AE19</f>
        <v>29.095588235294116</v>
      </c>
      <c r="F23" s="52">
        <f>Расчет!AD19</f>
        <v>1.4</v>
      </c>
      <c r="G23" s="20">
        <f>Расчет!F19</f>
        <v>1040</v>
      </c>
      <c r="H23" s="20">
        <f>Расчет!G19</f>
        <v>27976.1</v>
      </c>
      <c r="I23" s="20">
        <f>Расчет!AF19</f>
        <v>23613.267684887458</v>
      </c>
      <c r="J23" s="20">
        <f>Расчет!H19</f>
        <v>60</v>
      </c>
      <c r="K23" s="54">
        <f>Расчет!AI19</f>
        <v>1.3657657657657658E-2</v>
      </c>
      <c r="L23" s="40">
        <f>Расчет!O19</f>
        <v>311</v>
      </c>
      <c r="M23" s="40">
        <f>Расчет!P19</f>
        <v>333</v>
      </c>
      <c r="N23" s="40">
        <f>Расчет!AJ19</f>
        <v>0.7</v>
      </c>
      <c r="O23" s="40">
        <f>Расчет!AK19</f>
        <v>1</v>
      </c>
      <c r="P23" s="24">
        <f>Расчет!Q19</f>
        <v>655</v>
      </c>
      <c r="Q23" s="57" t="str">
        <f>Расчет!R19</f>
        <v>Углеводороды ароматические</v>
      </c>
      <c r="R23" s="58">
        <f>Расчет!S19</f>
        <v>8.2200000000000006</v>
      </c>
      <c r="S23" s="58">
        <f>Расчет!AL19</f>
        <v>1.75</v>
      </c>
      <c r="T23" s="58">
        <f>Расчет!AM19</f>
        <v>3.2</v>
      </c>
      <c r="U23" s="13">
        <f>Расчет!AN19</f>
        <v>14.39</v>
      </c>
      <c r="V23" s="13">
        <f>Расчет!AO19</f>
        <v>26.3</v>
      </c>
      <c r="W23" s="59">
        <f>Расчет!AP19</f>
        <v>2.5143747747747745E-4</v>
      </c>
      <c r="X23" s="59">
        <f>Расчет!AQ19</f>
        <v>9.2489835883913371E-4</v>
      </c>
    </row>
    <row r="24" spans="1:24" x14ac:dyDescent="0.25">
      <c r="A24" s="16"/>
      <c r="B24" s="55"/>
      <c r="C24" s="55"/>
      <c r="D24" s="55"/>
      <c r="E24" s="55"/>
      <c r="F24" s="55"/>
      <c r="G24" s="21"/>
      <c r="H24" s="22"/>
      <c r="I24" s="23"/>
      <c r="J24" s="23"/>
      <c r="K24" s="23"/>
      <c r="L24" s="23"/>
      <c r="M24" s="19"/>
      <c r="N24" s="25"/>
      <c r="O24" s="25"/>
      <c r="P24" s="24">
        <f>Расчет!Q20</f>
        <v>550</v>
      </c>
      <c r="Q24" s="57" t="str">
        <f>Расчет!R20</f>
        <v>Углеводороды непредельные</v>
      </c>
      <c r="R24" s="58">
        <f>Расчет!S20</f>
        <v>621.85</v>
      </c>
      <c r="S24" s="58"/>
      <c r="T24" s="58"/>
      <c r="U24" s="13">
        <f>Расчет!AN20</f>
        <v>1088.24</v>
      </c>
      <c r="V24" s="13">
        <f>Расчет!AO20</f>
        <v>1989.92</v>
      </c>
      <c r="W24" s="59">
        <f>Расчет!AP20</f>
        <v>1.9024352288288287E-2</v>
      </c>
      <c r="X24" s="59">
        <f>Расчет!AQ20</f>
        <v>1.8674873611230613E-2</v>
      </c>
    </row>
    <row r="25" spans="1:24" x14ac:dyDescent="0.25">
      <c r="A25" s="17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5"/>
      <c r="O25" s="25"/>
      <c r="P25" s="24">
        <f>Расчет!Q21</f>
        <v>401</v>
      </c>
      <c r="Q25" s="57" t="str">
        <f>Расчет!R21</f>
        <v>Углеводороды пред. С1-С10</v>
      </c>
      <c r="R25" s="58">
        <f>Расчет!S21</f>
        <v>359.48</v>
      </c>
      <c r="S25" s="58"/>
      <c r="T25" s="58"/>
      <c r="U25" s="13">
        <f>Расчет!AN21</f>
        <v>629.09</v>
      </c>
      <c r="V25" s="13">
        <f>Расчет!AO21</f>
        <v>1150.3399999999999</v>
      </c>
      <c r="W25" s="59">
        <f>Расчет!AP21</f>
        <v>1.0997664936936935E-2</v>
      </c>
      <c r="X25" s="59">
        <f>Расчет!AQ21</f>
        <v>1.1085451310969358E-2</v>
      </c>
    </row>
    <row r="26" spans="1:24" x14ac:dyDescent="0.25">
      <c r="A26" s="17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5"/>
      <c r="O26" s="25"/>
      <c r="P26" s="24">
        <f>Расчет!Q22</f>
        <v>410</v>
      </c>
      <c r="Q26" s="57" t="str">
        <f>Расчет!R22</f>
        <v>Метан</v>
      </c>
      <c r="R26" s="58">
        <f>Расчет!S22</f>
        <v>0</v>
      </c>
      <c r="S26" s="58"/>
      <c r="T26" s="58"/>
      <c r="U26" s="13">
        <f>Расчет!AN22</f>
        <v>0</v>
      </c>
      <c r="V26" s="13">
        <f>Расчет!AO22</f>
        <v>0</v>
      </c>
      <c r="W26" s="59">
        <f>Расчет!AP22</f>
        <v>0</v>
      </c>
      <c r="X26" s="59">
        <f>Расчет!AQ22</f>
        <v>6.870419134492623E-4</v>
      </c>
    </row>
    <row r="27" spans="1:24" x14ac:dyDescent="0.25">
      <c r="A27" s="17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5"/>
      <c r="O27" s="25"/>
      <c r="P27" s="24">
        <f>Расчет!Q23</f>
        <v>2754</v>
      </c>
      <c r="Q27" s="57" t="str">
        <f>Расчет!R23</f>
        <v>Углеводороды пред. С11-С19</v>
      </c>
      <c r="R27" s="58">
        <f>Расчет!S23</f>
        <v>78.540000000000006</v>
      </c>
      <c r="S27" s="58"/>
      <c r="T27" s="58"/>
      <c r="U27" s="13">
        <f>Расчет!AN23</f>
        <v>137.44999999999999</v>
      </c>
      <c r="V27" s="13">
        <f>Расчет!AO23</f>
        <v>251.33</v>
      </c>
      <c r="W27" s="59">
        <f>Расчет!AP23</f>
        <v>2.4028053693693693E-3</v>
      </c>
      <c r="X27" s="59">
        <f>Расчет!AQ23</f>
        <v>2.958992463750709E-3</v>
      </c>
    </row>
    <row r="28" spans="1:24" x14ac:dyDescent="0.25">
      <c r="A28" s="17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5"/>
      <c r="O28" s="25"/>
      <c r="P28" s="24" t="str">
        <f>Расчет!Q24</f>
        <v>-</v>
      </c>
      <c r="Q28" s="57" t="str">
        <f>Расчет!R24</f>
        <v>-</v>
      </c>
      <c r="R28" s="58" t="str">
        <f>Расчет!S24</f>
        <v>-</v>
      </c>
      <c r="S28" s="58"/>
      <c r="T28" s="58"/>
      <c r="U28" s="13" t="str">
        <f>Расчет!AN24</f>
        <v>-</v>
      </c>
      <c r="V28" s="13" t="str">
        <f>Расчет!AO24</f>
        <v>-</v>
      </c>
      <c r="W28" s="59" t="str">
        <f>Расчет!AP24</f>
        <v>-</v>
      </c>
      <c r="X28" s="59" t="str">
        <f>Расчет!AQ24</f>
        <v>-</v>
      </c>
    </row>
    <row r="29" spans="1:24" x14ac:dyDescent="0.25">
      <c r="A29" s="1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5"/>
      <c r="O29" s="25"/>
      <c r="P29" s="24" t="str">
        <f>Расчет!Q25</f>
        <v>-</v>
      </c>
      <c r="Q29" s="57" t="str">
        <f>Расчет!R25</f>
        <v>-</v>
      </c>
      <c r="R29" s="58" t="str">
        <f>Расчет!S25</f>
        <v>-</v>
      </c>
      <c r="S29" s="58"/>
      <c r="T29" s="58"/>
      <c r="U29" s="13" t="str">
        <f>Расчет!AN25</f>
        <v>-</v>
      </c>
      <c r="V29" s="13" t="str">
        <f>Расчет!AO25</f>
        <v>-</v>
      </c>
      <c r="W29" s="59" t="str">
        <f>Расчет!AP25</f>
        <v>-</v>
      </c>
      <c r="X29" s="59" t="str">
        <f>Расчет!AQ25</f>
        <v>-</v>
      </c>
    </row>
    <row r="30" spans="1:24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5"/>
      <c r="O30" s="25"/>
      <c r="P30" s="24" t="str">
        <f>Расчет!Q26</f>
        <v>-</v>
      </c>
      <c r="Q30" s="57" t="str">
        <f>Расчет!R26</f>
        <v>-</v>
      </c>
      <c r="R30" s="58" t="str">
        <f>Расчет!S26</f>
        <v>-</v>
      </c>
      <c r="S30" s="58"/>
      <c r="T30" s="58"/>
      <c r="U30" s="13" t="str">
        <f>Расчет!AN26</f>
        <v>-</v>
      </c>
      <c r="V30" s="13" t="str">
        <f>Расчет!AO26</f>
        <v>-</v>
      </c>
      <c r="W30" s="59" t="str">
        <f>Расчет!AP26</f>
        <v>-</v>
      </c>
      <c r="X30" s="59" t="str">
        <f>Расчет!AQ26</f>
        <v>-</v>
      </c>
    </row>
    <row r="31" spans="1:24" x14ac:dyDescent="0.25">
      <c r="A31" s="17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5"/>
      <c r="O31" s="25"/>
      <c r="P31" s="24" t="str">
        <f>Расчет!Q27</f>
        <v>-</v>
      </c>
      <c r="Q31" s="57" t="str">
        <f>Расчет!R27</f>
        <v>-</v>
      </c>
      <c r="R31" s="58" t="str">
        <f>Расчет!S27</f>
        <v>-</v>
      </c>
      <c r="S31" s="58"/>
      <c r="T31" s="58"/>
      <c r="U31" s="13" t="str">
        <f>Расчет!AN27</f>
        <v>-</v>
      </c>
      <c r="V31" s="13" t="str">
        <f>Расчет!AO27</f>
        <v>-</v>
      </c>
      <c r="W31" s="59" t="str">
        <f>Расчет!AP27</f>
        <v>-</v>
      </c>
      <c r="X31" s="59" t="str">
        <f>Расчет!AQ27</f>
        <v>-</v>
      </c>
    </row>
    <row r="32" spans="1:24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5"/>
      <c r="O32" s="25"/>
      <c r="P32" s="24" t="str">
        <f>Расчет!Q28</f>
        <v>-</v>
      </c>
      <c r="Q32" s="57" t="str">
        <f>Расчет!R28</f>
        <v>-</v>
      </c>
      <c r="R32" s="58" t="str">
        <f>Расчет!S28</f>
        <v>-</v>
      </c>
      <c r="S32" s="58"/>
      <c r="T32" s="58"/>
      <c r="U32" s="13" t="str">
        <f>Расчет!AN28</f>
        <v>-</v>
      </c>
      <c r="V32" s="13" t="str">
        <f>Расчет!AO28</f>
        <v>-</v>
      </c>
      <c r="W32" s="59" t="str">
        <f>Расчет!AP28</f>
        <v>-</v>
      </c>
      <c r="X32" s="59" t="str">
        <f>Расчет!AQ28</f>
        <v>-</v>
      </c>
    </row>
    <row r="33" spans="1:24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7"/>
      <c r="O33" s="47"/>
      <c r="P33" s="206" t="s">
        <v>24</v>
      </c>
      <c r="Q33" s="206"/>
      <c r="R33" s="206"/>
      <c r="S33" s="206"/>
      <c r="T33" s="206"/>
      <c r="U33" s="206"/>
      <c r="V33" s="206"/>
      <c r="W33" s="64">
        <f>SUM(W23:W32)</f>
        <v>3.2676260072072069E-2</v>
      </c>
      <c r="X33" s="64">
        <f>SUM(X23:X32)</f>
        <v>3.4331257658239078E-2</v>
      </c>
    </row>
  </sheetData>
  <mergeCells count="26">
    <mergeCell ref="X19:X21"/>
    <mergeCell ref="P33:V33"/>
    <mergeCell ref="C19:C21"/>
    <mergeCell ref="T19:T21"/>
    <mergeCell ref="U19:U21"/>
    <mergeCell ref="V19:V21"/>
    <mergeCell ref="W19:W21"/>
    <mergeCell ref="M19:M21"/>
    <mergeCell ref="N19:N21"/>
    <mergeCell ref="O19:O21"/>
    <mergeCell ref="P19:P21"/>
    <mergeCell ref="Q19:Q21"/>
    <mergeCell ref="R19:R21"/>
    <mergeCell ref="S19:S21"/>
    <mergeCell ref="A1:L1"/>
    <mergeCell ref="A19:A21"/>
    <mergeCell ref="B19:B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</mergeCells>
  <conditionalFormatting sqref="A1">
    <cfRule type="cellIs" dxfId="0" priority="1" operator="equal">
      <formula>"НЕ ПЕЧАТАТЬ! См.лист Результаты (10.1.1.10)"</formula>
    </cfRule>
  </conditionalFormatting>
  <pageMargins left="0" right="0" top="0.59055118110236227" bottom="0.3937007874015748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K198"/>
  <sheetViews>
    <sheetView workbookViewId="0">
      <selection activeCell="L10" sqref="L10"/>
    </sheetView>
  </sheetViews>
  <sheetFormatPr defaultRowHeight="12.75" x14ac:dyDescent="0.25"/>
  <cols>
    <col min="1" max="1" width="7.85546875" style="2" customWidth="1"/>
    <col min="2" max="3" width="7.5703125" style="2" customWidth="1"/>
    <col min="4" max="5" width="7.85546875" style="2" customWidth="1"/>
    <col min="6" max="7" width="7.5703125" style="2" customWidth="1"/>
    <col min="8" max="8" width="9.140625" style="2"/>
    <col min="9" max="9" width="10.7109375" style="2" bestFit="1" customWidth="1"/>
    <col min="10" max="16384" width="9.140625" style="2"/>
  </cols>
  <sheetData>
    <row r="1" spans="1:11" x14ac:dyDescent="0.25">
      <c r="A1" s="1" t="s">
        <v>26</v>
      </c>
      <c r="C1" s="26"/>
      <c r="H1" s="1" t="s">
        <v>27</v>
      </c>
    </row>
    <row r="2" spans="1:11" x14ac:dyDescent="0.25">
      <c r="A2" s="1" t="s">
        <v>28</v>
      </c>
    </row>
    <row r="3" spans="1:11" x14ac:dyDescent="0.25">
      <c r="H3" s="1"/>
    </row>
    <row r="4" spans="1:11" x14ac:dyDescent="0.25">
      <c r="A4" s="214" t="s">
        <v>26</v>
      </c>
      <c r="B4" s="214"/>
      <c r="D4" s="214" t="s">
        <v>28</v>
      </c>
      <c r="E4" s="214"/>
      <c r="F4" s="214"/>
      <c r="H4" s="1" t="s">
        <v>29</v>
      </c>
    </row>
    <row r="5" spans="1:11" x14ac:dyDescent="0.25">
      <c r="D5" s="27"/>
      <c r="E5" s="27"/>
      <c r="F5" s="27"/>
    </row>
    <row r="6" spans="1:11" ht="18" x14ac:dyDescent="0.25">
      <c r="A6" s="28" t="s">
        <v>30</v>
      </c>
      <c r="B6" s="29" t="s">
        <v>31</v>
      </c>
      <c r="D6" s="30" t="s">
        <v>32</v>
      </c>
      <c r="E6" s="28" t="s">
        <v>30</v>
      </c>
      <c r="F6" s="4" t="s">
        <v>33</v>
      </c>
      <c r="H6" s="31" t="s">
        <v>34</v>
      </c>
      <c r="I6" s="32" t="s">
        <v>35</v>
      </c>
      <c r="J6" s="33"/>
      <c r="K6" s="3"/>
    </row>
    <row r="7" spans="1:11" x14ac:dyDescent="0.25">
      <c r="A7" s="34">
        <v>283</v>
      </c>
      <c r="B7" s="6">
        <v>51</v>
      </c>
      <c r="D7" s="4">
        <v>30</v>
      </c>
      <c r="E7" s="37">
        <v>303</v>
      </c>
      <c r="F7" s="35">
        <v>63</v>
      </c>
      <c r="H7" s="5">
        <v>290</v>
      </c>
      <c r="I7" s="5">
        <v>198200</v>
      </c>
    </row>
    <row r="8" spans="1:11" x14ac:dyDescent="0.25">
      <c r="A8" s="34">
        <v>284</v>
      </c>
      <c r="B8" s="6">
        <v>51.6</v>
      </c>
      <c r="D8" s="4">
        <v>31</v>
      </c>
      <c r="E8" s="37">
        <v>304</v>
      </c>
      <c r="F8" s="35">
        <v>63.6</v>
      </c>
      <c r="H8" s="5">
        <v>291</v>
      </c>
      <c r="I8" s="5">
        <v>191500</v>
      </c>
    </row>
    <row r="9" spans="1:11" x14ac:dyDescent="0.25">
      <c r="A9" s="34">
        <v>285</v>
      </c>
      <c r="B9" s="6">
        <v>52</v>
      </c>
      <c r="D9" s="4">
        <v>32</v>
      </c>
      <c r="E9" s="37">
        <v>305</v>
      </c>
      <c r="F9" s="35">
        <v>64.2</v>
      </c>
      <c r="H9" s="5">
        <v>292</v>
      </c>
      <c r="I9" s="5">
        <v>186200</v>
      </c>
    </row>
    <row r="10" spans="1:11" x14ac:dyDescent="0.25">
      <c r="A10" s="34">
        <v>286</v>
      </c>
      <c r="B10" s="6">
        <v>52.8</v>
      </c>
      <c r="D10" s="4">
        <v>33</v>
      </c>
      <c r="E10" s="37">
        <v>306</v>
      </c>
      <c r="F10" s="35">
        <v>64.8</v>
      </c>
      <c r="H10" s="5">
        <v>293</v>
      </c>
      <c r="I10" s="5">
        <v>180800</v>
      </c>
    </row>
    <row r="11" spans="1:11" x14ac:dyDescent="0.25">
      <c r="A11" s="34">
        <v>287</v>
      </c>
      <c r="B11" s="6">
        <v>53.4</v>
      </c>
      <c r="D11" s="4">
        <v>34</v>
      </c>
      <c r="E11" s="37">
        <v>307</v>
      </c>
      <c r="F11" s="35">
        <v>65.400000000000006</v>
      </c>
      <c r="H11" s="5">
        <v>294</v>
      </c>
      <c r="I11" s="5">
        <v>175600</v>
      </c>
    </row>
    <row r="12" spans="1:11" x14ac:dyDescent="0.25">
      <c r="A12" s="34">
        <v>288</v>
      </c>
      <c r="B12" s="6">
        <v>54</v>
      </c>
      <c r="D12" s="4">
        <v>35</v>
      </c>
      <c r="E12" s="37">
        <v>308</v>
      </c>
      <c r="F12" s="35">
        <v>66</v>
      </c>
      <c r="H12" s="5">
        <v>295</v>
      </c>
      <c r="I12" s="5">
        <v>170200</v>
      </c>
    </row>
    <row r="13" spans="1:11" x14ac:dyDescent="0.25">
      <c r="A13" s="34">
        <v>289</v>
      </c>
      <c r="B13" s="6">
        <v>54.6</v>
      </c>
      <c r="D13" s="4">
        <v>36</v>
      </c>
      <c r="E13" s="37">
        <v>309</v>
      </c>
      <c r="F13" s="35">
        <v>66.599999999999994</v>
      </c>
      <c r="H13" s="5">
        <v>296</v>
      </c>
      <c r="I13" s="5">
        <v>164900</v>
      </c>
    </row>
    <row r="14" spans="1:11" x14ac:dyDescent="0.25">
      <c r="A14" s="34">
        <v>290</v>
      </c>
      <c r="B14" s="6">
        <v>55.2</v>
      </c>
      <c r="D14" s="4">
        <v>37</v>
      </c>
      <c r="E14" s="37">
        <v>310</v>
      </c>
      <c r="F14" s="35">
        <v>67.2</v>
      </c>
      <c r="H14" s="5">
        <v>297</v>
      </c>
      <c r="I14" s="5">
        <v>159600</v>
      </c>
    </row>
    <row r="15" spans="1:11" x14ac:dyDescent="0.25">
      <c r="A15" s="34">
        <v>291</v>
      </c>
      <c r="B15" s="6">
        <v>55.8</v>
      </c>
      <c r="D15" s="4">
        <v>38</v>
      </c>
      <c r="E15" s="37">
        <v>311</v>
      </c>
      <c r="F15" s="35">
        <v>67.8</v>
      </c>
      <c r="H15" s="5">
        <v>298</v>
      </c>
      <c r="I15" s="5">
        <v>154300</v>
      </c>
    </row>
    <row r="16" spans="1:11" x14ac:dyDescent="0.25">
      <c r="A16" s="34">
        <v>292</v>
      </c>
      <c r="B16" s="6">
        <v>56.4</v>
      </c>
      <c r="D16" s="4">
        <v>39</v>
      </c>
      <c r="E16" s="37">
        <v>312</v>
      </c>
      <c r="F16" s="35">
        <v>68.400000000000006</v>
      </c>
      <c r="H16" s="5">
        <v>299</v>
      </c>
      <c r="I16" s="5">
        <v>149000</v>
      </c>
    </row>
    <row r="17" spans="1:9" x14ac:dyDescent="0.25">
      <c r="A17" s="34">
        <v>293</v>
      </c>
      <c r="B17" s="6">
        <v>57</v>
      </c>
      <c r="D17" s="4">
        <v>40</v>
      </c>
      <c r="E17" s="37">
        <v>313</v>
      </c>
      <c r="F17" s="35">
        <v>69</v>
      </c>
      <c r="H17" s="5">
        <v>300</v>
      </c>
      <c r="I17" s="5">
        <v>145000</v>
      </c>
    </row>
    <row r="18" spans="1:9" x14ac:dyDescent="0.25">
      <c r="A18" s="34">
        <v>294</v>
      </c>
      <c r="B18" s="6">
        <v>57.6</v>
      </c>
      <c r="D18" s="4">
        <v>41</v>
      </c>
      <c r="E18" s="37">
        <v>314</v>
      </c>
      <c r="F18" s="35">
        <v>69.5</v>
      </c>
      <c r="H18" s="5">
        <v>301</v>
      </c>
      <c r="I18" s="5">
        <v>139600</v>
      </c>
    </row>
    <row r="19" spans="1:9" x14ac:dyDescent="0.25">
      <c r="A19" s="34">
        <v>295</v>
      </c>
      <c r="B19" s="6">
        <v>58.2</v>
      </c>
      <c r="D19" s="4">
        <v>42</v>
      </c>
      <c r="E19" s="37">
        <v>315</v>
      </c>
      <c r="F19" s="35">
        <v>70.2</v>
      </c>
      <c r="H19" s="5">
        <v>302</v>
      </c>
      <c r="I19" s="5">
        <v>135700</v>
      </c>
    </row>
    <row r="20" spans="1:9" x14ac:dyDescent="0.25">
      <c r="A20" s="34">
        <v>296</v>
      </c>
      <c r="B20" s="6">
        <v>58.8</v>
      </c>
      <c r="D20" s="4">
        <v>43</v>
      </c>
      <c r="E20" s="37">
        <v>316</v>
      </c>
      <c r="F20" s="35">
        <v>70.8</v>
      </c>
      <c r="H20" s="5">
        <v>303</v>
      </c>
      <c r="I20" s="5">
        <v>131000</v>
      </c>
    </row>
    <row r="21" spans="1:9" x14ac:dyDescent="0.25">
      <c r="A21" s="34">
        <v>297</v>
      </c>
      <c r="B21" s="6">
        <v>59.4</v>
      </c>
      <c r="D21" s="4">
        <v>44</v>
      </c>
      <c r="E21" s="37">
        <v>317</v>
      </c>
      <c r="F21" s="35">
        <v>71.400000000000006</v>
      </c>
      <c r="H21" s="5">
        <v>304</v>
      </c>
      <c r="I21" s="5">
        <v>128200</v>
      </c>
    </row>
    <row r="22" spans="1:9" x14ac:dyDescent="0.25">
      <c r="A22" s="34">
        <v>298</v>
      </c>
      <c r="B22" s="6">
        <v>60</v>
      </c>
      <c r="D22" s="4">
        <v>45</v>
      </c>
      <c r="E22" s="37">
        <v>318</v>
      </c>
      <c r="F22" s="35">
        <v>72</v>
      </c>
      <c r="H22" s="5">
        <v>305</v>
      </c>
      <c r="I22" s="5">
        <v>123200</v>
      </c>
    </row>
    <row r="23" spans="1:9" x14ac:dyDescent="0.25">
      <c r="A23" s="34">
        <v>299</v>
      </c>
      <c r="B23" s="6">
        <v>60.6</v>
      </c>
      <c r="D23" s="4">
        <v>46</v>
      </c>
      <c r="E23" s="37">
        <v>319</v>
      </c>
      <c r="F23" s="35">
        <v>72.599999999999994</v>
      </c>
      <c r="H23" s="5">
        <v>306</v>
      </c>
      <c r="I23" s="5">
        <v>119400</v>
      </c>
    </row>
    <row r="24" spans="1:9" x14ac:dyDescent="0.25">
      <c r="A24" s="34">
        <v>300</v>
      </c>
      <c r="B24" s="6">
        <v>61.2</v>
      </c>
      <c r="D24" s="4">
        <v>47</v>
      </c>
      <c r="E24" s="37">
        <v>320</v>
      </c>
      <c r="F24" s="35">
        <v>73.599999999999994</v>
      </c>
      <c r="H24" s="5">
        <v>307</v>
      </c>
      <c r="I24" s="5">
        <v>115000</v>
      </c>
    </row>
    <row r="25" spans="1:9" x14ac:dyDescent="0.25">
      <c r="A25" s="34">
        <v>301</v>
      </c>
      <c r="B25" s="6">
        <v>61.8</v>
      </c>
      <c r="D25" s="4">
        <v>48</v>
      </c>
      <c r="E25" s="37">
        <v>321</v>
      </c>
      <c r="F25" s="35">
        <v>73.8</v>
      </c>
      <c r="H25" s="5">
        <v>308</v>
      </c>
      <c r="I25" s="5">
        <v>111500</v>
      </c>
    </row>
    <row r="26" spans="1:9" x14ac:dyDescent="0.25">
      <c r="A26" s="34">
        <v>302</v>
      </c>
      <c r="B26" s="6">
        <v>62.4</v>
      </c>
      <c r="D26" s="4">
        <v>49</v>
      </c>
      <c r="E26" s="37">
        <v>322</v>
      </c>
      <c r="F26" s="35">
        <v>74.7</v>
      </c>
      <c r="H26" s="5">
        <v>309</v>
      </c>
      <c r="I26" s="5">
        <v>108300</v>
      </c>
    </row>
    <row r="27" spans="1:9" x14ac:dyDescent="0.25">
      <c r="A27" s="34">
        <v>303</v>
      </c>
      <c r="B27" s="6">
        <v>63</v>
      </c>
      <c r="D27" s="4">
        <v>50</v>
      </c>
      <c r="E27" s="37">
        <v>323</v>
      </c>
      <c r="F27" s="35">
        <v>75</v>
      </c>
      <c r="H27" s="5">
        <v>310</v>
      </c>
      <c r="I27" s="5">
        <v>104300</v>
      </c>
    </row>
    <row r="28" spans="1:9" x14ac:dyDescent="0.25">
      <c r="A28" s="34">
        <v>304</v>
      </c>
      <c r="B28" s="6">
        <v>63.6</v>
      </c>
      <c r="D28" s="4">
        <v>51</v>
      </c>
      <c r="E28" s="37">
        <v>324</v>
      </c>
      <c r="F28" s="35">
        <v>75.599999999999994</v>
      </c>
      <c r="H28" s="5">
        <v>311</v>
      </c>
      <c r="I28" s="5">
        <v>101100</v>
      </c>
    </row>
    <row r="29" spans="1:9" x14ac:dyDescent="0.25">
      <c r="A29" s="34">
        <v>305</v>
      </c>
      <c r="B29" s="6">
        <v>64.2</v>
      </c>
      <c r="D29" s="4">
        <v>52</v>
      </c>
      <c r="E29" s="37">
        <v>325</v>
      </c>
      <c r="F29" s="35">
        <v>76.2</v>
      </c>
      <c r="H29" s="5">
        <v>312</v>
      </c>
      <c r="I29" s="5">
        <v>98000</v>
      </c>
    </row>
    <row r="30" spans="1:9" x14ac:dyDescent="0.25">
      <c r="A30" s="34">
        <v>306</v>
      </c>
      <c r="B30" s="6">
        <v>64.8</v>
      </c>
      <c r="D30" s="4">
        <v>53</v>
      </c>
      <c r="E30" s="37">
        <v>326</v>
      </c>
      <c r="F30" s="35">
        <v>76.8</v>
      </c>
      <c r="H30" s="5">
        <v>313</v>
      </c>
      <c r="I30" s="5">
        <v>94400</v>
      </c>
    </row>
    <row r="31" spans="1:9" x14ac:dyDescent="0.25">
      <c r="A31" s="34">
        <v>307</v>
      </c>
      <c r="B31" s="6">
        <v>65.400000000000006</v>
      </c>
      <c r="D31" s="4">
        <v>54</v>
      </c>
      <c r="E31" s="37">
        <v>327</v>
      </c>
      <c r="F31" s="35">
        <v>77.400000000000006</v>
      </c>
      <c r="H31" s="5">
        <v>314</v>
      </c>
      <c r="I31" s="5">
        <v>91500</v>
      </c>
    </row>
    <row r="32" spans="1:9" x14ac:dyDescent="0.25">
      <c r="A32" s="34">
        <v>308</v>
      </c>
      <c r="B32" s="6">
        <v>66</v>
      </c>
      <c r="D32" s="4">
        <v>55</v>
      </c>
      <c r="E32" s="37">
        <v>328</v>
      </c>
      <c r="F32" s="35">
        <v>78</v>
      </c>
      <c r="H32" s="5">
        <v>315</v>
      </c>
      <c r="I32" s="5">
        <v>88200</v>
      </c>
    </row>
    <row r="33" spans="1:9" x14ac:dyDescent="0.25">
      <c r="A33" s="34">
        <v>309</v>
      </c>
      <c r="B33" s="6">
        <v>66.599999999999994</v>
      </c>
      <c r="D33" s="4">
        <v>56</v>
      </c>
      <c r="E33" s="37">
        <v>329</v>
      </c>
      <c r="F33" s="35">
        <v>78.599999999999994</v>
      </c>
      <c r="H33" s="5">
        <v>316</v>
      </c>
      <c r="I33" s="5">
        <v>85500</v>
      </c>
    </row>
    <row r="34" spans="1:9" x14ac:dyDescent="0.25">
      <c r="A34" s="34">
        <v>310</v>
      </c>
      <c r="B34" s="6">
        <v>67.2</v>
      </c>
      <c r="D34" s="4">
        <v>57</v>
      </c>
      <c r="E34" s="37">
        <v>330</v>
      </c>
      <c r="F34" s="35">
        <v>79.2</v>
      </c>
      <c r="H34" s="5">
        <v>317</v>
      </c>
      <c r="I34" s="5">
        <v>83000</v>
      </c>
    </row>
    <row r="35" spans="1:9" x14ac:dyDescent="0.25">
      <c r="A35" s="34">
        <v>311</v>
      </c>
      <c r="B35" s="6">
        <v>67.8</v>
      </c>
      <c r="D35" s="4">
        <v>58</v>
      </c>
      <c r="E35" s="37">
        <v>331</v>
      </c>
      <c r="F35" s="35">
        <v>79.8</v>
      </c>
      <c r="H35" s="5">
        <v>318</v>
      </c>
      <c r="I35" s="5">
        <v>79900</v>
      </c>
    </row>
    <row r="36" spans="1:9" x14ac:dyDescent="0.25">
      <c r="A36" s="34">
        <v>312</v>
      </c>
      <c r="B36" s="6">
        <v>68.400000000000006</v>
      </c>
      <c r="D36" s="4">
        <v>59</v>
      </c>
      <c r="E36" s="37">
        <v>332</v>
      </c>
      <c r="F36" s="35">
        <v>80.400000000000006</v>
      </c>
      <c r="H36" s="5">
        <v>319</v>
      </c>
      <c r="I36" s="5">
        <v>77500</v>
      </c>
    </row>
    <row r="37" spans="1:9" x14ac:dyDescent="0.25">
      <c r="A37" s="34">
        <v>313</v>
      </c>
      <c r="B37" s="6">
        <v>69</v>
      </c>
      <c r="D37" s="4">
        <v>60</v>
      </c>
      <c r="E37" s="37">
        <v>333</v>
      </c>
      <c r="F37" s="35">
        <v>81.099999999999994</v>
      </c>
      <c r="H37" s="5">
        <v>320</v>
      </c>
      <c r="I37" s="5">
        <v>74700</v>
      </c>
    </row>
    <row r="38" spans="1:9" x14ac:dyDescent="0.25">
      <c r="A38" s="34">
        <v>317</v>
      </c>
      <c r="B38" s="6">
        <v>71.400000000000006</v>
      </c>
      <c r="D38" s="4">
        <v>61</v>
      </c>
      <c r="E38" s="37">
        <v>334</v>
      </c>
      <c r="F38" s="35">
        <v>81.599999999999994</v>
      </c>
      <c r="H38" s="5">
        <v>321</v>
      </c>
      <c r="I38" s="5">
        <v>72500</v>
      </c>
    </row>
    <row r="39" spans="1:9" x14ac:dyDescent="0.25">
      <c r="A39" s="34">
        <v>318</v>
      </c>
      <c r="B39" s="6">
        <v>72</v>
      </c>
      <c r="D39" s="4">
        <v>62</v>
      </c>
      <c r="E39" s="37">
        <v>335</v>
      </c>
      <c r="F39" s="35">
        <v>82.2</v>
      </c>
      <c r="H39" s="5">
        <v>322</v>
      </c>
      <c r="I39" s="5">
        <v>69800</v>
      </c>
    </row>
    <row r="40" spans="1:9" x14ac:dyDescent="0.25">
      <c r="A40" s="34">
        <v>319</v>
      </c>
      <c r="B40" s="6">
        <v>72.599999999999994</v>
      </c>
      <c r="D40" s="4">
        <v>63</v>
      </c>
      <c r="E40" s="37">
        <v>336</v>
      </c>
      <c r="F40" s="35">
        <v>82.8</v>
      </c>
      <c r="H40" s="5">
        <v>323</v>
      </c>
      <c r="I40" s="5">
        <v>67300</v>
      </c>
    </row>
    <row r="41" spans="1:9" x14ac:dyDescent="0.25">
      <c r="A41" s="34">
        <v>320</v>
      </c>
      <c r="B41" s="6">
        <v>73.2</v>
      </c>
      <c r="D41" s="4">
        <v>64</v>
      </c>
      <c r="E41" s="37">
        <v>337</v>
      </c>
      <c r="F41" s="35">
        <v>83.4</v>
      </c>
      <c r="H41" s="5">
        <v>324</v>
      </c>
      <c r="I41" s="5">
        <v>65200</v>
      </c>
    </row>
    <row r="42" spans="1:9" x14ac:dyDescent="0.25">
      <c r="A42" s="34">
        <v>321</v>
      </c>
      <c r="B42" s="6">
        <v>73.8</v>
      </c>
      <c r="D42" s="4">
        <v>65</v>
      </c>
      <c r="E42" s="37">
        <v>338</v>
      </c>
      <c r="F42" s="35">
        <v>84</v>
      </c>
      <c r="H42" s="5">
        <v>325</v>
      </c>
      <c r="I42" s="5">
        <v>62900</v>
      </c>
    </row>
    <row r="43" spans="1:9" x14ac:dyDescent="0.25">
      <c r="A43" s="34">
        <v>322</v>
      </c>
      <c r="B43" s="6">
        <v>74.400000000000006</v>
      </c>
      <c r="D43" s="4">
        <v>66</v>
      </c>
      <c r="E43" s="37">
        <v>339</v>
      </c>
      <c r="F43" s="35">
        <v>84.6</v>
      </c>
      <c r="H43" s="5">
        <v>326</v>
      </c>
      <c r="I43" s="5">
        <v>60900</v>
      </c>
    </row>
    <row r="44" spans="1:9" x14ac:dyDescent="0.25">
      <c r="A44" s="34">
        <v>323</v>
      </c>
      <c r="B44" s="6">
        <v>75</v>
      </c>
      <c r="D44" s="4">
        <v>67</v>
      </c>
      <c r="E44" s="37">
        <v>340</v>
      </c>
      <c r="F44" s="35">
        <v>85.5</v>
      </c>
      <c r="H44" s="5">
        <v>327</v>
      </c>
      <c r="I44" s="5">
        <v>58800</v>
      </c>
    </row>
    <row r="45" spans="1:9" x14ac:dyDescent="0.25">
      <c r="A45" s="34">
        <v>324</v>
      </c>
      <c r="B45" s="6">
        <v>75.599999999999994</v>
      </c>
      <c r="D45" s="4">
        <v>68</v>
      </c>
      <c r="E45" s="37">
        <v>341</v>
      </c>
      <c r="F45" s="35">
        <v>85.3</v>
      </c>
      <c r="H45" s="5">
        <v>328</v>
      </c>
      <c r="I45" s="5">
        <v>56900</v>
      </c>
    </row>
    <row r="46" spans="1:9" x14ac:dyDescent="0.25">
      <c r="A46" s="34">
        <v>325</v>
      </c>
      <c r="B46" s="6">
        <v>76.2</v>
      </c>
      <c r="D46" s="4">
        <v>69</v>
      </c>
      <c r="E46" s="37">
        <v>342</v>
      </c>
      <c r="F46" s="35">
        <v>86.4</v>
      </c>
      <c r="H46" s="5">
        <v>329</v>
      </c>
      <c r="I46" s="5">
        <v>54800</v>
      </c>
    </row>
    <row r="47" spans="1:9" x14ac:dyDescent="0.25">
      <c r="A47" s="34">
        <v>326</v>
      </c>
      <c r="B47" s="6">
        <v>76.8</v>
      </c>
      <c r="D47" s="4">
        <v>70</v>
      </c>
      <c r="E47" s="37">
        <v>343</v>
      </c>
      <c r="F47" s="35">
        <v>87</v>
      </c>
      <c r="H47" s="5">
        <v>330</v>
      </c>
      <c r="I47" s="5">
        <v>52900</v>
      </c>
    </row>
    <row r="48" spans="1:9" x14ac:dyDescent="0.25">
      <c r="A48" s="34">
        <v>327</v>
      </c>
      <c r="B48" s="6">
        <v>77.400000000000006</v>
      </c>
      <c r="D48" s="4">
        <v>71</v>
      </c>
      <c r="E48" s="37">
        <v>344</v>
      </c>
      <c r="F48" s="35">
        <v>87.6</v>
      </c>
      <c r="H48" s="5">
        <v>331</v>
      </c>
      <c r="I48" s="5">
        <v>51200</v>
      </c>
    </row>
    <row r="49" spans="1:9" x14ac:dyDescent="0.25">
      <c r="A49" s="34">
        <v>328</v>
      </c>
      <c r="B49" s="6">
        <v>78</v>
      </c>
      <c r="D49" s="4">
        <v>72</v>
      </c>
      <c r="E49" s="37">
        <v>345</v>
      </c>
      <c r="F49" s="35">
        <v>88.2</v>
      </c>
      <c r="H49" s="5">
        <v>332</v>
      </c>
      <c r="I49" s="5">
        <v>49300</v>
      </c>
    </row>
    <row r="50" spans="1:9" x14ac:dyDescent="0.25">
      <c r="A50" s="34">
        <v>329</v>
      </c>
      <c r="B50" s="6">
        <v>78.599999999999994</v>
      </c>
      <c r="D50" s="4">
        <v>73</v>
      </c>
      <c r="E50" s="37">
        <v>346</v>
      </c>
      <c r="F50" s="35">
        <v>88.8</v>
      </c>
      <c r="H50" s="5">
        <v>333</v>
      </c>
      <c r="I50" s="5">
        <v>47600</v>
      </c>
    </row>
    <row r="51" spans="1:9" x14ac:dyDescent="0.25">
      <c r="A51" s="34">
        <v>330</v>
      </c>
      <c r="B51" s="6">
        <v>79.2</v>
      </c>
      <c r="D51" s="4">
        <v>74</v>
      </c>
      <c r="E51" s="37">
        <v>347</v>
      </c>
      <c r="F51" s="35">
        <v>89.4</v>
      </c>
      <c r="H51" s="5">
        <v>334</v>
      </c>
      <c r="I51" s="5">
        <v>45900</v>
      </c>
    </row>
    <row r="52" spans="1:9" x14ac:dyDescent="0.25">
      <c r="A52" s="34">
        <v>331</v>
      </c>
      <c r="B52" s="6">
        <v>79.8</v>
      </c>
      <c r="D52" s="4">
        <v>75</v>
      </c>
      <c r="E52" s="37">
        <v>348</v>
      </c>
      <c r="F52" s="35">
        <v>90</v>
      </c>
      <c r="H52" s="5">
        <v>335</v>
      </c>
      <c r="I52" s="5">
        <v>44400</v>
      </c>
    </row>
    <row r="53" spans="1:9" x14ac:dyDescent="0.25">
      <c r="A53" s="34">
        <v>332</v>
      </c>
      <c r="B53" s="6">
        <v>80.400000000000006</v>
      </c>
      <c r="D53" s="4">
        <v>76</v>
      </c>
      <c r="E53" s="37">
        <v>349</v>
      </c>
      <c r="F53" s="35">
        <v>90.6</v>
      </c>
      <c r="H53" s="5">
        <v>336</v>
      </c>
      <c r="I53" s="5">
        <v>42800</v>
      </c>
    </row>
    <row r="54" spans="1:9" x14ac:dyDescent="0.25">
      <c r="A54" s="34">
        <v>333</v>
      </c>
      <c r="B54" s="6">
        <v>81</v>
      </c>
      <c r="D54" s="4">
        <v>77</v>
      </c>
      <c r="E54" s="37">
        <v>350</v>
      </c>
      <c r="F54" s="35">
        <v>91.2</v>
      </c>
      <c r="H54" s="5">
        <v>337</v>
      </c>
      <c r="I54" s="5">
        <v>41300</v>
      </c>
    </row>
    <row r="55" spans="1:9" x14ac:dyDescent="0.25">
      <c r="A55" s="34">
        <v>338</v>
      </c>
      <c r="B55" s="6">
        <v>84</v>
      </c>
      <c r="D55" s="4">
        <v>78</v>
      </c>
      <c r="E55" s="37">
        <v>351</v>
      </c>
      <c r="F55" s="35">
        <v>91.8</v>
      </c>
      <c r="H55" s="5">
        <v>338</v>
      </c>
      <c r="I55" s="5">
        <v>39800</v>
      </c>
    </row>
    <row r="56" spans="1:9" x14ac:dyDescent="0.25">
      <c r="A56" s="34">
        <v>343</v>
      </c>
      <c r="B56" s="6">
        <v>87</v>
      </c>
      <c r="D56" s="4">
        <v>79</v>
      </c>
      <c r="E56" s="37">
        <v>352</v>
      </c>
      <c r="F56" s="35">
        <v>92.4</v>
      </c>
      <c r="H56" s="5">
        <v>339</v>
      </c>
      <c r="I56" s="5">
        <v>38600</v>
      </c>
    </row>
    <row r="57" spans="1:9" x14ac:dyDescent="0.25">
      <c r="A57" s="34">
        <v>348</v>
      </c>
      <c r="B57" s="6">
        <v>90</v>
      </c>
      <c r="D57" s="4">
        <v>80</v>
      </c>
      <c r="E57" s="37">
        <v>353</v>
      </c>
      <c r="F57" s="35">
        <v>93</v>
      </c>
      <c r="H57" s="5">
        <v>340</v>
      </c>
      <c r="I57" s="5">
        <v>37100</v>
      </c>
    </row>
    <row r="58" spans="1:9" x14ac:dyDescent="0.25">
      <c r="A58" s="34">
        <v>353</v>
      </c>
      <c r="B58" s="6">
        <v>93</v>
      </c>
      <c r="D58" s="4">
        <v>81</v>
      </c>
      <c r="E58" s="37">
        <v>354</v>
      </c>
      <c r="F58" s="35">
        <v>93.5</v>
      </c>
      <c r="H58" s="5">
        <v>341</v>
      </c>
      <c r="I58" s="5">
        <v>35800</v>
      </c>
    </row>
    <row r="59" spans="1:9" x14ac:dyDescent="0.25">
      <c r="A59" s="34">
        <v>358</v>
      </c>
      <c r="B59" s="6">
        <v>96</v>
      </c>
      <c r="D59" s="4">
        <v>82</v>
      </c>
      <c r="E59" s="37">
        <v>355</v>
      </c>
      <c r="F59" s="35">
        <v>94</v>
      </c>
      <c r="H59" s="5">
        <v>342</v>
      </c>
      <c r="I59" s="5">
        <v>34600</v>
      </c>
    </row>
    <row r="60" spans="1:9" x14ac:dyDescent="0.25">
      <c r="A60" s="34">
        <v>363</v>
      </c>
      <c r="B60" s="6">
        <v>99</v>
      </c>
      <c r="D60" s="4">
        <v>83</v>
      </c>
      <c r="E60" s="37">
        <v>356</v>
      </c>
      <c r="F60" s="35">
        <v>94.5</v>
      </c>
      <c r="H60" s="5">
        <v>343</v>
      </c>
      <c r="I60" s="5">
        <v>33200</v>
      </c>
    </row>
    <row r="61" spans="1:9" x14ac:dyDescent="0.25">
      <c r="A61" s="34">
        <v>368</v>
      </c>
      <c r="B61" s="6">
        <v>102</v>
      </c>
      <c r="D61" s="4">
        <v>84</v>
      </c>
      <c r="E61" s="37">
        <v>357</v>
      </c>
      <c r="F61" s="35">
        <v>95</v>
      </c>
      <c r="H61" s="5">
        <v>344</v>
      </c>
      <c r="I61" s="5">
        <v>32000</v>
      </c>
    </row>
    <row r="62" spans="1:9" x14ac:dyDescent="0.25">
      <c r="A62" s="34">
        <v>373</v>
      </c>
      <c r="B62" s="6">
        <v>105</v>
      </c>
      <c r="D62" s="4">
        <v>85</v>
      </c>
      <c r="E62" s="37">
        <v>358</v>
      </c>
      <c r="F62" s="35">
        <v>95.5</v>
      </c>
      <c r="H62" s="5">
        <v>345</v>
      </c>
      <c r="I62" s="5">
        <v>30800</v>
      </c>
    </row>
    <row r="63" spans="1:9" x14ac:dyDescent="0.25">
      <c r="A63" s="34">
        <v>383</v>
      </c>
      <c r="B63" s="6">
        <v>111</v>
      </c>
      <c r="D63" s="4">
        <v>86</v>
      </c>
      <c r="E63" s="37">
        <v>359</v>
      </c>
      <c r="F63" s="35">
        <v>96</v>
      </c>
      <c r="H63" s="5">
        <v>346</v>
      </c>
      <c r="I63" s="5">
        <v>29800</v>
      </c>
    </row>
    <row r="64" spans="1:9" x14ac:dyDescent="0.25">
      <c r="D64" s="4">
        <v>87</v>
      </c>
      <c r="E64" s="37">
        <v>360</v>
      </c>
      <c r="F64" s="35">
        <v>96.5</v>
      </c>
      <c r="H64" s="5">
        <v>347</v>
      </c>
      <c r="I64" s="5">
        <v>28700</v>
      </c>
    </row>
    <row r="65" spans="4:9" x14ac:dyDescent="0.25">
      <c r="D65" s="4">
        <v>88</v>
      </c>
      <c r="E65" s="37">
        <v>361</v>
      </c>
      <c r="F65" s="35">
        <v>97</v>
      </c>
      <c r="H65" s="5">
        <v>348</v>
      </c>
      <c r="I65" s="5">
        <v>27800</v>
      </c>
    </row>
    <row r="66" spans="4:9" x14ac:dyDescent="0.25">
      <c r="D66" s="4">
        <v>89</v>
      </c>
      <c r="E66" s="37">
        <v>362</v>
      </c>
      <c r="F66" s="35">
        <v>97.5</v>
      </c>
      <c r="H66" s="5">
        <v>349</v>
      </c>
      <c r="I66" s="5">
        <v>26900</v>
      </c>
    </row>
    <row r="67" spans="4:9" x14ac:dyDescent="0.25">
      <c r="D67" s="4">
        <v>90</v>
      </c>
      <c r="E67" s="37">
        <v>363</v>
      </c>
      <c r="F67" s="35">
        <v>98</v>
      </c>
      <c r="H67" s="5">
        <v>350</v>
      </c>
      <c r="I67" s="5">
        <v>25800</v>
      </c>
    </row>
    <row r="68" spans="4:9" x14ac:dyDescent="0.25">
      <c r="D68" s="4">
        <v>92</v>
      </c>
      <c r="E68" s="37">
        <v>365</v>
      </c>
      <c r="F68" s="35">
        <v>99</v>
      </c>
      <c r="H68" s="5">
        <v>351</v>
      </c>
      <c r="I68" s="5">
        <v>24500</v>
      </c>
    </row>
    <row r="69" spans="4:9" x14ac:dyDescent="0.25">
      <c r="D69" s="4">
        <v>94</v>
      </c>
      <c r="E69" s="37">
        <v>367</v>
      </c>
      <c r="F69" s="35">
        <v>99.5</v>
      </c>
      <c r="H69" s="5">
        <v>352</v>
      </c>
      <c r="I69" s="5">
        <v>23900</v>
      </c>
    </row>
    <row r="70" spans="4:9" x14ac:dyDescent="0.25">
      <c r="D70" s="4">
        <v>96</v>
      </c>
      <c r="E70" s="37">
        <v>369</v>
      </c>
      <c r="F70" s="35">
        <v>100.5</v>
      </c>
      <c r="H70" s="5">
        <v>353</v>
      </c>
      <c r="I70" s="5">
        <v>23100</v>
      </c>
    </row>
    <row r="71" spans="4:9" x14ac:dyDescent="0.25">
      <c r="D71" s="4">
        <v>98</v>
      </c>
      <c r="E71" s="37">
        <v>371</v>
      </c>
      <c r="F71" s="35">
        <v>101.5</v>
      </c>
      <c r="H71" s="5">
        <v>354</v>
      </c>
      <c r="I71" s="5">
        <v>22200</v>
      </c>
    </row>
    <row r="72" spans="4:9" x14ac:dyDescent="0.25">
      <c r="D72" s="4">
        <v>100</v>
      </c>
      <c r="E72" s="37">
        <v>373</v>
      </c>
      <c r="F72" s="35">
        <v>102.5</v>
      </c>
      <c r="H72" s="5">
        <v>355</v>
      </c>
      <c r="I72" s="5">
        <v>21500</v>
      </c>
    </row>
    <row r="73" spans="4:9" x14ac:dyDescent="0.25">
      <c r="D73" s="4">
        <v>102</v>
      </c>
      <c r="E73" s="37">
        <v>375</v>
      </c>
      <c r="F73" s="35">
        <v>103</v>
      </c>
      <c r="H73" s="5">
        <v>356</v>
      </c>
      <c r="I73" s="5">
        <v>20600</v>
      </c>
    </row>
    <row r="74" spans="4:9" x14ac:dyDescent="0.25">
      <c r="D74" s="4">
        <v>104</v>
      </c>
      <c r="E74" s="37">
        <v>377</v>
      </c>
      <c r="F74" s="35">
        <v>104</v>
      </c>
      <c r="H74" s="5">
        <v>357</v>
      </c>
      <c r="I74" s="5">
        <v>19800</v>
      </c>
    </row>
    <row r="75" spans="4:9" x14ac:dyDescent="0.25">
      <c r="D75" s="4">
        <v>106</v>
      </c>
      <c r="E75" s="37">
        <v>379</v>
      </c>
      <c r="F75" s="35">
        <v>105</v>
      </c>
      <c r="H75" s="5">
        <v>358</v>
      </c>
      <c r="I75" s="5">
        <v>19100</v>
      </c>
    </row>
    <row r="76" spans="4:9" x14ac:dyDescent="0.25">
      <c r="D76" s="4">
        <v>108</v>
      </c>
      <c r="E76" s="37">
        <v>381</v>
      </c>
      <c r="F76" s="35">
        <v>106</v>
      </c>
      <c r="H76" s="5">
        <v>359</v>
      </c>
      <c r="I76" s="5">
        <v>18300</v>
      </c>
    </row>
    <row r="77" spans="4:9" x14ac:dyDescent="0.25">
      <c r="D77" s="4">
        <v>110</v>
      </c>
      <c r="E77" s="37">
        <v>383</v>
      </c>
      <c r="F77" s="35">
        <v>107</v>
      </c>
      <c r="H77" s="5">
        <v>360</v>
      </c>
      <c r="I77" s="5">
        <v>17700</v>
      </c>
    </row>
    <row r="78" spans="4:9" x14ac:dyDescent="0.25">
      <c r="D78" s="4">
        <v>112</v>
      </c>
      <c r="E78" s="37">
        <v>385</v>
      </c>
      <c r="F78" s="35">
        <v>108</v>
      </c>
      <c r="H78" s="5">
        <v>361</v>
      </c>
      <c r="I78" s="5">
        <v>16700</v>
      </c>
    </row>
    <row r="79" spans="4:9" x14ac:dyDescent="0.25">
      <c r="D79" s="4">
        <v>114</v>
      </c>
      <c r="E79" s="37">
        <v>387</v>
      </c>
      <c r="F79" s="35">
        <v>109</v>
      </c>
      <c r="H79" s="5">
        <v>362</v>
      </c>
      <c r="I79" s="5">
        <v>16400</v>
      </c>
    </row>
    <row r="80" spans="4:9" x14ac:dyDescent="0.25">
      <c r="D80" s="4">
        <v>116</v>
      </c>
      <c r="E80" s="37">
        <v>389</v>
      </c>
      <c r="F80" s="35">
        <v>110</v>
      </c>
      <c r="H80" s="5">
        <v>363</v>
      </c>
      <c r="I80" s="5">
        <v>15800</v>
      </c>
    </row>
    <row r="81" spans="4:9" x14ac:dyDescent="0.25">
      <c r="D81" s="4">
        <v>118</v>
      </c>
      <c r="E81" s="37">
        <v>391</v>
      </c>
      <c r="F81" s="35">
        <v>111</v>
      </c>
      <c r="H81" s="5">
        <v>364</v>
      </c>
      <c r="I81" s="5">
        <v>15200</v>
      </c>
    </row>
    <row r="82" spans="4:9" x14ac:dyDescent="0.25">
      <c r="D82" s="4">
        <v>120</v>
      </c>
      <c r="E82" s="37">
        <v>393</v>
      </c>
      <c r="F82" s="35">
        <v>112</v>
      </c>
      <c r="H82" s="5">
        <v>365</v>
      </c>
      <c r="I82" s="5">
        <v>14600</v>
      </c>
    </row>
    <row r="83" spans="4:9" x14ac:dyDescent="0.25">
      <c r="D83" s="4">
        <v>122</v>
      </c>
      <c r="E83" s="37">
        <v>395</v>
      </c>
      <c r="F83" s="35">
        <v>113</v>
      </c>
      <c r="H83" s="5">
        <v>366</v>
      </c>
      <c r="I83" s="5">
        <v>14100</v>
      </c>
    </row>
    <row r="84" spans="4:9" x14ac:dyDescent="0.25">
      <c r="D84" s="4">
        <v>124</v>
      </c>
      <c r="E84" s="37">
        <v>397</v>
      </c>
      <c r="F84" s="35">
        <v>114</v>
      </c>
      <c r="H84" s="5">
        <v>367</v>
      </c>
      <c r="I84" s="5">
        <v>13600</v>
      </c>
    </row>
    <row r="85" spans="4:9" x14ac:dyDescent="0.25">
      <c r="D85" s="4">
        <v>126</v>
      </c>
      <c r="E85" s="37">
        <v>399</v>
      </c>
      <c r="F85" s="35">
        <v>115</v>
      </c>
      <c r="H85" s="5">
        <v>368</v>
      </c>
      <c r="I85" s="5">
        <v>11700</v>
      </c>
    </row>
    <row r="86" spans="4:9" x14ac:dyDescent="0.25">
      <c r="D86" s="4">
        <v>128</v>
      </c>
      <c r="E86" s="37">
        <v>401</v>
      </c>
      <c r="F86" s="35">
        <v>116</v>
      </c>
      <c r="H86" s="5">
        <v>369</v>
      </c>
      <c r="I86" s="5">
        <v>12500</v>
      </c>
    </row>
    <row r="87" spans="4:9" x14ac:dyDescent="0.25">
      <c r="D87" s="4">
        <v>130</v>
      </c>
      <c r="E87" s="37">
        <v>403</v>
      </c>
      <c r="F87" s="35">
        <v>117</v>
      </c>
      <c r="H87" s="5">
        <v>370</v>
      </c>
      <c r="I87" s="5">
        <v>12100</v>
      </c>
    </row>
    <row r="88" spans="4:9" x14ac:dyDescent="0.25">
      <c r="D88" s="4">
        <v>132</v>
      </c>
      <c r="E88" s="37">
        <v>405</v>
      </c>
      <c r="F88" s="35">
        <v>118</v>
      </c>
      <c r="H88" s="5">
        <v>371</v>
      </c>
      <c r="I88" s="5">
        <v>11600</v>
      </c>
    </row>
    <row r="89" spans="4:9" x14ac:dyDescent="0.25">
      <c r="D89" s="4">
        <v>134</v>
      </c>
      <c r="E89" s="37">
        <v>407</v>
      </c>
      <c r="F89" s="35">
        <v>119</v>
      </c>
      <c r="H89" s="5">
        <v>372</v>
      </c>
      <c r="I89" s="5">
        <v>11200</v>
      </c>
    </row>
    <row r="90" spans="4:9" x14ac:dyDescent="0.25">
      <c r="D90" s="4">
        <v>136</v>
      </c>
      <c r="E90" s="37">
        <v>409</v>
      </c>
      <c r="F90" s="35">
        <v>120</v>
      </c>
      <c r="H90" s="5">
        <v>373</v>
      </c>
      <c r="I90" s="5">
        <v>10600</v>
      </c>
    </row>
    <row r="91" spans="4:9" x14ac:dyDescent="0.25">
      <c r="D91" s="4">
        <v>138</v>
      </c>
      <c r="E91" s="37">
        <v>411</v>
      </c>
      <c r="F91" s="35">
        <v>121</v>
      </c>
      <c r="H91" s="5">
        <v>374</v>
      </c>
      <c r="I91" s="5">
        <v>10300</v>
      </c>
    </row>
    <row r="92" spans="4:9" x14ac:dyDescent="0.25">
      <c r="D92" s="4">
        <v>140</v>
      </c>
      <c r="E92" s="37">
        <v>413</v>
      </c>
      <c r="F92" s="35">
        <v>122</v>
      </c>
      <c r="H92" s="5">
        <v>375</v>
      </c>
      <c r="I92" s="5">
        <v>9900</v>
      </c>
    </row>
    <row r="93" spans="4:9" x14ac:dyDescent="0.25">
      <c r="D93" s="4">
        <v>142</v>
      </c>
      <c r="E93" s="37">
        <v>415</v>
      </c>
      <c r="F93" s="35">
        <v>123.5</v>
      </c>
      <c r="H93" s="5">
        <v>376</v>
      </c>
      <c r="I93" s="5">
        <v>9500</v>
      </c>
    </row>
    <row r="94" spans="4:9" x14ac:dyDescent="0.25">
      <c r="D94" s="4">
        <v>144</v>
      </c>
      <c r="E94" s="37">
        <v>417</v>
      </c>
      <c r="F94" s="35">
        <v>124.5</v>
      </c>
      <c r="H94" s="5">
        <v>377</v>
      </c>
      <c r="I94" s="5">
        <v>9100</v>
      </c>
    </row>
    <row r="95" spans="4:9" x14ac:dyDescent="0.25">
      <c r="D95" s="4">
        <v>146</v>
      </c>
      <c r="E95" s="37">
        <v>419</v>
      </c>
      <c r="F95" s="35">
        <v>125.5</v>
      </c>
      <c r="H95" s="5">
        <v>378</v>
      </c>
      <c r="I95" s="5">
        <v>8800</v>
      </c>
    </row>
    <row r="96" spans="4:9" x14ac:dyDescent="0.25">
      <c r="D96" s="4">
        <v>148</v>
      </c>
      <c r="E96" s="37">
        <v>421</v>
      </c>
      <c r="F96" s="35">
        <v>127</v>
      </c>
      <c r="H96" s="5">
        <v>379</v>
      </c>
      <c r="I96" s="5">
        <v>8500</v>
      </c>
    </row>
    <row r="97" spans="4:9" x14ac:dyDescent="0.25">
      <c r="D97" s="4">
        <v>150</v>
      </c>
      <c r="E97" s="37">
        <v>423</v>
      </c>
      <c r="F97" s="35">
        <v>128</v>
      </c>
      <c r="H97" s="5">
        <v>380</v>
      </c>
      <c r="I97" s="5">
        <v>8100</v>
      </c>
    </row>
    <row r="98" spans="4:9" x14ac:dyDescent="0.25">
      <c r="D98" s="4">
        <v>152</v>
      </c>
      <c r="E98" s="37">
        <v>425</v>
      </c>
      <c r="F98" s="35">
        <v>129</v>
      </c>
      <c r="H98" s="5">
        <v>381</v>
      </c>
      <c r="I98" s="5">
        <v>7800</v>
      </c>
    </row>
    <row r="99" spans="4:9" x14ac:dyDescent="0.25">
      <c r="D99" s="4">
        <v>154</v>
      </c>
      <c r="E99" s="37">
        <v>427</v>
      </c>
      <c r="F99" s="35">
        <v>130</v>
      </c>
      <c r="H99" s="5">
        <v>382</v>
      </c>
      <c r="I99" s="5">
        <v>7600</v>
      </c>
    </row>
    <row r="100" spans="4:9" x14ac:dyDescent="0.25">
      <c r="D100" s="4">
        <v>156</v>
      </c>
      <c r="E100" s="37">
        <v>429</v>
      </c>
      <c r="F100" s="35">
        <v>131</v>
      </c>
      <c r="H100" s="5">
        <v>383</v>
      </c>
      <c r="I100" s="5">
        <v>7200</v>
      </c>
    </row>
    <row r="101" spans="4:9" x14ac:dyDescent="0.25">
      <c r="D101" s="4">
        <v>158</v>
      </c>
      <c r="E101" s="37">
        <v>431</v>
      </c>
      <c r="F101" s="35">
        <v>132</v>
      </c>
      <c r="H101" s="5">
        <v>384</v>
      </c>
      <c r="I101" s="5">
        <v>6900</v>
      </c>
    </row>
    <row r="102" spans="4:9" x14ac:dyDescent="0.25">
      <c r="D102" s="4">
        <v>160</v>
      </c>
      <c r="E102" s="37">
        <v>433</v>
      </c>
      <c r="F102" s="35">
        <v>133.5</v>
      </c>
      <c r="H102" s="5">
        <v>385</v>
      </c>
      <c r="I102" s="5">
        <v>6600</v>
      </c>
    </row>
    <row r="103" spans="4:9" x14ac:dyDescent="0.25">
      <c r="D103" s="4">
        <v>162</v>
      </c>
      <c r="E103" s="37">
        <v>435</v>
      </c>
      <c r="F103" s="35">
        <v>135</v>
      </c>
      <c r="H103" s="5">
        <v>386</v>
      </c>
      <c r="I103" s="5">
        <v>6400</v>
      </c>
    </row>
    <row r="104" spans="4:9" x14ac:dyDescent="0.25">
      <c r="D104" s="4">
        <v>164</v>
      </c>
      <c r="E104" s="37">
        <v>437</v>
      </c>
      <c r="F104" s="35">
        <v>136</v>
      </c>
      <c r="H104" s="5">
        <v>387</v>
      </c>
      <c r="I104" s="5">
        <v>6100</v>
      </c>
    </row>
    <row r="105" spans="4:9" x14ac:dyDescent="0.25">
      <c r="D105" s="4">
        <v>166</v>
      </c>
      <c r="E105" s="37">
        <v>439</v>
      </c>
      <c r="F105" s="35">
        <v>137</v>
      </c>
      <c r="H105" s="5">
        <v>388</v>
      </c>
      <c r="I105" s="5">
        <v>5900</v>
      </c>
    </row>
    <row r="106" spans="4:9" x14ac:dyDescent="0.25">
      <c r="D106" s="4">
        <v>168</v>
      </c>
      <c r="E106" s="37">
        <v>441</v>
      </c>
      <c r="F106" s="35">
        <v>138.5</v>
      </c>
      <c r="H106" s="5">
        <v>389</v>
      </c>
      <c r="I106" s="5">
        <v>5600</v>
      </c>
    </row>
    <row r="107" spans="4:9" x14ac:dyDescent="0.25">
      <c r="D107" s="4">
        <v>170</v>
      </c>
      <c r="E107" s="37">
        <v>443</v>
      </c>
      <c r="F107" s="35">
        <v>140</v>
      </c>
      <c r="H107" s="5">
        <v>390</v>
      </c>
      <c r="I107" s="5">
        <v>5400</v>
      </c>
    </row>
    <row r="108" spans="4:9" x14ac:dyDescent="0.25">
      <c r="D108" s="4">
        <v>172</v>
      </c>
      <c r="E108" s="37">
        <v>445</v>
      </c>
      <c r="F108" s="35">
        <v>141</v>
      </c>
      <c r="H108" s="5">
        <v>391</v>
      </c>
      <c r="I108" s="5">
        <v>5200</v>
      </c>
    </row>
    <row r="109" spans="4:9" x14ac:dyDescent="0.25">
      <c r="D109" s="4">
        <v>174</v>
      </c>
      <c r="E109" s="37">
        <v>447</v>
      </c>
      <c r="F109" s="35">
        <v>142</v>
      </c>
      <c r="H109" s="5">
        <v>392</v>
      </c>
      <c r="I109" s="5">
        <v>5000</v>
      </c>
    </row>
    <row r="110" spans="4:9" x14ac:dyDescent="0.25">
      <c r="D110" s="4">
        <v>176</v>
      </c>
      <c r="E110" s="37">
        <v>449</v>
      </c>
      <c r="F110" s="35">
        <v>143</v>
      </c>
      <c r="H110" s="5">
        <v>393</v>
      </c>
      <c r="I110" s="5">
        <v>4800</v>
      </c>
    </row>
    <row r="111" spans="4:9" x14ac:dyDescent="0.25">
      <c r="D111" s="4">
        <v>178</v>
      </c>
      <c r="E111" s="37">
        <v>451</v>
      </c>
      <c r="F111" s="35">
        <v>144.5</v>
      </c>
      <c r="H111" s="5">
        <v>395</v>
      </c>
      <c r="I111" s="5">
        <v>4400</v>
      </c>
    </row>
    <row r="112" spans="4:9" x14ac:dyDescent="0.25">
      <c r="D112" s="4">
        <v>180</v>
      </c>
      <c r="E112" s="37">
        <v>453</v>
      </c>
      <c r="F112" s="35">
        <v>146</v>
      </c>
      <c r="H112" s="5">
        <v>397</v>
      </c>
      <c r="I112" s="5">
        <v>4000</v>
      </c>
    </row>
    <row r="113" spans="4:9" x14ac:dyDescent="0.25">
      <c r="D113" s="4">
        <v>182</v>
      </c>
      <c r="E113" s="37">
        <v>455</v>
      </c>
      <c r="F113" s="35">
        <v>147</v>
      </c>
      <c r="H113" s="5">
        <v>399</v>
      </c>
      <c r="I113" s="5">
        <v>3700</v>
      </c>
    </row>
    <row r="114" spans="4:9" x14ac:dyDescent="0.25">
      <c r="D114" s="4">
        <v>184</v>
      </c>
      <c r="E114" s="37">
        <v>457</v>
      </c>
      <c r="F114" s="35">
        <v>148</v>
      </c>
      <c r="H114" s="5">
        <v>401</v>
      </c>
      <c r="I114" s="5">
        <v>3400</v>
      </c>
    </row>
    <row r="115" spans="4:9" x14ac:dyDescent="0.25">
      <c r="D115" s="4">
        <v>186</v>
      </c>
      <c r="E115" s="37">
        <v>459</v>
      </c>
      <c r="F115" s="35">
        <v>149.5</v>
      </c>
      <c r="H115" s="5">
        <v>403</v>
      </c>
      <c r="I115" s="5">
        <v>3200</v>
      </c>
    </row>
    <row r="116" spans="4:9" x14ac:dyDescent="0.25">
      <c r="D116" s="4">
        <v>188</v>
      </c>
      <c r="E116" s="37">
        <v>461</v>
      </c>
      <c r="F116" s="35">
        <v>151</v>
      </c>
      <c r="H116" s="5">
        <v>405</v>
      </c>
      <c r="I116" s="5">
        <v>2900</v>
      </c>
    </row>
    <row r="117" spans="4:9" x14ac:dyDescent="0.25">
      <c r="D117" s="4">
        <v>190</v>
      </c>
      <c r="E117" s="37">
        <v>463</v>
      </c>
      <c r="F117" s="35">
        <v>152</v>
      </c>
      <c r="H117" s="5">
        <v>407</v>
      </c>
      <c r="I117" s="5">
        <v>2600</v>
      </c>
    </row>
    <row r="118" spans="4:9" x14ac:dyDescent="0.25">
      <c r="D118" s="4">
        <v>192</v>
      </c>
      <c r="E118" s="37">
        <v>465</v>
      </c>
      <c r="F118" s="35">
        <v>153.30000000000001</v>
      </c>
      <c r="H118" s="5">
        <v>409</v>
      </c>
      <c r="I118" s="5">
        <v>2500</v>
      </c>
    </row>
    <row r="119" spans="4:9" x14ac:dyDescent="0.25">
      <c r="D119" s="4">
        <v>194</v>
      </c>
      <c r="E119" s="37">
        <v>467</v>
      </c>
      <c r="F119" s="35">
        <v>155</v>
      </c>
      <c r="H119" s="5">
        <v>411</v>
      </c>
      <c r="I119" s="5">
        <v>2300</v>
      </c>
    </row>
    <row r="120" spans="4:9" x14ac:dyDescent="0.25">
      <c r="D120" s="4">
        <v>196</v>
      </c>
      <c r="E120" s="37">
        <v>469</v>
      </c>
      <c r="F120" s="35">
        <v>156</v>
      </c>
      <c r="H120" s="5">
        <v>413</v>
      </c>
      <c r="I120" s="5">
        <v>2100</v>
      </c>
    </row>
    <row r="121" spans="4:9" x14ac:dyDescent="0.25">
      <c r="D121" s="4">
        <v>198</v>
      </c>
      <c r="E121" s="37">
        <v>471</v>
      </c>
      <c r="F121" s="35">
        <v>157.5</v>
      </c>
      <c r="H121" s="5">
        <v>415</v>
      </c>
      <c r="I121" s="5">
        <v>1900</v>
      </c>
    </row>
    <row r="122" spans="4:9" x14ac:dyDescent="0.25">
      <c r="D122" s="4">
        <v>200</v>
      </c>
      <c r="E122" s="37">
        <v>473</v>
      </c>
      <c r="F122" s="35">
        <v>159</v>
      </c>
      <c r="H122" s="5">
        <v>417</v>
      </c>
      <c r="I122" s="5">
        <v>1700</v>
      </c>
    </row>
    <row r="123" spans="4:9" x14ac:dyDescent="0.25">
      <c r="D123" s="4">
        <v>202</v>
      </c>
      <c r="E123" s="37">
        <v>475</v>
      </c>
      <c r="F123" s="35">
        <v>160.6</v>
      </c>
      <c r="H123" s="5">
        <v>419</v>
      </c>
      <c r="I123" s="5">
        <v>1600</v>
      </c>
    </row>
    <row r="124" spans="4:9" x14ac:dyDescent="0.25">
      <c r="D124" s="4">
        <v>204</v>
      </c>
      <c r="E124" s="37">
        <v>477</v>
      </c>
      <c r="F124" s="35">
        <v>161.30000000000001</v>
      </c>
      <c r="H124" s="5">
        <v>421</v>
      </c>
      <c r="I124" s="5">
        <v>1500</v>
      </c>
    </row>
    <row r="125" spans="4:9" x14ac:dyDescent="0.25">
      <c r="D125" s="4">
        <v>206</v>
      </c>
      <c r="E125" s="37">
        <v>479</v>
      </c>
      <c r="F125" s="35">
        <v>162.5</v>
      </c>
      <c r="H125" s="5">
        <v>423</v>
      </c>
      <c r="I125" s="5">
        <v>1300</v>
      </c>
    </row>
    <row r="126" spans="4:9" x14ac:dyDescent="0.25">
      <c r="D126" s="4">
        <v>208</v>
      </c>
      <c r="E126" s="37">
        <v>481</v>
      </c>
      <c r="F126" s="35">
        <v>164</v>
      </c>
      <c r="H126" s="5">
        <v>425</v>
      </c>
      <c r="I126" s="5">
        <v>1210</v>
      </c>
    </row>
    <row r="127" spans="4:9" x14ac:dyDescent="0.25">
      <c r="D127" s="4">
        <v>210</v>
      </c>
      <c r="E127" s="37">
        <v>483</v>
      </c>
      <c r="F127" s="35">
        <v>165</v>
      </c>
      <c r="H127" s="5">
        <v>427</v>
      </c>
      <c r="I127" s="5">
        <v>1100</v>
      </c>
    </row>
    <row r="128" spans="4:9" x14ac:dyDescent="0.25">
      <c r="D128" s="4">
        <v>212</v>
      </c>
      <c r="E128" s="37">
        <v>485</v>
      </c>
      <c r="F128" s="35">
        <v>167</v>
      </c>
      <c r="H128" s="5">
        <v>429</v>
      </c>
      <c r="I128" s="5">
        <v>1000</v>
      </c>
    </row>
    <row r="129" spans="4:9" x14ac:dyDescent="0.25">
      <c r="D129" s="4">
        <v>215</v>
      </c>
      <c r="E129" s="37">
        <v>488</v>
      </c>
      <c r="F129" s="35">
        <v>169</v>
      </c>
      <c r="H129" s="5">
        <v>431</v>
      </c>
      <c r="I129" s="5">
        <v>930</v>
      </c>
    </row>
    <row r="130" spans="4:9" x14ac:dyDescent="0.25">
      <c r="D130" s="4">
        <v>220</v>
      </c>
      <c r="E130" s="37">
        <v>493</v>
      </c>
      <c r="F130" s="35">
        <v>172.5</v>
      </c>
      <c r="H130" s="5">
        <v>433</v>
      </c>
      <c r="I130" s="5">
        <v>850</v>
      </c>
    </row>
    <row r="131" spans="4:9" x14ac:dyDescent="0.25">
      <c r="D131" s="4">
        <v>225</v>
      </c>
      <c r="E131" s="37">
        <v>498</v>
      </c>
      <c r="F131" s="35">
        <v>176</v>
      </c>
      <c r="H131" s="5">
        <v>438</v>
      </c>
      <c r="I131" s="5">
        <v>660</v>
      </c>
    </row>
    <row r="132" spans="4:9" x14ac:dyDescent="0.25">
      <c r="D132" s="4">
        <v>230</v>
      </c>
      <c r="E132" s="37">
        <v>503</v>
      </c>
      <c r="F132" s="35">
        <v>180</v>
      </c>
      <c r="H132" s="5">
        <v>443</v>
      </c>
      <c r="I132" s="5">
        <v>530</v>
      </c>
    </row>
    <row r="133" spans="4:9" x14ac:dyDescent="0.25">
      <c r="D133" s="4">
        <v>235</v>
      </c>
      <c r="E133" s="37">
        <v>508</v>
      </c>
      <c r="F133" s="35">
        <v>184</v>
      </c>
      <c r="H133" s="5">
        <v>448</v>
      </c>
      <c r="I133" s="5">
        <v>420</v>
      </c>
    </row>
    <row r="134" spans="4:9" x14ac:dyDescent="0.25">
      <c r="D134" s="4">
        <v>240</v>
      </c>
      <c r="E134" s="37">
        <v>513</v>
      </c>
      <c r="F134" s="35">
        <v>187.5</v>
      </c>
      <c r="H134" s="5">
        <v>453</v>
      </c>
      <c r="I134" s="5">
        <v>330</v>
      </c>
    </row>
    <row r="135" spans="4:9" x14ac:dyDescent="0.25">
      <c r="D135" s="4">
        <v>245</v>
      </c>
      <c r="E135" s="37">
        <v>518</v>
      </c>
      <c r="F135" s="35">
        <v>191</v>
      </c>
      <c r="H135" s="5">
        <v>458</v>
      </c>
      <c r="I135" s="5">
        <v>260</v>
      </c>
    </row>
    <row r="136" spans="4:9" x14ac:dyDescent="0.25">
      <c r="D136" s="4">
        <v>250</v>
      </c>
      <c r="E136" s="37">
        <v>523</v>
      </c>
      <c r="F136" s="35">
        <v>195.5</v>
      </c>
      <c r="H136" s="5">
        <v>463</v>
      </c>
      <c r="I136" s="5">
        <v>190</v>
      </c>
    </row>
    <row r="137" spans="4:9" x14ac:dyDescent="0.25">
      <c r="D137" s="4">
        <v>255</v>
      </c>
      <c r="E137" s="37">
        <v>528</v>
      </c>
      <c r="F137" s="35">
        <v>199</v>
      </c>
      <c r="H137" s="5">
        <v>468</v>
      </c>
      <c r="I137" s="5">
        <v>160</v>
      </c>
    </row>
    <row r="138" spans="4:9" x14ac:dyDescent="0.25">
      <c r="D138" s="4">
        <v>260</v>
      </c>
      <c r="E138" s="37">
        <v>533</v>
      </c>
      <c r="F138" s="35">
        <v>203.5</v>
      </c>
      <c r="H138" s="5">
        <v>473</v>
      </c>
      <c r="I138" s="5">
        <v>130</v>
      </c>
    </row>
    <row r="139" spans="4:9" x14ac:dyDescent="0.25">
      <c r="D139" s="4">
        <v>265</v>
      </c>
      <c r="E139" s="37">
        <v>538</v>
      </c>
      <c r="F139" s="35">
        <v>207</v>
      </c>
      <c r="H139" s="5">
        <v>478</v>
      </c>
      <c r="I139" s="5">
        <v>100</v>
      </c>
    </row>
    <row r="140" spans="4:9" x14ac:dyDescent="0.25">
      <c r="D140" s="4">
        <v>270</v>
      </c>
      <c r="E140" s="37">
        <v>543</v>
      </c>
      <c r="F140" s="35">
        <v>211</v>
      </c>
      <c r="H140" s="5">
        <v>483</v>
      </c>
      <c r="I140" s="5">
        <v>74</v>
      </c>
    </row>
    <row r="141" spans="4:9" x14ac:dyDescent="0.25">
      <c r="D141" s="4">
        <v>275</v>
      </c>
      <c r="E141" s="37">
        <v>548</v>
      </c>
      <c r="F141" s="35">
        <v>215</v>
      </c>
      <c r="H141" s="5">
        <v>488</v>
      </c>
      <c r="I141" s="5">
        <v>58</v>
      </c>
    </row>
    <row r="142" spans="4:9" x14ac:dyDescent="0.25">
      <c r="D142" s="4">
        <v>280</v>
      </c>
      <c r="E142" s="37">
        <v>553</v>
      </c>
      <c r="F142" s="35">
        <v>220</v>
      </c>
      <c r="H142" s="5">
        <v>493</v>
      </c>
      <c r="I142" s="5">
        <v>45</v>
      </c>
    </row>
    <row r="143" spans="4:9" x14ac:dyDescent="0.25">
      <c r="D143" s="4">
        <v>285</v>
      </c>
      <c r="E143" s="37">
        <v>558</v>
      </c>
      <c r="F143" s="35">
        <v>224</v>
      </c>
      <c r="H143" s="5">
        <v>498</v>
      </c>
      <c r="I143" s="5">
        <v>34</v>
      </c>
    </row>
    <row r="144" spans="4:9" x14ac:dyDescent="0.25">
      <c r="D144" s="4">
        <v>290</v>
      </c>
      <c r="E144" s="37">
        <v>563</v>
      </c>
      <c r="F144" s="35">
        <v>228.5</v>
      </c>
      <c r="H144" s="5">
        <v>503</v>
      </c>
      <c r="I144" s="5">
        <v>96</v>
      </c>
    </row>
    <row r="145" spans="4:9" x14ac:dyDescent="0.25">
      <c r="D145" s="4">
        <v>295</v>
      </c>
      <c r="E145" s="37">
        <v>568</v>
      </c>
      <c r="F145" s="35">
        <v>233</v>
      </c>
      <c r="H145" s="5">
        <v>508</v>
      </c>
      <c r="I145" s="5">
        <v>20</v>
      </c>
    </row>
    <row r="146" spans="4:9" x14ac:dyDescent="0.25">
      <c r="D146" s="4">
        <v>300</v>
      </c>
      <c r="E146" s="37">
        <v>573</v>
      </c>
      <c r="F146" s="35">
        <v>237.5</v>
      </c>
      <c r="H146" s="5">
        <v>513</v>
      </c>
      <c r="I146" s="5">
        <v>15</v>
      </c>
    </row>
    <row r="147" spans="4:9" x14ac:dyDescent="0.25">
      <c r="D147" s="4">
        <v>305</v>
      </c>
      <c r="E147" s="37">
        <v>578</v>
      </c>
      <c r="F147" s="35">
        <v>242</v>
      </c>
      <c r="H147" s="5">
        <v>518</v>
      </c>
      <c r="I147" s="5">
        <v>12</v>
      </c>
    </row>
    <row r="148" spans="4:9" x14ac:dyDescent="0.25">
      <c r="D148" s="4">
        <v>310</v>
      </c>
      <c r="E148" s="37">
        <v>583</v>
      </c>
      <c r="F148" s="35">
        <v>247</v>
      </c>
      <c r="H148" s="5">
        <v>523</v>
      </c>
      <c r="I148" s="5">
        <v>9</v>
      </c>
    </row>
    <row r="149" spans="4:9" x14ac:dyDescent="0.25">
      <c r="D149" s="4">
        <v>315</v>
      </c>
      <c r="E149" s="37">
        <v>588</v>
      </c>
      <c r="F149" s="35">
        <v>254</v>
      </c>
      <c r="H149" s="5">
        <v>528</v>
      </c>
      <c r="I149" s="5">
        <v>6</v>
      </c>
    </row>
    <row r="150" spans="4:9" x14ac:dyDescent="0.25">
      <c r="D150" s="4">
        <v>320</v>
      </c>
      <c r="E150" s="37">
        <v>593</v>
      </c>
      <c r="F150" s="35">
        <v>257.5</v>
      </c>
      <c r="H150" s="5">
        <v>533</v>
      </c>
      <c r="I150" s="5">
        <v>5</v>
      </c>
    </row>
    <row r="151" spans="4:9" x14ac:dyDescent="0.25">
      <c r="D151" s="4">
        <v>325</v>
      </c>
      <c r="E151" s="37">
        <v>598</v>
      </c>
      <c r="F151" s="35">
        <v>263</v>
      </c>
      <c r="H151" s="5">
        <v>538</v>
      </c>
      <c r="I151" s="5">
        <v>3.7</v>
      </c>
    </row>
    <row r="152" spans="4:9" x14ac:dyDescent="0.25">
      <c r="D152" s="4">
        <v>330</v>
      </c>
      <c r="E152" s="37">
        <v>603</v>
      </c>
      <c r="F152" s="35">
        <v>268</v>
      </c>
      <c r="H152" s="5">
        <v>543</v>
      </c>
      <c r="I152" s="5">
        <v>2.7</v>
      </c>
    </row>
    <row r="153" spans="4:9" x14ac:dyDescent="0.25">
      <c r="D153" s="4">
        <v>335</v>
      </c>
      <c r="E153" s="37">
        <v>608</v>
      </c>
      <c r="F153" s="35">
        <v>273</v>
      </c>
      <c r="H153" s="5">
        <v>548</v>
      </c>
      <c r="I153" s="5">
        <v>2</v>
      </c>
    </row>
    <row r="154" spans="4:9" x14ac:dyDescent="0.25">
      <c r="D154" s="4">
        <v>340</v>
      </c>
      <c r="E154" s="37">
        <v>613</v>
      </c>
      <c r="F154" s="35">
        <v>278.5</v>
      </c>
      <c r="H154" s="5">
        <v>553</v>
      </c>
      <c r="I154" s="5">
        <v>1.5</v>
      </c>
    </row>
    <row r="155" spans="4:9" x14ac:dyDescent="0.25">
      <c r="D155" s="4">
        <v>345</v>
      </c>
      <c r="E155" s="37">
        <v>618</v>
      </c>
      <c r="F155" s="35">
        <v>284</v>
      </c>
      <c r="H155" s="5">
        <v>558</v>
      </c>
      <c r="I155" s="5">
        <v>1.1000000000000001</v>
      </c>
    </row>
    <row r="156" spans="4:9" x14ac:dyDescent="0.25">
      <c r="D156" s="4">
        <v>350</v>
      </c>
      <c r="E156" s="37">
        <v>623</v>
      </c>
      <c r="F156" s="35">
        <v>289.5</v>
      </c>
      <c r="H156" s="5">
        <v>563</v>
      </c>
      <c r="I156" s="5">
        <v>0.8</v>
      </c>
    </row>
    <row r="157" spans="4:9" x14ac:dyDescent="0.25">
      <c r="D157" s="4">
        <v>355</v>
      </c>
      <c r="E157" s="37">
        <v>628</v>
      </c>
      <c r="F157" s="35">
        <v>285</v>
      </c>
      <c r="H157" s="5">
        <v>568</v>
      </c>
      <c r="I157" s="5">
        <v>0.6</v>
      </c>
    </row>
    <row r="158" spans="4:9" x14ac:dyDescent="0.25">
      <c r="D158" s="4">
        <v>360</v>
      </c>
      <c r="E158" s="37">
        <v>633</v>
      </c>
      <c r="F158" s="35">
        <v>300</v>
      </c>
      <c r="H158" s="5">
        <v>573</v>
      </c>
      <c r="I158" s="5">
        <v>0.4</v>
      </c>
    </row>
    <row r="159" spans="4:9" x14ac:dyDescent="0.25">
      <c r="D159" s="4">
        <v>365</v>
      </c>
      <c r="E159" s="37">
        <v>638</v>
      </c>
      <c r="F159" s="35">
        <v>307</v>
      </c>
      <c r="H159" s="5">
        <v>578</v>
      </c>
      <c r="I159" s="5">
        <v>0.32</v>
      </c>
    </row>
    <row r="160" spans="4:9" x14ac:dyDescent="0.25">
      <c r="D160" s="4">
        <v>370</v>
      </c>
      <c r="E160" s="37">
        <v>643</v>
      </c>
      <c r="F160" s="35">
        <v>312.5</v>
      </c>
      <c r="H160" s="5">
        <v>583</v>
      </c>
      <c r="I160" s="5">
        <v>0.23</v>
      </c>
    </row>
    <row r="161" spans="4:9" x14ac:dyDescent="0.25">
      <c r="D161" s="4">
        <v>375</v>
      </c>
      <c r="E161" s="37">
        <v>648</v>
      </c>
      <c r="F161" s="35">
        <v>318</v>
      </c>
      <c r="H161" s="5">
        <v>588</v>
      </c>
      <c r="I161" s="5">
        <v>0.16</v>
      </c>
    </row>
    <row r="162" spans="4:9" x14ac:dyDescent="0.25">
      <c r="D162" s="4">
        <v>380</v>
      </c>
      <c r="E162" s="37">
        <v>653</v>
      </c>
      <c r="F162" s="35">
        <v>324.5</v>
      </c>
      <c r="H162" s="5">
        <v>593</v>
      </c>
      <c r="I162" s="5">
        <v>0.11899999999999999</v>
      </c>
    </row>
    <row r="163" spans="4:9" x14ac:dyDescent="0.25">
      <c r="D163" s="4">
        <v>385</v>
      </c>
      <c r="E163" s="37">
        <v>658</v>
      </c>
      <c r="F163" s="35">
        <v>330</v>
      </c>
      <c r="H163" s="5">
        <v>598</v>
      </c>
      <c r="I163" s="36">
        <f>8.53*10^-2</f>
        <v>8.5300000000000001E-2</v>
      </c>
    </row>
    <row r="164" spans="4:9" x14ac:dyDescent="0.25">
      <c r="D164" s="4">
        <v>390</v>
      </c>
      <c r="E164" s="37">
        <v>663</v>
      </c>
      <c r="F164" s="35">
        <v>337.5</v>
      </c>
      <c r="H164" s="5">
        <v>603</v>
      </c>
      <c r="I164" s="36">
        <f>6.08*10^-2</f>
        <v>6.08E-2</v>
      </c>
    </row>
    <row r="165" spans="4:9" x14ac:dyDescent="0.25">
      <c r="D165" s="4">
        <v>395</v>
      </c>
      <c r="E165" s="37">
        <v>668</v>
      </c>
      <c r="F165" s="35">
        <v>343</v>
      </c>
      <c r="H165" s="5">
        <v>608</v>
      </c>
      <c r="I165" s="36">
        <f>4.31*10^-2</f>
        <v>4.3099999999999999E-2</v>
      </c>
    </row>
    <row r="166" spans="4:9" x14ac:dyDescent="0.25">
      <c r="D166" s="4">
        <v>400</v>
      </c>
      <c r="E166" s="37">
        <v>673</v>
      </c>
      <c r="F166" s="35">
        <v>350</v>
      </c>
      <c r="H166" s="5">
        <v>613</v>
      </c>
      <c r="I166" s="36">
        <f>3.04*10^-2</f>
        <v>3.04E-2</v>
      </c>
    </row>
    <row r="167" spans="4:9" x14ac:dyDescent="0.25">
      <c r="D167" s="4">
        <v>405</v>
      </c>
      <c r="E167" s="37">
        <v>678</v>
      </c>
      <c r="F167" s="35">
        <v>356.5</v>
      </c>
      <c r="H167" s="5">
        <v>618</v>
      </c>
      <c r="I167" s="36">
        <f>2.14*10^-2</f>
        <v>2.1400000000000002E-2</v>
      </c>
    </row>
    <row r="168" spans="4:9" x14ac:dyDescent="0.25">
      <c r="D168" s="4">
        <v>410</v>
      </c>
      <c r="E168" s="37">
        <v>683</v>
      </c>
      <c r="F168" s="35">
        <v>364</v>
      </c>
      <c r="H168" s="5">
        <v>623</v>
      </c>
      <c r="I168" s="36">
        <f>1.5*10^-2</f>
        <v>1.4999999999999999E-2</v>
      </c>
    </row>
    <row r="169" spans="4:9" x14ac:dyDescent="0.25">
      <c r="D169" s="4">
        <v>415</v>
      </c>
      <c r="E169" s="37">
        <v>688</v>
      </c>
      <c r="F169" s="35">
        <v>370</v>
      </c>
      <c r="H169" s="5">
        <v>628</v>
      </c>
      <c r="I169" s="36">
        <f>1.05*10^-2</f>
        <v>1.0500000000000001E-2</v>
      </c>
    </row>
    <row r="170" spans="4:9" x14ac:dyDescent="0.25">
      <c r="D170" s="4">
        <v>420</v>
      </c>
      <c r="E170" s="37">
        <v>693</v>
      </c>
      <c r="F170" s="35">
        <v>373</v>
      </c>
      <c r="H170" s="5">
        <v>633</v>
      </c>
      <c r="I170" s="36">
        <f>7.32*10^-3</f>
        <v>7.3200000000000001E-3</v>
      </c>
    </row>
    <row r="171" spans="4:9" x14ac:dyDescent="0.25">
      <c r="D171" s="4">
        <v>425</v>
      </c>
      <c r="E171" s="37">
        <v>698</v>
      </c>
      <c r="F171" s="35">
        <v>385</v>
      </c>
      <c r="H171" s="5">
        <v>638</v>
      </c>
      <c r="I171" s="36">
        <f>5.02*10^-3</f>
        <v>5.0199999999999993E-3</v>
      </c>
    </row>
    <row r="172" spans="4:9" x14ac:dyDescent="0.25">
      <c r="D172" s="4">
        <v>430</v>
      </c>
      <c r="E172" s="37">
        <v>703</v>
      </c>
      <c r="F172" s="35">
        <v>392</v>
      </c>
      <c r="H172" s="5">
        <v>643</v>
      </c>
      <c r="I172" s="36">
        <f>3.48*10^-3</f>
        <v>3.48E-3</v>
      </c>
    </row>
    <row r="173" spans="4:9" x14ac:dyDescent="0.25">
      <c r="D173" s="4">
        <v>435</v>
      </c>
      <c r="E173" s="37">
        <v>708</v>
      </c>
      <c r="F173" s="35">
        <v>400</v>
      </c>
      <c r="H173" s="5">
        <v>648</v>
      </c>
      <c r="I173" s="36">
        <f>2.4*10^-3</f>
        <v>2.3999999999999998E-3</v>
      </c>
    </row>
    <row r="174" spans="4:9" x14ac:dyDescent="0.25">
      <c r="D174" s="4">
        <v>440</v>
      </c>
      <c r="E174" s="37">
        <v>713</v>
      </c>
      <c r="F174" s="35">
        <v>407</v>
      </c>
      <c r="H174" s="5">
        <v>653</v>
      </c>
      <c r="I174" s="36">
        <f>1.62*10^-3</f>
        <v>1.6200000000000001E-3</v>
      </c>
    </row>
    <row r="175" spans="4:9" x14ac:dyDescent="0.25">
      <c r="D175" s="4">
        <v>445</v>
      </c>
      <c r="E175" s="37">
        <v>718</v>
      </c>
      <c r="F175" s="35">
        <v>415</v>
      </c>
      <c r="H175" s="5">
        <v>658</v>
      </c>
      <c r="I175" s="36">
        <f>1.1*10^-3</f>
        <v>1.1000000000000001E-3</v>
      </c>
    </row>
    <row r="176" spans="4:9" x14ac:dyDescent="0.25">
      <c r="D176" s="4">
        <v>450</v>
      </c>
      <c r="E176" s="37">
        <v>723</v>
      </c>
      <c r="F176" s="35">
        <v>422</v>
      </c>
      <c r="H176" s="5">
        <v>663</v>
      </c>
      <c r="I176" s="36">
        <f>7.46*10^-4</f>
        <v>7.4600000000000003E-4</v>
      </c>
    </row>
    <row r="177" spans="4:9" x14ac:dyDescent="0.25">
      <c r="D177" s="4">
        <v>455</v>
      </c>
      <c r="E177" s="37">
        <v>728</v>
      </c>
      <c r="F177" s="35">
        <v>430</v>
      </c>
      <c r="H177" s="5">
        <v>668</v>
      </c>
      <c r="I177" s="36">
        <f>5*10^-4</f>
        <v>5.0000000000000001E-4</v>
      </c>
    </row>
    <row r="178" spans="4:9" x14ac:dyDescent="0.25">
      <c r="D178" s="4">
        <v>460</v>
      </c>
      <c r="E178" s="37">
        <v>733</v>
      </c>
      <c r="F178" s="35">
        <v>435.5</v>
      </c>
      <c r="H178" s="5">
        <v>673</v>
      </c>
      <c r="I178" s="36">
        <f>3.35*10^-4</f>
        <v>3.3500000000000001E-4</v>
      </c>
    </row>
    <row r="179" spans="4:9" x14ac:dyDescent="0.25">
      <c r="D179" s="4">
        <v>465</v>
      </c>
      <c r="E179" s="37">
        <v>738</v>
      </c>
      <c r="F179" s="35">
        <v>446</v>
      </c>
      <c r="H179" s="5">
        <v>678</v>
      </c>
      <c r="I179" s="36">
        <f>2.23*10^-4</f>
        <v>2.23E-4</v>
      </c>
    </row>
    <row r="180" spans="4:9" x14ac:dyDescent="0.25">
      <c r="D180" s="4">
        <v>470</v>
      </c>
      <c r="E180" s="37">
        <v>743</v>
      </c>
      <c r="F180" s="35">
        <v>455</v>
      </c>
      <c r="H180" s="5">
        <v>683</v>
      </c>
      <c r="I180" s="36">
        <f>1.47*10^-4</f>
        <v>1.47E-4</v>
      </c>
    </row>
    <row r="181" spans="4:9" x14ac:dyDescent="0.25">
      <c r="D181" s="4">
        <v>475</v>
      </c>
      <c r="E181" s="37">
        <v>748</v>
      </c>
      <c r="F181" s="35">
        <v>463</v>
      </c>
      <c r="H181" s="5">
        <v>688</v>
      </c>
      <c r="I181" s="36">
        <f>9.79*10^-5</f>
        <v>9.7899999999999994E-5</v>
      </c>
    </row>
    <row r="182" spans="4:9" x14ac:dyDescent="0.25">
      <c r="D182" s="4">
        <v>480</v>
      </c>
      <c r="E182" s="37">
        <v>753</v>
      </c>
      <c r="F182" s="35">
        <v>474</v>
      </c>
      <c r="H182" s="5">
        <v>693</v>
      </c>
      <c r="I182" s="36">
        <f>6.35*10^-5</f>
        <v>6.3499999999999999E-5</v>
      </c>
    </row>
    <row r="183" spans="4:9" x14ac:dyDescent="0.25">
      <c r="D183" s="4">
        <v>485</v>
      </c>
      <c r="E183" s="37">
        <v>758</v>
      </c>
      <c r="F183" s="35">
        <v>480</v>
      </c>
      <c r="H183" s="5">
        <v>698</v>
      </c>
      <c r="I183" s="36">
        <f>4.14*10^-5</f>
        <v>4.1400000000000003E-5</v>
      </c>
    </row>
    <row r="184" spans="4:9" x14ac:dyDescent="0.25">
      <c r="D184" s="4">
        <v>490</v>
      </c>
      <c r="E184" s="37">
        <v>763</v>
      </c>
      <c r="F184" s="35">
        <v>481</v>
      </c>
      <c r="H184" s="5">
        <v>703</v>
      </c>
      <c r="I184" s="36">
        <f>2.68*10^-5</f>
        <v>2.6800000000000004E-5</v>
      </c>
    </row>
    <row r="185" spans="4:9" x14ac:dyDescent="0.25">
      <c r="D185" s="4">
        <v>495</v>
      </c>
      <c r="E185" s="37">
        <v>768</v>
      </c>
      <c r="F185" s="35">
        <v>500</v>
      </c>
      <c r="H185" s="5">
        <v>708</v>
      </c>
      <c r="I185" s="36">
        <f>1.72*10^-5</f>
        <v>1.7200000000000001E-5</v>
      </c>
    </row>
    <row r="186" spans="4:9" x14ac:dyDescent="0.25">
      <c r="D186" s="4">
        <v>500</v>
      </c>
      <c r="E186" s="37">
        <v>773</v>
      </c>
      <c r="F186" s="35">
        <v>510</v>
      </c>
      <c r="H186" s="5">
        <v>713</v>
      </c>
      <c r="I186" s="36">
        <f>1.11*10^-5</f>
        <v>1.1100000000000002E-5</v>
      </c>
    </row>
    <row r="187" spans="4:9" x14ac:dyDescent="0.25">
      <c r="H187" s="5">
        <v>718</v>
      </c>
      <c r="I187" s="36">
        <f>7.07*10^-6</f>
        <v>7.0700000000000001E-6</v>
      </c>
    </row>
    <row r="188" spans="4:9" x14ac:dyDescent="0.25">
      <c r="H188" s="5">
        <v>723</v>
      </c>
      <c r="I188" s="36">
        <f>5.01*10^-6</f>
        <v>5.0099999999999995E-6</v>
      </c>
    </row>
    <row r="189" spans="4:9" x14ac:dyDescent="0.25">
      <c r="H189" s="5">
        <v>728</v>
      </c>
      <c r="I189" s="36">
        <f>2.82*10^-6</f>
        <v>2.8199999999999997E-6</v>
      </c>
    </row>
    <row r="190" spans="4:9" x14ac:dyDescent="0.25">
      <c r="H190" s="5">
        <v>733</v>
      </c>
      <c r="I190" s="36">
        <f>1.77*10^-6</f>
        <v>1.77E-6</v>
      </c>
    </row>
    <row r="191" spans="4:9" x14ac:dyDescent="0.25">
      <c r="H191" s="5">
        <v>738</v>
      </c>
      <c r="I191" s="36">
        <f>1.09*10^-6</f>
        <v>1.0899999999999999E-6</v>
      </c>
    </row>
    <row r="192" spans="4:9" x14ac:dyDescent="0.25">
      <c r="H192" s="5">
        <v>743</v>
      </c>
      <c r="I192" s="36">
        <f>6.78*10^-7</f>
        <v>6.7800000000000001E-7</v>
      </c>
    </row>
    <row r="193" spans="8:9" x14ac:dyDescent="0.25">
      <c r="H193" s="5">
        <v>748</v>
      </c>
      <c r="I193" s="36">
        <f>4.17*10^-7</f>
        <v>4.1699999999999999E-7</v>
      </c>
    </row>
    <row r="194" spans="8:9" x14ac:dyDescent="0.25">
      <c r="H194" s="5">
        <v>753</v>
      </c>
      <c r="I194" s="36">
        <f>2.54*10^-7</f>
        <v>2.5399999999999997E-7</v>
      </c>
    </row>
    <row r="195" spans="8:9" x14ac:dyDescent="0.25">
      <c r="H195" s="5">
        <v>758</v>
      </c>
      <c r="I195" s="36">
        <f>1.54*10^-7</f>
        <v>1.54E-7</v>
      </c>
    </row>
    <row r="196" spans="8:9" x14ac:dyDescent="0.25">
      <c r="H196" s="5">
        <v>763</v>
      </c>
      <c r="I196" s="36">
        <f>1.27*10^-8</f>
        <v>1.2700000000000001E-8</v>
      </c>
    </row>
    <row r="197" spans="8:9" x14ac:dyDescent="0.25">
      <c r="H197" s="5">
        <v>768</v>
      </c>
      <c r="I197" s="36">
        <f>5.54*10^-8</f>
        <v>5.54E-8</v>
      </c>
    </row>
    <row r="198" spans="8:9" x14ac:dyDescent="0.25">
      <c r="H198" s="5">
        <v>773</v>
      </c>
      <c r="I198" s="36">
        <f>3.28*10^-8</f>
        <v>3.2799999999999996E-8</v>
      </c>
    </row>
  </sheetData>
  <sheetProtection password="CF7A" sheet="1" objects="1" scenarios="1"/>
  <mergeCells count="2">
    <mergeCell ref="A4:B4"/>
    <mergeCell ref="D4:F4"/>
  </mergeCells>
  <pageMargins left="0.75" right="0.75" top="1" bottom="1" header="0.5" footer="0.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38"/>
  <sheetViews>
    <sheetView workbookViewId="0">
      <selection activeCell="B11" sqref="B11"/>
    </sheetView>
  </sheetViews>
  <sheetFormatPr defaultRowHeight="12.75" x14ac:dyDescent="0.25"/>
  <cols>
    <col min="1" max="1" width="9.42578125" style="2" customWidth="1"/>
    <col min="2" max="2" width="11.85546875" style="2" customWidth="1"/>
    <col min="3" max="3" width="9.42578125" style="2" customWidth="1"/>
    <col min="4" max="4" width="10.42578125" style="2" customWidth="1"/>
    <col min="5" max="5" width="9.42578125" style="2" customWidth="1"/>
    <col min="6" max="6" width="10.5703125" style="2" customWidth="1"/>
    <col min="7" max="16384" width="9.140625" style="2"/>
  </cols>
  <sheetData>
    <row r="1" spans="1:2" ht="14.25" x14ac:dyDescent="0.25">
      <c r="A1" s="1" t="s">
        <v>108</v>
      </c>
    </row>
    <row r="3" spans="1:2" ht="15.75" x14ac:dyDescent="0.25">
      <c r="A3" s="29" t="s">
        <v>109</v>
      </c>
      <c r="B3" s="38" t="s">
        <v>110</v>
      </c>
    </row>
    <row r="4" spans="1:2" x14ac:dyDescent="0.25">
      <c r="A4" s="34">
        <v>243</v>
      </c>
      <c r="B4" s="39">
        <v>0.13500000000000001</v>
      </c>
    </row>
    <row r="5" spans="1:2" x14ac:dyDescent="0.25">
      <c r="A5" s="34">
        <v>244</v>
      </c>
      <c r="B5" s="39">
        <v>0.14000000000000001</v>
      </c>
    </row>
    <row r="6" spans="1:2" x14ac:dyDescent="0.25">
      <c r="A6" s="34">
        <v>245</v>
      </c>
      <c r="B6" s="39">
        <v>0.15</v>
      </c>
    </row>
    <row r="7" spans="1:2" x14ac:dyDescent="0.25">
      <c r="A7" s="34">
        <v>246</v>
      </c>
      <c r="B7" s="39">
        <v>0.153</v>
      </c>
    </row>
    <row r="8" spans="1:2" x14ac:dyDescent="0.25">
      <c r="A8" s="34">
        <v>247</v>
      </c>
      <c r="B8" s="39">
        <v>0.16500000000000001</v>
      </c>
    </row>
    <row r="9" spans="1:2" x14ac:dyDescent="0.25">
      <c r="A9" s="34">
        <v>248</v>
      </c>
      <c r="B9" s="39">
        <v>0.17</v>
      </c>
    </row>
    <row r="10" spans="1:2" x14ac:dyDescent="0.25">
      <c r="A10" s="34">
        <v>249</v>
      </c>
      <c r="B10" s="39">
        <v>0.17499999999999999</v>
      </c>
    </row>
    <row r="11" spans="1:2" x14ac:dyDescent="0.25">
      <c r="A11" s="34">
        <v>250</v>
      </c>
      <c r="B11" s="39">
        <v>0.183</v>
      </c>
    </row>
    <row r="12" spans="1:2" x14ac:dyDescent="0.25">
      <c r="A12" s="34">
        <v>251</v>
      </c>
      <c r="B12" s="39">
        <v>0.19</v>
      </c>
    </row>
    <row r="13" spans="1:2" x14ac:dyDescent="0.25">
      <c r="A13" s="34">
        <v>252</v>
      </c>
      <c r="B13" s="39">
        <v>0.2</v>
      </c>
    </row>
    <row r="14" spans="1:2" x14ac:dyDescent="0.25">
      <c r="A14" s="34">
        <v>253</v>
      </c>
      <c r="B14" s="39">
        <v>0.21</v>
      </c>
    </row>
    <row r="15" spans="1:2" x14ac:dyDescent="0.25">
      <c r="A15" s="34">
        <v>254</v>
      </c>
      <c r="B15" s="39">
        <v>0.22</v>
      </c>
    </row>
    <row r="16" spans="1:2" x14ac:dyDescent="0.25">
      <c r="A16" s="34">
        <v>255</v>
      </c>
      <c r="B16" s="39">
        <v>0.23</v>
      </c>
    </row>
    <row r="17" spans="1:2" x14ac:dyDescent="0.25">
      <c r="A17" s="34">
        <v>256</v>
      </c>
      <c r="B17" s="39">
        <v>0.24</v>
      </c>
    </row>
    <row r="18" spans="1:2" x14ac:dyDescent="0.25">
      <c r="A18" s="34">
        <v>257</v>
      </c>
      <c r="B18" s="39">
        <v>0.255</v>
      </c>
    </row>
    <row r="19" spans="1:2" x14ac:dyDescent="0.25">
      <c r="A19" s="34">
        <v>258</v>
      </c>
      <c r="B19" s="39">
        <v>0.26</v>
      </c>
    </row>
    <row r="20" spans="1:2" x14ac:dyDescent="0.25">
      <c r="A20" s="34">
        <v>259</v>
      </c>
      <c r="B20" s="39">
        <v>0.27</v>
      </c>
    </row>
    <row r="21" spans="1:2" x14ac:dyDescent="0.25">
      <c r="A21" s="34">
        <v>260</v>
      </c>
      <c r="B21" s="39">
        <v>0.28000000000000003</v>
      </c>
    </row>
    <row r="22" spans="1:2" x14ac:dyDescent="0.25">
      <c r="A22" s="34">
        <v>261</v>
      </c>
      <c r="B22" s="39">
        <v>0.28999999999999998</v>
      </c>
    </row>
    <row r="23" spans="1:2" x14ac:dyDescent="0.25">
      <c r="A23" s="34">
        <v>262</v>
      </c>
      <c r="B23" s="39">
        <v>0.3</v>
      </c>
    </row>
    <row r="24" spans="1:2" x14ac:dyDescent="0.25">
      <c r="A24" s="34">
        <v>263</v>
      </c>
      <c r="B24" s="39">
        <v>0.32</v>
      </c>
    </row>
    <row r="25" spans="1:2" x14ac:dyDescent="0.25">
      <c r="A25" s="34">
        <v>264</v>
      </c>
      <c r="B25" s="39">
        <v>0.33500000000000002</v>
      </c>
    </row>
    <row r="26" spans="1:2" x14ac:dyDescent="0.25">
      <c r="A26" s="34">
        <v>265</v>
      </c>
      <c r="B26" s="39">
        <v>0.35</v>
      </c>
    </row>
    <row r="27" spans="1:2" x14ac:dyDescent="0.25">
      <c r="A27" s="34">
        <v>266</v>
      </c>
      <c r="B27" s="39">
        <v>0.36499999999999999</v>
      </c>
    </row>
    <row r="28" spans="1:2" x14ac:dyDescent="0.25">
      <c r="A28" s="34">
        <v>267</v>
      </c>
      <c r="B28" s="39">
        <v>0.39</v>
      </c>
    </row>
    <row r="29" spans="1:2" x14ac:dyDescent="0.25">
      <c r="A29" s="34">
        <v>268</v>
      </c>
      <c r="B29" s="39">
        <v>0.4</v>
      </c>
    </row>
    <row r="30" spans="1:2" x14ac:dyDescent="0.25">
      <c r="A30" s="34">
        <v>269</v>
      </c>
      <c r="B30" s="39">
        <v>0.42</v>
      </c>
    </row>
    <row r="31" spans="1:2" x14ac:dyDescent="0.25">
      <c r="A31" s="34">
        <v>270</v>
      </c>
      <c r="B31" s="39">
        <v>0.435</v>
      </c>
    </row>
    <row r="32" spans="1:2" x14ac:dyDescent="0.25">
      <c r="A32" s="34">
        <v>271</v>
      </c>
      <c r="B32" s="39">
        <v>0.45</v>
      </c>
    </row>
    <row r="33" spans="1:2" x14ac:dyDescent="0.25">
      <c r="A33" s="34">
        <v>272</v>
      </c>
      <c r="B33" s="39">
        <v>0.47</v>
      </c>
    </row>
    <row r="34" spans="1:2" x14ac:dyDescent="0.25">
      <c r="A34" s="34">
        <v>273</v>
      </c>
      <c r="B34" s="39">
        <v>0.49</v>
      </c>
    </row>
    <row r="35" spans="1:2" x14ac:dyDescent="0.25">
      <c r="A35" s="34">
        <v>274</v>
      </c>
      <c r="B35" s="39">
        <v>0.52</v>
      </c>
    </row>
    <row r="36" spans="1:2" x14ac:dyDescent="0.25">
      <c r="A36" s="34">
        <v>275</v>
      </c>
      <c r="B36" s="39">
        <v>0.53</v>
      </c>
    </row>
    <row r="37" spans="1:2" x14ac:dyDescent="0.25">
      <c r="A37" s="34">
        <v>276</v>
      </c>
      <c r="B37" s="39">
        <v>0.55000000000000004</v>
      </c>
    </row>
    <row r="38" spans="1:2" x14ac:dyDescent="0.25">
      <c r="A38" s="34">
        <v>277</v>
      </c>
      <c r="B38" s="39">
        <v>0.56999999999999995</v>
      </c>
    </row>
    <row r="39" spans="1:2" x14ac:dyDescent="0.25">
      <c r="A39" s="34">
        <v>278</v>
      </c>
      <c r="B39" s="39">
        <v>0.59</v>
      </c>
    </row>
    <row r="40" spans="1:2" x14ac:dyDescent="0.25">
      <c r="A40" s="34">
        <v>279</v>
      </c>
      <c r="B40" s="39">
        <v>0.62</v>
      </c>
    </row>
    <row r="41" spans="1:2" x14ac:dyDescent="0.25">
      <c r="A41" s="34">
        <v>280</v>
      </c>
      <c r="B41" s="39">
        <v>0.64</v>
      </c>
    </row>
    <row r="42" spans="1:2" x14ac:dyDescent="0.25">
      <c r="A42" s="34">
        <v>281</v>
      </c>
      <c r="B42" s="39">
        <v>0.66</v>
      </c>
    </row>
    <row r="43" spans="1:2" x14ac:dyDescent="0.25">
      <c r="A43" s="34">
        <v>282</v>
      </c>
      <c r="B43" s="39">
        <v>0.69</v>
      </c>
    </row>
    <row r="44" spans="1:2" x14ac:dyDescent="0.25">
      <c r="A44" s="34">
        <v>283</v>
      </c>
      <c r="B44" s="39">
        <v>0.72</v>
      </c>
    </row>
    <row r="45" spans="1:2" x14ac:dyDescent="0.25">
      <c r="A45" s="34">
        <v>284</v>
      </c>
      <c r="B45" s="39">
        <v>0.74</v>
      </c>
    </row>
    <row r="46" spans="1:2" x14ac:dyDescent="0.25">
      <c r="A46" s="34">
        <v>285</v>
      </c>
      <c r="B46" s="39">
        <v>0.77</v>
      </c>
    </row>
    <row r="47" spans="1:2" x14ac:dyDescent="0.25">
      <c r="A47" s="34">
        <v>286</v>
      </c>
      <c r="B47" s="39">
        <v>0.8</v>
      </c>
    </row>
    <row r="48" spans="1:2" x14ac:dyDescent="0.25">
      <c r="A48" s="34">
        <v>287</v>
      </c>
      <c r="B48" s="39">
        <v>0.82</v>
      </c>
    </row>
    <row r="49" spans="1:2" x14ac:dyDescent="0.25">
      <c r="A49" s="34">
        <v>288</v>
      </c>
      <c r="B49" s="39">
        <v>0.85</v>
      </c>
    </row>
    <row r="50" spans="1:2" x14ac:dyDescent="0.25">
      <c r="A50" s="34">
        <v>289</v>
      </c>
      <c r="B50" s="39">
        <v>0.87</v>
      </c>
    </row>
    <row r="51" spans="1:2" x14ac:dyDescent="0.25">
      <c r="A51" s="34">
        <v>290</v>
      </c>
      <c r="B51" s="39">
        <v>0.9</v>
      </c>
    </row>
    <row r="52" spans="1:2" x14ac:dyDescent="0.25">
      <c r="A52" s="34">
        <v>291</v>
      </c>
      <c r="B52" s="39">
        <v>0.94</v>
      </c>
    </row>
    <row r="53" spans="1:2" x14ac:dyDescent="0.25">
      <c r="A53" s="34">
        <v>292</v>
      </c>
      <c r="B53" s="39">
        <v>0.97</v>
      </c>
    </row>
    <row r="54" spans="1:2" x14ac:dyDescent="0.25">
      <c r="A54" s="34">
        <v>293</v>
      </c>
      <c r="B54" s="39">
        <v>1</v>
      </c>
    </row>
    <row r="55" spans="1:2" x14ac:dyDescent="0.25">
      <c r="A55" s="34">
        <v>294</v>
      </c>
      <c r="B55" s="39">
        <v>1.03</v>
      </c>
    </row>
    <row r="56" spans="1:2" x14ac:dyDescent="0.25">
      <c r="A56" s="34">
        <v>295</v>
      </c>
      <c r="B56" s="39">
        <v>1.08</v>
      </c>
    </row>
    <row r="57" spans="1:2" x14ac:dyDescent="0.25">
      <c r="A57" s="34">
        <v>296</v>
      </c>
      <c r="B57" s="39">
        <v>1.1000000000000001</v>
      </c>
    </row>
    <row r="58" spans="1:2" x14ac:dyDescent="0.25">
      <c r="A58" s="34">
        <v>297</v>
      </c>
      <c r="B58" s="39">
        <v>1.1499999999999999</v>
      </c>
    </row>
    <row r="59" spans="1:2" x14ac:dyDescent="0.25">
      <c r="A59" s="34">
        <v>298</v>
      </c>
      <c r="B59" s="39">
        <v>1.2</v>
      </c>
    </row>
    <row r="60" spans="1:2" x14ac:dyDescent="0.25">
      <c r="A60" s="34">
        <v>299</v>
      </c>
      <c r="B60" s="39">
        <v>1.23</v>
      </c>
    </row>
    <row r="61" spans="1:2" x14ac:dyDescent="0.25">
      <c r="A61" s="34">
        <v>300</v>
      </c>
      <c r="B61" s="39">
        <v>1.25</v>
      </c>
    </row>
    <row r="62" spans="1:2" x14ac:dyDescent="0.25">
      <c r="A62" s="34">
        <v>301</v>
      </c>
      <c r="B62" s="39">
        <v>1.3</v>
      </c>
    </row>
    <row r="63" spans="1:2" x14ac:dyDescent="0.25">
      <c r="A63" s="34">
        <v>302</v>
      </c>
      <c r="B63" s="39">
        <v>1.35</v>
      </c>
    </row>
    <row r="64" spans="1:2" x14ac:dyDescent="0.25">
      <c r="A64" s="34">
        <v>303</v>
      </c>
      <c r="B64" s="39">
        <v>1.4</v>
      </c>
    </row>
    <row r="65" spans="1:2" x14ac:dyDescent="0.25">
      <c r="A65" s="34">
        <v>304</v>
      </c>
      <c r="B65" s="39">
        <v>1.43</v>
      </c>
    </row>
    <row r="66" spans="1:2" x14ac:dyDescent="0.25">
      <c r="A66" s="34">
        <v>305</v>
      </c>
      <c r="B66" s="39">
        <v>1.48</v>
      </c>
    </row>
    <row r="67" spans="1:2" x14ac:dyDescent="0.25">
      <c r="A67" s="34">
        <v>306</v>
      </c>
      <c r="B67" s="39">
        <v>1.5</v>
      </c>
    </row>
    <row r="68" spans="1:2" x14ac:dyDescent="0.25">
      <c r="A68" s="34">
        <v>307</v>
      </c>
      <c r="B68" s="39">
        <v>1.55</v>
      </c>
    </row>
    <row r="69" spans="1:2" x14ac:dyDescent="0.25">
      <c r="A69" s="34">
        <v>308</v>
      </c>
      <c r="B69" s="39">
        <v>1.6</v>
      </c>
    </row>
    <row r="70" spans="1:2" x14ac:dyDescent="0.25">
      <c r="A70" s="34">
        <v>309</v>
      </c>
      <c r="B70" s="39">
        <v>1.65</v>
      </c>
    </row>
    <row r="71" spans="1:2" x14ac:dyDescent="0.25">
      <c r="A71" s="34">
        <v>310</v>
      </c>
      <c r="B71" s="39">
        <v>1.7</v>
      </c>
    </row>
    <row r="72" spans="1:2" x14ac:dyDescent="0.25">
      <c r="A72" s="34">
        <v>311</v>
      </c>
      <c r="B72" s="39">
        <v>1.75</v>
      </c>
    </row>
    <row r="73" spans="1:2" x14ac:dyDescent="0.25">
      <c r="A73" s="34">
        <v>312</v>
      </c>
      <c r="B73" s="39">
        <v>1.8</v>
      </c>
    </row>
    <row r="74" spans="1:2" x14ac:dyDescent="0.25">
      <c r="A74" s="34">
        <v>313</v>
      </c>
      <c r="B74" s="39">
        <v>1.88</v>
      </c>
    </row>
    <row r="75" spans="1:2" x14ac:dyDescent="0.25">
      <c r="A75" s="34">
        <v>314</v>
      </c>
      <c r="B75" s="39">
        <v>1.93</v>
      </c>
    </row>
    <row r="76" spans="1:2" x14ac:dyDescent="0.25">
      <c r="A76" s="34">
        <v>315</v>
      </c>
      <c r="B76" s="39">
        <v>1.97</v>
      </c>
    </row>
    <row r="77" spans="1:2" x14ac:dyDescent="0.25">
      <c r="A77" s="34">
        <v>316</v>
      </c>
      <c r="B77" s="39">
        <v>2.02</v>
      </c>
    </row>
    <row r="78" spans="1:2" x14ac:dyDescent="0.25">
      <c r="A78" s="34">
        <v>317</v>
      </c>
      <c r="B78" s="39">
        <v>2.09</v>
      </c>
    </row>
    <row r="79" spans="1:2" x14ac:dyDescent="0.25">
      <c r="A79" s="34">
        <v>318</v>
      </c>
      <c r="B79" s="39">
        <v>2.15</v>
      </c>
    </row>
    <row r="80" spans="1:2" x14ac:dyDescent="0.25">
      <c r="A80" s="34">
        <v>319</v>
      </c>
      <c r="B80" s="39">
        <v>2.2000000000000002</v>
      </c>
    </row>
    <row r="81" spans="1:2" x14ac:dyDescent="0.25">
      <c r="A81" s="34">
        <v>320</v>
      </c>
      <c r="B81" s="39">
        <v>2.25</v>
      </c>
    </row>
    <row r="82" spans="1:2" x14ac:dyDescent="0.25">
      <c r="A82" s="34">
        <v>321</v>
      </c>
      <c r="B82" s="39">
        <v>2.35</v>
      </c>
    </row>
    <row r="83" spans="1:2" x14ac:dyDescent="0.25">
      <c r="A83" s="34">
        <v>322</v>
      </c>
      <c r="B83" s="39">
        <v>2.4</v>
      </c>
    </row>
    <row r="84" spans="1:2" x14ac:dyDescent="0.25">
      <c r="A84" s="34">
        <v>323</v>
      </c>
      <c r="B84" s="39">
        <v>2.5</v>
      </c>
    </row>
    <row r="85" spans="1:2" x14ac:dyDescent="0.25">
      <c r="A85" s="34">
        <v>324</v>
      </c>
      <c r="B85" s="39">
        <v>2.58</v>
      </c>
    </row>
    <row r="86" spans="1:2" x14ac:dyDescent="0.25">
      <c r="A86" s="34">
        <v>325</v>
      </c>
      <c r="B86" s="39">
        <v>2.6</v>
      </c>
    </row>
    <row r="87" spans="1:2" x14ac:dyDescent="0.25">
      <c r="A87" s="34">
        <v>326</v>
      </c>
      <c r="B87" s="39">
        <v>2.7</v>
      </c>
    </row>
    <row r="88" spans="1:2" x14ac:dyDescent="0.25">
      <c r="A88" s="34">
        <v>327</v>
      </c>
      <c r="B88" s="39">
        <v>2.78</v>
      </c>
    </row>
    <row r="89" spans="1:2" x14ac:dyDescent="0.25">
      <c r="A89" s="34">
        <v>328</v>
      </c>
      <c r="B89" s="39">
        <v>2.88</v>
      </c>
    </row>
    <row r="90" spans="1:2" x14ac:dyDescent="0.25">
      <c r="A90" s="34">
        <v>329</v>
      </c>
      <c r="B90" s="39">
        <v>2.9</v>
      </c>
    </row>
    <row r="91" spans="1:2" x14ac:dyDescent="0.25">
      <c r="A91" s="34">
        <v>330</v>
      </c>
      <c r="B91" s="39">
        <v>3</v>
      </c>
    </row>
    <row r="92" spans="1:2" x14ac:dyDescent="0.25">
      <c r="A92" s="34">
        <v>331</v>
      </c>
      <c r="B92" s="39">
        <v>3.08</v>
      </c>
    </row>
    <row r="93" spans="1:2" x14ac:dyDescent="0.25">
      <c r="A93" s="34">
        <v>332</v>
      </c>
      <c r="B93" s="39">
        <v>3.15</v>
      </c>
    </row>
    <row r="94" spans="1:2" x14ac:dyDescent="0.25">
      <c r="A94" s="34">
        <v>333</v>
      </c>
      <c r="B94" s="39">
        <v>3.2</v>
      </c>
    </row>
    <row r="95" spans="1:2" x14ac:dyDescent="0.25">
      <c r="A95" s="34">
        <v>334</v>
      </c>
      <c r="B95" s="39">
        <v>3.3</v>
      </c>
    </row>
    <row r="96" spans="1:2" x14ac:dyDescent="0.25">
      <c r="A96" s="34">
        <v>335</v>
      </c>
      <c r="B96" s="39">
        <v>3.4</v>
      </c>
    </row>
    <row r="97" spans="1:2" x14ac:dyDescent="0.25">
      <c r="A97" s="34">
        <v>336</v>
      </c>
      <c r="B97" s="39">
        <v>3.5</v>
      </c>
    </row>
    <row r="98" spans="1:2" x14ac:dyDescent="0.25">
      <c r="A98" s="34">
        <v>337</v>
      </c>
      <c r="B98" s="39">
        <v>3.55</v>
      </c>
    </row>
    <row r="99" spans="1:2" x14ac:dyDescent="0.25">
      <c r="A99" s="34">
        <v>338</v>
      </c>
      <c r="B99" s="39">
        <v>3.6</v>
      </c>
    </row>
    <row r="100" spans="1:2" x14ac:dyDescent="0.25">
      <c r="A100" s="34">
        <v>339</v>
      </c>
      <c r="B100" s="39">
        <v>3.7</v>
      </c>
    </row>
    <row r="101" spans="1:2" x14ac:dyDescent="0.25">
      <c r="A101" s="34">
        <v>340</v>
      </c>
      <c r="B101" s="39">
        <v>3.8</v>
      </c>
    </row>
    <row r="102" spans="1:2" x14ac:dyDescent="0.25">
      <c r="A102" s="34">
        <v>341</v>
      </c>
      <c r="B102" s="39">
        <v>3.9</v>
      </c>
    </row>
    <row r="103" spans="1:2" x14ac:dyDescent="0.25">
      <c r="A103" s="34">
        <v>342</v>
      </c>
      <c r="B103" s="39">
        <v>4</v>
      </c>
    </row>
    <row r="104" spans="1:2" x14ac:dyDescent="0.25">
      <c r="A104" s="34">
        <v>343</v>
      </c>
      <c r="B104" s="39">
        <v>4.0999999999999996</v>
      </c>
    </row>
    <row r="105" spans="1:2" x14ac:dyDescent="0.25">
      <c r="A105" s="34">
        <v>344</v>
      </c>
      <c r="B105" s="39">
        <v>4.2</v>
      </c>
    </row>
    <row r="106" spans="1:2" x14ac:dyDescent="0.25">
      <c r="A106" s="34">
        <v>345</v>
      </c>
      <c r="B106" s="39">
        <v>4.3</v>
      </c>
    </row>
    <row r="107" spans="1:2" x14ac:dyDescent="0.25">
      <c r="A107" s="34">
        <v>346</v>
      </c>
      <c r="B107" s="39">
        <v>4.4000000000000004</v>
      </c>
    </row>
    <row r="108" spans="1:2" x14ac:dyDescent="0.25">
      <c r="A108" s="34">
        <v>347</v>
      </c>
      <c r="B108" s="39">
        <v>4.5</v>
      </c>
    </row>
    <row r="109" spans="1:2" x14ac:dyDescent="0.25">
      <c r="A109" s="34">
        <v>348</v>
      </c>
      <c r="B109" s="39">
        <v>4.5999999999999996</v>
      </c>
    </row>
    <row r="110" spans="1:2" x14ac:dyDescent="0.25">
      <c r="A110" s="34">
        <v>349</v>
      </c>
      <c r="B110" s="39">
        <v>4.7</v>
      </c>
    </row>
    <row r="111" spans="1:2" x14ac:dyDescent="0.25">
      <c r="A111" s="34">
        <v>350</v>
      </c>
      <c r="B111" s="39">
        <v>4.8</v>
      </c>
    </row>
    <row r="112" spans="1:2" x14ac:dyDescent="0.25">
      <c r="A112" s="34">
        <v>351</v>
      </c>
      <c r="B112" s="39">
        <v>4.9000000000000004</v>
      </c>
    </row>
    <row r="113" spans="1:2" x14ac:dyDescent="0.25">
      <c r="A113" s="34">
        <v>352</v>
      </c>
      <c r="B113" s="39">
        <v>5</v>
      </c>
    </row>
    <row r="114" spans="1:2" x14ac:dyDescent="0.25">
      <c r="A114" s="34">
        <v>353</v>
      </c>
      <c r="B114" s="39">
        <v>5.08</v>
      </c>
    </row>
    <row r="115" spans="1:2" x14ac:dyDescent="0.25">
      <c r="A115" s="34">
        <v>354</v>
      </c>
      <c r="B115" s="39">
        <v>5.0999999999999996</v>
      </c>
    </row>
    <row r="116" spans="1:2" x14ac:dyDescent="0.25">
      <c r="A116" s="34">
        <v>355</v>
      </c>
      <c r="B116" s="39">
        <v>5.15</v>
      </c>
    </row>
    <row r="117" spans="1:2" x14ac:dyDescent="0.25">
      <c r="A117" s="34">
        <v>356</v>
      </c>
      <c r="B117" s="39">
        <v>5.51</v>
      </c>
    </row>
    <row r="118" spans="1:2" x14ac:dyDescent="0.25">
      <c r="A118" s="34">
        <v>357</v>
      </c>
      <c r="B118" s="39">
        <v>5.58</v>
      </c>
    </row>
    <row r="119" spans="1:2" x14ac:dyDescent="0.25">
      <c r="A119" s="34">
        <v>358</v>
      </c>
      <c r="B119" s="39">
        <v>5.6</v>
      </c>
    </row>
    <row r="120" spans="1:2" x14ac:dyDescent="0.25">
      <c r="A120" s="34">
        <v>359</v>
      </c>
      <c r="B120" s="39">
        <v>5.8</v>
      </c>
    </row>
    <row r="121" spans="1:2" x14ac:dyDescent="0.25">
      <c r="A121" s="34">
        <v>360</v>
      </c>
      <c r="B121" s="39">
        <v>5.9</v>
      </c>
    </row>
    <row r="122" spans="1:2" x14ac:dyDescent="0.25">
      <c r="A122" s="34">
        <v>361</v>
      </c>
      <c r="B122" s="39">
        <v>6</v>
      </c>
    </row>
    <row r="123" spans="1:2" x14ac:dyDescent="0.25">
      <c r="A123" s="34">
        <v>362</v>
      </c>
      <c r="B123" s="39">
        <v>6.1</v>
      </c>
    </row>
    <row r="124" spans="1:2" x14ac:dyDescent="0.25">
      <c r="A124" s="34">
        <v>363</v>
      </c>
      <c r="B124" s="39">
        <v>6.2</v>
      </c>
    </row>
    <row r="125" spans="1:2" x14ac:dyDescent="0.25">
      <c r="A125" s="34">
        <v>364</v>
      </c>
      <c r="B125" s="39">
        <v>6.3</v>
      </c>
    </row>
    <row r="126" spans="1:2" x14ac:dyDescent="0.25">
      <c r="A126" s="34">
        <v>365</v>
      </c>
      <c r="B126" s="39">
        <v>6.4</v>
      </c>
    </row>
    <row r="127" spans="1:2" x14ac:dyDescent="0.25">
      <c r="A127" s="34">
        <v>366</v>
      </c>
      <c r="B127" s="39">
        <v>6.6</v>
      </c>
    </row>
    <row r="128" spans="1:2" x14ac:dyDescent="0.25">
      <c r="A128" s="34">
        <v>367</v>
      </c>
      <c r="B128" s="39">
        <v>6.7</v>
      </c>
    </row>
    <row r="129" spans="1:2" x14ac:dyDescent="0.25">
      <c r="A129" s="34">
        <v>368</v>
      </c>
      <c r="B129" s="39">
        <v>6.8</v>
      </c>
    </row>
    <row r="130" spans="1:2" x14ac:dyDescent="0.25">
      <c r="A130" s="34">
        <v>369</v>
      </c>
      <c r="B130" s="39">
        <v>7</v>
      </c>
    </row>
    <row r="131" spans="1:2" x14ac:dyDescent="0.25">
      <c r="A131" s="34">
        <v>370</v>
      </c>
      <c r="B131" s="39">
        <v>7.1</v>
      </c>
    </row>
    <row r="132" spans="1:2" x14ac:dyDescent="0.25">
      <c r="A132" s="34">
        <v>371</v>
      </c>
      <c r="B132" s="39">
        <v>7.2</v>
      </c>
    </row>
    <row r="133" spans="1:2" x14ac:dyDescent="0.25">
      <c r="A133" s="34">
        <v>372</v>
      </c>
      <c r="B133" s="39">
        <v>7.3</v>
      </c>
    </row>
    <row r="134" spans="1:2" x14ac:dyDescent="0.25">
      <c r="A134" s="34">
        <v>373</v>
      </c>
      <c r="B134" s="39">
        <v>7.4</v>
      </c>
    </row>
    <row r="135" spans="1:2" x14ac:dyDescent="0.25">
      <c r="A135" s="66" t="s">
        <v>6</v>
      </c>
      <c r="B135" s="67" t="s">
        <v>6</v>
      </c>
    </row>
    <row r="136" spans="1:2" x14ac:dyDescent="0.25">
      <c r="A136" s="66" t="s">
        <v>6</v>
      </c>
      <c r="B136" s="67" t="s">
        <v>6</v>
      </c>
    </row>
    <row r="137" spans="1:2" x14ac:dyDescent="0.25">
      <c r="A137" s="66" t="s">
        <v>6</v>
      </c>
      <c r="B137" s="67" t="s">
        <v>6</v>
      </c>
    </row>
    <row r="138" spans="1:2" x14ac:dyDescent="0.25">
      <c r="A138" s="66" t="s">
        <v>6</v>
      </c>
      <c r="B138" s="67" t="s">
        <v>6</v>
      </c>
    </row>
  </sheetData>
  <sheetProtection password="CF7A" sheet="1" objects="1" scenarios="1"/>
  <pageMargins left="0.75" right="0.75" top="1" bottom="1" header="0.5" footer="0.5"/>
  <pageSetup paperSize="9" orientation="portrait" r:id="rId1"/>
  <headerFooter>
    <oddFooter>91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2"/>
  <sheetViews>
    <sheetView workbookViewId="0">
      <selection activeCell="B21" sqref="B21"/>
    </sheetView>
  </sheetViews>
  <sheetFormatPr defaultRowHeight="15" x14ac:dyDescent="0.25"/>
  <cols>
    <col min="1" max="1" width="42.5703125" bestFit="1" customWidth="1"/>
    <col min="2" max="2" width="10.28515625" bestFit="1" customWidth="1"/>
  </cols>
  <sheetData>
    <row r="1" spans="1:3" x14ac:dyDescent="0.25">
      <c r="A1" t="s">
        <v>55</v>
      </c>
      <c r="B1" s="48">
        <v>1.8</v>
      </c>
      <c r="C1" s="49">
        <v>1.4</v>
      </c>
    </row>
    <row r="2" spans="1:3" x14ac:dyDescent="0.25">
      <c r="A2" t="s">
        <v>56</v>
      </c>
      <c r="B2" s="48">
        <v>1.1000000000000001</v>
      </c>
      <c r="C2" s="49">
        <v>0.9</v>
      </c>
    </row>
    <row r="3" spans="1:3" x14ac:dyDescent="0.25">
      <c r="A3" t="s">
        <v>57</v>
      </c>
      <c r="B3" s="48">
        <v>1</v>
      </c>
      <c r="C3" s="49">
        <v>0.6</v>
      </c>
    </row>
    <row r="6" spans="1:3" x14ac:dyDescent="0.25">
      <c r="A6" t="s">
        <v>58</v>
      </c>
      <c r="B6">
        <f>100.69*Расчет!K19*Расчет!J19/Расчет!I19</f>
        <v>222.11029411764707</v>
      </c>
    </row>
    <row r="7" spans="1:3" x14ac:dyDescent="0.25">
      <c r="A7" t="s">
        <v>59</v>
      </c>
      <c r="B7">
        <f>47.22*Расчет!K19*Расчет!J19/Расчет!I19</f>
        <v>104.16176470588235</v>
      </c>
    </row>
    <row r="8" spans="1:3" x14ac:dyDescent="0.25">
      <c r="A8" t="s">
        <v>60</v>
      </c>
      <c r="B8">
        <f>13.19*Расчет!K19*Расчет!J19/Расчет!I19</f>
        <v>29.095588235294116</v>
      </c>
    </row>
    <row r="11" spans="1:3" x14ac:dyDescent="0.25">
      <c r="A11" t="s">
        <v>61</v>
      </c>
    </row>
    <row r="12" spans="1:3" x14ac:dyDescent="0.25">
      <c r="A12" t="s">
        <v>62</v>
      </c>
    </row>
  </sheetData>
  <sheetProtection password="CF7A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Расчет</vt:lpstr>
      <vt:lpstr>Результаты</vt:lpstr>
      <vt:lpstr>Таблица Л.1, таблица П.1</vt:lpstr>
      <vt:lpstr>Таблица П.6 (Тж)</vt:lpstr>
      <vt:lpstr>Кнал и Кпр, Т</vt:lpstr>
      <vt:lpstr>Вариант_налива</vt:lpstr>
      <vt:lpstr>Выбор_таблицы</vt:lpstr>
      <vt:lpstr>Способ</vt:lpstr>
      <vt:lpstr>Температура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CCC</cp:lastModifiedBy>
  <cp:lastPrinted>2016-09-20T09:01:05Z</cp:lastPrinted>
  <dcterms:created xsi:type="dcterms:W3CDTF">2012-03-27T10:47:42Z</dcterms:created>
  <dcterms:modified xsi:type="dcterms:W3CDTF">2016-09-20T13:50:00Z</dcterms:modified>
</cp:coreProperties>
</file>