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o.plotnikova\Desktop\ALL\000 - карточки по матрице\"/>
    </mc:Choice>
  </mc:AlternateContent>
  <bookViews>
    <workbookView xWindow="0" yWindow="0" windowWidth="28800" windowHeight="14820" tabRatio="837"/>
  </bookViews>
  <sheets>
    <sheet name="2)(2-4-2темп)(ПогрузПеревоз-2нб" sheetId="80" r:id="rId1"/>
    <sheet name="---" sheetId="58" r:id="rId2"/>
  </sheets>
  <externalReferences>
    <externalReference r:id="rId3"/>
  </externalReferences>
  <definedNames>
    <definedName name="_xlnm.Print_Area" localSheetId="0">'2)(2-4-2темп)(ПогрузПеревоз-2нб'!$A$1:$G$20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80" l="1"/>
  <c r="E63" i="80"/>
  <c r="D74" i="80" l="1"/>
  <c r="D69" i="80"/>
  <c r="F5" i="80"/>
  <c r="E86" i="80" l="1"/>
  <c r="E87" i="80" s="1"/>
  <c r="E69" i="80"/>
  <c r="E68" i="80"/>
  <c r="E66" i="80"/>
  <c r="E64" i="80"/>
  <c r="E38" i="80"/>
  <c r="E55" i="80"/>
  <c r="E71" i="80"/>
  <c r="D67" i="80"/>
  <c r="D66" i="80"/>
  <c r="D64" i="80"/>
  <c r="E50" i="80"/>
  <c r="E51" i="80" s="1"/>
  <c r="E33" i="80"/>
  <c r="E34" i="80" s="1"/>
  <c r="G64" i="80" l="1"/>
  <c r="E67" i="80"/>
  <c r="E72" i="80"/>
  <c r="G66" i="80"/>
  <c r="E36" i="80"/>
  <c r="E37" i="80" s="1"/>
  <c r="E39" i="80" s="1"/>
  <c r="E40" i="80" s="1"/>
  <c r="E35" i="80"/>
  <c r="E53" i="80"/>
  <c r="E54" i="80" s="1"/>
  <c r="E52" i="80"/>
  <c r="E56" i="80" l="1"/>
  <c r="E57" i="80" s="1"/>
  <c r="E76" i="80"/>
  <c r="E78" i="80" s="1"/>
  <c r="E79" i="80" s="1"/>
  <c r="E74" i="80"/>
  <c r="E73" i="80"/>
  <c r="E81" i="80" l="1"/>
  <c r="E84" i="80" s="1"/>
  <c r="E80" i="80"/>
  <c r="E82" i="80"/>
  <c r="E85" i="80" s="1"/>
  <c r="G78" i="80"/>
  <c r="E83" i="80" l="1"/>
  <c r="E88" i="80" l="1"/>
  <c r="E90" i="80" s="1"/>
  <c r="E89" i="80"/>
  <c r="E91" i="80" s="1"/>
</calcChain>
</file>

<file path=xl/sharedStrings.xml><?xml version="1.0" encoding="utf-8"?>
<sst xmlns="http://schemas.openxmlformats.org/spreadsheetml/2006/main" count="68" uniqueCount="52">
  <si>
    <t>км</t>
  </si>
  <si>
    <t>шт</t>
  </si>
  <si>
    <t>Плечо возки</t>
  </si>
  <si>
    <t>часа</t>
  </si>
  <si>
    <t>км/ч</t>
  </si>
  <si>
    <t>Порожняком</t>
  </si>
  <si>
    <t>минут на 1 рейс</t>
  </si>
  <si>
    <t>часов 1 рейс</t>
  </si>
  <si>
    <t>м-час на 1 рейс</t>
  </si>
  <si>
    <t>Перевозка</t>
  </si>
  <si>
    <t>шт машин</t>
  </si>
  <si>
    <t>Пробег</t>
  </si>
  <si>
    <t>Время погрузки+разгрузки</t>
  </si>
  <si>
    <t>рейсов нужно</t>
  </si>
  <si>
    <t>рейсов</t>
  </si>
  <si>
    <t>КТУ</t>
  </si>
  <si>
    <t>возможность</t>
  </si>
  <si>
    <t>потребность</t>
  </si>
  <si>
    <t>коэф для шт машин</t>
  </si>
  <si>
    <t>коэф для шт рейсов</t>
  </si>
  <si>
    <t>Расчет числа машин: 
если коэф &lt;1, то =1, если коэф &gt;1, то =округлвверх(к;0)</t>
  </si>
  <si>
    <t>КТИ этого рейса</t>
  </si>
  <si>
    <t>время занятости одной машины этим  округл кол-вом рейсов</t>
  </si>
  <si>
    <t>нужно смен на 1 рейс</t>
  </si>
  <si>
    <t>то же, округл</t>
  </si>
  <si>
    <t>то же округл</t>
  </si>
  <si>
    <t>Скорость машины с грузом</t>
  </si>
  <si>
    <t>Скорость машины без груза</t>
  </si>
  <si>
    <t>Нужно перевезти за день</t>
  </si>
  <si>
    <t>ед</t>
  </si>
  <si>
    <t>Рабочая смена</t>
  </si>
  <si>
    <t>ч</t>
  </si>
  <si>
    <t>Результаты расчета</t>
  </si>
  <si>
    <t>Нужно машин (например 5)</t>
  </si>
  <si>
    <t xml:space="preserve">Нужно рейсов (например 12) </t>
  </si>
  <si>
    <t>С грузом</t>
  </si>
  <si>
    <r>
      <t>Сколько рейсов</t>
    </r>
    <r>
      <rPr>
        <u/>
        <sz val="11"/>
        <color theme="1"/>
        <rFont val="Arial"/>
        <family val="2"/>
        <charset val="204"/>
      </rPr>
      <t xml:space="preserve"> на 1 ед груза</t>
    </r>
    <r>
      <rPr>
        <sz val="11"/>
        <color theme="1"/>
        <rFont val="Arial"/>
        <family val="2"/>
        <charset val="204"/>
      </rPr>
      <t>:</t>
    </r>
  </si>
  <si>
    <t>Манипуляции</t>
  </si>
  <si>
    <t>Маш-часов на 1 ед груза: (груз + порожняк) + 2 манипуляции</t>
  </si>
  <si>
    <t>м-час всех рейсов на нужное кол-во груза</t>
  </si>
  <si>
    <t>Расчет выработки 1 шт машин при перевозке</t>
  </si>
  <si>
    <t>Общее время вкл 
(пробег +порожняк + манипуляции 2 раза + погр + разгр)</t>
  </si>
  <si>
    <t>Рейсов за смену (с учетом погрузки-разгрузки) с двойным грузом</t>
  </si>
  <si>
    <t>рейсов за смену может сделать 1 машина</t>
  </si>
  <si>
    <t>ед груза за смену</t>
  </si>
  <si>
    <t>рейсов нужно на этот груз</t>
  </si>
  <si>
    <t>м-час на 1 ед груза</t>
  </si>
  <si>
    <t>промежуточные ячейки сгруппированы, не надо трогать</t>
  </si>
  <si>
    <t>менябельно</t>
  </si>
  <si>
    <t>без изм</t>
  </si>
  <si>
    <t>ед груза за смену одной машиной округл</t>
  </si>
  <si>
    <t>Кол-во грузов на один рейс машины (двойной 0,0113)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</si>
</sst>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11"/>
      <color theme="8" tint="-0.249977111117893"/>
      <name val="Arial"/>
      <family val="2"/>
      <charset val="204"/>
    </font>
    <font>
      <sz val="11"/>
      <color theme="9" tint="-0.499984740745262"/>
      <name val="Arial"/>
      <family val="2"/>
      <charset val="204"/>
    </font>
    <font>
      <b/>
      <u/>
      <sz val="11"/>
      <color theme="5" tint="-0.499984740745262"/>
      <name val="Arial"/>
      <family val="2"/>
      <charset val="204"/>
    </font>
    <font>
      <sz val="11"/>
      <color theme="4" tint="-0.499984740745262"/>
      <name val="Arial"/>
      <family val="2"/>
      <charset val="204"/>
    </font>
    <font>
      <sz val="11"/>
      <color rgb="FF7030A0"/>
      <name val="Arial"/>
      <family val="2"/>
      <charset val="204"/>
    </font>
    <font>
      <b/>
      <sz val="11"/>
      <color rgb="FF7030A0"/>
      <name val="Arial"/>
      <family val="2"/>
      <charset val="204"/>
    </font>
    <font>
      <u/>
      <sz val="11"/>
      <color theme="1"/>
      <name val="Arial"/>
      <family val="2"/>
      <charset val="204"/>
    </font>
    <font>
      <i/>
      <sz val="8"/>
      <color theme="8" tint="-0.249977111117893"/>
      <name val="Arial"/>
      <family val="2"/>
      <charset val="204"/>
    </font>
    <font>
      <i/>
      <sz val="8"/>
      <color theme="9" tint="-0.49998474074526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 style="thin">
        <color theme="9" tint="-0.24994659260841701"/>
      </top>
      <bottom/>
      <diagonal/>
    </border>
    <border>
      <left/>
      <right/>
      <top/>
      <bottom style="thin">
        <color theme="9" tint="-0.24994659260841701"/>
      </bottom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/>
    <xf numFmtId="0" fontId="1" fillId="0" borderId="2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right" vertical="top" wrapText="1"/>
    </xf>
    <xf numFmtId="4" fontId="1" fillId="0" borderId="1" xfId="0" applyNumberFormat="1" applyFont="1" applyBorder="1" applyAlignment="1">
      <alignment vertical="top" wrapText="1"/>
    </xf>
    <xf numFmtId="164" fontId="1" fillId="0" borderId="2" xfId="0" applyNumberFormat="1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164" fontId="1" fillId="0" borderId="0" xfId="0" applyNumberFormat="1" applyFont="1" applyAlignment="1">
      <alignment vertical="top" wrapText="1"/>
    </xf>
    <xf numFmtId="164" fontId="7" fillId="0" borderId="2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2" fontId="1" fillId="0" borderId="0" xfId="0" applyNumberFormat="1" applyFont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166" fontId="1" fillId="0" borderId="2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164" fontId="5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64" fontId="7" fillId="0" borderId="3" xfId="0" applyNumberFormat="1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164" fontId="8" fillId="0" borderId="3" xfId="0" applyNumberFormat="1" applyFont="1" applyBorder="1" applyAlignment="1">
      <alignment vertical="top" wrapText="1"/>
    </xf>
    <xf numFmtId="164" fontId="1" fillId="0" borderId="0" xfId="0" applyNumberFormat="1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164" fontId="5" fillId="0" borderId="4" xfId="0" applyNumberFormat="1" applyFont="1" applyBorder="1" applyAlignment="1">
      <alignment vertical="top" wrapText="1"/>
    </xf>
    <xf numFmtId="164" fontId="1" fillId="0" borderId="4" xfId="0" applyNumberFormat="1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165" fontId="8" fillId="0" borderId="2" xfId="0" applyNumberFormat="1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165" fontId="4" fillId="0" borderId="2" xfId="0" applyNumberFormat="1" applyFont="1" applyBorder="1" applyAlignment="1">
      <alignment vertical="top" wrapText="1"/>
    </xf>
    <xf numFmtId="164" fontId="8" fillId="0" borderId="4" xfId="0" applyNumberFormat="1" applyFont="1" applyBorder="1" applyAlignment="1">
      <alignment vertical="top" wrapText="1"/>
    </xf>
    <xf numFmtId="164" fontId="4" fillId="0" borderId="3" xfId="0" applyNumberFormat="1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64" fontId="4" fillId="0" borderId="4" xfId="0" applyNumberFormat="1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164" fontId="10" fillId="0" borderId="2" xfId="0" applyNumberFormat="1" applyFont="1" applyBorder="1" applyAlignment="1">
      <alignment vertical="top" wrapText="1"/>
    </xf>
    <xf numFmtId="165" fontId="7" fillId="0" borderId="2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164" fontId="11" fillId="0" borderId="3" xfId="0" applyNumberFormat="1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164" fontId="11" fillId="0" borderId="4" xfId="0" applyNumberFormat="1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165" fontId="11" fillId="0" borderId="2" xfId="0" applyNumberFormat="1" applyFont="1" applyBorder="1" applyAlignment="1">
      <alignment vertical="top" wrapText="1"/>
    </xf>
    <xf numFmtId="164" fontId="8" fillId="0" borderId="5" xfId="0" applyNumberFormat="1" applyFont="1" applyBorder="1" applyAlignment="1">
      <alignment vertical="top" wrapText="1"/>
    </xf>
    <xf numFmtId="164" fontId="11" fillId="0" borderId="6" xfId="0" applyNumberFormat="1" applyFont="1" applyBorder="1" applyAlignment="1">
      <alignment vertical="top" wrapText="1"/>
    </xf>
    <xf numFmtId="164" fontId="8" fillId="0" borderId="7" xfId="0" applyNumberFormat="1" applyFont="1" applyBorder="1" applyAlignment="1">
      <alignment vertical="top" wrapText="1"/>
    </xf>
    <xf numFmtId="164" fontId="11" fillId="0" borderId="8" xfId="0" applyNumberFormat="1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164" fontId="12" fillId="0" borderId="4" xfId="0" applyNumberFormat="1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164" fontId="12" fillId="0" borderId="0" xfId="0" applyNumberFormat="1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165" fontId="12" fillId="0" borderId="2" xfId="0" applyNumberFormat="1" applyFont="1" applyBorder="1" applyAlignment="1">
      <alignment vertical="top" wrapText="1"/>
    </xf>
    <xf numFmtId="4" fontId="5" fillId="0" borderId="2" xfId="0" applyNumberFormat="1" applyFont="1" applyBorder="1" applyAlignment="1">
      <alignment vertical="top" wrapText="1"/>
    </xf>
    <xf numFmtId="0" fontId="8" fillId="0" borderId="4" xfId="0" applyFont="1" applyBorder="1" applyAlignment="1">
      <alignment horizontal="right" vertical="top" wrapText="1"/>
    </xf>
    <xf numFmtId="0" fontId="11" fillId="0" borderId="4" xfId="0" applyFont="1" applyBorder="1" applyAlignment="1">
      <alignment horizontal="right" vertical="top" wrapText="1"/>
    </xf>
    <xf numFmtId="0" fontId="8" fillId="0" borderId="3" xfId="0" applyFont="1" applyBorder="1" applyAlignment="1">
      <alignment horizontal="right" vertical="top" wrapText="1"/>
    </xf>
    <xf numFmtId="0" fontId="11" fillId="0" borderId="3" xfId="0" applyFont="1" applyBorder="1" applyAlignment="1">
      <alignment horizontal="right" vertical="top" wrapText="1"/>
    </xf>
    <xf numFmtId="164" fontId="12" fillId="0" borderId="8" xfId="0" applyNumberFormat="1" applyFont="1" applyBorder="1" applyAlignment="1">
      <alignment vertical="top" wrapText="1"/>
    </xf>
    <xf numFmtId="0" fontId="8" fillId="0" borderId="2" xfId="0" applyFont="1" applyBorder="1" applyAlignment="1">
      <alignment horizontal="right" vertical="top" wrapText="1"/>
    </xf>
    <xf numFmtId="0" fontId="11" fillId="0" borderId="2" xfId="0" applyFont="1" applyBorder="1" applyAlignment="1">
      <alignment horizontal="right" vertical="top" wrapText="1"/>
    </xf>
    <xf numFmtId="0" fontId="1" fillId="0" borderId="0" xfId="0" applyFont="1" applyFill="1" applyBorder="1" applyAlignment="1">
      <alignment vertical="top" wrapText="1"/>
    </xf>
    <xf numFmtId="165" fontId="14" fillId="0" borderId="2" xfId="0" applyNumberFormat="1" applyFont="1" applyBorder="1" applyAlignment="1">
      <alignment vertical="top" wrapText="1"/>
    </xf>
    <xf numFmtId="165" fontId="15" fillId="0" borderId="2" xfId="0" applyNumberFormat="1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9" fontId="1" fillId="0" borderId="0" xfId="0" applyNumberFormat="1" applyFont="1" applyBorder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5050"/>
      <color rgb="FFC87854"/>
      <color rgb="FFE2B9A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0%20-%20Acht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емл"/>
      <sheetName val="Лист1"/>
    </sheetNames>
    <sheetDataSet>
      <sheetData sheetId="0">
        <row r="2">
          <cell r="C2">
            <v>8</v>
          </cell>
        </row>
        <row r="4">
          <cell r="C4">
            <v>0.27500000000000002</v>
          </cell>
        </row>
        <row r="16">
          <cell r="C16">
            <v>11.3</v>
          </cell>
        </row>
        <row r="18">
          <cell r="C18">
            <v>89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5050"/>
  </sheetPr>
  <dimension ref="B2:V91"/>
  <sheetViews>
    <sheetView tabSelected="1" view="pageBreakPreview" zoomScale="90" zoomScaleNormal="100" zoomScaleSheetLayoutView="90" workbookViewId="0">
      <pane ySplit="2820" topLeftCell="A58" activePane="bottomLeft"/>
      <selection activeCell="D5" sqref="D5"/>
      <selection pane="bottomLeft" activeCell="I87" sqref="I87"/>
    </sheetView>
  </sheetViews>
  <sheetFormatPr defaultRowHeight="14.25" outlineLevelRow="1" x14ac:dyDescent="0.25"/>
  <cols>
    <col min="1" max="1" width="4.140625" style="2" customWidth="1"/>
    <col min="2" max="3" width="6.7109375" style="2" customWidth="1"/>
    <col min="4" max="4" width="66" style="2" customWidth="1"/>
    <col min="5" max="5" width="21.42578125" style="2" customWidth="1"/>
    <col min="6" max="6" width="17.7109375" style="2" customWidth="1"/>
    <col min="7" max="7" width="13.140625" style="2" bestFit="1" customWidth="1"/>
    <col min="8" max="17" width="10.7109375" style="2" customWidth="1"/>
    <col min="18" max="16384" width="9.140625" style="2"/>
  </cols>
  <sheetData>
    <row r="2" spans="2:22" x14ac:dyDescent="0.25">
      <c r="B2" s="3"/>
      <c r="C2" s="4"/>
      <c r="D2" s="46"/>
      <c r="E2" s="3"/>
      <c r="F2" s="3"/>
      <c r="G2" s="4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spans="2:22" x14ac:dyDescent="0.25">
      <c r="B3" s="3"/>
      <c r="C3" s="4"/>
      <c r="D3" s="46" t="s">
        <v>30</v>
      </c>
      <c r="E3" s="3" t="s">
        <v>31</v>
      </c>
      <c r="F3" s="77">
        <v>8</v>
      </c>
      <c r="G3" s="4" t="s">
        <v>49</v>
      </c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</row>
    <row r="4" spans="2:22" x14ac:dyDescent="0.25">
      <c r="B4" s="3"/>
      <c r="C4" s="4"/>
      <c r="D4" s="46" t="s">
        <v>28</v>
      </c>
      <c r="E4" s="3" t="s">
        <v>29</v>
      </c>
      <c r="F4" s="77">
        <v>0.27500000000000002</v>
      </c>
      <c r="G4" s="4" t="s">
        <v>49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</row>
    <row r="5" spans="2:22" x14ac:dyDescent="0.25">
      <c r="B5" s="3"/>
      <c r="C5" s="4"/>
      <c r="D5" s="3" t="s">
        <v>51</v>
      </c>
      <c r="E5" s="3" t="s">
        <v>29</v>
      </c>
      <c r="F5" s="77">
        <f>0.0113*2</f>
        <v>2.2599999999999999E-2</v>
      </c>
      <c r="G5" s="4" t="s">
        <v>49</v>
      </c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</row>
    <row r="6" spans="2:22" x14ac:dyDescent="0.25">
      <c r="B6" s="3"/>
      <c r="C6" s="4"/>
      <c r="D6" s="3" t="s">
        <v>2</v>
      </c>
      <c r="E6" s="3" t="s">
        <v>0</v>
      </c>
      <c r="F6" s="3">
        <v>2</v>
      </c>
      <c r="G6" s="4" t="s">
        <v>48</v>
      </c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</row>
    <row r="7" spans="2:22" x14ac:dyDescent="0.25">
      <c r="B7" s="3"/>
      <c r="C7" s="4"/>
      <c r="D7" s="3" t="s">
        <v>26</v>
      </c>
      <c r="E7" s="3" t="s">
        <v>4</v>
      </c>
      <c r="F7" s="5">
        <v>25</v>
      </c>
      <c r="G7" s="4" t="s">
        <v>48</v>
      </c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</row>
    <row r="8" spans="2:22" x14ac:dyDescent="0.25">
      <c r="B8" s="3"/>
      <c r="C8" s="4"/>
      <c r="D8" s="3" t="s">
        <v>27</v>
      </c>
      <c r="E8" s="3" t="s">
        <v>4</v>
      </c>
      <c r="F8" s="5">
        <v>40</v>
      </c>
      <c r="G8" s="4" t="s">
        <v>48</v>
      </c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</row>
    <row r="9" spans="2:22" x14ac:dyDescent="0.25">
      <c r="B9" s="3"/>
      <c r="C9" s="4"/>
      <c r="D9" s="3"/>
      <c r="E9" s="3"/>
      <c r="F9" s="3"/>
      <c r="G9" s="4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</row>
    <row r="10" spans="2:22" x14ac:dyDescent="0.25">
      <c r="B10" s="3"/>
      <c r="C10" s="4"/>
      <c r="D10" s="3" t="s">
        <v>32</v>
      </c>
      <c r="E10" s="3"/>
      <c r="F10" s="3"/>
      <c r="G10" s="4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</row>
    <row r="11" spans="2:22" x14ac:dyDescent="0.25">
      <c r="B11" s="3"/>
      <c r="C11" s="4"/>
      <c r="D11" s="3"/>
      <c r="E11" s="3"/>
      <c r="F11" s="3"/>
      <c r="G11" s="4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</row>
    <row r="12" spans="2:22" x14ac:dyDescent="0.25">
      <c r="B12" s="3"/>
      <c r="C12" s="4"/>
      <c r="D12" s="3" t="s">
        <v>33</v>
      </c>
      <c r="E12" s="3" t="s">
        <v>1</v>
      </c>
      <c r="F12" s="3"/>
      <c r="G12" s="4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</row>
    <row r="13" spans="2:22" x14ac:dyDescent="0.25">
      <c r="B13" s="3"/>
      <c r="C13" s="4"/>
      <c r="D13" s="3" t="s">
        <v>34</v>
      </c>
      <c r="E13" s="3" t="s">
        <v>1</v>
      </c>
      <c r="F13" s="3"/>
      <c r="G13" s="4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</row>
    <row r="14" spans="2:22" x14ac:dyDescent="0.25">
      <c r="B14" s="3"/>
      <c r="C14" s="4"/>
      <c r="D14" s="3"/>
      <c r="E14" s="3"/>
      <c r="F14" s="3"/>
      <c r="G14" s="4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</row>
    <row r="15" spans="2:22" x14ac:dyDescent="0.25">
      <c r="B15" s="3"/>
      <c r="C15" s="4"/>
      <c r="D15" s="3"/>
      <c r="E15" s="3"/>
      <c r="F15" s="3"/>
      <c r="G15" s="4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</row>
    <row r="16" spans="2:22" x14ac:dyDescent="0.25">
      <c r="B16" s="3"/>
      <c r="C16" s="4"/>
      <c r="D16" s="3"/>
      <c r="E16" s="3"/>
      <c r="F16" s="3"/>
      <c r="G16" s="4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</row>
    <row r="17" spans="2:22" x14ac:dyDescent="0.25">
      <c r="B17" s="3"/>
      <c r="C17" s="4"/>
      <c r="D17" s="3"/>
      <c r="E17" s="3"/>
      <c r="F17" s="3"/>
      <c r="G17" s="4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</row>
    <row r="18" spans="2:22" x14ac:dyDescent="0.25">
      <c r="B18" s="11"/>
      <c r="C18" s="78"/>
      <c r="D18" s="11"/>
      <c r="E18" s="11"/>
      <c r="F18" s="11"/>
      <c r="G18" s="78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</row>
    <row r="19" spans="2:22" x14ac:dyDescent="0.25">
      <c r="B19" s="11"/>
      <c r="C19" s="78"/>
      <c r="D19" s="11"/>
      <c r="E19" s="11"/>
      <c r="F19" s="11"/>
      <c r="G19" s="78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</row>
    <row r="20" spans="2:22" x14ac:dyDescent="0.25">
      <c r="B20" s="11"/>
      <c r="C20" s="78"/>
      <c r="D20" s="11"/>
      <c r="E20" s="11"/>
      <c r="F20" s="11"/>
      <c r="G20" s="78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</row>
    <row r="21" spans="2:22" x14ac:dyDescent="0.25">
      <c r="B21" s="11"/>
      <c r="C21" s="78"/>
      <c r="D21" s="11"/>
      <c r="E21" s="11"/>
      <c r="F21" s="11"/>
      <c r="G21" s="78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</row>
    <row r="23" spans="2:22" x14ac:dyDescent="0.25">
      <c r="D23" s="2" t="s">
        <v>47</v>
      </c>
    </row>
    <row r="24" spans="2:22" ht="15" x14ac:dyDescent="0.25">
      <c r="C24" s="16"/>
      <c r="D24" s="17"/>
      <c r="E24" s="16"/>
      <c r="F24" s="16"/>
    </row>
    <row r="25" spans="2:22" hidden="1" outlineLevel="1" x14ac:dyDescent="0.25">
      <c r="C25" s="16"/>
      <c r="D25" s="16"/>
      <c r="E25" s="16"/>
      <c r="F25" s="16"/>
    </row>
    <row r="26" spans="2:22" hidden="1" outlineLevel="1" x14ac:dyDescent="0.25">
      <c r="C26" s="16"/>
      <c r="D26" s="16"/>
      <c r="E26" s="16"/>
      <c r="F26" s="16"/>
    </row>
    <row r="27" spans="2:22" hidden="1" outlineLevel="1" x14ac:dyDescent="0.25">
      <c r="C27" s="16"/>
      <c r="D27" s="16"/>
      <c r="E27" s="16">
        <v>14.26</v>
      </c>
      <c r="F27" s="16"/>
    </row>
    <row r="28" spans="2:22" hidden="1" outlineLevel="1" x14ac:dyDescent="0.25">
      <c r="C28" s="16"/>
      <c r="D28" s="16"/>
      <c r="E28" s="16">
        <v>9.75</v>
      </c>
      <c r="F28" s="16"/>
    </row>
    <row r="29" spans="2:22" hidden="1" outlineLevel="1" x14ac:dyDescent="0.25">
      <c r="C29" s="16"/>
      <c r="D29" s="16"/>
      <c r="E29" s="16">
        <v>9.75</v>
      </c>
      <c r="F29" s="16"/>
    </row>
    <row r="30" spans="2:22" hidden="1" outlineLevel="1" x14ac:dyDescent="0.25">
      <c r="C30" s="16"/>
      <c r="D30" s="16"/>
      <c r="E30" s="16"/>
      <c r="F30" s="16"/>
    </row>
    <row r="31" spans="2:22" hidden="1" outlineLevel="1" x14ac:dyDescent="0.25">
      <c r="C31" s="16"/>
      <c r="D31" s="18"/>
      <c r="E31" s="16"/>
      <c r="F31" s="16"/>
    </row>
    <row r="32" spans="2:22" hidden="1" outlineLevel="1" x14ac:dyDescent="0.25">
      <c r="C32" s="16"/>
      <c r="D32" s="16"/>
      <c r="E32" s="19">
        <v>9.75</v>
      </c>
      <c r="F32" s="16"/>
    </row>
    <row r="33" spans="3:7" hidden="1" outlineLevel="1" x14ac:dyDescent="0.25">
      <c r="C33" s="16"/>
      <c r="D33" s="16"/>
      <c r="E33" s="20">
        <f>[1]Земл!$C$18</f>
        <v>89</v>
      </c>
      <c r="F33" s="16"/>
    </row>
    <row r="34" spans="3:7" hidden="1" outlineLevel="1" x14ac:dyDescent="0.25">
      <c r="C34" s="16"/>
      <c r="D34" s="21"/>
      <c r="E34" s="40">
        <f>E32/E33</f>
        <v>0.10955056179775281</v>
      </c>
      <c r="F34" s="41"/>
      <c r="G34" s="12"/>
    </row>
    <row r="35" spans="3:7" hidden="1" outlineLevel="1" x14ac:dyDescent="0.25">
      <c r="C35" s="16"/>
      <c r="D35" s="21"/>
      <c r="E35" s="22">
        <f>E34*2</f>
        <v>0.21910112359550563</v>
      </c>
      <c r="F35" s="21"/>
      <c r="G35" s="12"/>
    </row>
    <row r="36" spans="3:7" hidden="1" outlineLevel="1" x14ac:dyDescent="0.25">
      <c r="C36" s="16"/>
      <c r="D36" s="23"/>
      <c r="E36" s="24">
        <f>ROUND(([1]Земл!$C$2)/E34,0)</f>
        <v>73</v>
      </c>
      <c r="F36" s="23"/>
    </row>
    <row r="37" spans="3:7" hidden="1" outlineLevel="1" x14ac:dyDescent="0.25">
      <c r="C37" s="16"/>
      <c r="D37" s="68"/>
      <c r="E37" s="56">
        <f>E36*[1]Земл!$C$16/1000</f>
        <v>0.82490000000000008</v>
      </c>
      <c r="F37" s="23"/>
    </row>
    <row r="38" spans="3:7" hidden="1" outlineLevel="1" x14ac:dyDescent="0.25">
      <c r="C38" s="16"/>
      <c r="D38" s="69"/>
      <c r="E38" s="49">
        <f>[1]Земл!$C$4</f>
        <v>0.27500000000000002</v>
      </c>
      <c r="F38" s="48"/>
    </row>
    <row r="39" spans="3:7" hidden="1" outlineLevel="1" x14ac:dyDescent="0.25">
      <c r="C39" s="16"/>
      <c r="D39" s="48"/>
      <c r="E39" s="57">
        <f>E38/E37</f>
        <v>0.33337374227179051</v>
      </c>
      <c r="F39" s="48"/>
    </row>
    <row r="40" spans="3:7" ht="15" hidden="1" outlineLevel="1" x14ac:dyDescent="0.25">
      <c r="C40" s="16"/>
      <c r="D40" s="60"/>
      <c r="E40" s="70">
        <f>IF(E39&lt;1,1,ROUNDUP(E39,0))</f>
        <v>1</v>
      </c>
      <c r="F40" s="60"/>
    </row>
    <row r="41" spans="3:7" hidden="1" outlineLevel="1" x14ac:dyDescent="0.25">
      <c r="C41" s="16"/>
      <c r="D41" s="23"/>
      <c r="E41" s="24"/>
      <c r="F41" s="23"/>
    </row>
    <row r="42" spans="3:7" hidden="1" outlineLevel="1" x14ac:dyDescent="0.25">
      <c r="C42" s="16"/>
      <c r="D42" s="23"/>
      <c r="E42" s="24"/>
      <c r="F42" s="23"/>
    </row>
    <row r="43" spans="3:7" hidden="1" outlineLevel="1" x14ac:dyDescent="0.25">
      <c r="C43" s="11"/>
      <c r="D43" s="11"/>
      <c r="E43" s="25"/>
      <c r="F43" s="11"/>
    </row>
    <row r="44" spans="3:7" ht="15" hidden="1" outlineLevel="1" x14ac:dyDescent="0.25">
      <c r="C44" s="26"/>
      <c r="D44" s="27"/>
      <c r="E44" s="26"/>
      <c r="F44" s="26"/>
    </row>
    <row r="45" spans="3:7" hidden="1" outlineLevel="1" x14ac:dyDescent="0.25">
      <c r="C45" s="26"/>
      <c r="D45" s="26"/>
      <c r="E45" s="26"/>
      <c r="F45" s="26"/>
    </row>
    <row r="46" spans="3:7" hidden="1" outlineLevel="1" x14ac:dyDescent="0.25">
      <c r="C46" s="26"/>
      <c r="D46" s="26"/>
      <c r="E46" s="26"/>
      <c r="F46" s="26"/>
    </row>
    <row r="47" spans="3:7" hidden="1" outlineLevel="1" x14ac:dyDescent="0.25">
      <c r="C47" s="26"/>
      <c r="D47" s="28"/>
      <c r="E47" s="26"/>
      <c r="F47" s="26"/>
    </row>
    <row r="48" spans="3:7" hidden="1" outlineLevel="1" x14ac:dyDescent="0.25">
      <c r="C48" s="26"/>
      <c r="D48" s="33"/>
      <c r="E48" s="30">
        <v>14.26</v>
      </c>
      <c r="F48" s="33"/>
    </row>
    <row r="49" spans="3:9" hidden="1" outlineLevel="1" x14ac:dyDescent="0.25">
      <c r="C49" s="26"/>
      <c r="D49" s="26"/>
      <c r="E49" s="30"/>
      <c r="F49" s="26"/>
    </row>
    <row r="50" spans="3:9" hidden="1" outlineLevel="1" x14ac:dyDescent="0.25">
      <c r="C50" s="26"/>
      <c r="D50" s="26"/>
      <c r="E50" s="31">
        <f>[1]Земл!$C$18</f>
        <v>89</v>
      </c>
      <c r="F50" s="26"/>
    </row>
    <row r="51" spans="3:9" hidden="1" outlineLevel="1" x14ac:dyDescent="0.25">
      <c r="C51" s="26"/>
      <c r="D51" s="29"/>
      <c r="E51" s="42">
        <f>E48/E50</f>
        <v>0.1602247191011236</v>
      </c>
      <c r="F51" s="33"/>
      <c r="G51" s="12"/>
    </row>
    <row r="52" spans="3:9" hidden="1" outlineLevel="1" x14ac:dyDescent="0.25">
      <c r="C52" s="26"/>
      <c r="D52" s="21"/>
      <c r="E52" s="34">
        <f>E51*2</f>
        <v>0.32044943820224719</v>
      </c>
      <c r="F52" s="21"/>
      <c r="G52" s="12"/>
    </row>
    <row r="53" spans="3:9" hidden="1" outlineLevel="1" x14ac:dyDescent="0.25">
      <c r="C53" s="26"/>
      <c r="D53" s="32"/>
      <c r="E53" s="39">
        <f>ROUND(([1]Земл!$C$2)/E51,0)</f>
        <v>50</v>
      </c>
      <c r="F53" s="39"/>
    </row>
    <row r="54" spans="3:9" hidden="1" outlineLevel="1" x14ac:dyDescent="0.25">
      <c r="C54" s="26"/>
      <c r="D54" s="66"/>
      <c r="E54" s="54">
        <f>E53*[1]Земл!$C$16/1000</f>
        <v>0.56499999999999995</v>
      </c>
      <c r="F54" s="39"/>
    </row>
    <row r="55" spans="3:9" hidden="1" outlineLevel="1" x14ac:dyDescent="0.25">
      <c r="C55" s="26"/>
      <c r="D55" s="67"/>
      <c r="E55" s="51">
        <f>[1]Земл!$C$4</f>
        <v>0.27500000000000002</v>
      </c>
      <c r="F55" s="51"/>
    </row>
    <row r="56" spans="3:9" hidden="1" outlineLevel="1" x14ac:dyDescent="0.25">
      <c r="C56" s="26"/>
      <c r="D56" s="50"/>
      <c r="E56" s="55">
        <f>E55/E54</f>
        <v>0.48672566371681425</v>
      </c>
      <c r="F56" s="51"/>
    </row>
    <row r="57" spans="3:9" ht="15" hidden="1" outlineLevel="1" x14ac:dyDescent="0.25">
      <c r="C57" s="26"/>
      <c r="D57" s="58"/>
      <c r="E57" s="59">
        <f>IF(E56&lt;1,1,ROUNDUP(E56,0))</f>
        <v>1</v>
      </c>
      <c r="F57" s="59"/>
    </row>
    <row r="58" spans="3:9" collapsed="1" x14ac:dyDescent="0.25">
      <c r="C58" s="26"/>
      <c r="D58" s="32"/>
      <c r="E58" s="39"/>
      <c r="F58" s="39"/>
    </row>
    <row r="59" spans="3:9" ht="15" x14ac:dyDescent="0.25">
      <c r="C59" s="1"/>
      <c r="D59" s="17" t="s">
        <v>9</v>
      </c>
    </row>
    <row r="60" spans="3:9" x14ac:dyDescent="0.25">
      <c r="C60" s="1"/>
      <c r="D60" s="1"/>
      <c r="E60" s="1"/>
      <c r="F60" s="1"/>
    </row>
    <row r="61" spans="3:9" ht="15" x14ac:dyDescent="0.25">
      <c r="C61" s="1"/>
      <c r="D61" s="37" t="s">
        <v>11</v>
      </c>
      <c r="E61" s="1"/>
      <c r="F61" s="1"/>
      <c r="I61" s="9"/>
    </row>
    <row r="62" spans="3:9" x14ac:dyDescent="0.25">
      <c r="C62" s="1"/>
      <c r="D62" s="14"/>
      <c r="E62" s="1"/>
      <c r="F62" s="1"/>
      <c r="I62" s="9"/>
    </row>
    <row r="63" spans="3:9" x14ac:dyDescent="0.25">
      <c r="C63" s="1"/>
      <c r="D63" s="1" t="s">
        <v>35</v>
      </c>
      <c r="E63" s="65">
        <f>F7</f>
        <v>25</v>
      </c>
      <c r="F63" s="1" t="s">
        <v>4</v>
      </c>
      <c r="I63" s="9"/>
    </row>
    <row r="64" spans="3:9" ht="28.5" x14ac:dyDescent="0.25">
      <c r="C64" s="1"/>
      <c r="D64" s="1" t="str">
        <f>CONCATENATE(". . . . . . . . . . Итого время для плеча возки : ",F6," км")</f>
        <v>. . . . . . . . . . Итого время для плеча возки : 2 км</v>
      </c>
      <c r="E64" s="15">
        <f>F6/E63</f>
        <v>0.08</v>
      </c>
      <c r="F64" s="1" t="s">
        <v>3</v>
      </c>
      <c r="G64" s="2">
        <f>60*E64</f>
        <v>4.8</v>
      </c>
      <c r="H64" s="2" t="s">
        <v>6</v>
      </c>
      <c r="I64" s="9"/>
    </row>
    <row r="65" spans="3:9" x14ac:dyDescent="0.25">
      <c r="C65" s="1"/>
      <c r="D65" s="1" t="s">
        <v>5</v>
      </c>
      <c r="E65" s="65">
        <f>F8</f>
        <v>40</v>
      </c>
      <c r="F65" s="1" t="s">
        <v>4</v>
      </c>
      <c r="I65" s="9"/>
    </row>
    <row r="66" spans="3:9" ht="28.5" x14ac:dyDescent="0.25">
      <c r="C66" s="1"/>
      <c r="D66" s="1" t="str">
        <f>CONCATENATE(". . . . . . . . . . Итого время для плеча возки : ",F6," км ")</f>
        <v xml:space="preserve">. . . . . . . . . . Итого время для плеча возки : 2 км </v>
      </c>
      <c r="E66" s="1">
        <f>F6/E65</f>
        <v>0.05</v>
      </c>
      <c r="F66" s="1" t="s">
        <v>3</v>
      </c>
      <c r="G66" s="2">
        <f>60*E66</f>
        <v>3</v>
      </c>
      <c r="H66" s="2" t="s">
        <v>6</v>
      </c>
      <c r="I66" s="9"/>
    </row>
    <row r="67" spans="3:9" x14ac:dyDescent="0.25">
      <c r="C67" s="1"/>
      <c r="D67" s="1" t="str">
        <f>CONCATENATE("Суммарно туда-обратно для плеча возки : ",F6," км; 1 рейс")</f>
        <v>Суммарно туда-обратно для плеча возки : 2 км; 1 рейс</v>
      </c>
      <c r="E67" s="45">
        <f>E64+E66</f>
        <v>0.13</v>
      </c>
      <c r="F67" s="7" t="s">
        <v>7</v>
      </c>
      <c r="I67" s="9"/>
    </row>
    <row r="68" spans="3:9" x14ac:dyDescent="0.25">
      <c r="C68" s="1"/>
      <c r="D68" s="1" t="s">
        <v>36</v>
      </c>
      <c r="E68" s="38">
        <f>1*1000/(11.3*2)</f>
        <v>44.247787610619469</v>
      </c>
      <c r="F68" s="8" t="s">
        <v>13</v>
      </c>
      <c r="I68" s="9"/>
    </row>
    <row r="69" spans="3:9" x14ac:dyDescent="0.25">
      <c r="C69" s="1"/>
      <c r="D69" s="52" t="str">
        <f>CONCATENATE("Сколько рейсов на: ",F4," ед груза")</f>
        <v>Сколько рейсов на: 0,275 ед груза</v>
      </c>
      <c r="E69" s="53">
        <f>1000*[1]Земл!$C$4/(11.3*2)</f>
        <v>12.168141592920353</v>
      </c>
      <c r="F69" s="52" t="s">
        <v>13</v>
      </c>
      <c r="I69" s="9"/>
    </row>
    <row r="70" spans="3:9" ht="15" x14ac:dyDescent="0.25">
      <c r="C70" s="1"/>
      <c r="D70" s="37" t="s">
        <v>37</v>
      </c>
      <c r="E70" s="1"/>
      <c r="F70" s="1"/>
      <c r="I70" s="9"/>
    </row>
    <row r="71" spans="3:9" x14ac:dyDescent="0.25">
      <c r="C71" s="1"/>
      <c r="D71" s="1">
        <v>1</v>
      </c>
      <c r="E71" s="6">
        <f>5/60</f>
        <v>8.3333333333333329E-2</v>
      </c>
      <c r="F71" s="1"/>
      <c r="I71" s="9"/>
    </row>
    <row r="72" spans="3:9" x14ac:dyDescent="0.25">
      <c r="C72" s="1"/>
      <c r="D72" s="1">
        <v>2</v>
      </c>
      <c r="E72" s="10">
        <f>E71*2</f>
        <v>0.16666666666666666</v>
      </c>
      <c r="F72" s="7" t="s">
        <v>8</v>
      </c>
      <c r="I72" s="9"/>
    </row>
    <row r="73" spans="3:9" ht="28.5" x14ac:dyDescent="0.25">
      <c r="C73" s="1"/>
      <c r="D73" s="13" t="s">
        <v>38</v>
      </c>
      <c r="E73" s="35">
        <f>(E67*E68)+(E68*E72)</f>
        <v>13.126843657817108</v>
      </c>
      <c r="F73" s="13" t="s">
        <v>46</v>
      </c>
      <c r="I73" s="9"/>
    </row>
    <row r="74" spans="3:9" ht="57" x14ac:dyDescent="0.25">
      <c r="C74" s="1"/>
      <c r="D74" s="52" t="str">
        <f>CONCATENATE("Маш-часов на ",[1]Земл!$C$4," ед груза= пробег + порожняк + 2 ман;")</f>
        <v>Маш-часов на 0,275 ед груза= пробег + порожняк + 2 ман;</v>
      </c>
      <c r="E74" s="53">
        <f>(E67*E69)+(E69*E72)</f>
        <v>3.6098820058997045</v>
      </c>
      <c r="F74" s="52" t="s">
        <v>39</v>
      </c>
      <c r="I74" s="9"/>
    </row>
    <row r="75" spans="3:9" ht="15" x14ac:dyDescent="0.25">
      <c r="C75" s="1"/>
      <c r="D75" s="36" t="s">
        <v>12</v>
      </c>
      <c r="E75" s="44"/>
      <c r="F75" s="43"/>
      <c r="I75" s="9"/>
    </row>
    <row r="76" spans="3:9" x14ac:dyDescent="0.25">
      <c r="C76" s="1"/>
      <c r="D76" s="1"/>
      <c r="E76" s="44">
        <f>E35+E52</f>
        <v>0.53955056179775285</v>
      </c>
      <c r="F76" s="43" t="s">
        <v>8</v>
      </c>
      <c r="I76" s="9"/>
    </row>
    <row r="77" spans="3:9" ht="15" x14ac:dyDescent="0.25">
      <c r="C77" s="1"/>
      <c r="D77" s="37" t="s">
        <v>40</v>
      </c>
      <c r="E77" s="6"/>
      <c r="F77" s="1"/>
      <c r="I77" s="9"/>
    </row>
    <row r="78" spans="3:9" ht="28.5" x14ac:dyDescent="0.25">
      <c r="C78" s="1"/>
      <c r="D78" s="7" t="s">
        <v>41</v>
      </c>
      <c r="E78" s="45">
        <f>E67+E72+E76</f>
        <v>0.83621722846441948</v>
      </c>
      <c r="F78" s="7" t="s">
        <v>8</v>
      </c>
      <c r="G78" s="2">
        <f>60*E78</f>
        <v>50.173033707865166</v>
      </c>
      <c r="H78" s="2" t="s">
        <v>6</v>
      </c>
      <c r="I78" s="9"/>
    </row>
    <row r="79" spans="3:9" ht="28.5" x14ac:dyDescent="0.25">
      <c r="C79" s="1"/>
      <c r="D79" s="7"/>
      <c r="E79" s="45">
        <f>(1)/(([1]Земл!$C$2)/(E78))</f>
        <v>0.10452715355805242</v>
      </c>
      <c r="F79" s="45" t="s">
        <v>23</v>
      </c>
      <c r="I79" s="9"/>
    </row>
    <row r="80" spans="3:9" x14ac:dyDescent="0.25">
      <c r="C80" s="1"/>
      <c r="D80" s="7"/>
      <c r="E80" s="74">
        <f>ROUNDUP(E79,0)</f>
        <v>1</v>
      </c>
      <c r="F80" s="74" t="s">
        <v>24</v>
      </c>
      <c r="I80" s="9"/>
    </row>
    <row r="81" spans="3:9" ht="42.75" x14ac:dyDescent="0.25">
      <c r="C81" s="1"/>
      <c r="D81" s="13" t="s">
        <v>42</v>
      </c>
      <c r="E81" s="35">
        <f>([1]Земл!$C$2)/(E78)</f>
        <v>9.5668921037309094</v>
      </c>
      <c r="F81" s="13" t="s">
        <v>43</v>
      </c>
      <c r="I81" s="9"/>
    </row>
    <row r="82" spans="3:9" x14ac:dyDescent="0.25">
      <c r="C82" s="1"/>
      <c r="D82" s="13"/>
      <c r="E82" s="75">
        <f>ROUND(([1]Земл!$C$2)/(E78),0)</f>
        <v>10</v>
      </c>
      <c r="F82" s="76" t="s">
        <v>25</v>
      </c>
      <c r="I82" s="9"/>
    </row>
    <row r="83" spans="3:9" ht="57" x14ac:dyDescent="0.25">
      <c r="C83" s="1"/>
      <c r="D83" s="13"/>
      <c r="E83" s="35">
        <f>E78*E82</f>
        <v>8.3621722846441955</v>
      </c>
      <c r="F83" s="13" t="s">
        <v>22</v>
      </c>
      <c r="G83" s="35"/>
      <c r="I83" s="9"/>
    </row>
    <row r="84" spans="3:9" x14ac:dyDescent="0.25">
      <c r="C84" s="1"/>
      <c r="D84" s="13"/>
      <c r="E84" s="35">
        <f>(E78*E81)/([1]Земл!$C$2)</f>
        <v>1</v>
      </c>
      <c r="F84" s="13" t="s">
        <v>21</v>
      </c>
      <c r="I84" s="9"/>
    </row>
    <row r="85" spans="3:9" ht="42.75" x14ac:dyDescent="0.25">
      <c r="C85" s="1"/>
      <c r="D85" s="71" t="s">
        <v>16</v>
      </c>
      <c r="E85" s="35">
        <f>E82*(11.3*2)/1000</f>
        <v>0.22600000000000001</v>
      </c>
      <c r="F85" s="13" t="s">
        <v>50</v>
      </c>
      <c r="I85" s="9"/>
    </row>
    <row r="86" spans="3:9" ht="28.5" x14ac:dyDescent="0.25">
      <c r="C86" s="1"/>
      <c r="D86" s="72" t="s">
        <v>17</v>
      </c>
      <c r="E86" s="53">
        <f>[1]Земл!$C$4</f>
        <v>0.27500000000000002</v>
      </c>
      <c r="F86" s="52" t="s">
        <v>44</v>
      </c>
      <c r="I86" s="9"/>
    </row>
    <row r="87" spans="3:9" ht="28.5" x14ac:dyDescent="0.25">
      <c r="C87" s="1"/>
      <c r="D87" s="72" t="s">
        <v>17</v>
      </c>
      <c r="E87" s="53">
        <f>E86*1000/[1]Земл!$C$16/2</f>
        <v>12.168141592920353</v>
      </c>
      <c r="F87" s="52" t="s">
        <v>45</v>
      </c>
      <c r="I87" s="9"/>
    </row>
    <row r="88" spans="3:9" ht="28.5" x14ac:dyDescent="0.25">
      <c r="C88" s="1"/>
      <c r="D88" s="72" t="s">
        <v>15</v>
      </c>
      <c r="E88" s="53">
        <f>E86/E85</f>
        <v>1.2168141592920354</v>
      </c>
      <c r="F88" s="52" t="s">
        <v>18</v>
      </c>
      <c r="I88" s="9"/>
    </row>
    <row r="89" spans="3:9" ht="28.5" x14ac:dyDescent="0.25">
      <c r="C89" s="1"/>
      <c r="D89" s="52"/>
      <c r="E89" s="53">
        <f>E86*E82/E85</f>
        <v>12.168141592920353</v>
      </c>
      <c r="F89" s="52" t="s">
        <v>19</v>
      </c>
      <c r="I89" s="9"/>
    </row>
    <row r="90" spans="3:9" ht="30" x14ac:dyDescent="0.25">
      <c r="C90" s="1"/>
      <c r="D90" s="63" t="s">
        <v>20</v>
      </c>
      <c r="E90" s="64">
        <f>IF(E88&lt;1,1,ROUNDUP(E88,0))</f>
        <v>2</v>
      </c>
      <c r="F90" s="63" t="s">
        <v>10</v>
      </c>
      <c r="I90" s="9"/>
    </row>
    <row r="91" spans="3:9" ht="15" x14ac:dyDescent="0.25">
      <c r="C91" s="1"/>
      <c r="D91" s="61"/>
      <c r="E91" s="62">
        <f>ROUND(E89,0)</f>
        <v>12</v>
      </c>
      <c r="F91" s="62" t="s">
        <v>14</v>
      </c>
      <c r="I91" s="9"/>
    </row>
  </sheetData>
  <pageMargins left="0.70866141732283472" right="0.70866141732283472" top="0.47244094488188981" bottom="0.47244094488188981" header="0.31496062992125984" footer="0.31496062992125984"/>
  <pageSetup paperSize="9" scale="96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5"/>
  <dimension ref="A1"/>
  <sheetViews>
    <sheetView workbookViewId="0">
      <selection activeCell="F28" sqref="F2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2)(2-4-2темп)(ПогрузПеревоз-2нб</vt:lpstr>
      <vt:lpstr>---</vt:lpstr>
      <vt:lpstr>'2)(2-4-2темп)(ПогрузПеревоз-2нб'!Область_печати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Денисенко Андрей Александрович</dc:creator>
  <cp:lastModifiedBy>Плотникова Ольга Александровна</cp:lastModifiedBy>
  <cp:lastPrinted>2016-09-13T11:59:05Z</cp:lastPrinted>
  <dcterms:created xsi:type="dcterms:W3CDTF">2016-03-22T12:51:07Z</dcterms:created>
  <dcterms:modified xsi:type="dcterms:W3CDTF">2016-10-27T12:23:10Z</dcterms:modified>
</cp:coreProperties>
</file>