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План" sheetId="2" r:id="rId1"/>
    <sheet name="Заявки" sheetId="1" r:id="rId2"/>
    <sheet name="Договора" sheetId="3" r:id="rId3"/>
  </sheets>
  <definedNames>
    <definedName name="_xlnm._FilterDatabase" localSheetId="2" hidden="1">Договора!$A$1:$X$17</definedName>
    <definedName name="_xlnm._FilterDatabase" localSheetId="1" hidden="1">Заявки!$A$1:$P$22</definedName>
    <definedName name="_xlnm._FilterDatabase" localSheetId="0" hidden="1">План!$A$1:$Z$1</definedName>
    <definedName name="Доставленное_количество">Договора!$U$2:$U$16</definedName>
    <definedName name="Заявки">Заявки!$A$2:$P$21</definedName>
    <definedName name="Количество_в_договоре">Договора!$L$2:$L$16</definedName>
    <definedName name="Недоставленное_количество">Договора!$V$2:$V$16</definedName>
    <definedName name="Общая_сумма_в_договоре">Договора!$S$2:$S$16</definedName>
    <definedName name="Отдел">Договора!$Z$2:$Z$16</definedName>
    <definedName name="План">План!$A$2:$Z$21</definedName>
    <definedName name="Цена_в_договоре">Договора!$R$2:$R$16</definedName>
  </definedNames>
  <calcPr calcId="162913"/>
</workbook>
</file>

<file path=xl/calcChain.xml><?xml version="1.0" encoding="utf-8"?>
<calcChain xmlns="http://schemas.openxmlformats.org/spreadsheetml/2006/main">
  <c r="I20" i="3" l="1" a="1"/>
  <c r="I20" i="3" s="1"/>
  <c r="I21" i="3" a="1"/>
  <c r="I21" i="3" s="1"/>
  <c r="I22" i="3" a="1"/>
  <c r="I22" i="3" s="1"/>
  <c r="I23" i="3" a="1"/>
  <c r="I23" i="3" s="1"/>
  <c r="I24" i="3" a="1"/>
  <c r="I24" i="3" s="1"/>
  <c r="I25" i="3" a="1"/>
  <c r="I25" i="3" s="1"/>
  <c r="I26" i="3" a="1"/>
  <c r="I26" i="3" s="1"/>
  <c r="I19" i="3" a="1"/>
  <c r="I19" i="3" s="1"/>
  <c r="H19" i="3" l="1" a="1"/>
  <c r="H19" i="3"/>
  <c r="AA16" i="3"/>
  <c r="AA14" i="3"/>
  <c r="AA12" i="3"/>
  <c r="AA10" i="3"/>
  <c r="AA8" i="3"/>
  <c r="AA6" i="3"/>
  <c r="AA4" i="3"/>
  <c r="U17" i="3"/>
  <c r="Z3" i="3"/>
  <c r="AA3" i="3" s="1"/>
  <c r="Z4" i="3"/>
  <c r="Z5" i="3"/>
  <c r="AA5" i="3" s="1"/>
  <c r="Z6" i="3"/>
  <c r="Z7" i="3"/>
  <c r="AA7" i="3" s="1"/>
  <c r="Z8" i="3"/>
  <c r="Z9" i="3"/>
  <c r="AA9" i="3" s="1"/>
  <c r="Z10" i="3"/>
  <c r="Z11" i="3"/>
  <c r="AA11" i="3" s="1"/>
  <c r="Z12" i="3"/>
  <c r="Z13" i="3"/>
  <c r="AA13" i="3" s="1"/>
  <c r="Z14" i="3"/>
  <c r="Z15" i="3"/>
  <c r="AA15" i="3" s="1"/>
  <c r="Z16" i="3"/>
  <c r="Z2" i="3"/>
  <c r="AB2" i="3" s="1"/>
  <c r="K16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2" i="3"/>
  <c r="V17" i="3"/>
  <c r="S3" i="3"/>
  <c r="T3" i="3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2" i="3"/>
  <c r="H22" i="3" a="1"/>
  <c r="H22" i="3" s="1"/>
  <c r="H26" i="3" a="1"/>
  <c r="H26" i="3" s="1"/>
  <c r="H25" i="3" a="1"/>
  <c r="H25" i="3" s="1"/>
  <c r="S17" i="3"/>
  <c r="T17" i="3"/>
  <c r="T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2" i="3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N2" i="1"/>
  <c r="M2" i="1"/>
  <c r="I2" i="1"/>
  <c r="H2" i="1"/>
  <c r="G2" i="1"/>
  <c r="J2" i="1" s="1"/>
  <c r="K2" i="1" s="1"/>
  <c r="F2" i="1"/>
  <c r="G3" i="1"/>
  <c r="G4" i="1"/>
  <c r="G5" i="1"/>
  <c r="G6" i="1"/>
  <c r="G7" i="1"/>
  <c r="J7" i="1" s="1"/>
  <c r="G8" i="1"/>
  <c r="G9" i="1"/>
  <c r="J9" i="1" s="1"/>
  <c r="K9" i="1" s="1"/>
  <c r="G10" i="1"/>
  <c r="G11" i="1"/>
  <c r="J11" i="1" s="1"/>
  <c r="K11" i="1" s="1"/>
  <c r="G12" i="1"/>
  <c r="G13" i="1"/>
  <c r="J13" i="1" s="1"/>
  <c r="K13" i="1" s="1"/>
  <c r="G14" i="1"/>
  <c r="G15" i="1"/>
  <c r="J15" i="1" s="1"/>
  <c r="K15" i="1" s="1"/>
  <c r="G16" i="1"/>
  <c r="G17" i="1"/>
  <c r="J17" i="1" s="1"/>
  <c r="K17" i="1" s="1"/>
  <c r="G18" i="1"/>
  <c r="G19" i="1"/>
  <c r="J19" i="1" s="1"/>
  <c r="K19" i="1" s="1"/>
  <c r="G20" i="1"/>
  <c r="G21" i="1"/>
  <c r="J21" i="1" s="1"/>
  <c r="K21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" i="2"/>
  <c r="T2" i="2"/>
  <c r="T22" i="2" s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J12" i="1"/>
  <c r="K12" i="1" s="1"/>
  <c r="J14" i="1"/>
  <c r="K14" i="1" s="1"/>
  <c r="J16" i="1"/>
  <c r="K16" i="1" s="1"/>
  <c r="J18" i="1"/>
  <c r="K18" i="1" s="1"/>
  <c r="J20" i="1"/>
  <c r="K20" i="1" s="1"/>
  <c r="U21" i="2"/>
  <c r="J8" i="1"/>
  <c r="K8" i="1"/>
  <c r="J10" i="1"/>
  <c r="K10" i="1"/>
  <c r="J6" i="1"/>
  <c r="K6" i="1"/>
  <c r="Q2" i="1"/>
  <c r="J3" i="1"/>
  <c r="K3" i="1" s="1"/>
  <c r="J4" i="1"/>
  <c r="K4" i="1" s="1"/>
  <c r="J5" i="1"/>
  <c r="K5" i="1" s="1"/>
  <c r="AA2" i="3" l="1"/>
  <c r="H23" i="3" a="1"/>
  <c r="H23" i="3" s="1"/>
  <c r="H21" i="3" a="1"/>
  <c r="H21" i="3" s="1"/>
  <c r="H24" i="3" a="1"/>
  <c r="H24" i="3" s="1"/>
  <c r="H20" i="3" a="1"/>
  <c r="H20" i="3" s="1"/>
  <c r="K7" i="1"/>
  <c r="J22" i="1"/>
  <c r="H27" i="3"/>
  <c r="J20" i="3"/>
  <c r="J26" i="3"/>
  <c r="J25" i="3"/>
  <c r="J24" i="3"/>
  <c r="J23" i="3"/>
  <c r="J22" i="3"/>
  <c r="J21" i="3"/>
  <c r="I27" i="3" l="1"/>
  <c r="J19" i="3"/>
  <c r="J27" i="3" s="1"/>
</calcChain>
</file>

<file path=xl/comments1.xml><?xml version="1.0" encoding="utf-8"?>
<comments xmlns="http://schemas.openxmlformats.org/spreadsheetml/2006/main">
  <authors>
    <author>Автор</author>
  </authors>
  <commentLis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эта сумма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<sst xmlns="http://schemas.openxmlformats.org/spreadsheetml/2006/main" count="312" uniqueCount="138">
  <si>
    <t>1. №</t>
  </si>
  <si>
    <t>2. № заявки</t>
  </si>
  <si>
    <t>3. Дата подписания заявки</t>
  </si>
  <si>
    <t>4. Наименование закупаемых товаров</t>
  </si>
  <si>
    <t>5. Краткая характеристика (описание) товаров</t>
  </si>
  <si>
    <t>6. Дополнительная характеристика</t>
  </si>
  <si>
    <t>7. Количество, объем</t>
  </si>
  <si>
    <t>8. Единица измерения</t>
  </si>
  <si>
    <t>9. Маркетинговая цена</t>
  </si>
  <si>
    <t>10. Сумма, планируемая для закупок без НДС</t>
  </si>
  <si>
    <t>11. Сумма, планируемая для закупок с НДС</t>
  </si>
  <si>
    <t>12. Способ закупок</t>
  </si>
  <si>
    <t>14. Айтем-код</t>
  </si>
  <si>
    <t>15. Приоритет закупки</t>
  </si>
  <si>
    <t>16. Статус исполнения</t>
  </si>
  <si>
    <t>ОИ</t>
  </si>
  <si>
    <t>560-00076</t>
  </si>
  <si>
    <t>договор заключен, товар еще не доставлен</t>
  </si>
  <si>
    <t>560-00088</t>
  </si>
  <si>
    <t>560-00074</t>
  </si>
  <si>
    <t>ЦПЭ</t>
  </si>
  <si>
    <t>286-01969</t>
  </si>
  <si>
    <t>договор закрыт</t>
  </si>
  <si>
    <t>1 Т</t>
  </si>
  <si>
    <t>2 Т</t>
  </si>
  <si>
    <t>3 Т</t>
  </si>
  <si>
    <t>4 Т</t>
  </si>
  <si>
    <t>АХО</t>
  </si>
  <si>
    <t>5 Т</t>
  </si>
  <si>
    <t>6 Т</t>
  </si>
  <si>
    <t>7 Т</t>
  </si>
  <si>
    <t>8 Т</t>
  </si>
  <si>
    <t>9 Т</t>
  </si>
  <si>
    <t>10 Т</t>
  </si>
  <si>
    <t>ОТ</t>
  </si>
  <si>
    <t>001-T0287</t>
  </si>
  <si>
    <t>521-00017</t>
  </si>
  <si>
    <t>521-T0039</t>
  </si>
  <si>
    <t>521-00070</t>
  </si>
  <si>
    <t>521-T0070</t>
  </si>
  <si>
    <t>521-T0040</t>
  </si>
  <si>
    <t>Карандаш</t>
  </si>
  <si>
    <t>Ручка</t>
  </si>
  <si>
    <t>Калькулятор</t>
  </si>
  <si>
    <t>Стиралка</t>
  </si>
  <si>
    <t>Ножницы</t>
  </si>
  <si>
    <t>Канцелярский нож</t>
  </si>
  <si>
    <t>Степлер</t>
  </si>
  <si>
    <t>Штрих-корректор</t>
  </si>
  <si>
    <t>Клей</t>
  </si>
  <si>
    <t>Стикер</t>
  </si>
  <si>
    <t>Скрепки</t>
  </si>
  <si>
    <t>Бумага А-4</t>
  </si>
  <si>
    <t>Календарь</t>
  </si>
  <si>
    <t>Ежедневник</t>
  </si>
  <si>
    <t>Визитница</t>
  </si>
  <si>
    <t>Спрей</t>
  </si>
  <si>
    <t>Губка для доски</t>
  </si>
  <si>
    <t>Антистеплер</t>
  </si>
  <si>
    <t>Дырокол</t>
  </si>
  <si>
    <t>Конверт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</si>
  <si>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</si>
  <si>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</si>
  <si>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</si>
  <si>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</si>
  <si>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</si>
  <si>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</si>
  <si>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</si>
  <si>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</si>
  <si>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</si>
  <si>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</si>
  <si>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Бухгалтерия</t>
  </si>
  <si>
    <t>Отдел кадров</t>
  </si>
  <si>
    <t>IT-инженер</t>
  </si>
  <si>
    <t>Отдел сбыта</t>
  </si>
  <si>
    <t>Офис-менеджер</t>
  </si>
  <si>
    <t>штука</t>
  </si>
  <si>
    <t>договор заключен, товар доставлен частично</t>
  </si>
  <si>
    <t>Заключение договора о закупках</t>
  </si>
  <si>
    <t>521-T0041</t>
  </si>
  <si>
    <t>521-00095</t>
  </si>
  <si>
    <t>521-T0042</t>
  </si>
  <si>
    <t>521-T0043</t>
  </si>
  <si>
    <t>521-T0044</t>
  </si>
  <si>
    <t>521-T0045</t>
  </si>
  <si>
    <t>521-T0046</t>
  </si>
  <si>
    <t>521-T0047</t>
  </si>
  <si>
    <t>521-00071</t>
  </si>
  <si>
    <t>521-T0049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</si>
  <si>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</si>
  <si>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</si>
  <si>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</si>
  <si>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</si>
  <si>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</si>
  <si>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</si>
  <si>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</si>
  <si>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</si>
  <si>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</si>
  <si>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</si>
  <si>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</si>
  <si>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</si>
  <si>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</si>
  <si>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</si>
  <si>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</si>
  <si>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</si>
  <si>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</si>
  <si>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</si>
  <si>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</si>
  <si>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</si>
  <si>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</si>
  <si>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</si>
  <si>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</si>
  <si>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</si>
  <si>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20. Сумма, планируемая для закупок с НДС</t>
  </si>
  <si>
    <t>25. Приоритет закупки</t>
  </si>
  <si>
    <t>Айтем-код</t>
  </si>
  <si>
    <t>АХО-50
ПТО-50</t>
  </si>
  <si>
    <t>1 Т/16</t>
  </si>
  <si>
    <t>2 Т/16</t>
  </si>
  <si>
    <t>3 Т/16</t>
  </si>
  <si>
    <t>ИП Петров</t>
  </si>
  <si>
    <t>ИП Иванов</t>
  </si>
  <si>
    <t>ИП Сидоров</t>
  </si>
  <si>
    <t>в течение 30 календарных дней после подписания договора</t>
  </si>
  <si>
    <t>в течение 50 календарных дней после подписания договора</t>
  </si>
  <si>
    <t>в течение 60 календарных дней после подписания договора</t>
  </si>
  <si>
    <t>ПТО</t>
  </si>
  <si>
    <t>Юрид.отдел</t>
  </si>
  <si>
    <t>Общая сумма по заключенным договорам</t>
  </si>
  <si>
    <t>Сумма поставленных товаров</t>
  </si>
  <si>
    <t>Сумма непоставленных товаров</t>
  </si>
  <si>
    <t>Сумма непоставленных товаров по которым дата поставки просрочена</t>
  </si>
  <si>
    <t>Отдел</t>
  </si>
  <si>
    <t>Общая сумма</t>
  </si>
  <si>
    <t>Доставлено</t>
  </si>
  <si>
    <t>Не доставлено</t>
  </si>
  <si>
    <t>Цена в договоре</t>
  </si>
  <si>
    <t>Кол-во в дог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</si>
</sst>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14" fontId="3" fillId="0" borderId="1" xfId="0" applyNumberFormat="1" applyFont="1" applyBorder="1" applyAlignment="1">
      <alignment horizontal="center" vertical="distributed"/>
    </xf>
    <xf numFmtId="4" fontId="3" fillId="0" borderId="1" xfId="0" applyNumberFormat="1" applyFont="1" applyBorder="1" applyAlignment="1">
      <alignment horizontal="center" vertical="distributed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distributed"/>
    </xf>
    <xf numFmtId="4" fontId="4" fillId="0" borderId="0" xfId="0" applyNumberFormat="1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4" fontId="5" fillId="0" borderId="2" xfId="0" applyNumberFormat="1" applyFont="1" applyFill="1" applyBorder="1"/>
    <xf numFmtId="4" fontId="5" fillId="0" borderId="2" xfId="0" applyNumberFormat="1" applyFont="1" applyBorder="1"/>
    <xf numFmtId="14" fontId="6" fillId="0" borderId="1" xfId="0" applyNumberFormat="1" applyFont="1" applyBorder="1" applyAlignment="1" applyProtection="1">
      <alignment horizontal="center" vertical="distributed"/>
      <protection locked="0"/>
    </xf>
    <xf numFmtId="0" fontId="0" fillId="0" borderId="1" xfId="0" applyBorder="1" applyAlignment="1">
      <alignment horizontal="center" vertical="distributed"/>
    </xf>
    <xf numFmtId="4" fontId="0" fillId="0" borderId="0" xfId="0" applyNumberFormat="1"/>
    <xf numFmtId="4" fontId="6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0" fontId="0" fillId="0" borderId="0" xfId="0" applyAlignment="1">
      <alignment horizontal="center" vertical="distributed"/>
    </xf>
    <xf numFmtId="4" fontId="6" fillId="2" borderId="1" xfId="0" applyNumberFormat="1" applyFont="1" applyFill="1" applyBorder="1"/>
    <xf numFmtId="4" fontId="5" fillId="2" borderId="0" xfId="0" applyNumberFormat="1" applyFont="1" applyFill="1"/>
    <xf numFmtId="4" fontId="5" fillId="2" borderId="3" xfId="0" applyNumberFormat="1" applyFont="1" applyFill="1" applyBorder="1"/>
    <xf numFmtId="0" fontId="0" fillId="3" borderId="1" xfId="0" applyFill="1" applyBorder="1" applyAlignment="1">
      <alignment horizontal="center" vertical="distributed"/>
    </xf>
  </cellXfs>
  <cellStyles count="1">
    <cellStyle name="Обычный" xfId="0" builtinId="0"/>
  </cellStyles>
  <dxfs count="44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27</xdr:row>
      <xdr:rowOff>19050</xdr:rowOff>
    </xdr:from>
    <xdr:to>
      <xdr:col>8</xdr:col>
      <xdr:colOff>171450</xdr:colOff>
      <xdr:row>28</xdr:row>
      <xdr:rowOff>95250</xdr:rowOff>
    </xdr:to>
    <xdr:cxnSp macro="">
      <xdr:nvCxnSpPr>
        <xdr:cNvPr id="3" name="Прямая со стрелкой 2"/>
        <xdr:cNvCxnSpPr/>
      </xdr:nvCxnSpPr>
      <xdr:spPr>
        <a:xfrm flipV="1">
          <a:off x="2247900" y="5791200"/>
          <a:ext cx="0" cy="2667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R8" sqref="R8"/>
    </sheetView>
  </sheetViews>
  <sheetFormatPr defaultRowHeight="15" x14ac:dyDescent="0.25"/>
  <cols>
    <col min="1" max="1" width="6.140625" customWidth="1"/>
    <col min="2" max="5" width="5.7109375" hidden="1" customWidth="1"/>
    <col min="6" max="6" width="19.7109375" customWidth="1"/>
    <col min="7" max="7" width="6" customWidth="1"/>
    <col min="8" max="8" width="7.7109375" hidden="1" customWidth="1"/>
    <col min="9" max="16" width="0" hidden="1" customWidth="1"/>
    <col min="20" max="21" width="13" customWidth="1"/>
    <col min="25" max="25" width="22.28515625" customWidth="1"/>
    <col min="26" max="26" width="11.5703125" customWidth="1"/>
  </cols>
  <sheetData>
    <row r="1" spans="1:26" x14ac:dyDescent="0.25">
      <c r="A1" s="10" t="s">
        <v>89</v>
      </c>
      <c r="B1" s="10" t="s">
        <v>90</v>
      </c>
      <c r="C1" s="10" t="s">
        <v>91</v>
      </c>
      <c r="D1" s="10" t="s">
        <v>92</v>
      </c>
      <c r="E1" s="10" t="s">
        <v>93</v>
      </c>
      <c r="F1" s="10" t="s">
        <v>94</v>
      </c>
      <c r="G1" s="10" t="s">
        <v>95</v>
      </c>
      <c r="H1" s="10" t="s">
        <v>96</v>
      </c>
      <c r="I1" s="10" t="s">
        <v>97</v>
      </c>
      <c r="J1" s="10" t="s">
        <v>98</v>
      </c>
      <c r="K1" s="10" t="s">
        <v>99</v>
      </c>
      <c r="L1" s="10" t="s">
        <v>100</v>
      </c>
      <c r="M1" s="10" t="s">
        <v>101</v>
      </c>
      <c r="N1" s="10" t="s">
        <v>102</v>
      </c>
      <c r="O1" s="10" t="s">
        <v>103</v>
      </c>
      <c r="P1" s="10" t="s">
        <v>104</v>
      </c>
      <c r="Q1" s="10" t="s">
        <v>105</v>
      </c>
      <c r="R1" s="10" t="s">
        <v>106</v>
      </c>
      <c r="S1" s="10" t="s">
        <v>107</v>
      </c>
      <c r="T1" s="10" t="s">
        <v>108</v>
      </c>
      <c r="U1" s="10" t="s">
        <v>109</v>
      </c>
      <c r="V1" s="10" t="s">
        <v>110</v>
      </c>
      <c r="W1" s="10" t="s">
        <v>111</v>
      </c>
      <c r="X1" s="10" t="s">
        <v>112</v>
      </c>
      <c r="Y1" s="10" t="s">
        <v>132</v>
      </c>
      <c r="Z1" s="10" t="s">
        <v>115</v>
      </c>
    </row>
    <row r="2" spans="1:26" ht="30" x14ac:dyDescent="0.25">
      <c r="A2" s="5" t="s">
        <v>23</v>
      </c>
      <c r="B2" s="5"/>
      <c r="C2" s="5"/>
      <c r="D2" s="5"/>
      <c r="E2" s="5"/>
      <c r="F2" s="5" t="s">
        <v>41</v>
      </c>
      <c r="G2" s="5" t="s">
        <v>15</v>
      </c>
      <c r="H2" s="6">
        <v>0</v>
      </c>
      <c r="I2" s="5"/>
      <c r="J2" s="5"/>
      <c r="K2" s="5"/>
      <c r="L2" s="5"/>
      <c r="M2" s="5"/>
      <c r="N2" s="5"/>
      <c r="O2" s="5"/>
      <c r="P2" s="5"/>
      <c r="Q2" s="5" t="s">
        <v>76</v>
      </c>
      <c r="R2" s="5">
        <v>100</v>
      </c>
      <c r="S2" s="7">
        <v>15</v>
      </c>
      <c r="T2" s="7">
        <f>R2*S2</f>
        <v>1500</v>
      </c>
      <c r="U2" s="7">
        <f>T2*1.12</f>
        <v>1680.0000000000002</v>
      </c>
      <c r="V2" s="5"/>
      <c r="W2" s="5">
        <v>2016</v>
      </c>
      <c r="X2" s="5"/>
      <c r="Y2" s="8" t="s">
        <v>116</v>
      </c>
      <c r="Z2" s="5" t="s">
        <v>16</v>
      </c>
    </row>
    <row r="3" spans="1:26" x14ac:dyDescent="0.25">
      <c r="A3" s="5" t="s">
        <v>24</v>
      </c>
      <c r="B3" s="5"/>
      <c r="C3" s="5"/>
      <c r="D3" s="5"/>
      <c r="E3" s="5"/>
      <c r="F3" s="5" t="s">
        <v>42</v>
      </c>
      <c r="G3" s="5" t="s">
        <v>15</v>
      </c>
      <c r="H3" s="6">
        <v>0</v>
      </c>
      <c r="I3" s="5"/>
      <c r="J3" s="5"/>
      <c r="K3" s="5"/>
      <c r="L3" s="5"/>
      <c r="M3" s="5"/>
      <c r="N3" s="5"/>
      <c r="O3" s="5"/>
      <c r="P3" s="5"/>
      <c r="Q3" s="5" t="s">
        <v>76</v>
      </c>
      <c r="R3" s="5">
        <v>100</v>
      </c>
      <c r="S3" s="7">
        <v>25</v>
      </c>
      <c r="T3" s="7">
        <f t="shared" ref="T3:T21" si="0">R3*S3</f>
        <v>2500</v>
      </c>
      <c r="U3" s="7">
        <f t="shared" ref="U3:U21" si="1">T3*1.12</f>
        <v>2800.0000000000005</v>
      </c>
      <c r="V3" s="5"/>
      <c r="W3" s="5">
        <v>2016</v>
      </c>
      <c r="X3" s="5"/>
      <c r="Y3" s="8" t="s">
        <v>27</v>
      </c>
      <c r="Z3" s="5" t="s">
        <v>18</v>
      </c>
    </row>
    <row r="4" spans="1:26" x14ac:dyDescent="0.25">
      <c r="A4" s="5" t="s">
        <v>25</v>
      </c>
      <c r="B4" s="5"/>
      <c r="C4" s="5"/>
      <c r="D4" s="5"/>
      <c r="E4" s="5"/>
      <c r="F4" s="5" t="s">
        <v>43</v>
      </c>
      <c r="G4" s="5" t="s">
        <v>15</v>
      </c>
      <c r="H4" s="6">
        <v>0</v>
      </c>
      <c r="I4" s="5"/>
      <c r="J4" s="5"/>
      <c r="K4" s="5"/>
      <c r="L4" s="5"/>
      <c r="M4" s="5"/>
      <c r="N4" s="5"/>
      <c r="O4" s="5"/>
      <c r="P4" s="5"/>
      <c r="Q4" s="5" t="s">
        <v>76</v>
      </c>
      <c r="R4" s="5">
        <v>10</v>
      </c>
      <c r="S4" s="7">
        <v>600</v>
      </c>
      <c r="T4" s="7">
        <f t="shared" si="0"/>
        <v>6000</v>
      </c>
      <c r="U4" s="7">
        <f t="shared" si="1"/>
        <v>6720.0000000000009</v>
      </c>
      <c r="V4" s="5"/>
      <c r="W4" s="5">
        <v>2016</v>
      </c>
      <c r="X4" s="5"/>
      <c r="Y4" s="5" t="s">
        <v>71</v>
      </c>
      <c r="Z4" s="5" t="s">
        <v>19</v>
      </c>
    </row>
    <row r="5" spans="1:26" x14ac:dyDescent="0.25">
      <c r="A5" s="5" t="s">
        <v>26</v>
      </c>
      <c r="B5" s="5"/>
      <c r="C5" s="5"/>
      <c r="D5" s="5"/>
      <c r="E5" s="5"/>
      <c r="F5" s="5" t="s">
        <v>44</v>
      </c>
      <c r="G5" s="5" t="s">
        <v>20</v>
      </c>
      <c r="H5" s="6">
        <v>0</v>
      </c>
      <c r="I5" s="5"/>
      <c r="J5" s="5"/>
      <c r="K5" s="5"/>
      <c r="L5" s="5"/>
      <c r="M5" s="5"/>
      <c r="N5" s="5"/>
      <c r="O5" s="5"/>
      <c r="P5" s="5"/>
      <c r="Q5" s="5" t="s">
        <v>76</v>
      </c>
      <c r="R5" s="5">
        <v>50</v>
      </c>
      <c r="S5" s="7">
        <v>5</v>
      </c>
      <c r="T5" s="7">
        <f t="shared" si="0"/>
        <v>250</v>
      </c>
      <c r="U5" s="7">
        <f t="shared" si="1"/>
        <v>280</v>
      </c>
      <c r="V5" s="5"/>
      <c r="W5" s="5">
        <v>2016</v>
      </c>
      <c r="X5" s="5"/>
      <c r="Y5" s="5" t="s">
        <v>72</v>
      </c>
      <c r="Z5" s="5" t="s">
        <v>21</v>
      </c>
    </row>
    <row r="6" spans="1:26" x14ac:dyDescent="0.25">
      <c r="A6" s="5" t="s">
        <v>28</v>
      </c>
      <c r="B6" s="5"/>
      <c r="C6" s="5"/>
      <c r="D6" s="5"/>
      <c r="E6" s="5"/>
      <c r="F6" s="5" t="s">
        <v>45</v>
      </c>
      <c r="G6" s="5" t="s">
        <v>15</v>
      </c>
      <c r="H6" s="6">
        <v>0</v>
      </c>
      <c r="I6" s="5"/>
      <c r="J6" s="5"/>
      <c r="K6" s="5"/>
      <c r="L6" s="5"/>
      <c r="M6" s="5"/>
      <c r="N6" s="5"/>
      <c r="O6" s="5"/>
      <c r="P6" s="5"/>
      <c r="Q6" s="5" t="s">
        <v>76</v>
      </c>
      <c r="R6" s="5">
        <v>25</v>
      </c>
      <c r="S6" s="7">
        <v>56.55</v>
      </c>
      <c r="T6" s="7">
        <f t="shared" si="0"/>
        <v>1413.75</v>
      </c>
      <c r="U6" s="7">
        <f t="shared" si="1"/>
        <v>1583.4</v>
      </c>
      <c r="V6" s="5"/>
      <c r="W6" s="5">
        <v>2016</v>
      </c>
      <c r="X6" s="5"/>
      <c r="Y6" s="5" t="s">
        <v>73</v>
      </c>
      <c r="Z6" s="5" t="s">
        <v>35</v>
      </c>
    </row>
    <row r="7" spans="1:26" x14ac:dyDescent="0.25">
      <c r="A7" s="5" t="s">
        <v>29</v>
      </c>
      <c r="B7" s="5"/>
      <c r="C7" s="5"/>
      <c r="D7" s="5"/>
      <c r="E7" s="5"/>
      <c r="F7" s="5" t="s">
        <v>46</v>
      </c>
      <c r="G7" s="5" t="s">
        <v>15</v>
      </c>
      <c r="H7" s="6">
        <v>0</v>
      </c>
      <c r="I7" s="5"/>
      <c r="J7" s="5"/>
      <c r="K7" s="5"/>
      <c r="L7" s="5"/>
      <c r="M7" s="5"/>
      <c r="N7" s="5"/>
      <c r="O7" s="5"/>
      <c r="P7" s="5"/>
      <c r="Q7" s="5" t="s">
        <v>76</v>
      </c>
      <c r="R7" s="5">
        <v>30</v>
      </c>
      <c r="S7" s="7">
        <v>50</v>
      </c>
      <c r="T7" s="7">
        <f t="shared" si="0"/>
        <v>1500</v>
      </c>
      <c r="U7" s="7">
        <f t="shared" si="1"/>
        <v>1680.0000000000002</v>
      </c>
      <c r="V7" s="5"/>
      <c r="W7" s="5">
        <v>2016</v>
      </c>
      <c r="X7" s="5"/>
      <c r="Y7" s="5" t="s">
        <v>127</v>
      </c>
      <c r="Z7" s="5" t="s">
        <v>36</v>
      </c>
    </row>
    <row r="8" spans="1:26" x14ac:dyDescent="0.25">
      <c r="A8" s="5" t="s">
        <v>30</v>
      </c>
      <c r="B8" s="5"/>
      <c r="C8" s="5"/>
      <c r="D8" s="5"/>
      <c r="E8" s="5"/>
      <c r="F8" s="5" t="s">
        <v>47</v>
      </c>
      <c r="G8" s="5" t="s">
        <v>15</v>
      </c>
      <c r="H8" s="6">
        <v>0</v>
      </c>
      <c r="I8" s="5"/>
      <c r="J8" s="5"/>
      <c r="K8" s="5"/>
      <c r="L8" s="5"/>
      <c r="M8" s="5"/>
      <c r="N8" s="5"/>
      <c r="O8" s="5"/>
      <c r="P8" s="5"/>
      <c r="Q8" s="5" t="s">
        <v>76</v>
      </c>
      <c r="R8" s="5">
        <v>25</v>
      </c>
      <c r="S8" s="7">
        <v>250</v>
      </c>
      <c r="T8" s="7">
        <f t="shared" si="0"/>
        <v>6250</v>
      </c>
      <c r="U8" s="7">
        <f t="shared" si="1"/>
        <v>7000.0000000000009</v>
      </c>
      <c r="V8" s="5"/>
      <c r="W8" s="5">
        <v>2016</v>
      </c>
      <c r="X8" s="5"/>
      <c r="Y8" s="5" t="s">
        <v>74</v>
      </c>
      <c r="Z8" s="5" t="s">
        <v>37</v>
      </c>
    </row>
    <row r="9" spans="1:26" x14ac:dyDescent="0.25">
      <c r="A9" s="5" t="s">
        <v>31</v>
      </c>
      <c r="B9" s="5"/>
      <c r="C9" s="5"/>
      <c r="D9" s="5"/>
      <c r="E9" s="5"/>
      <c r="F9" s="5" t="s">
        <v>48</v>
      </c>
      <c r="G9" s="5" t="s">
        <v>20</v>
      </c>
      <c r="H9" s="6">
        <v>0</v>
      </c>
      <c r="I9" s="5"/>
      <c r="J9" s="5"/>
      <c r="K9" s="5"/>
      <c r="L9" s="5"/>
      <c r="M9" s="5"/>
      <c r="N9" s="5"/>
      <c r="O9" s="5"/>
      <c r="P9" s="5"/>
      <c r="Q9" s="5" t="s">
        <v>76</v>
      </c>
      <c r="R9" s="5">
        <v>60</v>
      </c>
      <c r="S9" s="7">
        <v>70</v>
      </c>
      <c r="T9" s="7">
        <f t="shared" si="0"/>
        <v>4200</v>
      </c>
      <c r="U9" s="7">
        <f t="shared" si="1"/>
        <v>4704</v>
      </c>
      <c r="V9" s="5"/>
      <c r="W9" s="5">
        <v>2016</v>
      </c>
      <c r="X9" s="5"/>
      <c r="Y9" s="5" t="s">
        <v>27</v>
      </c>
      <c r="Z9" s="5" t="s">
        <v>38</v>
      </c>
    </row>
    <row r="10" spans="1:26" x14ac:dyDescent="0.25">
      <c r="A10" s="5" t="s">
        <v>32</v>
      </c>
      <c r="B10" s="5"/>
      <c r="C10" s="5"/>
      <c r="D10" s="5"/>
      <c r="E10" s="5"/>
      <c r="F10" s="5" t="s">
        <v>49</v>
      </c>
      <c r="G10" s="5" t="s">
        <v>34</v>
      </c>
      <c r="H10" s="6">
        <v>0</v>
      </c>
      <c r="I10" s="5"/>
      <c r="J10" s="5"/>
      <c r="K10" s="5"/>
      <c r="L10" s="5"/>
      <c r="M10" s="5"/>
      <c r="N10" s="5"/>
      <c r="O10" s="5"/>
      <c r="P10" s="5"/>
      <c r="Q10" s="5" t="s">
        <v>76</v>
      </c>
      <c r="R10" s="5">
        <v>60</v>
      </c>
      <c r="S10" s="7">
        <v>85</v>
      </c>
      <c r="T10" s="7">
        <f t="shared" si="0"/>
        <v>5100</v>
      </c>
      <c r="U10" s="7">
        <f t="shared" si="1"/>
        <v>5712.0000000000009</v>
      </c>
      <c r="V10" s="5"/>
      <c r="W10" s="5">
        <v>2016</v>
      </c>
      <c r="X10" s="5"/>
      <c r="Y10" s="5" t="s">
        <v>72</v>
      </c>
      <c r="Z10" s="5" t="s">
        <v>39</v>
      </c>
    </row>
    <row r="11" spans="1:26" x14ac:dyDescent="0.25">
      <c r="A11" s="5" t="s">
        <v>33</v>
      </c>
      <c r="B11" s="5"/>
      <c r="C11" s="5"/>
      <c r="D11" s="5"/>
      <c r="E11" s="5"/>
      <c r="F11" s="5" t="s">
        <v>50</v>
      </c>
      <c r="G11" s="5" t="s">
        <v>15</v>
      </c>
      <c r="H11" s="6">
        <v>0</v>
      </c>
      <c r="I11" s="5"/>
      <c r="J11" s="5"/>
      <c r="K11" s="5"/>
      <c r="L11" s="5"/>
      <c r="M11" s="5"/>
      <c r="N11" s="5"/>
      <c r="O11" s="5"/>
      <c r="P11" s="5"/>
      <c r="Q11" s="5" t="s">
        <v>76</v>
      </c>
      <c r="R11" s="5">
        <v>100</v>
      </c>
      <c r="S11" s="7">
        <v>10</v>
      </c>
      <c r="T11" s="7">
        <f t="shared" si="0"/>
        <v>1000</v>
      </c>
      <c r="U11" s="7">
        <f t="shared" si="1"/>
        <v>1120</v>
      </c>
      <c r="V11" s="5"/>
      <c r="W11" s="5">
        <v>2016</v>
      </c>
      <c r="X11" s="5"/>
      <c r="Y11" s="5" t="s">
        <v>74</v>
      </c>
      <c r="Z11" s="5" t="s">
        <v>40</v>
      </c>
    </row>
    <row r="12" spans="1:26" x14ac:dyDescent="0.25">
      <c r="A12" s="5" t="s">
        <v>61</v>
      </c>
      <c r="B12" s="5"/>
      <c r="C12" s="5"/>
      <c r="D12" s="5"/>
      <c r="E12" s="5"/>
      <c r="F12" s="5" t="s">
        <v>51</v>
      </c>
      <c r="G12" s="5" t="s">
        <v>15</v>
      </c>
      <c r="H12" s="6">
        <v>0</v>
      </c>
      <c r="I12" s="5"/>
      <c r="J12" s="5"/>
      <c r="K12" s="5"/>
      <c r="L12" s="5"/>
      <c r="M12" s="5"/>
      <c r="N12" s="5"/>
      <c r="O12" s="5"/>
      <c r="P12" s="5"/>
      <c r="Q12" s="5" t="s">
        <v>76</v>
      </c>
      <c r="R12" s="5">
        <v>200</v>
      </c>
      <c r="S12" s="7">
        <v>10</v>
      </c>
      <c r="T12" s="7">
        <f t="shared" si="0"/>
        <v>2000</v>
      </c>
      <c r="U12" s="7">
        <f t="shared" si="1"/>
        <v>2240</v>
      </c>
      <c r="V12" s="5"/>
      <c r="W12" s="5">
        <v>2016</v>
      </c>
      <c r="X12" s="5"/>
      <c r="Y12" s="5" t="s">
        <v>72</v>
      </c>
      <c r="Z12" s="5" t="s">
        <v>79</v>
      </c>
    </row>
    <row r="13" spans="1:26" x14ac:dyDescent="0.25">
      <c r="A13" s="5" t="s">
        <v>62</v>
      </c>
      <c r="B13" s="5"/>
      <c r="C13" s="5"/>
      <c r="D13" s="5"/>
      <c r="E13" s="5"/>
      <c r="F13" s="5" t="s">
        <v>52</v>
      </c>
      <c r="G13" s="5" t="s">
        <v>15</v>
      </c>
      <c r="H13" s="6">
        <v>0</v>
      </c>
      <c r="I13" s="5"/>
      <c r="J13" s="5"/>
      <c r="K13" s="5"/>
      <c r="L13" s="5"/>
      <c r="M13" s="5"/>
      <c r="N13" s="5"/>
      <c r="O13" s="5"/>
      <c r="P13" s="5"/>
      <c r="Q13" s="5" t="s">
        <v>76</v>
      </c>
      <c r="R13" s="5">
        <v>1500</v>
      </c>
      <c r="S13" s="7">
        <v>150</v>
      </c>
      <c r="T13" s="7">
        <f t="shared" si="0"/>
        <v>225000</v>
      </c>
      <c r="U13" s="7">
        <f t="shared" si="1"/>
        <v>252000.00000000003</v>
      </c>
      <c r="V13" s="5"/>
      <c r="W13" s="5">
        <v>2016</v>
      </c>
      <c r="X13" s="5"/>
      <c r="Y13" s="5" t="s">
        <v>72</v>
      </c>
      <c r="Z13" s="5" t="s">
        <v>80</v>
      </c>
    </row>
    <row r="14" spans="1:26" x14ac:dyDescent="0.25">
      <c r="A14" s="5" t="s">
        <v>63</v>
      </c>
      <c r="B14" s="5"/>
      <c r="C14" s="5"/>
      <c r="D14" s="5"/>
      <c r="E14" s="5"/>
      <c r="F14" s="5" t="s">
        <v>53</v>
      </c>
      <c r="G14" s="5" t="s">
        <v>20</v>
      </c>
      <c r="H14" s="6">
        <v>0</v>
      </c>
      <c r="I14" s="5"/>
      <c r="J14" s="5"/>
      <c r="K14" s="5"/>
      <c r="L14" s="5"/>
      <c r="M14" s="5"/>
      <c r="N14" s="5"/>
      <c r="O14" s="5"/>
      <c r="P14" s="5"/>
      <c r="Q14" s="5" t="s">
        <v>76</v>
      </c>
      <c r="R14" s="5">
        <v>25</v>
      </c>
      <c r="S14" s="7">
        <v>120</v>
      </c>
      <c r="T14" s="7">
        <f t="shared" si="0"/>
        <v>3000</v>
      </c>
      <c r="U14" s="7">
        <f t="shared" si="1"/>
        <v>3360.0000000000005</v>
      </c>
      <c r="V14" s="5"/>
      <c r="W14" s="5">
        <v>2016</v>
      </c>
      <c r="X14" s="5"/>
      <c r="Y14" s="5" t="s">
        <v>75</v>
      </c>
      <c r="Z14" s="5" t="s">
        <v>81</v>
      </c>
    </row>
    <row r="15" spans="1:26" x14ac:dyDescent="0.25">
      <c r="A15" s="5" t="s">
        <v>64</v>
      </c>
      <c r="B15" s="5"/>
      <c r="C15" s="5"/>
      <c r="D15" s="5"/>
      <c r="E15" s="5"/>
      <c r="F15" s="5" t="s">
        <v>54</v>
      </c>
      <c r="G15" s="5" t="s">
        <v>15</v>
      </c>
      <c r="H15" s="6">
        <v>0</v>
      </c>
      <c r="I15" s="5"/>
      <c r="J15" s="5"/>
      <c r="K15" s="5"/>
      <c r="L15" s="5"/>
      <c r="M15" s="5"/>
      <c r="N15" s="5"/>
      <c r="O15" s="5"/>
      <c r="P15" s="5"/>
      <c r="Q15" s="5" t="s">
        <v>76</v>
      </c>
      <c r="R15" s="5">
        <v>25</v>
      </c>
      <c r="S15" s="7">
        <v>120</v>
      </c>
      <c r="T15" s="7">
        <f t="shared" si="0"/>
        <v>3000</v>
      </c>
      <c r="U15" s="7">
        <f t="shared" si="1"/>
        <v>3360.0000000000005</v>
      </c>
      <c r="V15" s="5"/>
      <c r="W15" s="5">
        <v>2016</v>
      </c>
      <c r="X15" s="5"/>
      <c r="Y15" s="5" t="s">
        <v>75</v>
      </c>
      <c r="Z15" s="5" t="s">
        <v>82</v>
      </c>
    </row>
    <row r="16" spans="1:26" x14ac:dyDescent="0.25">
      <c r="A16" s="5" t="s">
        <v>65</v>
      </c>
      <c r="B16" s="5"/>
      <c r="C16" s="5"/>
      <c r="D16" s="5"/>
      <c r="E16" s="5"/>
      <c r="F16" s="5" t="s">
        <v>55</v>
      </c>
      <c r="G16" s="5" t="s">
        <v>15</v>
      </c>
      <c r="H16" s="6">
        <v>0</v>
      </c>
      <c r="I16" s="5"/>
      <c r="J16" s="5"/>
      <c r="K16" s="5"/>
      <c r="L16" s="5"/>
      <c r="M16" s="5"/>
      <c r="N16" s="5"/>
      <c r="O16" s="5"/>
      <c r="P16" s="5"/>
      <c r="Q16" s="5" t="s">
        <v>76</v>
      </c>
      <c r="R16" s="5">
        <v>2</v>
      </c>
      <c r="S16" s="7">
        <v>50</v>
      </c>
      <c r="T16" s="7">
        <f t="shared" si="0"/>
        <v>100</v>
      </c>
      <c r="U16" s="7">
        <f t="shared" si="1"/>
        <v>112.00000000000001</v>
      </c>
      <c r="V16" s="5"/>
      <c r="W16" s="5">
        <v>2016</v>
      </c>
      <c r="X16" s="5"/>
      <c r="Y16" s="5" t="s">
        <v>75</v>
      </c>
      <c r="Z16" s="5" t="s">
        <v>83</v>
      </c>
    </row>
    <row r="17" spans="1:26" x14ac:dyDescent="0.25">
      <c r="A17" s="5" t="s">
        <v>66</v>
      </c>
      <c r="B17" s="5"/>
      <c r="C17" s="5"/>
      <c r="D17" s="5"/>
      <c r="E17" s="5"/>
      <c r="F17" s="5" t="s">
        <v>56</v>
      </c>
      <c r="G17" s="5" t="s">
        <v>15</v>
      </c>
      <c r="H17" s="6">
        <v>0</v>
      </c>
      <c r="I17" s="5"/>
      <c r="J17" s="5"/>
      <c r="K17" s="5"/>
      <c r="L17" s="5"/>
      <c r="M17" s="5"/>
      <c r="N17" s="5"/>
      <c r="O17" s="5"/>
      <c r="P17" s="5"/>
      <c r="Q17" s="5" t="s">
        <v>76</v>
      </c>
      <c r="R17" s="5">
        <v>5</v>
      </c>
      <c r="S17" s="7">
        <v>300</v>
      </c>
      <c r="T17" s="7">
        <f t="shared" si="0"/>
        <v>1500</v>
      </c>
      <c r="U17" s="7">
        <f t="shared" si="1"/>
        <v>1680.0000000000002</v>
      </c>
      <c r="V17" s="5"/>
      <c r="W17" s="5">
        <v>2016</v>
      </c>
      <c r="X17" s="5"/>
      <c r="Y17" s="5" t="s">
        <v>75</v>
      </c>
      <c r="Z17" s="5" t="s">
        <v>84</v>
      </c>
    </row>
    <row r="18" spans="1:26" x14ac:dyDescent="0.25">
      <c r="A18" s="5" t="s">
        <v>67</v>
      </c>
      <c r="B18" s="5"/>
      <c r="C18" s="5"/>
      <c r="D18" s="5"/>
      <c r="E18" s="5"/>
      <c r="F18" s="5" t="s">
        <v>57</v>
      </c>
      <c r="G18" s="5" t="s">
        <v>20</v>
      </c>
      <c r="H18" s="6">
        <v>0</v>
      </c>
      <c r="I18" s="5"/>
      <c r="J18" s="5"/>
      <c r="K18" s="5"/>
      <c r="L18" s="5"/>
      <c r="M18" s="5"/>
      <c r="N18" s="5"/>
      <c r="O18" s="5"/>
      <c r="P18" s="5"/>
      <c r="Q18" s="5" t="s">
        <v>76</v>
      </c>
      <c r="R18" s="5">
        <v>15</v>
      </c>
      <c r="S18" s="7">
        <v>25</v>
      </c>
      <c r="T18" s="7">
        <f t="shared" si="0"/>
        <v>375</v>
      </c>
      <c r="U18" s="7">
        <f t="shared" si="1"/>
        <v>420.00000000000006</v>
      </c>
      <c r="V18" s="5"/>
      <c r="W18" s="5">
        <v>2016</v>
      </c>
      <c r="X18" s="5"/>
      <c r="Y18" s="5" t="s">
        <v>75</v>
      </c>
      <c r="Z18" s="5" t="s">
        <v>85</v>
      </c>
    </row>
    <row r="19" spans="1:26" x14ac:dyDescent="0.25">
      <c r="A19" s="5" t="s">
        <v>68</v>
      </c>
      <c r="B19" s="5"/>
      <c r="C19" s="5"/>
      <c r="D19" s="5"/>
      <c r="E19" s="5"/>
      <c r="F19" s="5" t="s">
        <v>58</v>
      </c>
      <c r="G19" s="5" t="s">
        <v>34</v>
      </c>
      <c r="H19" s="6">
        <v>0</v>
      </c>
      <c r="I19" s="5"/>
      <c r="J19" s="5"/>
      <c r="K19" s="5"/>
      <c r="L19" s="5"/>
      <c r="M19" s="5"/>
      <c r="N19" s="5"/>
      <c r="O19" s="5"/>
      <c r="P19" s="5"/>
      <c r="Q19" s="5" t="s">
        <v>76</v>
      </c>
      <c r="R19" s="5">
        <v>25</v>
      </c>
      <c r="S19" s="7">
        <v>60</v>
      </c>
      <c r="T19" s="7">
        <f t="shared" si="0"/>
        <v>1500</v>
      </c>
      <c r="U19" s="7">
        <f t="shared" si="1"/>
        <v>1680.0000000000002</v>
      </c>
      <c r="V19" s="5"/>
      <c r="W19" s="5">
        <v>2016</v>
      </c>
      <c r="X19" s="5"/>
      <c r="Y19" s="5" t="s">
        <v>75</v>
      </c>
      <c r="Z19" s="5" t="s">
        <v>86</v>
      </c>
    </row>
    <row r="20" spans="1:26" x14ac:dyDescent="0.25">
      <c r="A20" s="5" t="s">
        <v>69</v>
      </c>
      <c r="B20" s="5"/>
      <c r="C20" s="5"/>
      <c r="D20" s="5"/>
      <c r="E20" s="5"/>
      <c r="F20" s="5" t="s">
        <v>59</v>
      </c>
      <c r="G20" s="5" t="s">
        <v>15</v>
      </c>
      <c r="H20" s="6">
        <v>0</v>
      </c>
      <c r="I20" s="5"/>
      <c r="J20" s="5"/>
      <c r="K20" s="5"/>
      <c r="L20" s="5"/>
      <c r="M20" s="5"/>
      <c r="N20" s="5"/>
      <c r="O20" s="5"/>
      <c r="P20" s="5"/>
      <c r="Q20" s="5" t="s">
        <v>76</v>
      </c>
      <c r="R20" s="5">
        <v>10</v>
      </c>
      <c r="S20" s="7">
        <v>25</v>
      </c>
      <c r="T20" s="7">
        <f t="shared" si="0"/>
        <v>250</v>
      </c>
      <c r="U20" s="7">
        <f t="shared" si="1"/>
        <v>280</v>
      </c>
      <c r="V20" s="5"/>
      <c r="W20" s="5">
        <v>2016</v>
      </c>
      <c r="X20" s="5"/>
      <c r="Y20" s="5" t="s">
        <v>75</v>
      </c>
      <c r="Z20" s="5" t="s">
        <v>87</v>
      </c>
    </row>
    <row r="21" spans="1:26" x14ac:dyDescent="0.25">
      <c r="A21" s="5" t="s">
        <v>70</v>
      </c>
      <c r="B21" s="5"/>
      <c r="C21" s="5"/>
      <c r="D21" s="5"/>
      <c r="E21" s="5"/>
      <c r="F21" s="5" t="s">
        <v>60</v>
      </c>
      <c r="G21" s="5" t="s">
        <v>15</v>
      </c>
      <c r="H21" s="6">
        <v>0</v>
      </c>
      <c r="I21" s="5"/>
      <c r="J21" s="5"/>
      <c r="K21" s="5"/>
      <c r="L21" s="5"/>
      <c r="M21" s="5"/>
      <c r="N21" s="5"/>
      <c r="O21" s="5"/>
      <c r="P21" s="5"/>
      <c r="Q21" s="5" t="s">
        <v>76</v>
      </c>
      <c r="R21" s="5">
        <v>1000</v>
      </c>
      <c r="S21" s="7">
        <v>15</v>
      </c>
      <c r="T21" s="7">
        <f t="shared" si="0"/>
        <v>15000</v>
      </c>
      <c r="U21" s="7">
        <f t="shared" si="1"/>
        <v>16800</v>
      </c>
      <c r="V21" s="5"/>
      <c r="W21" s="5">
        <v>2016</v>
      </c>
      <c r="X21" s="5"/>
      <c r="Y21" s="5" t="s">
        <v>75</v>
      </c>
      <c r="Z21" s="5" t="s">
        <v>88</v>
      </c>
    </row>
    <row r="22" spans="1:26" x14ac:dyDescent="0.25">
      <c r="T22" s="15">
        <f>SUM(T2:T21)</f>
        <v>281438.75</v>
      </c>
      <c r="U22" s="1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M2" sqref="M2"/>
    </sheetView>
  </sheetViews>
  <sheetFormatPr defaultRowHeight="12.75" x14ac:dyDescent="0.25"/>
  <cols>
    <col min="1" max="1" width="5.42578125" style="2" customWidth="1"/>
    <col min="2" max="2" width="4.7109375" style="2" customWidth="1"/>
    <col min="3" max="3" width="9.85546875" style="2" customWidth="1"/>
    <col min="4" max="5" width="9.28515625" style="2" hidden="1" customWidth="1"/>
    <col min="6" max="6" width="15.85546875" style="2" customWidth="1"/>
    <col min="7" max="7" width="7" style="2" customWidth="1"/>
    <col min="8" max="8" width="6.42578125" style="2" customWidth="1"/>
    <col min="9" max="9" width="9.140625" style="2"/>
    <col min="10" max="11" width="11.85546875" style="2" customWidth="1"/>
    <col min="12" max="12" width="5.5703125" style="2" customWidth="1"/>
    <col min="13" max="13" width="19" style="2" customWidth="1"/>
    <col min="14" max="14" width="10.140625" style="2" customWidth="1"/>
    <col min="15" max="15" width="8.42578125" style="2" customWidth="1"/>
    <col min="16" max="16" width="24.5703125" style="2" customWidth="1"/>
    <col min="17" max="16384" width="9.140625" style="2"/>
  </cols>
  <sheetData>
    <row r="1" spans="1:17" ht="76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132</v>
      </c>
      <c r="N1" s="11" t="s">
        <v>12</v>
      </c>
      <c r="O1" s="11" t="s">
        <v>13</v>
      </c>
      <c r="P1" s="11" t="s">
        <v>14</v>
      </c>
    </row>
    <row r="2" spans="1:17" ht="25.5" x14ac:dyDescent="0.25">
      <c r="A2" s="1" t="s">
        <v>23</v>
      </c>
      <c r="B2" s="1">
        <v>1</v>
      </c>
      <c r="C2" s="3">
        <v>42321</v>
      </c>
      <c r="D2" s="1"/>
      <c r="E2" s="1"/>
      <c r="F2" s="1" t="str">
        <f t="shared" ref="F2:F21" si="0">VLOOKUP(A2,План,6,0)</f>
        <v>Карандаш</v>
      </c>
      <c r="G2" s="1">
        <f t="shared" ref="G2:G21" si="1">VLOOKUP(A2,План,18,0)</f>
        <v>100</v>
      </c>
      <c r="H2" s="1" t="str">
        <f t="shared" ref="H2:H21" si="2">VLOOKUP(A2,План,17,0)</f>
        <v>штука</v>
      </c>
      <c r="I2" s="1">
        <f t="shared" ref="I2:I21" si="3">VLOOKUP(A2,План,19,0)</f>
        <v>15</v>
      </c>
      <c r="J2" s="4">
        <f t="shared" ref="J2:J10" si="4">G2*I2</f>
        <v>1500</v>
      </c>
      <c r="K2" s="4">
        <f>J2*1.12</f>
        <v>1680.0000000000002</v>
      </c>
      <c r="L2" s="1"/>
      <c r="M2" s="1" t="str">
        <f t="shared" ref="M2:M21" si="5">VLOOKUP(A2,План,25,0)</f>
        <v>АХО-50
ПТО-50</v>
      </c>
      <c r="N2" s="1" t="str">
        <f t="shared" ref="N2:N21" si="6">VLOOKUP(A2,План,26,0)</f>
        <v>560-00076</v>
      </c>
      <c r="O2" s="1"/>
      <c r="P2" s="1" t="s">
        <v>17</v>
      </c>
      <c r="Q2" s="2" t="str">
        <f>TEXT(C2,"ММММ")</f>
        <v>Ноябрь</v>
      </c>
    </row>
    <row r="3" spans="1:17" ht="25.5" x14ac:dyDescent="0.25">
      <c r="A3" s="1" t="s">
        <v>24</v>
      </c>
      <c r="B3" s="1">
        <v>1</v>
      </c>
      <c r="C3" s="3">
        <v>42321</v>
      </c>
      <c r="D3" s="1"/>
      <c r="E3" s="1"/>
      <c r="F3" s="1" t="str">
        <f t="shared" si="0"/>
        <v>Ручка</v>
      </c>
      <c r="G3" s="1">
        <f t="shared" si="1"/>
        <v>100</v>
      </c>
      <c r="H3" s="1" t="str">
        <f t="shared" si="2"/>
        <v>штука</v>
      </c>
      <c r="I3" s="1">
        <f t="shared" si="3"/>
        <v>25</v>
      </c>
      <c r="J3" s="4">
        <f t="shared" si="4"/>
        <v>2500</v>
      </c>
      <c r="K3" s="4">
        <f t="shared" ref="K3:K10" si="7">J3*1.12</f>
        <v>2800.0000000000005</v>
      </c>
      <c r="L3" s="1"/>
      <c r="M3" s="1" t="str">
        <f t="shared" si="5"/>
        <v>АХО</v>
      </c>
      <c r="N3" s="1" t="str">
        <f t="shared" si="6"/>
        <v>560-00088</v>
      </c>
      <c r="O3" s="1"/>
      <c r="P3" s="1" t="s">
        <v>17</v>
      </c>
      <c r="Q3" s="2" t="str">
        <f t="shared" ref="Q3:Q21" si="8">TEXT(C3,"ММММ")</f>
        <v>Ноябрь</v>
      </c>
    </row>
    <row r="4" spans="1:17" ht="25.5" x14ac:dyDescent="0.25">
      <c r="A4" s="1" t="s">
        <v>25</v>
      </c>
      <c r="B4" s="1">
        <v>1</v>
      </c>
      <c r="C4" s="3">
        <v>42321</v>
      </c>
      <c r="D4" s="1"/>
      <c r="E4" s="1"/>
      <c r="F4" s="1" t="str">
        <f t="shared" si="0"/>
        <v>Калькулятор</v>
      </c>
      <c r="G4" s="1">
        <f t="shared" si="1"/>
        <v>10</v>
      </c>
      <c r="H4" s="1" t="str">
        <f t="shared" si="2"/>
        <v>штука</v>
      </c>
      <c r="I4" s="1">
        <f t="shared" si="3"/>
        <v>600</v>
      </c>
      <c r="J4" s="4">
        <f t="shared" si="4"/>
        <v>6000</v>
      </c>
      <c r="K4" s="4">
        <f t="shared" si="7"/>
        <v>6720.0000000000009</v>
      </c>
      <c r="L4" s="1"/>
      <c r="M4" s="1" t="str">
        <f t="shared" si="5"/>
        <v>Бухгалтерия</v>
      </c>
      <c r="N4" s="1" t="str">
        <f t="shared" si="6"/>
        <v>560-00074</v>
      </c>
      <c r="O4" s="1"/>
      <c r="P4" s="1" t="s">
        <v>17</v>
      </c>
      <c r="Q4" s="2" t="str">
        <f t="shared" si="8"/>
        <v>Ноябрь</v>
      </c>
    </row>
    <row r="5" spans="1:17" x14ac:dyDescent="0.25">
      <c r="A5" s="1" t="s">
        <v>26</v>
      </c>
      <c r="B5" s="1">
        <v>2</v>
      </c>
      <c r="C5" s="3">
        <v>42335</v>
      </c>
      <c r="D5" s="1"/>
      <c r="E5" s="1"/>
      <c r="F5" s="1" t="str">
        <f t="shared" si="0"/>
        <v>Стиралка</v>
      </c>
      <c r="G5" s="1">
        <f t="shared" si="1"/>
        <v>50</v>
      </c>
      <c r="H5" s="1" t="str">
        <f t="shared" si="2"/>
        <v>штука</v>
      </c>
      <c r="I5" s="1">
        <f t="shared" si="3"/>
        <v>5</v>
      </c>
      <c r="J5" s="4">
        <f t="shared" si="4"/>
        <v>250</v>
      </c>
      <c r="K5" s="4">
        <f t="shared" si="7"/>
        <v>280</v>
      </c>
      <c r="L5" s="1"/>
      <c r="M5" s="1" t="str">
        <f t="shared" si="5"/>
        <v>Отдел кадров</v>
      </c>
      <c r="N5" s="1" t="str">
        <f t="shared" si="6"/>
        <v>286-01969</v>
      </c>
      <c r="O5" s="1"/>
      <c r="P5" s="1" t="s">
        <v>22</v>
      </c>
      <c r="Q5" s="2" t="str">
        <f t="shared" si="8"/>
        <v>Ноябрь</v>
      </c>
    </row>
    <row r="6" spans="1:17" x14ac:dyDescent="0.25">
      <c r="A6" s="1" t="s">
        <v>28</v>
      </c>
      <c r="B6" s="1">
        <v>3</v>
      </c>
      <c r="C6" s="3">
        <v>42704</v>
      </c>
      <c r="D6" s="1"/>
      <c r="E6" s="1"/>
      <c r="F6" s="1" t="str">
        <f t="shared" si="0"/>
        <v>Ножницы</v>
      </c>
      <c r="G6" s="1">
        <f t="shared" si="1"/>
        <v>25</v>
      </c>
      <c r="H6" s="1" t="str">
        <f t="shared" si="2"/>
        <v>штука</v>
      </c>
      <c r="I6" s="1">
        <f t="shared" si="3"/>
        <v>56.55</v>
      </c>
      <c r="J6" s="4">
        <f t="shared" si="4"/>
        <v>1413.75</v>
      </c>
      <c r="K6" s="4">
        <f t="shared" si="7"/>
        <v>1583.4</v>
      </c>
      <c r="L6" s="1"/>
      <c r="M6" s="1" t="str">
        <f t="shared" si="5"/>
        <v>IT-инженер</v>
      </c>
      <c r="N6" s="1" t="str">
        <f t="shared" si="6"/>
        <v>001-T0287</v>
      </c>
      <c r="O6" s="1"/>
      <c r="P6" s="1" t="s">
        <v>22</v>
      </c>
      <c r="Q6" s="2" t="str">
        <f t="shared" si="8"/>
        <v>Ноябрь</v>
      </c>
    </row>
    <row r="7" spans="1:17" ht="25.5" x14ac:dyDescent="0.25">
      <c r="A7" s="1" t="s">
        <v>29</v>
      </c>
      <c r="B7" s="1">
        <v>3</v>
      </c>
      <c r="C7" s="3">
        <v>42704</v>
      </c>
      <c r="D7" s="1"/>
      <c r="E7" s="1"/>
      <c r="F7" s="1" t="str">
        <f t="shared" si="0"/>
        <v>Канцелярский нож</v>
      </c>
      <c r="G7" s="1">
        <f t="shared" si="1"/>
        <v>30</v>
      </c>
      <c r="H7" s="1" t="str">
        <f t="shared" si="2"/>
        <v>штука</v>
      </c>
      <c r="I7" s="1">
        <f t="shared" si="3"/>
        <v>50</v>
      </c>
      <c r="J7" s="4">
        <f t="shared" si="4"/>
        <v>1500</v>
      </c>
      <c r="K7" s="4">
        <f t="shared" si="7"/>
        <v>1680.0000000000002</v>
      </c>
      <c r="L7" s="1"/>
      <c r="M7" s="1" t="str">
        <f t="shared" si="5"/>
        <v>Юрид.отдел</v>
      </c>
      <c r="N7" s="1" t="str">
        <f t="shared" si="6"/>
        <v>521-00017</v>
      </c>
      <c r="O7" s="1"/>
      <c r="P7" s="1" t="s">
        <v>77</v>
      </c>
      <c r="Q7" s="2" t="str">
        <f t="shared" si="8"/>
        <v>Ноябрь</v>
      </c>
    </row>
    <row r="8" spans="1:17" x14ac:dyDescent="0.25">
      <c r="A8" s="1" t="s">
        <v>30</v>
      </c>
      <c r="B8" s="1">
        <v>3</v>
      </c>
      <c r="C8" s="3">
        <v>42704</v>
      </c>
      <c r="D8" s="1"/>
      <c r="E8" s="1"/>
      <c r="F8" s="1" t="str">
        <f t="shared" si="0"/>
        <v>Степлер</v>
      </c>
      <c r="G8" s="1">
        <f t="shared" si="1"/>
        <v>25</v>
      </c>
      <c r="H8" s="1" t="str">
        <f t="shared" si="2"/>
        <v>штука</v>
      </c>
      <c r="I8" s="1">
        <f t="shared" si="3"/>
        <v>250</v>
      </c>
      <c r="J8" s="4">
        <f t="shared" si="4"/>
        <v>6250</v>
      </c>
      <c r="K8" s="4">
        <f t="shared" si="7"/>
        <v>7000.0000000000009</v>
      </c>
      <c r="L8" s="1"/>
      <c r="M8" s="1" t="str">
        <f t="shared" si="5"/>
        <v>Отдел сбыта</v>
      </c>
      <c r="N8" s="1" t="str">
        <f t="shared" si="6"/>
        <v>521-T0039</v>
      </c>
      <c r="O8" s="1"/>
      <c r="P8" s="1" t="s">
        <v>22</v>
      </c>
      <c r="Q8" s="2" t="str">
        <f t="shared" si="8"/>
        <v>Ноябрь</v>
      </c>
    </row>
    <row r="9" spans="1:17" x14ac:dyDescent="0.25">
      <c r="A9" s="1" t="s">
        <v>31</v>
      </c>
      <c r="B9" s="1">
        <v>3</v>
      </c>
      <c r="C9" s="3">
        <v>42704</v>
      </c>
      <c r="D9" s="1"/>
      <c r="E9" s="1"/>
      <c r="F9" s="1" t="str">
        <f t="shared" si="0"/>
        <v>Штрих-корректор</v>
      </c>
      <c r="G9" s="1">
        <f t="shared" si="1"/>
        <v>60</v>
      </c>
      <c r="H9" s="1" t="str">
        <f t="shared" si="2"/>
        <v>штука</v>
      </c>
      <c r="I9" s="1">
        <f t="shared" si="3"/>
        <v>70</v>
      </c>
      <c r="J9" s="4">
        <f t="shared" si="4"/>
        <v>4200</v>
      </c>
      <c r="K9" s="4">
        <f t="shared" si="7"/>
        <v>4704</v>
      </c>
      <c r="L9" s="1"/>
      <c r="M9" s="1" t="str">
        <f t="shared" si="5"/>
        <v>АХО</v>
      </c>
      <c r="N9" s="1" t="str">
        <f t="shared" si="6"/>
        <v>521-00070</v>
      </c>
      <c r="O9" s="1"/>
      <c r="P9" s="1" t="s">
        <v>22</v>
      </c>
      <c r="Q9" s="2" t="str">
        <f t="shared" si="8"/>
        <v>Ноябрь</v>
      </c>
    </row>
    <row r="10" spans="1:17" x14ac:dyDescent="0.25">
      <c r="A10" s="1" t="s">
        <v>32</v>
      </c>
      <c r="B10" s="1">
        <v>3</v>
      </c>
      <c r="C10" s="3">
        <v>42704</v>
      </c>
      <c r="D10" s="1"/>
      <c r="E10" s="1"/>
      <c r="F10" s="1" t="str">
        <f t="shared" si="0"/>
        <v>Клей</v>
      </c>
      <c r="G10" s="1">
        <f t="shared" si="1"/>
        <v>60</v>
      </c>
      <c r="H10" s="1" t="str">
        <f t="shared" si="2"/>
        <v>штука</v>
      </c>
      <c r="I10" s="1">
        <f t="shared" si="3"/>
        <v>85</v>
      </c>
      <c r="J10" s="4">
        <f t="shared" si="4"/>
        <v>5100</v>
      </c>
      <c r="K10" s="4">
        <f t="shared" si="7"/>
        <v>5712.0000000000009</v>
      </c>
      <c r="L10" s="1"/>
      <c r="M10" s="1" t="str">
        <f t="shared" si="5"/>
        <v>Отдел кадров</v>
      </c>
      <c r="N10" s="1" t="str">
        <f t="shared" si="6"/>
        <v>521-T0070</v>
      </c>
      <c r="O10" s="1"/>
      <c r="P10" s="1" t="s">
        <v>22</v>
      </c>
      <c r="Q10" s="2" t="str">
        <f t="shared" si="8"/>
        <v>Ноябрь</v>
      </c>
    </row>
    <row r="11" spans="1:17" ht="25.5" x14ac:dyDescent="0.25">
      <c r="A11" s="1" t="s">
        <v>33</v>
      </c>
      <c r="B11" s="1">
        <v>3</v>
      </c>
      <c r="C11" s="3">
        <v>42704</v>
      </c>
      <c r="D11" s="1"/>
      <c r="E11" s="1"/>
      <c r="F11" s="1" t="str">
        <f t="shared" si="0"/>
        <v>Стикер</v>
      </c>
      <c r="G11" s="1">
        <f t="shared" si="1"/>
        <v>100</v>
      </c>
      <c r="H11" s="1" t="str">
        <f t="shared" si="2"/>
        <v>штука</v>
      </c>
      <c r="I11" s="1">
        <f t="shared" si="3"/>
        <v>10</v>
      </c>
      <c r="J11" s="4">
        <f t="shared" ref="J11:J21" si="9">G11*I11</f>
        <v>1000</v>
      </c>
      <c r="K11" s="4">
        <f t="shared" ref="K11:K21" si="10">J11*1.12</f>
        <v>1120</v>
      </c>
      <c r="L11" s="1"/>
      <c r="M11" s="1" t="str">
        <f t="shared" si="5"/>
        <v>Отдел сбыта</v>
      </c>
      <c r="N11" s="1" t="str">
        <f t="shared" si="6"/>
        <v>521-T0040</v>
      </c>
      <c r="O11" s="1"/>
      <c r="P11" s="1" t="s">
        <v>17</v>
      </c>
      <c r="Q11" s="2" t="str">
        <f t="shared" si="8"/>
        <v>Ноябрь</v>
      </c>
    </row>
    <row r="12" spans="1:17" ht="25.5" x14ac:dyDescent="0.25">
      <c r="A12" s="1" t="s">
        <v>61</v>
      </c>
      <c r="B12" s="1">
        <v>3</v>
      </c>
      <c r="C12" s="3">
        <v>42704</v>
      </c>
      <c r="D12" s="1"/>
      <c r="E12" s="1"/>
      <c r="F12" s="1" t="str">
        <f t="shared" si="0"/>
        <v>Скрепки</v>
      </c>
      <c r="G12" s="1">
        <f t="shared" si="1"/>
        <v>200</v>
      </c>
      <c r="H12" s="1" t="str">
        <f t="shared" si="2"/>
        <v>штука</v>
      </c>
      <c r="I12" s="1">
        <f t="shared" si="3"/>
        <v>10</v>
      </c>
      <c r="J12" s="4">
        <f t="shared" si="9"/>
        <v>2000</v>
      </c>
      <c r="K12" s="4">
        <f t="shared" si="10"/>
        <v>2240</v>
      </c>
      <c r="L12" s="1"/>
      <c r="M12" s="1" t="str">
        <f t="shared" si="5"/>
        <v>Отдел кадров</v>
      </c>
      <c r="N12" s="1" t="str">
        <f t="shared" si="6"/>
        <v>521-T0041</v>
      </c>
      <c r="O12" s="1"/>
      <c r="P12" s="1" t="s">
        <v>17</v>
      </c>
      <c r="Q12" s="2" t="str">
        <f t="shared" si="8"/>
        <v>Ноябрь</v>
      </c>
    </row>
    <row r="13" spans="1:17" ht="25.5" x14ac:dyDescent="0.25">
      <c r="A13" s="1" t="s">
        <v>62</v>
      </c>
      <c r="B13" s="1">
        <v>3</v>
      </c>
      <c r="C13" s="3">
        <v>42704</v>
      </c>
      <c r="D13" s="1"/>
      <c r="E13" s="1"/>
      <c r="F13" s="1" t="str">
        <f t="shared" si="0"/>
        <v>Бумага А-4</v>
      </c>
      <c r="G13" s="1">
        <f t="shared" si="1"/>
        <v>1500</v>
      </c>
      <c r="H13" s="1" t="str">
        <f t="shared" si="2"/>
        <v>штука</v>
      </c>
      <c r="I13" s="1">
        <f t="shared" si="3"/>
        <v>150</v>
      </c>
      <c r="J13" s="4">
        <f t="shared" si="9"/>
        <v>225000</v>
      </c>
      <c r="K13" s="4">
        <f t="shared" si="10"/>
        <v>252000.00000000003</v>
      </c>
      <c r="L13" s="1"/>
      <c r="M13" s="1" t="str">
        <f t="shared" si="5"/>
        <v>Отдел кадров</v>
      </c>
      <c r="N13" s="1" t="str">
        <f t="shared" si="6"/>
        <v>521-00095</v>
      </c>
      <c r="O13" s="1"/>
      <c r="P13" s="1" t="s">
        <v>17</v>
      </c>
      <c r="Q13" s="2" t="str">
        <f t="shared" si="8"/>
        <v>Ноябрь</v>
      </c>
    </row>
    <row r="14" spans="1:17" ht="25.5" x14ac:dyDescent="0.25">
      <c r="A14" s="1" t="s">
        <v>63</v>
      </c>
      <c r="B14" s="1">
        <v>3</v>
      </c>
      <c r="C14" s="3">
        <v>42704</v>
      </c>
      <c r="D14" s="1"/>
      <c r="E14" s="1"/>
      <c r="F14" s="1" t="str">
        <f t="shared" si="0"/>
        <v>Календарь</v>
      </c>
      <c r="G14" s="1">
        <f t="shared" si="1"/>
        <v>25</v>
      </c>
      <c r="H14" s="1" t="str">
        <f t="shared" si="2"/>
        <v>штука</v>
      </c>
      <c r="I14" s="1">
        <f t="shared" si="3"/>
        <v>120</v>
      </c>
      <c r="J14" s="4">
        <f t="shared" si="9"/>
        <v>3000</v>
      </c>
      <c r="K14" s="4">
        <f t="shared" si="10"/>
        <v>3360.0000000000005</v>
      </c>
      <c r="L14" s="1"/>
      <c r="M14" s="1" t="str">
        <f t="shared" si="5"/>
        <v>Офис-менеджер</v>
      </c>
      <c r="N14" s="1" t="str">
        <f t="shared" si="6"/>
        <v>521-T0042</v>
      </c>
      <c r="O14" s="1"/>
      <c r="P14" s="1" t="s">
        <v>78</v>
      </c>
      <c r="Q14" s="2" t="str">
        <f t="shared" si="8"/>
        <v>Ноябрь</v>
      </c>
    </row>
    <row r="15" spans="1:17" ht="25.5" x14ac:dyDescent="0.25">
      <c r="A15" s="1" t="s">
        <v>64</v>
      </c>
      <c r="B15" s="1">
        <v>3</v>
      </c>
      <c r="C15" s="3">
        <v>42704</v>
      </c>
      <c r="D15" s="1"/>
      <c r="E15" s="1"/>
      <c r="F15" s="1" t="str">
        <f t="shared" si="0"/>
        <v>Ежедневник</v>
      </c>
      <c r="G15" s="1">
        <f t="shared" si="1"/>
        <v>25</v>
      </c>
      <c r="H15" s="1" t="str">
        <f t="shared" si="2"/>
        <v>штука</v>
      </c>
      <c r="I15" s="1">
        <f t="shared" si="3"/>
        <v>120</v>
      </c>
      <c r="J15" s="4">
        <f t="shared" si="9"/>
        <v>3000</v>
      </c>
      <c r="K15" s="4">
        <f t="shared" si="10"/>
        <v>3360.0000000000005</v>
      </c>
      <c r="L15" s="1"/>
      <c r="M15" s="1" t="str">
        <f t="shared" si="5"/>
        <v>Офис-менеджер</v>
      </c>
      <c r="N15" s="1" t="str">
        <f t="shared" si="6"/>
        <v>521-T0043</v>
      </c>
      <c r="O15" s="1"/>
      <c r="P15" s="1" t="s">
        <v>78</v>
      </c>
      <c r="Q15" s="2" t="str">
        <f t="shared" si="8"/>
        <v>Ноябрь</v>
      </c>
    </row>
    <row r="16" spans="1:17" ht="25.5" x14ac:dyDescent="0.25">
      <c r="A16" s="1" t="s">
        <v>65</v>
      </c>
      <c r="B16" s="1">
        <v>3</v>
      </c>
      <c r="C16" s="3">
        <v>42704</v>
      </c>
      <c r="D16" s="1"/>
      <c r="E16" s="1"/>
      <c r="F16" s="1" t="str">
        <f t="shared" si="0"/>
        <v>Визитница</v>
      </c>
      <c r="G16" s="1">
        <f t="shared" si="1"/>
        <v>2</v>
      </c>
      <c r="H16" s="1" t="str">
        <f t="shared" si="2"/>
        <v>штука</v>
      </c>
      <c r="I16" s="1">
        <f t="shared" si="3"/>
        <v>50</v>
      </c>
      <c r="J16" s="4">
        <f t="shared" si="9"/>
        <v>100</v>
      </c>
      <c r="K16" s="4">
        <f t="shared" si="10"/>
        <v>112.00000000000001</v>
      </c>
      <c r="L16" s="1"/>
      <c r="M16" s="1" t="str">
        <f t="shared" si="5"/>
        <v>Офис-менеджер</v>
      </c>
      <c r="N16" s="1" t="str">
        <f t="shared" si="6"/>
        <v>521-T0044</v>
      </c>
      <c r="O16" s="1"/>
      <c r="P16" s="1" t="s">
        <v>78</v>
      </c>
      <c r="Q16" s="2" t="str">
        <f t="shared" si="8"/>
        <v>Ноябрь</v>
      </c>
    </row>
    <row r="17" spans="1:17" ht="25.5" x14ac:dyDescent="0.25">
      <c r="A17" s="1" t="s">
        <v>66</v>
      </c>
      <c r="B17" s="1">
        <v>3</v>
      </c>
      <c r="C17" s="3">
        <v>42704</v>
      </c>
      <c r="D17" s="1"/>
      <c r="E17" s="1"/>
      <c r="F17" s="1" t="str">
        <f t="shared" si="0"/>
        <v>Спрей</v>
      </c>
      <c r="G17" s="1">
        <f t="shared" si="1"/>
        <v>5</v>
      </c>
      <c r="H17" s="1" t="str">
        <f t="shared" si="2"/>
        <v>штука</v>
      </c>
      <c r="I17" s="1">
        <f t="shared" si="3"/>
        <v>300</v>
      </c>
      <c r="J17" s="4">
        <f t="shared" si="9"/>
        <v>1500</v>
      </c>
      <c r="K17" s="4">
        <f t="shared" si="10"/>
        <v>1680.0000000000002</v>
      </c>
      <c r="L17" s="1"/>
      <c r="M17" s="1" t="str">
        <f t="shared" si="5"/>
        <v>Офис-менеджер</v>
      </c>
      <c r="N17" s="1" t="str">
        <f t="shared" si="6"/>
        <v>521-T0045</v>
      </c>
      <c r="O17" s="1"/>
      <c r="P17" s="1" t="s">
        <v>78</v>
      </c>
      <c r="Q17" s="2" t="str">
        <f t="shared" si="8"/>
        <v>Ноябрь</v>
      </c>
    </row>
    <row r="18" spans="1:17" ht="25.5" x14ac:dyDescent="0.25">
      <c r="A18" s="1" t="s">
        <v>67</v>
      </c>
      <c r="B18" s="1">
        <v>3</v>
      </c>
      <c r="C18" s="3">
        <v>42704</v>
      </c>
      <c r="D18" s="1"/>
      <c r="E18" s="1"/>
      <c r="F18" s="1" t="str">
        <f t="shared" si="0"/>
        <v>Губка для доски</v>
      </c>
      <c r="G18" s="1">
        <f t="shared" si="1"/>
        <v>15</v>
      </c>
      <c r="H18" s="1" t="str">
        <f t="shared" si="2"/>
        <v>штука</v>
      </c>
      <c r="I18" s="1">
        <f t="shared" si="3"/>
        <v>25</v>
      </c>
      <c r="J18" s="4">
        <f t="shared" si="9"/>
        <v>375</v>
      </c>
      <c r="K18" s="4">
        <f t="shared" si="10"/>
        <v>420.00000000000006</v>
      </c>
      <c r="L18" s="1"/>
      <c r="M18" s="1" t="str">
        <f t="shared" si="5"/>
        <v>Офис-менеджер</v>
      </c>
      <c r="N18" s="1" t="str">
        <f t="shared" si="6"/>
        <v>521-T0046</v>
      </c>
      <c r="O18" s="1"/>
      <c r="P18" s="1" t="s">
        <v>78</v>
      </c>
      <c r="Q18" s="2" t="str">
        <f t="shared" si="8"/>
        <v>Ноябрь</v>
      </c>
    </row>
    <row r="19" spans="1:17" ht="25.5" x14ac:dyDescent="0.25">
      <c r="A19" s="1" t="s">
        <v>68</v>
      </c>
      <c r="B19" s="1">
        <v>3</v>
      </c>
      <c r="C19" s="3">
        <v>42704</v>
      </c>
      <c r="D19" s="1"/>
      <c r="E19" s="1"/>
      <c r="F19" s="1" t="str">
        <f t="shared" si="0"/>
        <v>Антистеплер</v>
      </c>
      <c r="G19" s="1">
        <f t="shared" si="1"/>
        <v>25</v>
      </c>
      <c r="H19" s="1" t="str">
        <f t="shared" si="2"/>
        <v>штука</v>
      </c>
      <c r="I19" s="1">
        <f t="shared" si="3"/>
        <v>60</v>
      </c>
      <c r="J19" s="4">
        <f t="shared" si="9"/>
        <v>1500</v>
      </c>
      <c r="K19" s="4">
        <f t="shared" si="10"/>
        <v>1680.0000000000002</v>
      </c>
      <c r="L19" s="1"/>
      <c r="M19" s="1" t="str">
        <f t="shared" si="5"/>
        <v>Офис-менеджер</v>
      </c>
      <c r="N19" s="1" t="str">
        <f t="shared" si="6"/>
        <v>521-T0047</v>
      </c>
      <c r="O19" s="1"/>
      <c r="P19" s="1" t="s">
        <v>78</v>
      </c>
      <c r="Q19" s="2" t="str">
        <f t="shared" si="8"/>
        <v>Ноябрь</v>
      </c>
    </row>
    <row r="20" spans="1:17" ht="25.5" x14ac:dyDescent="0.25">
      <c r="A20" s="1" t="s">
        <v>69</v>
      </c>
      <c r="B20" s="1">
        <v>3</v>
      </c>
      <c r="C20" s="3">
        <v>42704</v>
      </c>
      <c r="D20" s="1"/>
      <c r="E20" s="1"/>
      <c r="F20" s="1" t="str">
        <f t="shared" si="0"/>
        <v>Дырокол</v>
      </c>
      <c r="G20" s="1">
        <f t="shared" si="1"/>
        <v>10</v>
      </c>
      <c r="H20" s="1" t="str">
        <f t="shared" si="2"/>
        <v>штука</v>
      </c>
      <c r="I20" s="1">
        <f t="shared" si="3"/>
        <v>25</v>
      </c>
      <c r="J20" s="4">
        <f t="shared" si="9"/>
        <v>250</v>
      </c>
      <c r="K20" s="4">
        <f t="shared" si="10"/>
        <v>280</v>
      </c>
      <c r="L20" s="1"/>
      <c r="M20" s="1" t="str">
        <f t="shared" si="5"/>
        <v>Офис-менеджер</v>
      </c>
      <c r="N20" s="1" t="str">
        <f t="shared" si="6"/>
        <v>521-00071</v>
      </c>
      <c r="O20" s="1"/>
      <c r="P20" s="1" t="s">
        <v>78</v>
      </c>
      <c r="Q20" s="2" t="str">
        <f t="shared" si="8"/>
        <v>Ноябрь</v>
      </c>
    </row>
    <row r="21" spans="1:17" ht="25.5" x14ac:dyDescent="0.25">
      <c r="A21" s="1" t="s">
        <v>70</v>
      </c>
      <c r="B21" s="1">
        <v>3</v>
      </c>
      <c r="C21" s="3">
        <v>42704</v>
      </c>
      <c r="D21" s="1"/>
      <c r="E21" s="1"/>
      <c r="F21" s="1" t="str">
        <f t="shared" si="0"/>
        <v>Конверт</v>
      </c>
      <c r="G21" s="1">
        <f t="shared" si="1"/>
        <v>1000</v>
      </c>
      <c r="H21" s="1" t="str">
        <f t="shared" si="2"/>
        <v>штука</v>
      </c>
      <c r="I21" s="1">
        <f t="shared" si="3"/>
        <v>15</v>
      </c>
      <c r="J21" s="4">
        <f t="shared" si="9"/>
        <v>15000</v>
      </c>
      <c r="K21" s="4">
        <f t="shared" si="10"/>
        <v>16800</v>
      </c>
      <c r="L21" s="1"/>
      <c r="M21" s="1" t="str">
        <f t="shared" si="5"/>
        <v>Офис-менеджер</v>
      </c>
      <c r="N21" s="1" t="str">
        <f t="shared" si="6"/>
        <v>521-T0049</v>
      </c>
      <c r="O21" s="1"/>
      <c r="P21" s="1" t="s">
        <v>78</v>
      </c>
      <c r="Q21" s="2" t="str">
        <f t="shared" si="8"/>
        <v>Ноябрь</v>
      </c>
    </row>
    <row r="22" spans="1:17" x14ac:dyDescent="0.25">
      <c r="J22" s="12">
        <f>SUM(J2:J21)</f>
        <v>281438.75</v>
      </c>
      <c r="K22" s="13"/>
    </row>
  </sheetData>
  <autoFilter ref="A1:P2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tabSelected="1" zoomScaleNormal="100" workbookViewId="0">
      <selection activeCell="I19" sqref="I19"/>
    </sheetView>
  </sheetViews>
  <sheetFormatPr defaultRowHeight="15" x14ac:dyDescent="0.25"/>
  <cols>
    <col min="1" max="1" width="5.42578125" customWidth="1"/>
    <col min="2" max="4" width="0" hidden="1" customWidth="1"/>
    <col min="5" max="5" width="10.140625" hidden="1" customWidth="1"/>
    <col min="6" max="6" width="7.140625" hidden="1" customWidth="1"/>
    <col min="7" max="7" width="16.28515625" bestFit="1" customWidth="1"/>
    <col min="8" max="10" width="14.140625" customWidth="1"/>
    <col min="11" max="11" width="12.42578125" customWidth="1"/>
    <col min="12" max="12" width="7.7109375" customWidth="1"/>
    <col min="13" max="13" width="7.42578125" customWidth="1"/>
    <col min="14" max="15" width="0" hidden="1" customWidth="1"/>
    <col min="16" max="16" width="18.28515625" customWidth="1"/>
    <col min="17" max="17" width="10" hidden="1" customWidth="1"/>
    <col min="18" max="18" width="10" bestFit="1" customWidth="1"/>
    <col min="19" max="19" width="11.42578125" customWidth="1"/>
    <col min="20" max="20" width="11.42578125" hidden="1" customWidth="1"/>
    <col min="21" max="22" width="11.42578125" customWidth="1"/>
    <col min="23" max="23" width="6.140625" hidden="1" customWidth="1"/>
    <col min="24" max="24" width="10.140625" hidden="1" customWidth="1"/>
    <col min="25" max="25" width="14.85546875" hidden="1" customWidth="1"/>
    <col min="26" max="26" width="16.5703125" customWidth="1"/>
  </cols>
  <sheetData>
    <row r="1" spans="1:28" s="21" customFormat="1" ht="28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 t="s">
        <v>137</v>
      </c>
      <c r="M1" s="17"/>
      <c r="N1" s="17"/>
      <c r="O1" s="17"/>
      <c r="P1" s="17"/>
      <c r="Q1" s="17"/>
      <c r="R1" s="17" t="s">
        <v>136</v>
      </c>
      <c r="S1" s="25" t="s">
        <v>133</v>
      </c>
      <c r="T1" s="25" t="s">
        <v>113</v>
      </c>
      <c r="U1" s="25" t="s">
        <v>134</v>
      </c>
      <c r="V1" s="25" t="s">
        <v>135</v>
      </c>
      <c r="W1" s="25"/>
      <c r="X1" s="25"/>
      <c r="Y1" s="25" t="s">
        <v>114</v>
      </c>
      <c r="Z1" s="25" t="s">
        <v>132</v>
      </c>
    </row>
    <row r="2" spans="1:28" x14ac:dyDescent="0.25">
      <c r="A2" s="5" t="s">
        <v>23</v>
      </c>
      <c r="B2" s="5" t="str">
        <f t="shared" ref="B2:B16" si="0">VLOOKUP(A2,План,7,0)</f>
        <v>ОИ</v>
      </c>
      <c r="C2" s="5">
        <f t="shared" ref="C2:C16" si="1">VLOOKUP(A2,Заявки,2,0)</f>
        <v>1</v>
      </c>
      <c r="D2" s="5">
        <v>1</v>
      </c>
      <c r="E2" s="9"/>
      <c r="F2" s="5" t="s">
        <v>117</v>
      </c>
      <c r="G2" s="5" t="s">
        <v>120</v>
      </c>
      <c r="H2" s="9">
        <v>42491</v>
      </c>
      <c r="I2" s="9">
        <v>42735</v>
      </c>
      <c r="J2" s="5" t="s">
        <v>123</v>
      </c>
      <c r="K2" s="16">
        <f>H2+30</f>
        <v>42521</v>
      </c>
      <c r="L2" s="5">
        <v>100</v>
      </c>
      <c r="M2" s="5" t="s">
        <v>76</v>
      </c>
      <c r="N2" s="5"/>
      <c r="O2" s="5"/>
      <c r="P2" s="5" t="s">
        <v>41</v>
      </c>
      <c r="Q2" s="5"/>
      <c r="R2" s="7">
        <v>1450</v>
      </c>
      <c r="S2" s="7">
        <f>L2*R2</f>
        <v>145000</v>
      </c>
      <c r="T2" s="7">
        <f>S2*1.12</f>
        <v>162400.00000000003</v>
      </c>
      <c r="U2" s="5"/>
      <c r="V2" s="5">
        <f>L2-U2</f>
        <v>100</v>
      </c>
      <c r="W2" s="5"/>
      <c r="X2" s="9"/>
      <c r="Y2" s="5"/>
      <c r="Z2" s="5" t="str">
        <f t="shared" ref="Z2:Z16" si="2">VLOOKUP(A2,План,25,0)</f>
        <v>АХО-50
ПТО-50</v>
      </c>
      <c r="AA2">
        <f>--LEFTB(SUBSTITUTE(MID(Z2,SEARCH($G19,Z2)+LEN($G19)+1,15),
CHAR(10),REPT(" ",15)),15)</f>
        <v>50</v>
      </c>
      <c r="AB2">
        <f>SEARCH(CHAR(10),Z2)</f>
        <v>7</v>
      </c>
    </row>
    <row r="3" spans="1:28" x14ac:dyDescent="0.25">
      <c r="A3" s="5" t="s">
        <v>24</v>
      </c>
      <c r="B3" s="5" t="str">
        <f t="shared" si="0"/>
        <v>ОИ</v>
      </c>
      <c r="C3" s="5">
        <f t="shared" si="1"/>
        <v>1</v>
      </c>
      <c r="D3" s="5">
        <v>1</v>
      </c>
      <c r="E3" s="9"/>
      <c r="F3" s="5" t="s">
        <v>117</v>
      </c>
      <c r="G3" s="5" t="s">
        <v>120</v>
      </c>
      <c r="H3" s="9">
        <v>42491</v>
      </c>
      <c r="I3" s="9">
        <v>42735</v>
      </c>
      <c r="J3" s="5" t="s">
        <v>123</v>
      </c>
      <c r="K3" s="16">
        <f t="shared" ref="K3:K15" si="3">H3+30</f>
        <v>42521</v>
      </c>
      <c r="L3" s="5">
        <v>100</v>
      </c>
      <c r="M3" s="5" t="s">
        <v>76</v>
      </c>
      <c r="N3" s="5"/>
      <c r="O3" s="5"/>
      <c r="P3" s="5" t="s">
        <v>42</v>
      </c>
      <c r="Q3" s="5"/>
      <c r="R3" s="7">
        <v>2500</v>
      </c>
      <c r="S3" s="7">
        <f t="shared" ref="S3:S16" si="4">L3*R3</f>
        <v>250000</v>
      </c>
      <c r="T3" s="7">
        <f t="shared" ref="T3:T17" si="5">S3*1.12</f>
        <v>280000</v>
      </c>
      <c r="U3" s="5">
        <v>100</v>
      </c>
      <c r="V3" s="5">
        <f t="shared" ref="V3:V16" si="6">L3-U3</f>
        <v>0</v>
      </c>
      <c r="W3" s="5"/>
      <c r="X3" s="9"/>
      <c r="Y3" s="5"/>
      <c r="Z3" s="5" t="str">
        <f t="shared" si="2"/>
        <v>АХО</v>
      </c>
      <c r="AA3" t="e">
        <f t="shared" ref="AA3:AA16" si="7">--LEFTB(SUBSTITUTE(MID(Z3,SEARCH($G20,Z3)+LEN($G20)+1,15),
CHAR(10),REPT(" ",15)),15)</f>
        <v>#VALUE!</v>
      </c>
    </row>
    <row r="4" spans="1:28" x14ac:dyDescent="0.25">
      <c r="A4" s="5" t="s">
        <v>25</v>
      </c>
      <c r="B4" s="5" t="str">
        <f t="shared" si="0"/>
        <v>ОИ</v>
      </c>
      <c r="C4" s="5">
        <f t="shared" si="1"/>
        <v>1</v>
      </c>
      <c r="D4" s="5">
        <v>1</v>
      </c>
      <c r="E4" s="9"/>
      <c r="F4" s="5" t="s">
        <v>117</v>
      </c>
      <c r="G4" s="5" t="s">
        <v>120</v>
      </c>
      <c r="H4" s="9">
        <v>42491</v>
      </c>
      <c r="I4" s="9">
        <v>42735</v>
      </c>
      <c r="J4" s="5" t="s">
        <v>123</v>
      </c>
      <c r="K4" s="16">
        <f t="shared" si="3"/>
        <v>42521</v>
      </c>
      <c r="L4" s="5">
        <v>10</v>
      </c>
      <c r="M4" s="5" t="s">
        <v>76</v>
      </c>
      <c r="N4" s="5"/>
      <c r="O4" s="5"/>
      <c r="P4" s="5" t="s">
        <v>43</v>
      </c>
      <c r="Q4" s="5"/>
      <c r="R4" s="7">
        <v>5620</v>
      </c>
      <c r="S4" s="7">
        <f t="shared" si="4"/>
        <v>56200</v>
      </c>
      <c r="T4" s="7">
        <f t="shared" si="5"/>
        <v>62944.000000000007</v>
      </c>
      <c r="U4" s="5">
        <v>10</v>
      </c>
      <c r="V4" s="5">
        <f t="shared" si="6"/>
        <v>0</v>
      </c>
      <c r="W4" s="5"/>
      <c r="X4" s="9"/>
      <c r="Y4" s="5"/>
      <c r="Z4" s="5" t="str">
        <f t="shared" si="2"/>
        <v>Бухгалтерия</v>
      </c>
      <c r="AA4" t="e">
        <f t="shared" si="7"/>
        <v>#VALUE!</v>
      </c>
    </row>
    <row r="5" spans="1:28" x14ac:dyDescent="0.25">
      <c r="A5" s="5" t="s">
        <v>26</v>
      </c>
      <c r="B5" s="5" t="str">
        <f t="shared" si="0"/>
        <v>ЦПЭ</v>
      </c>
      <c r="C5" s="5">
        <f t="shared" si="1"/>
        <v>2</v>
      </c>
      <c r="D5" s="5">
        <v>1</v>
      </c>
      <c r="E5" s="9"/>
      <c r="F5" s="5" t="s">
        <v>117</v>
      </c>
      <c r="G5" s="5" t="s">
        <v>120</v>
      </c>
      <c r="H5" s="9">
        <v>42491</v>
      </c>
      <c r="I5" s="9">
        <v>42735</v>
      </c>
      <c r="J5" s="5" t="s">
        <v>123</v>
      </c>
      <c r="K5" s="16">
        <f t="shared" si="3"/>
        <v>42521</v>
      </c>
      <c r="L5" s="5">
        <v>50</v>
      </c>
      <c r="M5" s="5" t="s">
        <v>76</v>
      </c>
      <c r="N5" s="5"/>
      <c r="O5" s="5"/>
      <c r="P5" s="5" t="s">
        <v>44</v>
      </c>
      <c r="Q5" s="5"/>
      <c r="R5" s="7">
        <v>245</v>
      </c>
      <c r="S5" s="7">
        <f t="shared" si="4"/>
        <v>12250</v>
      </c>
      <c r="T5" s="7">
        <f t="shared" si="5"/>
        <v>13720.000000000002</v>
      </c>
      <c r="U5" s="5">
        <v>50</v>
      </c>
      <c r="V5" s="5">
        <f t="shared" si="6"/>
        <v>0</v>
      </c>
      <c r="W5" s="5"/>
      <c r="X5" s="9"/>
      <c r="Y5" s="5"/>
      <c r="Z5" s="5" t="str">
        <f t="shared" si="2"/>
        <v>Отдел кадров</v>
      </c>
      <c r="AA5" t="e">
        <f t="shared" si="7"/>
        <v>#VALUE!</v>
      </c>
    </row>
    <row r="6" spans="1:28" x14ac:dyDescent="0.25">
      <c r="A6" s="5" t="s">
        <v>28</v>
      </c>
      <c r="B6" s="5" t="str">
        <f t="shared" si="0"/>
        <v>ОИ</v>
      </c>
      <c r="C6" s="5">
        <f t="shared" si="1"/>
        <v>3</v>
      </c>
      <c r="D6" s="5">
        <v>2</v>
      </c>
      <c r="E6" s="9"/>
      <c r="F6" s="5" t="s">
        <v>118</v>
      </c>
      <c r="G6" s="5" t="s">
        <v>121</v>
      </c>
      <c r="H6" s="9">
        <v>42522</v>
      </c>
      <c r="I6" s="9">
        <v>42735</v>
      </c>
      <c r="J6" s="5" t="s">
        <v>124</v>
      </c>
      <c r="K6" s="16">
        <f t="shared" si="3"/>
        <v>42552</v>
      </c>
      <c r="L6" s="5">
        <v>25</v>
      </c>
      <c r="M6" s="5" t="s">
        <v>76</v>
      </c>
      <c r="N6" s="5"/>
      <c r="O6" s="5"/>
      <c r="P6" s="5" t="s">
        <v>45</v>
      </c>
      <c r="Q6" s="5"/>
      <c r="R6" s="7">
        <v>1410</v>
      </c>
      <c r="S6" s="7">
        <f t="shared" si="4"/>
        <v>35250</v>
      </c>
      <c r="T6" s="7">
        <f t="shared" si="5"/>
        <v>39480.000000000007</v>
      </c>
      <c r="U6" s="5">
        <v>25</v>
      </c>
      <c r="V6" s="5">
        <f t="shared" si="6"/>
        <v>0</v>
      </c>
      <c r="W6" s="5">
        <v>123</v>
      </c>
      <c r="X6" s="9">
        <v>42515</v>
      </c>
      <c r="Y6" s="5"/>
      <c r="Z6" s="5" t="str">
        <f t="shared" si="2"/>
        <v>IT-инженер</v>
      </c>
      <c r="AA6" t="e">
        <f t="shared" si="7"/>
        <v>#VALUE!</v>
      </c>
    </row>
    <row r="7" spans="1:28" x14ac:dyDescent="0.25">
      <c r="A7" s="5" t="s">
        <v>29</v>
      </c>
      <c r="B7" s="5" t="str">
        <f t="shared" si="0"/>
        <v>ОИ</v>
      </c>
      <c r="C7" s="5">
        <f t="shared" si="1"/>
        <v>3</v>
      </c>
      <c r="D7" s="5">
        <v>2</v>
      </c>
      <c r="E7" s="9"/>
      <c r="F7" s="5" t="s">
        <v>118</v>
      </c>
      <c r="G7" s="5" t="s">
        <v>121</v>
      </c>
      <c r="H7" s="9">
        <v>42522</v>
      </c>
      <c r="I7" s="9">
        <v>42735</v>
      </c>
      <c r="J7" s="5" t="s">
        <v>124</v>
      </c>
      <c r="K7" s="16">
        <f t="shared" si="3"/>
        <v>42552</v>
      </c>
      <c r="L7" s="5">
        <v>30</v>
      </c>
      <c r="M7" s="5" t="s">
        <v>76</v>
      </c>
      <c r="N7" s="5"/>
      <c r="O7" s="5"/>
      <c r="P7" s="5" t="s">
        <v>46</v>
      </c>
      <c r="Q7" s="5"/>
      <c r="R7" s="7">
        <v>1200</v>
      </c>
      <c r="S7" s="7">
        <f t="shared" si="4"/>
        <v>36000</v>
      </c>
      <c r="T7" s="7">
        <f t="shared" si="5"/>
        <v>40320.000000000007</v>
      </c>
      <c r="U7" s="5">
        <v>30</v>
      </c>
      <c r="V7" s="5">
        <f t="shared" si="6"/>
        <v>0</v>
      </c>
      <c r="W7" s="5">
        <v>123</v>
      </c>
      <c r="X7" s="9">
        <v>42515</v>
      </c>
      <c r="Y7" s="5"/>
      <c r="Z7" s="5" t="str">
        <f t="shared" si="2"/>
        <v>Юрид.отдел</v>
      </c>
      <c r="AA7" t="e">
        <f t="shared" si="7"/>
        <v>#VALUE!</v>
      </c>
    </row>
    <row r="8" spans="1:28" x14ac:dyDescent="0.25">
      <c r="A8" s="5" t="s">
        <v>30</v>
      </c>
      <c r="B8" s="5" t="str">
        <f t="shared" si="0"/>
        <v>ОИ</v>
      </c>
      <c r="C8" s="5">
        <f t="shared" si="1"/>
        <v>3</v>
      </c>
      <c r="D8" s="5">
        <v>2</v>
      </c>
      <c r="E8" s="9"/>
      <c r="F8" s="5" t="s">
        <v>118</v>
      </c>
      <c r="G8" s="5" t="s">
        <v>121</v>
      </c>
      <c r="H8" s="9">
        <v>42522</v>
      </c>
      <c r="I8" s="9">
        <v>42735</v>
      </c>
      <c r="J8" s="5" t="s">
        <v>124</v>
      </c>
      <c r="K8" s="16">
        <f t="shared" si="3"/>
        <v>42552</v>
      </c>
      <c r="L8" s="5">
        <v>25</v>
      </c>
      <c r="M8" s="5" t="s">
        <v>76</v>
      </c>
      <c r="N8" s="5"/>
      <c r="O8" s="5"/>
      <c r="P8" s="5" t="s">
        <v>47</v>
      </c>
      <c r="Q8" s="5"/>
      <c r="R8" s="7">
        <v>6240</v>
      </c>
      <c r="S8" s="7">
        <f t="shared" si="4"/>
        <v>156000</v>
      </c>
      <c r="T8" s="7">
        <f t="shared" si="5"/>
        <v>174720.00000000003</v>
      </c>
      <c r="U8" s="5">
        <v>25</v>
      </c>
      <c r="V8" s="5">
        <f t="shared" si="6"/>
        <v>0</v>
      </c>
      <c r="W8" s="5">
        <v>123</v>
      </c>
      <c r="X8" s="9">
        <v>42515</v>
      </c>
      <c r="Y8" s="5"/>
      <c r="Z8" s="5" t="str">
        <f t="shared" si="2"/>
        <v>Отдел сбыта</v>
      </c>
      <c r="AA8" t="e">
        <f t="shared" si="7"/>
        <v>#VALUE!</v>
      </c>
    </row>
    <row r="9" spans="1:28" x14ac:dyDescent="0.25">
      <c r="A9" s="5" t="s">
        <v>31</v>
      </c>
      <c r="B9" s="5" t="str">
        <f t="shared" si="0"/>
        <v>ЦПЭ</v>
      </c>
      <c r="C9" s="5">
        <f t="shared" si="1"/>
        <v>3</v>
      </c>
      <c r="D9" s="5">
        <v>2</v>
      </c>
      <c r="E9" s="9"/>
      <c r="F9" s="5" t="s">
        <v>118</v>
      </c>
      <c r="G9" s="5" t="s">
        <v>121</v>
      </c>
      <c r="H9" s="9">
        <v>42522</v>
      </c>
      <c r="I9" s="9">
        <v>42735</v>
      </c>
      <c r="J9" s="5" t="s">
        <v>124</v>
      </c>
      <c r="K9" s="16">
        <f t="shared" si="3"/>
        <v>42552</v>
      </c>
      <c r="L9" s="5">
        <v>60</v>
      </c>
      <c r="M9" s="5" t="s">
        <v>76</v>
      </c>
      <c r="N9" s="5"/>
      <c r="O9" s="5"/>
      <c r="P9" s="5" t="s">
        <v>48</v>
      </c>
      <c r="Q9" s="5"/>
      <c r="R9" s="7">
        <v>4200</v>
      </c>
      <c r="S9" s="7">
        <f t="shared" si="4"/>
        <v>252000</v>
      </c>
      <c r="T9" s="7">
        <f t="shared" si="5"/>
        <v>282240</v>
      </c>
      <c r="U9" s="5">
        <v>60</v>
      </c>
      <c r="V9" s="5">
        <f t="shared" si="6"/>
        <v>0</v>
      </c>
      <c r="W9" s="5">
        <v>123</v>
      </c>
      <c r="X9" s="9">
        <v>42515</v>
      </c>
      <c r="Y9" s="5"/>
      <c r="Z9" s="5" t="str">
        <f t="shared" si="2"/>
        <v>АХО</v>
      </c>
      <c r="AA9" t="e">
        <f t="shared" si="7"/>
        <v>#VALUE!</v>
      </c>
    </row>
    <row r="10" spans="1:28" x14ac:dyDescent="0.25">
      <c r="A10" s="5" t="s">
        <v>32</v>
      </c>
      <c r="B10" s="5" t="str">
        <f t="shared" si="0"/>
        <v>ОТ</v>
      </c>
      <c r="C10" s="5">
        <f t="shared" si="1"/>
        <v>3</v>
      </c>
      <c r="D10" s="5">
        <v>2</v>
      </c>
      <c r="E10" s="9"/>
      <c r="F10" s="5" t="s">
        <v>118</v>
      </c>
      <c r="G10" s="5" t="s">
        <v>121</v>
      </c>
      <c r="H10" s="9">
        <v>42522</v>
      </c>
      <c r="I10" s="9">
        <v>42735</v>
      </c>
      <c r="J10" s="5" t="s">
        <v>124</v>
      </c>
      <c r="K10" s="16">
        <f t="shared" si="3"/>
        <v>42552</v>
      </c>
      <c r="L10" s="5">
        <v>60</v>
      </c>
      <c r="M10" s="5" t="s">
        <v>76</v>
      </c>
      <c r="N10" s="5"/>
      <c r="O10" s="5"/>
      <c r="P10" s="5" t="s">
        <v>49</v>
      </c>
      <c r="Q10" s="5"/>
      <c r="R10" s="7">
        <v>5050.25</v>
      </c>
      <c r="S10" s="7">
        <f t="shared" si="4"/>
        <v>303015</v>
      </c>
      <c r="T10" s="7">
        <f t="shared" si="5"/>
        <v>339376.80000000005</v>
      </c>
      <c r="U10" s="5">
        <v>60</v>
      </c>
      <c r="V10" s="5">
        <f t="shared" si="6"/>
        <v>0</v>
      </c>
      <c r="W10" s="5">
        <v>123</v>
      </c>
      <c r="X10" s="9">
        <v>42515</v>
      </c>
      <c r="Y10" s="5"/>
      <c r="Z10" s="5" t="str">
        <f t="shared" si="2"/>
        <v>Отдел кадров</v>
      </c>
      <c r="AA10" t="e">
        <f t="shared" si="7"/>
        <v>#VALUE!</v>
      </c>
    </row>
    <row r="11" spans="1:28" x14ac:dyDescent="0.25">
      <c r="A11" s="5" t="s">
        <v>33</v>
      </c>
      <c r="B11" s="5" t="str">
        <f t="shared" si="0"/>
        <v>ОИ</v>
      </c>
      <c r="C11" s="5">
        <f t="shared" si="1"/>
        <v>3</v>
      </c>
      <c r="D11" s="5">
        <v>2</v>
      </c>
      <c r="E11" s="9"/>
      <c r="F11" s="5" t="s">
        <v>118</v>
      </c>
      <c r="G11" s="5" t="s">
        <v>121</v>
      </c>
      <c r="H11" s="9">
        <v>42522</v>
      </c>
      <c r="I11" s="9">
        <v>42735</v>
      </c>
      <c r="J11" s="5" t="s">
        <v>124</v>
      </c>
      <c r="K11" s="16">
        <f t="shared" si="3"/>
        <v>42552</v>
      </c>
      <c r="L11" s="5">
        <v>100</v>
      </c>
      <c r="M11" s="5" t="s">
        <v>76</v>
      </c>
      <c r="N11" s="5"/>
      <c r="O11" s="5"/>
      <c r="P11" s="5" t="s">
        <v>50</v>
      </c>
      <c r="Q11" s="5"/>
      <c r="R11" s="7">
        <v>1000</v>
      </c>
      <c r="S11" s="7">
        <f t="shared" si="4"/>
        <v>100000</v>
      </c>
      <c r="T11" s="7">
        <f t="shared" si="5"/>
        <v>112000.00000000001</v>
      </c>
      <c r="U11" s="5">
        <v>100</v>
      </c>
      <c r="V11" s="5">
        <f t="shared" si="6"/>
        <v>0</v>
      </c>
      <c r="W11" s="5">
        <v>123</v>
      </c>
      <c r="X11" s="9">
        <v>42515</v>
      </c>
      <c r="Y11" s="5"/>
      <c r="Z11" s="5" t="str">
        <f t="shared" si="2"/>
        <v>Отдел сбыта</v>
      </c>
      <c r="AA11" t="e">
        <f t="shared" si="7"/>
        <v>#VALUE!</v>
      </c>
    </row>
    <row r="12" spans="1:28" x14ac:dyDescent="0.25">
      <c r="A12" s="5" t="s">
        <v>61</v>
      </c>
      <c r="B12" s="5" t="str">
        <f t="shared" si="0"/>
        <v>ОИ</v>
      </c>
      <c r="C12" s="5">
        <f t="shared" si="1"/>
        <v>3</v>
      </c>
      <c r="D12" s="5">
        <v>2</v>
      </c>
      <c r="E12" s="9"/>
      <c r="F12" s="5" t="s">
        <v>118</v>
      </c>
      <c r="G12" s="5" t="s">
        <v>121</v>
      </c>
      <c r="H12" s="9">
        <v>42522</v>
      </c>
      <c r="I12" s="9">
        <v>42735</v>
      </c>
      <c r="J12" s="5" t="s">
        <v>124</v>
      </c>
      <c r="K12" s="16">
        <f t="shared" si="3"/>
        <v>42552</v>
      </c>
      <c r="L12" s="5">
        <v>200</v>
      </c>
      <c r="M12" s="5" t="s">
        <v>76</v>
      </c>
      <c r="N12" s="5"/>
      <c r="O12" s="5"/>
      <c r="P12" s="5" t="s">
        <v>51</v>
      </c>
      <c r="Q12" s="5"/>
      <c r="R12" s="7">
        <v>1650</v>
      </c>
      <c r="S12" s="7">
        <f t="shared" si="4"/>
        <v>330000</v>
      </c>
      <c r="T12" s="7">
        <f t="shared" si="5"/>
        <v>369600.00000000006</v>
      </c>
      <c r="U12" s="5">
        <v>200</v>
      </c>
      <c r="V12" s="5">
        <f t="shared" si="6"/>
        <v>0</v>
      </c>
      <c r="W12" s="5">
        <v>123</v>
      </c>
      <c r="X12" s="9">
        <v>42515</v>
      </c>
      <c r="Y12" s="5"/>
      <c r="Z12" s="5" t="str">
        <f t="shared" si="2"/>
        <v>Отдел кадров</v>
      </c>
      <c r="AA12" t="e">
        <f t="shared" si="7"/>
        <v>#VALUE!</v>
      </c>
    </row>
    <row r="13" spans="1:28" x14ac:dyDescent="0.25">
      <c r="A13" s="5" t="s">
        <v>62</v>
      </c>
      <c r="B13" s="5" t="str">
        <f t="shared" si="0"/>
        <v>ОИ</v>
      </c>
      <c r="C13" s="5">
        <f t="shared" si="1"/>
        <v>3</v>
      </c>
      <c r="D13" s="5">
        <v>2</v>
      </c>
      <c r="E13" s="9"/>
      <c r="F13" s="5" t="s">
        <v>118</v>
      </c>
      <c r="G13" s="5" t="s">
        <v>121</v>
      </c>
      <c r="H13" s="9">
        <v>42522</v>
      </c>
      <c r="I13" s="9">
        <v>42735</v>
      </c>
      <c r="J13" s="5" t="s">
        <v>124</v>
      </c>
      <c r="K13" s="16">
        <f t="shared" si="3"/>
        <v>42552</v>
      </c>
      <c r="L13" s="5">
        <v>1500</v>
      </c>
      <c r="M13" s="5" t="s">
        <v>76</v>
      </c>
      <c r="N13" s="5"/>
      <c r="O13" s="5"/>
      <c r="P13" s="5" t="s">
        <v>52</v>
      </c>
      <c r="Q13" s="5"/>
      <c r="R13" s="7">
        <v>145</v>
      </c>
      <c r="S13" s="7">
        <f t="shared" si="4"/>
        <v>217500</v>
      </c>
      <c r="T13" s="7">
        <f t="shared" si="5"/>
        <v>243600.00000000003</v>
      </c>
      <c r="U13" s="5">
        <v>1500</v>
      </c>
      <c r="V13" s="5">
        <f t="shared" si="6"/>
        <v>0</v>
      </c>
      <c r="W13" s="5">
        <v>123</v>
      </c>
      <c r="X13" s="9">
        <v>42515</v>
      </c>
      <c r="Y13" s="5"/>
      <c r="Z13" s="5" t="str">
        <f t="shared" si="2"/>
        <v>Отдел кадров</v>
      </c>
      <c r="AA13" t="e">
        <f t="shared" si="7"/>
        <v>#VALUE!</v>
      </c>
    </row>
    <row r="14" spans="1:28" x14ac:dyDescent="0.25">
      <c r="A14" s="5" t="s">
        <v>63</v>
      </c>
      <c r="B14" s="5" t="str">
        <f t="shared" si="0"/>
        <v>ЦПЭ</v>
      </c>
      <c r="C14" s="5">
        <f t="shared" si="1"/>
        <v>3</v>
      </c>
      <c r="D14" s="5">
        <v>2</v>
      </c>
      <c r="E14" s="9"/>
      <c r="F14" s="5" t="s">
        <v>118</v>
      </c>
      <c r="G14" s="5" t="s">
        <v>121</v>
      </c>
      <c r="H14" s="9">
        <v>42522</v>
      </c>
      <c r="I14" s="9">
        <v>42735</v>
      </c>
      <c r="J14" s="5" t="s">
        <v>124</v>
      </c>
      <c r="K14" s="16">
        <f t="shared" si="3"/>
        <v>42552</v>
      </c>
      <c r="L14" s="5">
        <v>25</v>
      </c>
      <c r="M14" s="5" t="s">
        <v>76</v>
      </c>
      <c r="N14" s="5"/>
      <c r="O14" s="5"/>
      <c r="P14" s="5" t="s">
        <v>53</v>
      </c>
      <c r="Q14" s="5"/>
      <c r="R14" s="7">
        <v>2980</v>
      </c>
      <c r="S14" s="7">
        <f t="shared" si="4"/>
        <v>74500</v>
      </c>
      <c r="T14" s="7">
        <f t="shared" si="5"/>
        <v>83440.000000000015</v>
      </c>
      <c r="U14" s="5">
        <v>25</v>
      </c>
      <c r="V14" s="5">
        <f t="shared" si="6"/>
        <v>0</v>
      </c>
      <c r="W14" s="5">
        <v>123</v>
      </c>
      <c r="X14" s="9">
        <v>42515</v>
      </c>
      <c r="Y14" s="5"/>
      <c r="Z14" s="5" t="str">
        <f t="shared" si="2"/>
        <v>Офис-менеджер</v>
      </c>
      <c r="AA14" t="e">
        <f t="shared" si="7"/>
        <v>#VALUE!</v>
      </c>
    </row>
    <row r="15" spans="1:28" x14ac:dyDescent="0.25">
      <c r="A15" s="5" t="s">
        <v>64</v>
      </c>
      <c r="B15" s="5" t="str">
        <f t="shared" si="0"/>
        <v>ОИ</v>
      </c>
      <c r="C15" s="5">
        <f t="shared" si="1"/>
        <v>3</v>
      </c>
      <c r="D15" s="5">
        <v>2</v>
      </c>
      <c r="E15" s="9"/>
      <c r="F15" s="5" t="s">
        <v>118</v>
      </c>
      <c r="G15" s="5" t="s">
        <v>121</v>
      </c>
      <c r="H15" s="9">
        <v>42522</v>
      </c>
      <c r="I15" s="9">
        <v>42735</v>
      </c>
      <c r="J15" s="5" t="s">
        <v>124</v>
      </c>
      <c r="K15" s="16">
        <f t="shared" si="3"/>
        <v>42552</v>
      </c>
      <c r="L15" s="5">
        <v>25</v>
      </c>
      <c r="M15" s="5" t="s">
        <v>76</v>
      </c>
      <c r="N15" s="5"/>
      <c r="O15" s="5"/>
      <c r="P15" s="5" t="s">
        <v>54</v>
      </c>
      <c r="Q15" s="5"/>
      <c r="R15" s="7">
        <v>2980</v>
      </c>
      <c r="S15" s="7">
        <f t="shared" si="4"/>
        <v>74500</v>
      </c>
      <c r="T15" s="7">
        <f t="shared" si="5"/>
        <v>83440.000000000015</v>
      </c>
      <c r="U15" s="5">
        <v>25</v>
      </c>
      <c r="V15" s="5">
        <f t="shared" si="6"/>
        <v>0</v>
      </c>
      <c r="W15" s="5">
        <v>123</v>
      </c>
      <c r="X15" s="9">
        <v>42515</v>
      </c>
      <c r="Y15" s="5"/>
      <c r="Z15" s="5" t="str">
        <f t="shared" si="2"/>
        <v>Офис-менеджер</v>
      </c>
      <c r="AA15" t="e">
        <f t="shared" si="7"/>
        <v>#VALUE!</v>
      </c>
    </row>
    <row r="16" spans="1:28" x14ac:dyDescent="0.25">
      <c r="A16" s="5" t="s">
        <v>65</v>
      </c>
      <c r="B16" s="5" t="str">
        <f t="shared" si="0"/>
        <v>ОИ</v>
      </c>
      <c r="C16" s="5">
        <f t="shared" si="1"/>
        <v>3</v>
      </c>
      <c r="D16" s="5">
        <v>3</v>
      </c>
      <c r="E16" s="9"/>
      <c r="F16" s="5" t="s">
        <v>119</v>
      </c>
      <c r="G16" s="5" t="s">
        <v>122</v>
      </c>
      <c r="H16" s="9">
        <v>42663</v>
      </c>
      <c r="I16" s="9">
        <v>42735</v>
      </c>
      <c r="J16" s="5" t="s">
        <v>125</v>
      </c>
      <c r="K16" s="16">
        <f>H16+60</f>
        <v>42723</v>
      </c>
      <c r="L16" s="5">
        <v>2</v>
      </c>
      <c r="M16" s="5" t="s">
        <v>76</v>
      </c>
      <c r="N16" s="5"/>
      <c r="O16" s="5"/>
      <c r="P16" s="5" t="s">
        <v>55</v>
      </c>
      <c r="Q16" s="5"/>
      <c r="R16" s="7">
        <v>98</v>
      </c>
      <c r="S16" s="7">
        <f t="shared" si="4"/>
        <v>196</v>
      </c>
      <c r="T16" s="7">
        <f t="shared" si="5"/>
        <v>219.52</v>
      </c>
      <c r="U16" s="5">
        <v>2</v>
      </c>
      <c r="V16" s="5">
        <f t="shared" si="6"/>
        <v>0</v>
      </c>
      <c r="W16" s="5"/>
      <c r="X16" s="9"/>
      <c r="Y16" s="5"/>
      <c r="Z16" s="5" t="str">
        <f t="shared" si="2"/>
        <v>Офис-менеджер</v>
      </c>
      <c r="AA16" t="e">
        <f t="shared" si="7"/>
        <v>#VALUE!</v>
      </c>
    </row>
    <row r="17" spans="7:22" x14ac:dyDescent="0.25">
      <c r="S17" s="23">
        <f>SUM(S2:S16)</f>
        <v>2042411</v>
      </c>
      <c r="T17" s="24">
        <f t="shared" si="5"/>
        <v>2287500.3200000003</v>
      </c>
      <c r="U17" s="23">
        <f>SUMPRODUCT(Доставленное_количество*Цена_в_договоре)</f>
        <v>1897411</v>
      </c>
      <c r="V17" s="23">
        <f>SUMPRODUCT(Недоставленное_количество*Цена_в_договоре)</f>
        <v>145000</v>
      </c>
    </row>
    <row r="18" spans="7:22" ht="51" customHeight="1" x14ac:dyDescent="0.25">
      <c r="G18" s="5"/>
      <c r="H18" s="1" t="s">
        <v>128</v>
      </c>
      <c r="I18" s="1" t="s">
        <v>129</v>
      </c>
      <c r="J18" s="1" t="s">
        <v>130</v>
      </c>
      <c r="K18" s="1" t="s">
        <v>131</v>
      </c>
      <c r="U18" s="18"/>
    </row>
    <row r="19" spans="7:22" x14ac:dyDescent="0.25">
      <c r="G19" s="5" t="s">
        <v>27</v>
      </c>
      <c r="H19" s="19">
        <f t="array" ref="H19">SUM(IF(Общая_сумма_в_договоре&gt;0,IF(ISNUMBER(SEARCH($G19,Отдел)),IFERROR(--LEFTB(SUBSTITUTE(MID(Отдел,SEARCH($G19,Отдел)+LEN($G19)+1,15),CHAR(10),REPT(" ",15)),15),Количество_в_договоре)*Цена_в_договоре)))</f>
        <v>574500</v>
      </c>
      <c r="I19" s="19">
        <f t="array" ref="I19">SUM(IF(Общая_сумма_в_договоре&gt;0,IF(Доставленное_количество&gt;0,IF(ISNUMBER(SEARCH($G19,Отдел)),IFERROR(--LEFTB(SUBSTITUTE(MID(Отдел,SEARCH($G19,Отдел)+LEN($G19)+1,15),CHAR(10),REPT(" ",15)),15),Доставленное_количество)*Цена_в_договоре))))</f>
        <v>502000</v>
      </c>
      <c r="J19" s="7">
        <f>H19-I19</f>
        <v>72500</v>
      </c>
      <c r="K19" s="7"/>
    </row>
    <row r="20" spans="7:22" x14ac:dyDescent="0.25">
      <c r="G20" s="5" t="s">
        <v>126</v>
      </c>
      <c r="H20" s="19">
        <f t="array" ref="H20">SUM(IF(Общая_сумма_в_договоре&gt;0,IF(ISNUMBER(SEARCH($G20,Отдел)),IFERROR(--LEFTB(SUBSTITUTE(MID(Отдел,SEARCH($G20,Отдел)+LEN($G20)+1,15),CHAR(10),REPT(" ",15)),15),Количество_в_договоре)*Цена_в_договоре)))</f>
        <v>72500</v>
      </c>
      <c r="I20" s="19">
        <f t="array" ref="I20">SUM(IF(Общая_сумма_в_договоре&gt;0,IF(Доставленное_количество&gt;0,IF(ISNUMBER(SEARCH($G20,Отдел)),IFERROR(--LEFTB(SUBSTITUTE(MID(Отдел,SEARCH($G20,Отдел)+LEN($G20)+1,15),CHAR(10),REPT(" ",15)),15),Доставленное_количество)*Цена_в_договоре))))</f>
        <v>0</v>
      </c>
      <c r="J20" s="7">
        <f t="shared" ref="J20:J26" si="8">H20-I20</f>
        <v>72500</v>
      </c>
      <c r="K20" s="7"/>
    </row>
    <row r="21" spans="7:22" x14ac:dyDescent="0.25">
      <c r="G21" s="5" t="s">
        <v>71</v>
      </c>
      <c r="H21" s="19">
        <f t="array" ref="H21">SUM(IF(Общая_сумма_в_договоре&gt;0,IF(ISNUMBER(SEARCH($G21,Отдел)),IFERROR(--LEFTB(SUBSTITUTE(MID(Отдел,SEARCH($G21,Отдел)+LEN($G21)+1,15),CHAR(10),REPT(" ",15)),15),Количество_в_договоре)*Цена_в_договоре)))</f>
        <v>56200</v>
      </c>
      <c r="I21" s="19">
        <f t="array" ref="I21">SUM(IF(Общая_сумма_в_договоре&gt;0,IF(Доставленное_количество&gt;0,IF(ISNUMBER(SEARCH($G21,Отдел)),IFERROR(--LEFTB(SUBSTITUTE(MID(Отдел,SEARCH($G21,Отдел)+LEN($G21)+1,15),CHAR(10),REPT(" ",15)),15),Доставленное_количество)*Цена_в_договоре))))</f>
        <v>56200</v>
      </c>
      <c r="J21" s="7">
        <f t="shared" si="8"/>
        <v>0</v>
      </c>
      <c r="K21" s="7"/>
    </row>
    <row r="22" spans="7:22" x14ac:dyDescent="0.25">
      <c r="G22" s="5" t="s">
        <v>72</v>
      </c>
      <c r="H22" s="19">
        <f t="array" ref="H22">SUM(IF(Общая_сумма_в_договоре&gt;0,IF(ISNUMBER(SEARCH($G22,Отдел)),IFERROR(--LEFTB(SUBSTITUTE(MID(Отдел,SEARCH($G22,Отдел)+LEN($G22)+1,15),CHAR(10),REPT(" ",15)),15),Количество_в_договоре)*Цена_в_договоре)))</f>
        <v>862765</v>
      </c>
      <c r="I22" s="19">
        <f t="array" ref="I22">SUM(IF(Общая_сумма_в_договоре&gt;0,IF(Доставленное_количество&gt;0,IF(ISNUMBER(SEARCH($G22,Отдел)),IFERROR(--LEFTB(SUBSTITUTE(MID(Отдел,SEARCH($G22,Отдел)+LEN($G22)+1,15),CHAR(10),REPT(" ",15)),15),Доставленное_количество)*Цена_в_договоре))))</f>
        <v>862765</v>
      </c>
      <c r="J22" s="7">
        <f t="shared" si="8"/>
        <v>0</v>
      </c>
      <c r="K22" s="7"/>
    </row>
    <row r="23" spans="7:22" x14ac:dyDescent="0.25">
      <c r="G23" s="5" t="s">
        <v>73</v>
      </c>
      <c r="H23" s="19">
        <f t="array" ref="H23">SUM(IF(Общая_сумма_в_договоре&gt;0,IF(ISNUMBER(SEARCH($G23,Отдел)),IFERROR(--LEFTB(SUBSTITUTE(MID(Отдел,SEARCH($G23,Отдел)+LEN($G23)+1,15),CHAR(10),REPT(" ",15)),15),Количество_в_договоре)*Цена_в_договоре)))</f>
        <v>35250</v>
      </c>
      <c r="I23" s="19">
        <f t="array" ref="I23">SUM(IF(Общая_сумма_в_договоре&gt;0,IF(Доставленное_количество&gt;0,IF(ISNUMBER(SEARCH($G23,Отдел)),IFERROR(--LEFTB(SUBSTITUTE(MID(Отдел,SEARCH($G23,Отдел)+LEN($G23)+1,15),CHAR(10),REPT(" ",15)),15),Доставленное_количество)*Цена_в_договоре))))</f>
        <v>35250</v>
      </c>
      <c r="J23" s="7">
        <f t="shared" si="8"/>
        <v>0</v>
      </c>
      <c r="K23" s="7"/>
    </row>
    <row r="24" spans="7:22" x14ac:dyDescent="0.25">
      <c r="G24" s="5" t="s">
        <v>127</v>
      </c>
      <c r="H24" s="19">
        <f t="array" ref="H24">SUM(IF(Общая_сумма_в_договоре&gt;0,IF(ISNUMBER(SEARCH($G24,Отдел)),IFERROR(--LEFTB(SUBSTITUTE(MID(Отдел,SEARCH($G24,Отдел)+LEN($G24)+1,15),CHAR(10),REPT(" ",15)),15),Количество_в_договоре)*Цена_в_договоре)))</f>
        <v>36000</v>
      </c>
      <c r="I24" s="19">
        <f t="array" ref="I24">SUM(IF(Общая_сумма_в_договоре&gt;0,IF(Доставленное_количество&gt;0,IF(ISNUMBER(SEARCH($G24,Отдел)),IFERROR(--LEFTB(SUBSTITUTE(MID(Отдел,SEARCH($G24,Отдел)+LEN($G24)+1,15),CHAR(10),REPT(" ",15)),15),Доставленное_количество)*Цена_в_договоре))))</f>
        <v>36000</v>
      </c>
      <c r="J24" s="7">
        <f t="shared" si="8"/>
        <v>0</v>
      </c>
      <c r="K24" s="7"/>
    </row>
    <row r="25" spans="7:22" x14ac:dyDescent="0.25">
      <c r="G25" s="5" t="s">
        <v>74</v>
      </c>
      <c r="H25" s="19">
        <f t="array" ref="H25">SUM(IF(Общая_сумма_в_договоре&gt;0,IF(ISNUMBER(SEARCH($G25,Отдел)),IFERROR(--LEFTB(SUBSTITUTE(MID(Отдел,SEARCH($G25,Отдел)+LEN($G25)+1,15),CHAR(10),REPT(" ",15)),15),Количество_в_договоре)*Цена_в_договоре)))</f>
        <v>256000</v>
      </c>
      <c r="I25" s="19">
        <f t="array" ref="I25">SUM(IF(Общая_сумма_в_договоре&gt;0,IF(Доставленное_количество&gt;0,IF(ISNUMBER(SEARCH($G25,Отдел)),IFERROR(--LEFTB(SUBSTITUTE(MID(Отдел,SEARCH($G25,Отдел)+LEN($G25)+1,15),CHAR(10),REPT(" ",15)),15),Доставленное_количество)*Цена_в_договоре))))</f>
        <v>256000</v>
      </c>
      <c r="J25" s="7">
        <f t="shared" si="8"/>
        <v>0</v>
      </c>
      <c r="K25" s="7"/>
    </row>
    <row r="26" spans="7:22" x14ac:dyDescent="0.25">
      <c r="G26" s="5" t="s">
        <v>75</v>
      </c>
      <c r="H26" s="19">
        <f t="array" ref="H26">SUM(IF(Общая_сумма_в_договоре&gt;0,IF(ISNUMBER(SEARCH($G26,Отдел)),IFERROR(--LEFTB(SUBSTITUTE(MID(Отдел,SEARCH($G26,Отдел)+LEN($G26)+1,15),CHAR(10),REPT(" ",15)),15),Количество_в_договоре)*Цена_в_договоре)))</f>
        <v>149196</v>
      </c>
      <c r="I26" s="19">
        <f t="array" ref="I26">SUM(IF(Общая_сумма_в_договоре&gt;0,IF(Доставленное_количество&gt;0,IF(ISNUMBER(SEARCH($G26,Отдел)),IFERROR(--LEFTB(SUBSTITUTE(MID(Отдел,SEARCH($G26,Отдел)+LEN($G26)+1,15),CHAR(10),REPT(" ",15)),15),Доставленное_количество)*Цена_в_договоре))))</f>
        <v>149196</v>
      </c>
      <c r="J26" s="7">
        <f t="shared" si="8"/>
        <v>0</v>
      </c>
      <c r="K26" s="7"/>
    </row>
    <row r="27" spans="7:22" x14ac:dyDescent="0.25">
      <c r="H27" s="22">
        <f>SUM(H19:H26)</f>
        <v>2042411</v>
      </c>
      <c r="I27" s="22">
        <f>SUM(I19:I26)</f>
        <v>1897411</v>
      </c>
      <c r="J27" s="22">
        <f>SUM(J19:J26)</f>
        <v>145000</v>
      </c>
      <c r="K27" s="20"/>
    </row>
    <row r="29" spans="7:22" x14ac:dyDescent="0.25">
      <c r="I29" s="18">
        <v>1897411</v>
      </c>
    </row>
  </sheetData>
  <conditionalFormatting sqref="K2">
    <cfRule type="expression" dxfId="43" priority="115">
      <formula>AND(K2&lt;TODAY(),U2&gt;0,U2&lt;L2)</formula>
    </cfRule>
    <cfRule type="expression" dxfId="42" priority="116">
      <formula>AND(K2&lt;TODAY(),U2=0)</formula>
    </cfRule>
  </conditionalFormatting>
  <conditionalFormatting sqref="K2">
    <cfRule type="expression" dxfId="41" priority="113">
      <formula>AND(K2&lt;TODAY(),U2&gt;0,U2&lt;L2)</formula>
    </cfRule>
    <cfRule type="expression" dxfId="40" priority="114">
      <formula>AND(K2&lt;TODAY(),U2=0)</formula>
    </cfRule>
  </conditionalFormatting>
  <conditionalFormatting sqref="K3:K16">
    <cfRule type="expression" dxfId="39" priority="111">
      <formula>AND(K3&lt;TODAY(),U3&gt;0,U3&lt;L3)</formula>
    </cfRule>
    <cfRule type="expression" dxfId="38" priority="112">
      <formula>AND(K3&lt;TODAY(),U3=0)</formula>
    </cfRule>
  </conditionalFormatting>
  <conditionalFormatting sqref="K3:K16">
    <cfRule type="expression" dxfId="37" priority="109">
      <formula>AND(K3&lt;TODAY(),U3&gt;0,U3&lt;L3)</formula>
    </cfRule>
    <cfRule type="expression" dxfId="36" priority="110">
      <formula>AND(K3&lt;TODAY(),U3=0)</formula>
    </cfRule>
  </conditionalFormatting>
  <conditionalFormatting sqref="H19:H26">
    <cfRule type="cellIs" dxfId="35" priority="108" operator="equal">
      <formula>0</formula>
    </cfRule>
  </conditionalFormatting>
  <conditionalFormatting sqref="H19:H26">
    <cfRule type="cellIs" priority="107" operator="equal">
      <formula>0</formula>
    </cfRule>
  </conditionalFormatting>
  <conditionalFormatting sqref="H19:H26">
    <cfRule type="cellIs" dxfId="34" priority="106" operator="equal">
      <formula>0</formula>
    </cfRule>
  </conditionalFormatting>
  <conditionalFormatting sqref="H19:H26">
    <cfRule type="cellIs" dxfId="33" priority="105" operator="equal">
      <formula>0</formula>
    </cfRule>
  </conditionalFormatting>
  <conditionalFormatting sqref="H19:H26">
    <cfRule type="cellIs" priority="104" operator="equal">
      <formula>0</formula>
    </cfRule>
  </conditionalFormatting>
  <conditionalFormatting sqref="H19:H26">
    <cfRule type="cellIs" dxfId="32" priority="103" operator="equal">
      <formula>0</formula>
    </cfRule>
  </conditionalFormatting>
  <conditionalFormatting sqref="H19:H26">
    <cfRule type="cellIs" dxfId="31" priority="102" operator="equal">
      <formula>0</formula>
    </cfRule>
  </conditionalFormatting>
  <conditionalFormatting sqref="H19:H26">
    <cfRule type="cellIs" priority="101" operator="equal">
      <formula>0</formula>
    </cfRule>
  </conditionalFormatting>
  <conditionalFormatting sqref="H19:H26">
    <cfRule type="cellIs" dxfId="30" priority="100" operator="equal">
      <formula>0</formula>
    </cfRule>
  </conditionalFormatting>
  <conditionalFormatting sqref="H19:H26">
    <cfRule type="cellIs" dxfId="29" priority="99" operator="equal">
      <formula>0</formula>
    </cfRule>
  </conditionalFormatting>
  <conditionalFormatting sqref="H19:H26">
    <cfRule type="cellIs" dxfId="28" priority="98" operator="equal">
      <formula>0</formula>
    </cfRule>
  </conditionalFormatting>
  <conditionalFormatting sqref="H19:H26">
    <cfRule type="cellIs" priority="97" operator="equal">
      <formula>0</formula>
    </cfRule>
  </conditionalFormatting>
  <conditionalFormatting sqref="H19:H26">
    <cfRule type="cellIs" dxfId="27" priority="96" operator="equal">
      <formula>0</formula>
    </cfRule>
  </conditionalFormatting>
  <conditionalFormatting sqref="H19:H26">
    <cfRule type="cellIs" priority="95" operator="equal">
      <formula>0</formula>
    </cfRule>
  </conditionalFormatting>
  <conditionalFormatting sqref="H19:H26">
    <cfRule type="cellIs" dxfId="26" priority="94" operator="equal">
      <formula>0</formula>
    </cfRule>
  </conditionalFormatting>
  <conditionalFormatting sqref="H19:H26">
    <cfRule type="cellIs" dxfId="25" priority="93" operator="equal">
      <formula>0</formula>
    </cfRule>
  </conditionalFormatting>
  <conditionalFormatting sqref="H19:H26">
    <cfRule type="cellIs" priority="92" operator="equal">
      <formula>0</formula>
    </cfRule>
  </conditionalFormatting>
  <conditionalFormatting sqref="H19:H26">
    <cfRule type="cellIs" dxfId="24" priority="91" operator="equal">
      <formula>0</formula>
    </cfRule>
  </conditionalFormatting>
  <conditionalFormatting sqref="H19:H26">
    <cfRule type="cellIs" dxfId="23" priority="90" operator="equal">
      <formula>0</formula>
    </cfRule>
  </conditionalFormatting>
  <conditionalFormatting sqref="H19:H26">
    <cfRule type="cellIs" priority="89" operator="equal">
      <formula>0</formula>
    </cfRule>
  </conditionalFormatting>
  <conditionalFormatting sqref="H19:H26">
    <cfRule type="cellIs" dxfId="22" priority="88" operator="equal">
      <formula>0</formula>
    </cfRule>
  </conditionalFormatting>
  <conditionalFormatting sqref="H19:H26">
    <cfRule type="cellIs" dxfId="21" priority="87" operator="equal">
      <formula>0</formula>
    </cfRule>
  </conditionalFormatting>
  <conditionalFormatting sqref="H19:H26">
    <cfRule type="cellIs" priority="86" operator="equal">
      <formula>0</formula>
    </cfRule>
  </conditionalFormatting>
  <conditionalFormatting sqref="H19:H26">
    <cfRule type="cellIs" dxfId="20" priority="85" operator="equal">
      <formula>0</formula>
    </cfRule>
  </conditionalFormatting>
  <conditionalFormatting sqref="H19:H26">
    <cfRule type="cellIs" dxfId="19" priority="84" operator="equal">
      <formula>0</formula>
    </cfRule>
  </conditionalFormatting>
  <conditionalFormatting sqref="H19:H26">
    <cfRule type="cellIs" priority="83" operator="equal">
      <formula>0</formula>
    </cfRule>
  </conditionalFormatting>
  <conditionalFormatting sqref="H19:H26">
    <cfRule type="cellIs" dxfId="18" priority="82" operator="equal">
      <formula>0</formula>
    </cfRule>
  </conditionalFormatting>
  <conditionalFormatting sqref="I19:I26">
    <cfRule type="cellIs" dxfId="17" priority="27" operator="equal">
      <formula>0</formula>
    </cfRule>
  </conditionalFormatting>
  <conditionalFormatting sqref="I19:I26">
    <cfRule type="cellIs" priority="26" operator="equal">
      <formula>0</formula>
    </cfRule>
  </conditionalFormatting>
  <conditionalFormatting sqref="I19:I26">
    <cfRule type="cellIs" dxfId="16" priority="25" operator="equal">
      <formula>0</formula>
    </cfRule>
  </conditionalFormatting>
  <conditionalFormatting sqref="I19:I26">
    <cfRule type="cellIs" dxfId="15" priority="24" operator="equal">
      <formula>0</formula>
    </cfRule>
  </conditionalFormatting>
  <conditionalFormatting sqref="I19:I26">
    <cfRule type="cellIs" priority="23" operator="equal">
      <formula>0</formula>
    </cfRule>
  </conditionalFormatting>
  <conditionalFormatting sqref="I19:I26">
    <cfRule type="cellIs" dxfId="14" priority="22" operator="equal">
      <formula>0</formula>
    </cfRule>
  </conditionalFormatting>
  <conditionalFormatting sqref="I19:I26">
    <cfRule type="cellIs" dxfId="13" priority="21" operator="equal">
      <formula>0</formula>
    </cfRule>
  </conditionalFormatting>
  <conditionalFormatting sqref="I19:I26">
    <cfRule type="cellIs" priority="20" operator="equal">
      <formula>0</formula>
    </cfRule>
  </conditionalFormatting>
  <conditionalFormatting sqref="I19:I26">
    <cfRule type="cellIs" dxfId="12" priority="19" operator="equal">
      <formula>0</formula>
    </cfRule>
  </conditionalFormatting>
  <conditionalFormatting sqref="I19:I26">
    <cfRule type="cellIs" dxfId="11" priority="18" operator="equal">
      <formula>0</formula>
    </cfRule>
  </conditionalFormatting>
  <conditionalFormatting sqref="I19:I26">
    <cfRule type="cellIs" dxfId="10" priority="17" operator="equal">
      <formula>0</formula>
    </cfRule>
  </conditionalFormatting>
  <conditionalFormatting sqref="I19:I26">
    <cfRule type="cellIs" priority="16" operator="equal">
      <formula>0</formula>
    </cfRule>
  </conditionalFormatting>
  <conditionalFormatting sqref="I19:I26">
    <cfRule type="cellIs" dxfId="9" priority="15" operator="equal">
      <formula>0</formula>
    </cfRule>
  </conditionalFormatting>
  <conditionalFormatting sqref="I19:I26">
    <cfRule type="cellIs" priority="14" operator="equal">
      <formula>0</formula>
    </cfRule>
  </conditionalFormatting>
  <conditionalFormatting sqref="I19:I26">
    <cfRule type="cellIs" dxfId="8" priority="13" operator="equal">
      <formula>0</formula>
    </cfRule>
  </conditionalFormatting>
  <conditionalFormatting sqref="I19:I26">
    <cfRule type="cellIs" dxfId="7" priority="12" operator="equal">
      <formula>0</formula>
    </cfRule>
  </conditionalFormatting>
  <conditionalFormatting sqref="I19:I26">
    <cfRule type="cellIs" priority="11" operator="equal">
      <formula>0</formula>
    </cfRule>
  </conditionalFormatting>
  <conditionalFormatting sqref="I19:I26">
    <cfRule type="cellIs" dxfId="6" priority="10" operator="equal">
      <formula>0</formula>
    </cfRule>
  </conditionalFormatting>
  <conditionalFormatting sqref="I19:I26">
    <cfRule type="cellIs" dxfId="5" priority="9" operator="equal">
      <formula>0</formula>
    </cfRule>
  </conditionalFormatting>
  <conditionalFormatting sqref="I19:I26">
    <cfRule type="cellIs" priority="8" operator="equal">
      <formula>0</formula>
    </cfRule>
  </conditionalFormatting>
  <conditionalFormatting sqref="I19:I26">
    <cfRule type="cellIs" dxfId="4" priority="7" operator="equal">
      <formula>0</formula>
    </cfRule>
  </conditionalFormatting>
  <conditionalFormatting sqref="I19:I26">
    <cfRule type="cellIs" dxfId="3" priority="6" operator="equal">
      <formula>0</formula>
    </cfRule>
  </conditionalFormatting>
  <conditionalFormatting sqref="I19:I26">
    <cfRule type="cellIs" priority="5" operator="equal">
      <formula>0</formula>
    </cfRule>
  </conditionalFormatting>
  <conditionalFormatting sqref="I19:I26">
    <cfRule type="cellIs" dxfId="2" priority="4" operator="equal">
      <formula>0</formula>
    </cfRule>
  </conditionalFormatting>
  <conditionalFormatting sqref="I19:I26">
    <cfRule type="cellIs" dxfId="1" priority="3" operator="equal">
      <formula>0</formula>
    </cfRule>
  </conditionalFormatting>
  <conditionalFormatting sqref="I19:I26">
    <cfRule type="cellIs" priority="2" operator="equal">
      <formula>0</formula>
    </cfRule>
  </conditionalFormatting>
  <conditionalFormatting sqref="I19:I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План</vt:lpstr>
      <vt:lpstr>Заявки</vt:lpstr>
      <vt:lpstr>Договора</vt:lpstr>
      <vt:lpstr>Доставленное_количество</vt:lpstr>
      <vt:lpstr>Заявки</vt:lpstr>
      <vt:lpstr>Количество_в_договоре</vt:lpstr>
      <vt:lpstr>Недоставленное_количество</vt:lpstr>
      <vt:lpstr>Общая_сумма_в_договоре</vt:lpstr>
      <vt:lpstr>Отдел</vt:lpstr>
      <vt:lpstr>План</vt:lpstr>
      <vt:lpstr>Цена_в_договоре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2016-11-25T12:11:04Z</dcterms:modified>
</cp:coreProperties>
</file>