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985"/>
  </bookViews>
  <sheets>
    <sheet name="Минская" sheetId="1" r:id="rId1"/>
  </sheets>
  <calcPr calcId="145621"/>
</workbook>
</file>

<file path=xl/calcChain.xml><?xml version="1.0" encoding="utf-8"?>
<calcChain xmlns="http://schemas.openxmlformats.org/spreadsheetml/2006/main">
  <c r="B3" i="1" l="1"/>
  <c r="I22" i="1" s="1"/>
  <c r="F3" i="1" l="1"/>
  <c r="I13" i="1"/>
  <c r="I19" i="1"/>
  <c r="AQ3" i="1"/>
  <c r="S129" i="1"/>
  <c r="P129" i="1"/>
  <c r="E129" i="1"/>
  <c r="AQ127" i="1"/>
  <c r="AH127" i="1"/>
  <c r="AE127" i="1"/>
  <c r="V127" i="1"/>
  <c r="S127" i="1"/>
  <c r="P127" i="1"/>
  <c r="I127" i="1"/>
  <c r="H127" i="1"/>
  <c r="F127" i="1"/>
  <c r="E127" i="1"/>
  <c r="AQ126" i="1"/>
  <c r="AN126" i="1"/>
  <c r="AK126" i="1"/>
  <c r="AH126" i="1"/>
  <c r="AE126" i="1"/>
  <c r="V126" i="1"/>
  <c r="S126" i="1"/>
  <c r="P126" i="1"/>
  <c r="I126" i="1"/>
  <c r="H126" i="1"/>
  <c r="F126" i="1"/>
  <c r="E126" i="1"/>
  <c r="E125" i="1"/>
  <c r="V124" i="1"/>
  <c r="S124" i="1"/>
  <c r="P124" i="1"/>
  <c r="H124" i="1"/>
  <c r="F124" i="1"/>
  <c r="AQ123" i="1"/>
  <c r="AN123" i="1"/>
  <c r="V123" i="1"/>
  <c r="S123" i="1"/>
  <c r="P123" i="1"/>
  <c r="I123" i="1"/>
  <c r="H123" i="1"/>
  <c r="E122" i="1" s="1"/>
  <c r="H122" i="1" s="1"/>
  <c r="E123" i="1"/>
  <c r="F123" i="1" s="1"/>
  <c r="F122" i="1"/>
  <c r="S121" i="1"/>
  <c r="P121" i="1"/>
  <c r="H121" i="1"/>
  <c r="F121" i="1"/>
  <c r="E120" i="1"/>
  <c r="AH119" i="1"/>
  <c r="AE119" i="1"/>
  <c r="V119" i="1"/>
  <c r="S119" i="1"/>
  <c r="P119" i="1"/>
  <c r="E119" i="1"/>
  <c r="AQ118" i="1"/>
  <c r="I118" i="1"/>
  <c r="H118" i="1"/>
  <c r="F118" i="1"/>
  <c r="E118" i="1"/>
  <c r="AH116" i="1"/>
  <c r="AE116" i="1"/>
  <c r="V116" i="1"/>
  <c r="S116" i="1"/>
  <c r="P116" i="1"/>
  <c r="H116" i="1"/>
  <c r="F116" i="1"/>
  <c r="AQ115" i="1"/>
  <c r="AN115" i="1"/>
  <c r="AK115" i="1"/>
  <c r="AH115" i="1"/>
  <c r="AE115" i="1"/>
  <c r="V115" i="1"/>
  <c r="S115" i="1"/>
  <c r="P115" i="1"/>
  <c r="I115" i="1"/>
  <c r="F115" i="1"/>
  <c r="E115" i="1"/>
  <c r="H115" i="1" s="1"/>
  <c r="E114" i="1" s="1"/>
  <c r="F114" i="1" s="1"/>
  <c r="H114" i="1"/>
  <c r="S113" i="1"/>
  <c r="P113" i="1"/>
  <c r="F113" i="1"/>
  <c r="E113" i="1"/>
  <c r="H113" i="1" s="1"/>
  <c r="E112" i="1" s="1"/>
  <c r="F112" i="1" s="1"/>
  <c r="S111" i="1"/>
  <c r="P111" i="1"/>
  <c r="F111" i="1"/>
  <c r="E111" i="1"/>
  <c r="H111" i="1" s="1"/>
  <c r="S110" i="1"/>
  <c r="P110" i="1"/>
  <c r="E110" i="1"/>
  <c r="H108" i="1"/>
  <c r="E108" i="1"/>
  <c r="F108" i="1" s="1"/>
  <c r="AQ107" i="1"/>
  <c r="AN107" i="1"/>
  <c r="AK107" i="1"/>
  <c r="AH107" i="1"/>
  <c r="I107" i="1"/>
  <c r="H107" i="1"/>
  <c r="E106" i="1" s="1"/>
  <c r="F107" i="1"/>
  <c r="F105" i="1"/>
  <c r="E105" i="1"/>
  <c r="H105" i="1" s="1"/>
  <c r="AK104" i="1"/>
  <c r="AH104" i="1"/>
  <c r="E104" i="1"/>
  <c r="H102" i="1"/>
  <c r="E100" i="1" s="1"/>
  <c r="E102" i="1"/>
  <c r="F102" i="1" s="1"/>
  <c r="H101" i="1"/>
  <c r="F101" i="1"/>
  <c r="E101" i="1"/>
  <c r="AQ99" i="1"/>
  <c r="AN99" i="1"/>
  <c r="AK99" i="1"/>
  <c r="I99" i="1"/>
  <c r="F99" i="1"/>
  <c r="E99" i="1"/>
  <c r="H99" i="1" s="1"/>
  <c r="AQ98" i="1"/>
  <c r="AN98" i="1"/>
  <c r="AK98" i="1"/>
  <c r="AH98" i="1"/>
  <c r="AE98" i="1"/>
  <c r="I98" i="1"/>
  <c r="E98" i="1"/>
  <c r="AN96" i="1"/>
  <c r="AK96" i="1"/>
  <c r="AH96" i="1"/>
  <c r="AE96" i="1"/>
  <c r="AB96" i="1"/>
  <c r="V96" i="1"/>
  <c r="S96" i="1"/>
  <c r="P96" i="1"/>
  <c r="H96" i="1"/>
  <c r="E96" i="1"/>
  <c r="F96" i="1" s="1"/>
  <c r="AK95" i="1"/>
  <c r="AH95" i="1"/>
  <c r="AB95" i="1"/>
  <c r="V95" i="1"/>
  <c r="H95" i="1"/>
  <c r="F95" i="1"/>
  <c r="E95" i="1"/>
  <c r="E94" i="1"/>
  <c r="AK93" i="1"/>
  <c r="AH93" i="1"/>
  <c r="H93" i="1"/>
  <c r="F93" i="1"/>
  <c r="E93" i="1"/>
  <c r="AK92" i="1"/>
  <c r="P92" i="1"/>
  <c r="H92" i="1"/>
  <c r="E91" i="1" s="1"/>
  <c r="H91" i="1" s="1"/>
  <c r="E92" i="1"/>
  <c r="F92" i="1" s="1"/>
  <c r="E90" i="1"/>
  <c r="F89" i="1"/>
  <c r="E89" i="1"/>
  <c r="H89" i="1" s="1"/>
  <c r="H88" i="1"/>
  <c r="E87" i="1" s="1"/>
  <c r="H87" i="1" s="1"/>
  <c r="E88" i="1"/>
  <c r="F88" i="1" s="1"/>
  <c r="F87" i="1"/>
  <c r="AN86" i="1"/>
  <c r="AK86" i="1"/>
  <c r="AH86" i="1"/>
  <c r="P86" i="1"/>
  <c r="E86" i="1"/>
  <c r="P85" i="1"/>
  <c r="E85" i="1"/>
  <c r="F84" i="1"/>
  <c r="E84" i="1"/>
  <c r="H84" i="1" s="1"/>
  <c r="AQ82" i="1"/>
  <c r="AN82" i="1"/>
  <c r="AK82" i="1"/>
  <c r="AH82" i="1"/>
  <c r="I82" i="1"/>
  <c r="H82" i="1"/>
  <c r="E82" i="1"/>
  <c r="F82" i="1" s="1"/>
  <c r="AQ81" i="1"/>
  <c r="AN81" i="1"/>
  <c r="AK81" i="1"/>
  <c r="AH81" i="1"/>
  <c r="I81" i="1"/>
  <c r="H81" i="1"/>
  <c r="E81" i="1"/>
  <c r="F81" i="1" s="1"/>
  <c r="E79" i="1"/>
  <c r="AQ78" i="1"/>
  <c r="AN78" i="1"/>
  <c r="AK78" i="1"/>
  <c r="I78" i="1"/>
  <c r="F78" i="1"/>
  <c r="E78" i="1"/>
  <c r="H78" i="1" s="1"/>
  <c r="H76" i="1"/>
  <c r="F76" i="1"/>
  <c r="E76" i="1"/>
  <c r="E75" i="1"/>
  <c r="H73" i="1"/>
  <c r="E73" i="1"/>
  <c r="F73" i="1" s="1"/>
  <c r="AQ72" i="1"/>
  <c r="AN72" i="1"/>
  <c r="AK72" i="1"/>
  <c r="AH72" i="1"/>
  <c r="AE72" i="1"/>
  <c r="AB72" i="1"/>
  <c r="Y72" i="1"/>
  <c r="V72" i="1"/>
  <c r="S72" i="1"/>
  <c r="I72" i="1"/>
  <c r="F72" i="1"/>
  <c r="E72" i="1"/>
  <c r="H72" i="1" s="1"/>
  <c r="E71" i="1" s="1"/>
  <c r="F71" i="1" s="1"/>
  <c r="H71" i="1"/>
  <c r="AQ70" i="1"/>
  <c r="AN70" i="1"/>
  <c r="AK70" i="1"/>
  <c r="AH70" i="1"/>
  <c r="AE70" i="1"/>
  <c r="AB70" i="1"/>
  <c r="Y70" i="1"/>
  <c r="V70" i="1"/>
  <c r="S70" i="1"/>
  <c r="I70" i="1"/>
  <c r="F70" i="1"/>
  <c r="E70" i="1"/>
  <c r="H70" i="1" s="1"/>
  <c r="AQ69" i="1"/>
  <c r="AN69" i="1"/>
  <c r="AK69" i="1"/>
  <c r="AH69" i="1"/>
  <c r="AE69" i="1"/>
  <c r="AB69" i="1"/>
  <c r="Y69" i="1"/>
  <c r="V69" i="1"/>
  <c r="S69" i="1"/>
  <c r="I69" i="1"/>
  <c r="E69" i="1"/>
  <c r="H67" i="1"/>
  <c r="E67" i="1"/>
  <c r="F67" i="1" s="1"/>
  <c r="AQ66" i="1"/>
  <c r="AN66" i="1"/>
  <c r="AK66" i="1"/>
  <c r="AH66" i="1"/>
  <c r="AE66" i="1"/>
  <c r="AB66" i="1"/>
  <c r="Y66" i="1"/>
  <c r="V66" i="1"/>
  <c r="S66" i="1"/>
  <c r="I66" i="1"/>
  <c r="F66" i="1"/>
  <c r="E66" i="1"/>
  <c r="H66" i="1" s="1"/>
  <c r="AE64" i="1"/>
  <c r="H64" i="1"/>
  <c r="E64" i="1"/>
  <c r="F64" i="1" s="1"/>
  <c r="AQ63" i="1"/>
  <c r="AN63" i="1"/>
  <c r="AK63" i="1"/>
  <c r="AH63" i="1"/>
  <c r="AE63" i="1"/>
  <c r="AB63" i="1"/>
  <c r="Y63" i="1"/>
  <c r="V63" i="1"/>
  <c r="S63" i="1"/>
  <c r="I63" i="1"/>
  <c r="F63" i="1"/>
  <c r="E63" i="1"/>
  <c r="H63" i="1" s="1"/>
  <c r="E62" i="1" s="1"/>
  <c r="AQ61" i="1"/>
  <c r="AN61" i="1"/>
  <c r="AK61" i="1"/>
  <c r="AH61" i="1"/>
  <c r="AE61" i="1"/>
  <c r="AB61" i="1"/>
  <c r="Y61" i="1"/>
  <c r="V61" i="1"/>
  <c r="S61" i="1"/>
  <c r="I61" i="1"/>
  <c r="F61" i="1"/>
  <c r="E61" i="1"/>
  <c r="H61" i="1" s="1"/>
  <c r="AQ60" i="1"/>
  <c r="AN60" i="1"/>
  <c r="AK60" i="1"/>
  <c r="AH60" i="1"/>
  <c r="AE60" i="1"/>
  <c r="AB60" i="1"/>
  <c r="Y60" i="1"/>
  <c r="V60" i="1"/>
  <c r="S60" i="1"/>
  <c r="I60" i="1"/>
  <c r="E60" i="1"/>
  <c r="F60" i="1" s="1"/>
  <c r="AQ58" i="1"/>
  <c r="AN58" i="1"/>
  <c r="AK58" i="1"/>
  <c r="AH58" i="1"/>
  <c r="AE58" i="1"/>
  <c r="AB58" i="1"/>
  <c r="Y58" i="1"/>
  <c r="V58" i="1"/>
  <c r="S58" i="1"/>
  <c r="I58" i="1"/>
  <c r="E58" i="1"/>
  <c r="F58" i="1" s="1"/>
  <c r="AQ57" i="1"/>
  <c r="AN57" i="1"/>
  <c r="AK57" i="1"/>
  <c r="AH57" i="1"/>
  <c r="AE57" i="1"/>
  <c r="AB57" i="1"/>
  <c r="Y57" i="1"/>
  <c r="V57" i="1"/>
  <c r="S57" i="1"/>
  <c r="I57" i="1"/>
  <c r="H57" i="1"/>
  <c r="F57" i="1"/>
  <c r="E57" i="1"/>
  <c r="F55" i="1"/>
  <c r="E55" i="1"/>
  <c r="H55" i="1" s="1"/>
  <c r="AQ54" i="1"/>
  <c r="AN54" i="1"/>
  <c r="AK54" i="1"/>
  <c r="I54" i="1"/>
  <c r="E54" i="1"/>
  <c r="F54" i="1" s="1"/>
  <c r="AQ52" i="1"/>
  <c r="AN52" i="1"/>
  <c r="AK52" i="1"/>
  <c r="I52" i="1"/>
  <c r="H52" i="1"/>
  <c r="E52" i="1"/>
  <c r="F52" i="1" s="1"/>
  <c r="AQ51" i="1"/>
  <c r="AN51" i="1"/>
  <c r="AK51" i="1"/>
  <c r="I51" i="1"/>
  <c r="F51" i="1"/>
  <c r="E51" i="1"/>
  <c r="H51" i="1" s="1"/>
  <c r="E50" i="1" s="1"/>
  <c r="E49" i="1"/>
  <c r="F49" i="1" s="1"/>
  <c r="AQ48" i="1"/>
  <c r="AN48" i="1"/>
  <c r="AK48" i="1"/>
  <c r="P48" i="1"/>
  <c r="I48" i="1"/>
  <c r="H48" i="1"/>
  <c r="E47" i="1" s="1"/>
  <c r="H47" i="1" s="1"/>
  <c r="E48" i="1"/>
  <c r="F48" i="1" s="1"/>
  <c r="AQ46" i="1"/>
  <c r="AN46" i="1"/>
  <c r="AK46" i="1"/>
  <c r="I46" i="1"/>
  <c r="H46" i="1"/>
  <c r="E46" i="1"/>
  <c r="F46" i="1" s="1"/>
  <c r="AQ45" i="1"/>
  <c r="AN45" i="1"/>
  <c r="AK45" i="1"/>
  <c r="P45" i="1"/>
  <c r="I45" i="1"/>
  <c r="E45" i="1"/>
  <c r="F45" i="1" s="1"/>
  <c r="AQ43" i="1"/>
  <c r="AK43" i="1"/>
  <c r="I43" i="1"/>
  <c r="H43" i="1"/>
  <c r="F43" i="1"/>
  <c r="AQ42" i="1"/>
  <c r="AK42" i="1"/>
  <c r="I42" i="1"/>
  <c r="F42" i="1"/>
  <c r="E42" i="1"/>
  <c r="H42" i="1" s="1"/>
  <c r="E41" i="1" s="1"/>
  <c r="AQ40" i="1"/>
  <c r="AN40" i="1"/>
  <c r="AK40" i="1"/>
  <c r="I40" i="1"/>
  <c r="H40" i="1"/>
  <c r="E38" i="1" s="1"/>
  <c r="E40" i="1"/>
  <c r="F40" i="1" s="1"/>
  <c r="AQ39" i="1"/>
  <c r="AN39" i="1"/>
  <c r="AK39" i="1"/>
  <c r="I39" i="1"/>
  <c r="H39" i="1"/>
  <c r="F39" i="1"/>
  <c r="E39" i="1"/>
  <c r="F36" i="1"/>
  <c r="E36" i="1"/>
  <c r="H36" i="1" s="1"/>
  <c r="E35" i="1"/>
  <c r="F35" i="1" s="1"/>
  <c r="F31" i="1"/>
  <c r="AQ30" i="1"/>
  <c r="AN30" i="1"/>
  <c r="S30" i="1"/>
  <c r="P30" i="1"/>
  <c r="I30" i="1"/>
  <c r="H30" i="1"/>
  <c r="E28" i="1" s="1"/>
  <c r="E30" i="1"/>
  <c r="F30" i="1" s="1"/>
  <c r="AQ29" i="1"/>
  <c r="AN29" i="1"/>
  <c r="AE29" i="1"/>
  <c r="I29" i="1"/>
  <c r="H29" i="1"/>
  <c r="F29" i="1"/>
  <c r="E29" i="1"/>
  <c r="E25" i="1"/>
  <c r="F25" i="1" s="1"/>
  <c r="AQ24" i="1"/>
  <c r="I24" i="1"/>
  <c r="H24" i="1"/>
  <c r="F24" i="1"/>
  <c r="AQ23" i="1"/>
  <c r="AN23" i="1"/>
  <c r="AK23" i="1"/>
  <c r="I23" i="1"/>
  <c r="H23" i="1"/>
  <c r="F23" i="1"/>
  <c r="E23" i="1"/>
  <c r="AQ22" i="1"/>
  <c r="AN22" i="1"/>
  <c r="AK22" i="1"/>
  <c r="H22" i="1"/>
  <c r="F22" i="1"/>
  <c r="E22" i="1"/>
  <c r="E21" i="1"/>
  <c r="H21" i="1" s="1"/>
  <c r="H20" i="1"/>
  <c r="E20" i="1"/>
  <c r="F20" i="1" s="1"/>
  <c r="AQ19" i="1"/>
  <c r="AN19" i="1"/>
  <c r="AK19" i="1"/>
  <c r="H19" i="1"/>
  <c r="F19" i="1"/>
  <c r="E19" i="1"/>
  <c r="E18" i="1"/>
  <c r="H18" i="1" s="1"/>
  <c r="F17" i="1"/>
  <c r="E17" i="1"/>
  <c r="H17" i="1" s="1"/>
  <c r="AN16" i="1"/>
  <c r="E16" i="1"/>
  <c r="H16" i="1" s="1"/>
  <c r="E15" i="1" s="1"/>
  <c r="H14" i="1"/>
  <c r="F14" i="1"/>
  <c r="E14" i="1"/>
  <c r="AQ13" i="1"/>
  <c r="AN13" i="1"/>
  <c r="AK13" i="1"/>
  <c r="E13" i="1"/>
  <c r="H13" i="1" s="1"/>
  <c r="E12" i="1" s="1"/>
  <c r="M10" i="1"/>
  <c r="L10" i="1"/>
  <c r="F50" i="1" l="1"/>
  <c r="H50" i="1"/>
  <c r="H106" i="1"/>
  <c r="F106" i="1"/>
  <c r="F15" i="1"/>
  <c r="H15" i="1"/>
  <c r="F38" i="1"/>
  <c r="H38" i="1"/>
  <c r="H100" i="1"/>
  <c r="F100" i="1"/>
  <c r="F28" i="1"/>
  <c r="H28" i="1"/>
  <c r="H12" i="1"/>
  <c r="F12" i="1"/>
  <c r="H41" i="1"/>
  <c r="F41" i="1"/>
  <c r="F62" i="1"/>
  <c r="H62" i="1"/>
  <c r="E65" i="1"/>
  <c r="H75" i="1"/>
  <c r="E74" i="1" s="1"/>
  <c r="F75" i="1"/>
  <c r="H86" i="1"/>
  <c r="F86" i="1"/>
  <c r="H112" i="1"/>
  <c r="H120" i="1"/>
  <c r="F120" i="1"/>
  <c r="H110" i="1"/>
  <c r="E109" i="1" s="1"/>
  <c r="F110" i="1"/>
  <c r="F13" i="1"/>
  <c r="F18" i="1"/>
  <c r="F21" i="1"/>
  <c r="H45" i="1"/>
  <c r="E44" i="1" s="1"/>
  <c r="F47" i="1"/>
  <c r="H58" i="1"/>
  <c r="E56" i="1" s="1"/>
  <c r="H69" i="1"/>
  <c r="E68" i="1" s="1"/>
  <c r="F69" i="1"/>
  <c r="E80" i="1"/>
  <c r="H85" i="1"/>
  <c r="E83" i="1" s="1"/>
  <c r="F85" i="1"/>
  <c r="H90" i="1"/>
  <c r="F90" i="1"/>
  <c r="H104" i="1"/>
  <c r="E103" i="1" s="1"/>
  <c r="F104" i="1"/>
  <c r="H119" i="1"/>
  <c r="E117" i="1" s="1"/>
  <c r="F119" i="1"/>
  <c r="H129" i="1"/>
  <c r="E128" i="1" s="1"/>
  <c r="F129" i="1"/>
  <c r="F16" i="1"/>
  <c r="H94" i="1"/>
  <c r="F94" i="1"/>
  <c r="H35" i="1"/>
  <c r="E34" i="1" s="1"/>
  <c r="H54" i="1"/>
  <c r="E53" i="1" s="1"/>
  <c r="H60" i="1"/>
  <c r="E59" i="1" s="1"/>
  <c r="H79" i="1"/>
  <c r="E77" i="1" s="1"/>
  <c r="F79" i="1"/>
  <c r="F91" i="1"/>
  <c r="H98" i="1"/>
  <c r="E97" i="1" s="1"/>
  <c r="F98" i="1"/>
  <c r="H125" i="1"/>
  <c r="F125" i="1"/>
  <c r="F77" i="1" l="1"/>
  <c r="H77" i="1"/>
  <c r="F83" i="1"/>
  <c r="H83" i="1"/>
  <c r="F68" i="1"/>
  <c r="H68" i="1"/>
  <c r="F128" i="1"/>
  <c r="H128" i="1"/>
  <c r="F103" i="1"/>
  <c r="H103" i="1"/>
  <c r="F56" i="1"/>
  <c r="H56" i="1"/>
  <c r="F74" i="1"/>
  <c r="H74" i="1"/>
  <c r="F97" i="1"/>
  <c r="H97" i="1"/>
  <c r="H59" i="1"/>
  <c r="F59" i="1"/>
  <c r="H80" i="1"/>
  <c r="F80" i="1"/>
  <c r="F109" i="1"/>
  <c r="H109" i="1"/>
  <c r="F65" i="1"/>
  <c r="H65" i="1"/>
  <c r="H34" i="1"/>
  <c r="F34" i="1"/>
  <c r="H53" i="1"/>
  <c r="F53" i="1"/>
  <c r="H117" i="1"/>
  <c r="F117" i="1"/>
  <c r="F44" i="1"/>
  <c r="H44" i="1"/>
</calcChain>
</file>

<file path=xl/sharedStrings.xml><?xml version="1.0" encoding="utf-8"?>
<sst xmlns="http://schemas.openxmlformats.org/spreadsheetml/2006/main" count="438" uniqueCount="128">
  <si>
    <t>ст. "Минская"</t>
  </si>
  <si>
    <t>№
п/п</t>
  </si>
  <si>
    <t>Ед.
изм.</t>
  </si>
  <si>
    <t xml:space="preserve">Объем работ </t>
  </si>
  <si>
    <t>Поставка
оборудования,
(%)</t>
  </si>
  <si>
    <t>Общая
готовность,
(%)</t>
  </si>
  <si>
    <t>Динамика
за сутки</t>
  </si>
  <si>
    <t>Численность чел.</t>
  </si>
  <si>
    <t>Наименование работ</t>
  </si>
  <si>
    <t>Дата
окончания
работ</t>
  </si>
  <si>
    <t>Производитель
работ.
Руководитель</t>
  </si>
  <si>
    <t xml:space="preserve"> ноябрь 2016 </t>
  </si>
  <si>
    <t>Примечание</t>
  </si>
  <si>
    <t>По
проекту</t>
  </si>
  <si>
    <t>Выполнено</t>
  </si>
  <si>
    <t>Остаток</t>
  </si>
  <si>
    <t>План</t>
  </si>
  <si>
    <t>Факт</t>
  </si>
  <si>
    <t>%</t>
  </si>
  <si>
    <t>1</t>
  </si>
  <si>
    <t>2</t>
  </si>
  <si>
    <t>3</t>
  </si>
  <si>
    <t>4</t>
  </si>
  <si>
    <t>5</t>
  </si>
  <si>
    <t>6</t>
  </si>
  <si>
    <t>7</t>
  </si>
  <si>
    <t>8</t>
  </si>
  <si>
    <t>10</t>
  </si>
  <si>
    <t>11</t>
  </si>
  <si>
    <t>12</t>
  </si>
  <si>
    <t>ИНЖЕНЕРНЫЕ СИСТЕМЫ</t>
  </si>
  <si>
    <t>выполнено</t>
  </si>
  <si>
    <t>Перегон от начала строительства до ст. "Минская"</t>
  </si>
  <si>
    <t>Кондиционирование, отопление, вентиляция</t>
  </si>
  <si>
    <t>ООО "АтонСтрой"</t>
  </si>
  <si>
    <t>Электрооборудование 380/220В</t>
  </si>
  <si>
    <t>ОАО "Татэлектромонтаж"</t>
  </si>
  <si>
    <t>прокладка воздуховодов</t>
  </si>
  <si>
    <t>км</t>
  </si>
  <si>
    <t>прокладка кабеля</t>
  </si>
  <si>
    <t>монтаж оборудования</t>
  </si>
  <si>
    <t>шт</t>
  </si>
  <si>
    <t>установка оборудования</t>
  </si>
  <si>
    <t>Вентиляция и кондиционирование ПП-771</t>
  </si>
  <si>
    <t>монтаж воздуховодов</t>
  </si>
  <si>
    <t>Тоннельные сети связи и ГГО</t>
  </si>
  <si>
    <t>ЗАО "МИР" СпецСМУ</t>
  </si>
  <si>
    <t>Энергетическое оборудование ПП-771</t>
  </si>
  <si>
    <t xml:space="preserve">Монтаж кабеля </t>
  </si>
  <si>
    <t>Водоснабжение и канализация ПП-771,ТВУ-7111,Ходок к сантех скважинам</t>
  </si>
  <si>
    <t>Монтаж оборудования</t>
  </si>
  <si>
    <t>монтаж трубопроводов</t>
  </si>
  <si>
    <t>Станционные устройства связи и ГГО</t>
  </si>
  <si>
    <t>?</t>
  </si>
  <si>
    <t>Тоннельная вентиляция</t>
  </si>
  <si>
    <t>СМУ-158</t>
  </si>
  <si>
    <t>Канализация</t>
  </si>
  <si>
    <t>Водоснабжение</t>
  </si>
  <si>
    <t xml:space="preserve">Тоннельное освещение </t>
  </si>
  <si>
    <t>ЗАО "МИР" СМУ-3</t>
  </si>
  <si>
    <t>Система АСОП</t>
  </si>
  <si>
    <t>ЗАО "МИР" МНК</t>
  </si>
  <si>
    <t>прокладка трубопровода</t>
  </si>
  <si>
    <t>узл</t>
  </si>
  <si>
    <t>СКУД венткиосков</t>
  </si>
  <si>
    <t>ООО «Технология Безопасности»</t>
  </si>
  <si>
    <t>Перегон от ст "Парк Победы" до ст. Минская</t>
  </si>
  <si>
    <t>Автоматизация электромеханических устройств</t>
  </si>
  <si>
    <t>9</t>
  </si>
  <si>
    <t xml:space="preserve">Станционный комплекс Минская </t>
  </si>
  <si>
    <t>Тяговая сеть 825В.</t>
  </si>
  <si>
    <t>Устройства УКПТ и светодиодной полосы</t>
  </si>
  <si>
    <t>Монтаж турникетов</t>
  </si>
  <si>
    <t>Автоматы для продажи билетов</t>
  </si>
  <si>
    <t>Монтаж автоматов</t>
  </si>
  <si>
    <t>13</t>
  </si>
  <si>
    <t>14</t>
  </si>
  <si>
    <t>15</t>
  </si>
  <si>
    <t>16</t>
  </si>
  <si>
    <t>17</t>
  </si>
  <si>
    <t>Электрооборудование</t>
  </si>
  <si>
    <t>18</t>
  </si>
  <si>
    <t>19</t>
  </si>
  <si>
    <t>20</t>
  </si>
  <si>
    <t>21</t>
  </si>
  <si>
    <t>22</t>
  </si>
  <si>
    <t>23</t>
  </si>
  <si>
    <t>24</t>
  </si>
  <si>
    <t>ВШ-757. Электрооборудование. Освещение</t>
  </si>
  <si>
    <t>25</t>
  </si>
  <si>
    <t>Освещение служебных помещений</t>
  </si>
  <si>
    <t>Авт. Пожарная сигнализация</t>
  </si>
  <si>
    <t>ООО "Технология Безопасности"</t>
  </si>
  <si>
    <t xml:space="preserve">прокладка кабеля </t>
  </si>
  <si>
    <t>Автоматика противопожарных мероприятий</t>
  </si>
  <si>
    <t>Автоматическая охранная сигнализация</t>
  </si>
  <si>
    <t>прокладка трубопроводов</t>
  </si>
  <si>
    <t>26</t>
  </si>
  <si>
    <t>Противопожарная система ВЕЗДА</t>
  </si>
  <si>
    <t>27</t>
  </si>
  <si>
    <t>Система контроля и управления доступом (СКУД)</t>
  </si>
  <si>
    <t>Установка пожаротуш. тонкорасп. Водой (ЭЧ)</t>
  </si>
  <si>
    <t>Линейная часть</t>
  </si>
  <si>
    <t>28</t>
  </si>
  <si>
    <t>Установка оборудования</t>
  </si>
  <si>
    <t>Установка пожаротуш. тонкорасп. Водой (ТЧ)</t>
  </si>
  <si>
    <t>29</t>
  </si>
  <si>
    <t>0,61</t>
  </si>
  <si>
    <t xml:space="preserve">ИТП </t>
  </si>
  <si>
    <t>30</t>
  </si>
  <si>
    <t>Вентиляция и кондиционирование ТПП-711</t>
  </si>
  <si>
    <t>31</t>
  </si>
  <si>
    <t>12/15/2016</t>
  </si>
  <si>
    <t>32</t>
  </si>
  <si>
    <t>33</t>
  </si>
  <si>
    <t>Водоснабжение и канализация ТПП-711</t>
  </si>
  <si>
    <t>34</t>
  </si>
  <si>
    <t>Магистральные сети связи ВОЛС , физика и ГГО  от Инженерного корпуса  до ст. Раменки</t>
  </si>
  <si>
    <t>35</t>
  </si>
  <si>
    <t>36</t>
  </si>
  <si>
    <t>Поездная радиосвязь</t>
  </si>
  <si>
    <t>37</t>
  </si>
  <si>
    <t>Единая радиоинформационная сеть ЕРИС-М</t>
  </si>
  <si>
    <t xml:space="preserve">Устройства теленаблюдения. </t>
  </si>
  <si>
    <t>Турникеты</t>
  </si>
  <si>
    <t>Устройства АТДП</t>
  </si>
  <si>
    <t>Тяговая сеть 825В. Блокировочная связь между подстанциями и управление разъединителями 825В</t>
  </si>
  <si>
    <t>Система управления работой станции (СУРС)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</si>
</sst>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\.mm\.yyyy"/>
    <numFmt numFmtId="165" formatCode="[$-419]mmmm\ yyyy"/>
    <numFmt numFmtId="166" formatCode="[$-419]d\ mmm"/>
    <numFmt numFmtId="167" formatCode="0.0%"/>
    <numFmt numFmtId="168" formatCode="0.000"/>
    <numFmt numFmtId="169" formatCode="#,##0.000"/>
    <numFmt numFmtId="170" formatCode="d\.m\.yy"/>
    <numFmt numFmtId="171" formatCode="0.0000"/>
  </numFmts>
  <fonts count="20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20"/>
      <color rgb="FFFFFFFF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9933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434343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FF0000"/>
        <bgColor rgb="FFFF0000"/>
      </patternFill>
    </fill>
    <fill>
      <patternFill patternType="solid">
        <fgColor rgb="FF8DB3E2"/>
        <bgColor rgb="FF8DB3E2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DAEEF3"/>
        <bgColor rgb="FFDAEEF3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3">
    <xf numFmtId="0" fontId="0" fillId="0" borderId="0" xfId="0" applyFont="1" applyAlignment="1"/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49" fontId="11" fillId="6" borderId="17" xfId="0" applyNumberFormat="1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9" fontId="1" fillId="2" borderId="18" xfId="0" applyNumberFormat="1" applyFont="1" applyFill="1" applyBorder="1" applyAlignment="1">
      <alignment horizontal="center" vertical="center" wrapText="1"/>
    </xf>
    <xf numFmtId="167" fontId="2" fillId="2" borderId="18" xfId="0" applyNumberFormat="1" applyFont="1" applyFill="1" applyBorder="1" applyAlignment="1">
      <alignment horizontal="center" vertical="center" wrapText="1"/>
    </xf>
    <xf numFmtId="9" fontId="1" fillId="0" borderId="18" xfId="0" applyNumberFormat="1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9" fontId="11" fillId="2" borderId="18" xfId="0" applyNumberFormat="1" applyFont="1" applyFill="1" applyBorder="1" applyAlignment="1">
      <alignment horizontal="center" vertical="center" wrapText="1"/>
    </xf>
    <xf numFmtId="3" fontId="11" fillId="2" borderId="18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9" fontId="1" fillId="0" borderId="18" xfId="0" applyNumberFormat="1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9" fontId="1" fillId="2" borderId="18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1" fillId="9" borderId="18" xfId="0" applyFont="1" applyFill="1" applyBorder="1" applyAlignment="1">
      <alignment horizontal="left" vertical="center" wrapText="1"/>
    </xf>
    <xf numFmtId="0" fontId="1" fillId="9" borderId="18" xfId="0" applyFont="1" applyFill="1" applyBorder="1" applyAlignment="1">
      <alignment horizontal="center" vertical="center"/>
    </xf>
    <xf numFmtId="9" fontId="11" fillId="9" borderId="18" xfId="0" applyNumberFormat="1" applyFont="1" applyFill="1" applyBorder="1" applyAlignment="1">
      <alignment horizontal="center" vertical="center"/>
    </xf>
    <xf numFmtId="10" fontId="11" fillId="9" borderId="18" xfId="0" applyNumberFormat="1" applyFont="1" applyFill="1" applyBorder="1" applyAlignment="1">
      <alignment horizontal="center" vertical="center"/>
    </xf>
    <xf numFmtId="168" fontId="11" fillId="9" borderId="18" xfId="0" applyNumberFormat="1" applyFont="1" applyFill="1" applyBorder="1" applyAlignment="1">
      <alignment horizontal="center" vertical="center"/>
    </xf>
    <xf numFmtId="168" fontId="2" fillId="9" borderId="18" xfId="0" applyNumberFormat="1" applyFont="1" applyFill="1" applyBorder="1" applyAlignment="1">
      <alignment horizontal="center" vertical="center"/>
    </xf>
    <xf numFmtId="164" fontId="1" fillId="9" borderId="18" xfId="0" applyNumberFormat="1" applyFont="1" applyFill="1" applyBorder="1" applyAlignment="1">
      <alignment horizontal="center" vertical="center"/>
    </xf>
    <xf numFmtId="0" fontId="14" fillId="9" borderId="18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vertical="center"/>
    </xf>
    <xf numFmtId="0" fontId="15" fillId="9" borderId="18" xfId="0" applyFont="1" applyFill="1" applyBorder="1" applyAlignment="1">
      <alignment vertical="center"/>
    </xf>
    <xf numFmtId="0" fontId="15" fillId="9" borderId="19" xfId="0" applyFont="1" applyFill="1" applyBorder="1" applyAlignment="1">
      <alignment vertical="center"/>
    </xf>
    <xf numFmtId="0" fontId="15" fillId="9" borderId="1" xfId="0" applyFont="1" applyFill="1" applyBorder="1" applyAlignment="1">
      <alignment vertical="center"/>
    </xf>
    <xf numFmtId="0" fontId="15" fillId="9" borderId="20" xfId="0" applyFont="1" applyFill="1" applyBorder="1" applyAlignment="1">
      <alignment vertical="center"/>
    </xf>
    <xf numFmtId="0" fontId="15" fillId="9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vertical="center"/>
    </xf>
    <xf numFmtId="168" fontId="1" fillId="0" borderId="18" xfId="0" applyNumberFormat="1" applyFont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vertical="center"/>
    </xf>
    <xf numFmtId="0" fontId="14" fillId="9" borderId="3" xfId="0" applyFont="1" applyFill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168" fontId="1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0" fontId="16" fillId="0" borderId="18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68" fontId="1" fillId="0" borderId="20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9" fontId="1" fillId="2" borderId="19" xfId="0" applyNumberFormat="1" applyFont="1" applyFill="1" applyBorder="1" applyAlignment="1">
      <alignment horizontal="center" vertical="center" wrapText="1"/>
    </xf>
    <xf numFmtId="2" fontId="1" fillId="10" borderId="18" xfId="0" applyNumberFormat="1" applyFont="1" applyFill="1" applyBorder="1" applyAlignment="1">
      <alignment horizontal="center" vertical="center"/>
    </xf>
    <xf numFmtId="169" fontId="1" fillId="0" borderId="19" xfId="0" applyNumberFormat="1" applyFont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5" fillId="3" borderId="18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9" fontId="1" fillId="2" borderId="18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1" fontId="1" fillId="0" borderId="18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16" xfId="0" applyFont="1" applyBorder="1" applyAlignment="1">
      <alignment vertical="center"/>
    </xf>
    <xf numFmtId="0" fontId="11" fillId="9" borderId="18" xfId="0" applyFont="1" applyFill="1" applyBorder="1" applyAlignment="1">
      <alignment vertical="center"/>
    </xf>
    <xf numFmtId="168" fontId="1" fillId="9" borderId="18" xfId="0" applyNumberFormat="1" applyFont="1" applyFill="1" applyBorder="1" applyAlignment="1">
      <alignment horizontal="center" vertical="center"/>
    </xf>
    <xf numFmtId="0" fontId="14" fillId="9" borderId="18" xfId="0" applyFont="1" applyFill="1" applyBorder="1" applyAlignment="1">
      <alignment horizontal="left" vertical="center" wrapText="1"/>
    </xf>
    <xf numFmtId="0" fontId="14" fillId="9" borderId="19" xfId="0" applyFont="1" applyFill="1" applyBorder="1" applyAlignment="1">
      <alignment horizontal="left" vertical="center" wrapText="1"/>
    </xf>
    <xf numFmtId="9" fontId="1" fillId="0" borderId="18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5" fillId="0" borderId="20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169" fontId="1" fillId="10" borderId="19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9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4" fillId="9" borderId="19" xfId="0" applyFont="1" applyFill="1" applyBorder="1" applyAlignment="1">
      <alignment horizontal="left" vertical="center" wrapText="1"/>
    </xf>
    <xf numFmtId="0" fontId="14" fillId="3" borderId="18" xfId="0" applyFont="1" applyFill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1" fillId="9" borderId="18" xfId="0" applyFont="1" applyFill="1" applyBorder="1" applyAlignment="1">
      <alignment vertical="center" wrapText="1"/>
    </xf>
    <xf numFmtId="0" fontId="1" fillId="9" borderId="18" xfId="0" applyFont="1" applyFill="1" applyBorder="1" applyAlignment="1">
      <alignment horizontal="center" vertical="center" wrapText="1"/>
    </xf>
    <xf numFmtId="9" fontId="11" fillId="9" borderId="18" xfId="0" applyNumberFormat="1" applyFont="1" applyFill="1" applyBorder="1" applyAlignment="1">
      <alignment horizontal="center" vertical="center" wrapText="1"/>
    </xf>
    <xf numFmtId="168" fontId="1" fillId="9" borderId="18" xfId="0" applyNumberFormat="1" applyFont="1" applyFill="1" applyBorder="1" applyAlignment="1">
      <alignment horizontal="center" vertical="center" wrapText="1"/>
    </xf>
    <xf numFmtId="168" fontId="2" fillId="9" borderId="18" xfId="0" applyNumberFormat="1" applyFont="1" applyFill="1" applyBorder="1" applyAlignment="1">
      <alignment horizontal="center" vertical="center" wrapText="1"/>
    </xf>
    <xf numFmtId="164" fontId="1" fillId="9" borderId="18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vertical="center" wrapText="1"/>
    </xf>
    <xf numFmtId="168" fontId="1" fillId="2" borderId="3" xfId="0" applyNumberFormat="1" applyFont="1" applyFill="1" applyBorder="1" applyAlignment="1">
      <alignment horizontal="center" wrapText="1"/>
    </xf>
    <xf numFmtId="0" fontId="15" fillId="9" borderId="18" xfId="0" applyFont="1" applyFill="1" applyBorder="1" applyAlignment="1">
      <alignment vertical="center" wrapText="1"/>
    </xf>
    <xf numFmtId="1" fontId="1" fillId="2" borderId="18" xfId="0" applyNumberFormat="1" applyFont="1" applyFill="1" applyBorder="1" applyAlignment="1">
      <alignment horizontal="center" vertical="center" wrapText="1"/>
    </xf>
    <xf numFmtId="0" fontId="15" fillId="9" borderId="19" xfId="0" applyFont="1" applyFill="1" applyBorder="1" applyAlignment="1">
      <alignment vertical="center" wrapText="1"/>
    </xf>
    <xf numFmtId="1" fontId="1" fillId="2" borderId="19" xfId="0" applyNumberFormat="1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vertical="center" wrapText="1"/>
    </xf>
    <xf numFmtId="0" fontId="15" fillId="9" borderId="20" xfId="0" applyFont="1" applyFill="1" applyBorder="1" applyAlignment="1">
      <alignment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168" fontId="1" fillId="2" borderId="18" xfId="0" applyNumberFormat="1" applyFont="1" applyFill="1" applyBorder="1" applyAlignment="1">
      <alignment horizontal="center" vertical="center" wrapText="1"/>
    </xf>
    <xf numFmtId="0" fontId="15" fillId="9" borderId="19" xfId="0" applyFont="1" applyFill="1" applyBorder="1" applyAlignment="1">
      <alignment horizontal="center" vertical="center" wrapText="1"/>
    </xf>
    <xf numFmtId="168" fontId="1" fillId="10" borderId="18" xfId="0" applyNumberFormat="1" applyFont="1" applyFill="1" applyBorder="1" applyAlignment="1">
      <alignment horizontal="center" vertical="center" wrapText="1"/>
    </xf>
    <xf numFmtId="0" fontId="14" fillId="9" borderId="20" xfId="0" applyFont="1" applyFill="1" applyBorder="1" applyAlignment="1">
      <alignment vertical="center" wrapText="1"/>
    </xf>
    <xf numFmtId="0" fontId="14" fillId="9" borderId="18" xfId="0" applyFont="1" applyFill="1" applyBorder="1" applyAlignment="1">
      <alignment vertical="center" wrapText="1"/>
    </xf>
    <xf numFmtId="0" fontId="14" fillId="9" borderId="1" xfId="0" applyFont="1" applyFill="1" applyBorder="1" applyAlignment="1">
      <alignment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vertical="center" wrapText="1"/>
    </xf>
    <xf numFmtId="0" fontId="14" fillId="9" borderId="19" xfId="0" applyFont="1" applyFill="1" applyBorder="1" applyAlignment="1">
      <alignment vertical="center" wrapText="1"/>
    </xf>
    <xf numFmtId="0" fontId="14" fillId="9" borderId="3" xfId="0" applyFont="1" applyFill="1" applyBorder="1" applyAlignment="1">
      <alignment vertical="center" wrapText="1"/>
    </xf>
    <xf numFmtId="0" fontId="14" fillId="9" borderId="1" xfId="0" applyFont="1" applyFill="1" applyBorder="1" applyAlignment="1">
      <alignment vertical="center" wrapText="1"/>
    </xf>
    <xf numFmtId="168" fontId="1" fillId="0" borderId="18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9" fontId="1" fillId="2" borderId="19" xfId="0" applyNumberFormat="1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4" borderId="18" xfId="0" applyFont="1" applyFill="1" applyBorder="1" applyAlignment="1">
      <alignment vertical="center"/>
    </xf>
    <xf numFmtId="168" fontId="14" fillId="0" borderId="3" xfId="0" applyNumberFormat="1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3" xfId="0" applyFont="1" applyBorder="1" applyAlignment="1">
      <alignment horizontal="left" vertical="center" wrapText="1"/>
    </xf>
    <xf numFmtId="168" fontId="17" fillId="0" borderId="18" xfId="0" applyNumberFormat="1" applyFont="1" applyBorder="1" applyAlignment="1">
      <alignment horizontal="center" vertical="center"/>
    </xf>
    <xf numFmtId="168" fontId="15" fillId="0" borderId="20" xfId="0" applyNumberFormat="1" applyFont="1" applyBorder="1" applyAlignment="1">
      <alignment vertical="center"/>
    </xf>
    <xf numFmtId="1" fontId="1" fillId="2" borderId="3" xfId="0" applyNumberFormat="1" applyFont="1" applyFill="1" applyBorder="1" applyAlignment="1">
      <alignment horizontal="center" wrapText="1"/>
    </xf>
    <xf numFmtId="168" fontId="14" fillId="0" borderId="20" xfId="0" applyNumberFormat="1" applyFont="1" applyBorder="1" applyAlignment="1">
      <alignment horizontal="center" vertical="center"/>
    </xf>
    <xf numFmtId="168" fontId="14" fillId="0" borderId="18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vertical="center"/>
    </xf>
    <xf numFmtId="2" fontId="1" fillId="10" borderId="18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/>
    </xf>
    <xf numFmtId="0" fontId="15" fillId="0" borderId="20" xfId="0" applyFont="1" applyBorder="1" applyAlignment="1">
      <alignment horizontal="center" vertical="center"/>
    </xf>
    <xf numFmtId="1" fontId="1" fillId="4" borderId="18" xfId="0" applyNumberFormat="1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9" fontId="1" fillId="9" borderId="18" xfId="0" applyNumberFormat="1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vertical="center"/>
    </xf>
    <xf numFmtId="0" fontId="15" fillId="9" borderId="9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18" xfId="0" applyFont="1" applyFill="1" applyBorder="1" applyAlignment="1">
      <alignment vertical="center"/>
    </xf>
    <xf numFmtId="0" fontId="14" fillId="9" borderId="1" xfId="0" applyFont="1" applyFill="1" applyBorder="1" applyAlignment="1">
      <alignment vertical="center"/>
    </xf>
    <xf numFmtId="0" fontId="14" fillId="9" borderId="18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vertical="center"/>
    </xf>
    <xf numFmtId="0" fontId="14" fillId="9" borderId="19" xfId="0" applyFont="1" applyFill="1" applyBorder="1" applyAlignment="1">
      <alignment vertical="center"/>
    </xf>
    <xf numFmtId="0" fontId="14" fillId="9" borderId="3" xfId="0" applyFont="1" applyFill="1" applyBorder="1" applyAlignment="1">
      <alignment vertical="center"/>
    </xf>
    <xf numFmtId="0" fontId="14" fillId="9" borderId="1" xfId="0" applyFont="1" applyFill="1" applyBorder="1" applyAlignment="1">
      <alignment vertical="center"/>
    </xf>
    <xf numFmtId="9" fontId="1" fillId="2" borderId="18" xfId="0" applyNumberFormat="1" applyFont="1" applyFill="1" applyBorder="1" applyAlignment="1">
      <alignment horizontal="center"/>
    </xf>
    <xf numFmtId="168" fontId="2" fillId="0" borderId="18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1" fillId="9" borderId="18" xfId="0" applyFont="1" applyFill="1" applyBorder="1" applyAlignment="1">
      <alignment vertical="center" wrapText="1"/>
    </xf>
    <xf numFmtId="168" fontId="1" fillId="9" borderId="18" xfId="0" applyNumberFormat="1" applyFont="1" applyFill="1" applyBorder="1" applyAlignment="1">
      <alignment vertical="top"/>
    </xf>
    <xf numFmtId="0" fontId="1" fillId="9" borderId="18" xfId="0" applyFont="1" applyFill="1" applyBorder="1" applyAlignment="1">
      <alignment horizontal="center" vertical="center" wrapText="1"/>
    </xf>
    <xf numFmtId="9" fontId="1" fillId="9" borderId="18" xfId="0" applyNumberFormat="1" applyFont="1" applyFill="1" applyBorder="1" applyAlignment="1">
      <alignment horizontal="center" vertical="center" wrapText="1"/>
    </xf>
    <xf numFmtId="9" fontId="1" fillId="9" borderId="2" xfId="0" applyNumberFormat="1" applyFont="1" applyFill="1" applyBorder="1" applyAlignment="1">
      <alignment horizontal="center" wrapText="1"/>
    </xf>
    <xf numFmtId="9" fontId="1" fillId="9" borderId="18" xfId="0" applyNumberFormat="1" applyFont="1" applyFill="1" applyBorder="1" applyAlignment="1">
      <alignment horizontal="center" wrapText="1"/>
    </xf>
    <xf numFmtId="9" fontId="1" fillId="9" borderId="9" xfId="0" applyNumberFormat="1" applyFont="1" applyFill="1" applyBorder="1" applyAlignment="1">
      <alignment horizontal="center" wrapText="1"/>
    </xf>
    <xf numFmtId="9" fontId="1" fillId="9" borderId="3" xfId="0" applyNumberFormat="1" applyFont="1" applyFill="1" applyBorder="1" applyAlignment="1">
      <alignment horizontal="center" wrapText="1"/>
    </xf>
    <xf numFmtId="9" fontId="1" fillId="9" borderId="19" xfId="0" applyNumberFormat="1" applyFont="1" applyFill="1" applyBorder="1" applyAlignment="1">
      <alignment horizontal="center" wrapText="1"/>
    </xf>
    <xf numFmtId="9" fontId="1" fillId="9" borderId="3" xfId="0" applyNumberFormat="1" applyFont="1" applyFill="1" applyBorder="1" applyAlignment="1">
      <alignment horizontal="center" vertical="center" wrapText="1"/>
    </xf>
    <xf numFmtId="9" fontId="1" fillId="9" borderId="19" xfId="0" applyNumberFormat="1" applyFont="1" applyFill="1" applyBorder="1" applyAlignment="1">
      <alignment horizontal="center" vertical="center" wrapText="1"/>
    </xf>
    <xf numFmtId="9" fontId="1" fillId="9" borderId="22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168" fontId="1" fillId="0" borderId="18" xfId="0" applyNumberFormat="1" applyFont="1" applyBorder="1" applyAlignment="1">
      <alignment vertical="top"/>
    </xf>
    <xf numFmtId="3" fontId="1" fillId="0" borderId="18" xfId="0" applyNumberFormat="1" applyFont="1" applyBorder="1" applyAlignment="1">
      <alignment horizontal="center" vertical="center"/>
    </xf>
    <xf numFmtId="169" fontId="1" fillId="0" borderId="3" xfId="0" applyNumberFormat="1" applyFont="1" applyBorder="1" applyAlignment="1">
      <alignment horizontal="center" vertical="center"/>
    </xf>
    <xf numFmtId="169" fontId="1" fillId="0" borderId="9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169" fontId="1" fillId="0" borderId="18" xfId="0" applyNumberFormat="1" applyFont="1" applyBorder="1" applyAlignment="1">
      <alignment horizontal="center" vertical="center"/>
    </xf>
    <xf numFmtId="10" fontId="1" fillId="0" borderId="19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4" fillId="10" borderId="18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0" fontId="13" fillId="9" borderId="18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2" fontId="1" fillId="4" borderId="18" xfId="0" applyNumberFormat="1" applyFont="1" applyFill="1" applyBorder="1" applyAlignment="1">
      <alignment horizontal="center" vertical="center" wrapText="1"/>
    </xf>
    <xf numFmtId="168" fontId="11" fillId="9" borderId="18" xfId="0" applyNumberFormat="1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center" vertical="center"/>
    </xf>
    <xf numFmtId="0" fontId="1" fillId="9" borderId="18" xfId="0" applyFont="1" applyFill="1" applyBorder="1" applyAlignment="1">
      <alignment horizontal="left" vertical="center" wrapText="1"/>
    </xf>
    <xf numFmtId="0" fontId="1" fillId="9" borderId="19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vertical="center"/>
    </xf>
    <xf numFmtId="0" fontId="6" fillId="9" borderId="18" xfId="0" applyFont="1" applyFill="1" applyBorder="1" applyAlignment="1">
      <alignment vertical="center"/>
    </xf>
    <xf numFmtId="0" fontId="6" fillId="9" borderId="9" xfId="0" applyFont="1" applyFill="1" applyBorder="1" applyAlignment="1">
      <alignment vertical="center"/>
    </xf>
    <xf numFmtId="0" fontId="6" fillId="9" borderId="3" xfId="0" applyFont="1" applyFill="1" applyBorder="1" applyAlignment="1">
      <alignment vertical="center"/>
    </xf>
    <xf numFmtId="0" fontId="6" fillId="9" borderId="1" xfId="0" applyFont="1" applyFill="1" applyBorder="1" applyAlignment="1">
      <alignment vertical="center"/>
    </xf>
    <xf numFmtId="0" fontId="6" fillId="9" borderId="20" xfId="0" applyFont="1" applyFill="1" applyBorder="1" applyAlignment="1">
      <alignment vertical="center"/>
    </xf>
    <xf numFmtId="0" fontId="6" fillId="9" borderId="19" xfId="0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vertical="center"/>
    </xf>
    <xf numFmtId="0" fontId="1" fillId="9" borderId="18" xfId="0" applyFont="1" applyFill="1" applyBorder="1" applyAlignment="1">
      <alignment vertical="center"/>
    </xf>
    <xf numFmtId="2" fontId="1" fillId="0" borderId="18" xfId="0" applyNumberFormat="1" applyFont="1" applyBorder="1" applyAlignment="1">
      <alignment horizontal="center" vertical="center" wrapText="1"/>
    </xf>
    <xf numFmtId="1" fontId="1" fillId="10" borderId="18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/>
    </xf>
    <xf numFmtId="0" fontId="1" fillId="9" borderId="3" xfId="0" applyFont="1" applyFill="1" applyBorder="1" applyAlignment="1">
      <alignment vertical="center"/>
    </xf>
    <xf numFmtId="0" fontId="1" fillId="9" borderId="19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vertical="center"/>
    </xf>
    <xf numFmtId="1" fontId="1" fillId="0" borderId="18" xfId="0" applyNumberFormat="1" applyFont="1" applyBorder="1" applyAlignment="1">
      <alignment horizontal="center" vertical="center"/>
    </xf>
    <xf numFmtId="10" fontId="1" fillId="0" borderId="18" xfId="0" applyNumberFormat="1" applyFont="1" applyBorder="1" applyAlignment="1">
      <alignment horizontal="center" vertical="center"/>
    </xf>
    <xf numFmtId="170" fontId="1" fillId="0" borderId="18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18" fillId="0" borderId="18" xfId="0" applyFont="1" applyBorder="1"/>
    <xf numFmtId="0" fontId="11" fillId="8" borderId="1" xfId="0" applyFont="1" applyFill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168" fontId="1" fillId="0" borderId="18" xfId="0" applyNumberFormat="1" applyFont="1" applyBorder="1" applyAlignment="1">
      <alignment horizontal="center" vertical="center" wrapText="1"/>
    </xf>
    <xf numFmtId="1" fontId="1" fillId="0" borderId="19" xfId="0" applyNumberFormat="1" applyFont="1" applyBorder="1" applyAlignment="1">
      <alignment horizontal="center" vertical="center" wrapText="1"/>
    </xf>
    <xf numFmtId="2" fontId="1" fillId="10" borderId="20" xfId="0" applyNumberFormat="1" applyFont="1" applyFill="1" applyBorder="1" applyAlignment="1">
      <alignment horizontal="center" vertical="center" wrapText="1"/>
    </xf>
    <xf numFmtId="168" fontId="1" fillId="4" borderId="18" xfId="0" applyNumberFormat="1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 wrapText="1"/>
    </xf>
    <xf numFmtId="2" fontId="1" fillId="9" borderId="3" xfId="0" applyNumberFormat="1" applyFont="1" applyFill="1" applyBorder="1" applyAlignment="1">
      <alignment horizontal="center" wrapText="1"/>
    </xf>
    <xf numFmtId="2" fontId="1" fillId="9" borderId="18" xfId="0" applyNumberFormat="1" applyFont="1" applyFill="1" applyBorder="1" applyAlignment="1">
      <alignment horizontal="center" vertical="center" wrapText="1"/>
    </xf>
    <xf numFmtId="168" fontId="1" fillId="0" borderId="18" xfId="0" applyNumberFormat="1" applyFont="1" applyBorder="1" applyAlignment="1">
      <alignment horizontal="center" vertical="center" wrapText="1"/>
    </xf>
    <xf numFmtId="2" fontId="1" fillId="9" borderId="19" xfId="0" applyNumberFormat="1" applyFont="1" applyFill="1" applyBorder="1" applyAlignment="1">
      <alignment horizontal="center" vertical="center" wrapText="1"/>
    </xf>
    <xf numFmtId="168" fontId="1" fillId="0" borderId="19" xfId="0" applyNumberFormat="1" applyFont="1" applyBorder="1" applyAlignment="1">
      <alignment horizontal="center" vertical="center" wrapText="1"/>
    </xf>
    <xf numFmtId="2" fontId="1" fillId="9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2" fontId="1" fillId="9" borderId="20" xfId="0" applyNumberFormat="1" applyFont="1" applyFill="1" applyBorder="1" applyAlignment="1">
      <alignment horizontal="center" wrapText="1"/>
    </xf>
    <xf numFmtId="2" fontId="1" fillId="9" borderId="3" xfId="0" applyNumberFormat="1" applyFont="1" applyFill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wrapText="1"/>
    </xf>
    <xf numFmtId="2" fontId="1" fillId="9" borderId="20" xfId="0" applyNumberFormat="1" applyFont="1" applyFill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wrapText="1"/>
    </xf>
    <xf numFmtId="0" fontId="1" fillId="9" borderId="3" xfId="0" applyFont="1" applyFill="1" applyBorder="1" applyAlignment="1">
      <alignment vertical="center"/>
    </xf>
    <xf numFmtId="1" fontId="1" fillId="0" borderId="2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8" fontId="1" fillId="0" borderId="20" xfId="0" applyNumberFormat="1" applyFont="1" applyBorder="1" applyAlignment="1">
      <alignment horizontal="center" vertical="center" wrapText="1"/>
    </xf>
    <xf numFmtId="1" fontId="1" fillId="4" borderId="18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wrapText="1"/>
    </xf>
    <xf numFmtId="168" fontId="1" fillId="0" borderId="20" xfId="0" applyNumberFormat="1" applyFont="1" applyBorder="1" applyAlignment="1">
      <alignment horizontal="center" wrapText="1"/>
    </xf>
    <xf numFmtId="168" fontId="1" fillId="0" borderId="3" xfId="0" applyNumberFormat="1" applyFont="1" applyBorder="1" applyAlignment="1">
      <alignment horizontal="center" wrapText="1"/>
    </xf>
    <xf numFmtId="168" fontId="1" fillId="0" borderId="3" xfId="0" applyNumberFormat="1" applyFont="1" applyBorder="1" applyAlignment="1">
      <alignment horizontal="center" vertical="center" wrapText="1"/>
    </xf>
    <xf numFmtId="169" fontId="1" fillId="0" borderId="18" xfId="0" applyNumberFormat="1" applyFont="1" applyBorder="1" applyAlignment="1">
      <alignment horizontal="center" vertical="center"/>
    </xf>
    <xf numFmtId="171" fontId="1" fillId="4" borderId="18" xfId="0" applyNumberFormat="1" applyFont="1" applyFill="1" applyBorder="1" applyAlignment="1">
      <alignment horizontal="center" vertical="center" wrapText="1"/>
    </xf>
    <xf numFmtId="171" fontId="1" fillId="0" borderId="18" xfId="0" applyNumberFormat="1" applyFont="1" applyBorder="1" applyAlignment="1">
      <alignment horizontal="center" vertical="center" wrapText="1"/>
    </xf>
    <xf numFmtId="171" fontId="1" fillId="0" borderId="19" xfId="0" applyNumberFormat="1" applyFont="1" applyBorder="1" applyAlignment="1">
      <alignment horizontal="center" vertical="center" wrapText="1"/>
    </xf>
    <xf numFmtId="171" fontId="1" fillId="0" borderId="1" xfId="0" applyNumberFormat="1" applyFont="1" applyBorder="1" applyAlignment="1">
      <alignment horizontal="center" vertical="center" wrapText="1"/>
    </xf>
    <xf numFmtId="168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168" fontId="1" fillId="9" borderId="3" xfId="0" applyNumberFormat="1" applyFont="1" applyFill="1" applyBorder="1" applyAlignment="1">
      <alignment horizontal="center" wrapText="1"/>
    </xf>
    <xf numFmtId="1" fontId="1" fillId="9" borderId="18" xfId="0" applyNumberFormat="1" applyFont="1" applyFill="1" applyBorder="1" applyAlignment="1">
      <alignment horizontal="center" vertical="center" wrapText="1"/>
    </xf>
    <xf numFmtId="1" fontId="1" fillId="9" borderId="19" xfId="0" applyNumberFormat="1" applyFont="1" applyFill="1" applyBorder="1" applyAlignment="1">
      <alignment horizontal="center" vertical="center" wrapText="1"/>
    </xf>
    <xf numFmtId="1" fontId="1" fillId="9" borderId="1" xfId="0" applyNumberFormat="1" applyFont="1" applyFill="1" applyBorder="1" applyAlignment="1">
      <alignment horizontal="center" vertical="center" wrapText="1"/>
    </xf>
    <xf numFmtId="168" fontId="1" fillId="9" borderId="20" xfId="0" applyNumberFormat="1" applyFont="1" applyFill="1" applyBorder="1" applyAlignment="1">
      <alignment horizontal="center" wrapText="1"/>
    </xf>
    <xf numFmtId="168" fontId="1" fillId="9" borderId="19" xfId="0" applyNumberFormat="1" applyFont="1" applyFill="1" applyBorder="1" applyAlignment="1">
      <alignment horizontal="center" vertical="center" wrapText="1"/>
    </xf>
    <xf numFmtId="168" fontId="1" fillId="9" borderId="3" xfId="0" applyNumberFormat="1" applyFont="1" applyFill="1" applyBorder="1" applyAlignment="1">
      <alignment horizontal="center" vertical="center" wrapText="1"/>
    </xf>
    <xf numFmtId="168" fontId="1" fillId="9" borderId="1" xfId="0" applyNumberFormat="1" applyFont="1" applyFill="1" applyBorder="1" applyAlignment="1">
      <alignment horizontal="center" vertical="center" wrapText="1"/>
    </xf>
    <xf numFmtId="168" fontId="1" fillId="9" borderId="2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8" fontId="1" fillId="0" borderId="20" xfId="0" applyNumberFormat="1" applyFont="1" applyBorder="1" applyAlignment="1">
      <alignment horizontal="center" wrapText="1"/>
    </xf>
    <xf numFmtId="168" fontId="1" fillId="0" borderId="18" xfId="0" applyNumberFormat="1" applyFont="1" applyBorder="1" applyAlignment="1">
      <alignment horizontal="center" wrapText="1"/>
    </xf>
    <xf numFmtId="1" fontId="1" fillId="9" borderId="20" xfId="0" applyNumberFormat="1" applyFont="1" applyFill="1" applyBorder="1" applyAlignment="1">
      <alignment horizontal="center" vertical="center" wrapText="1"/>
    </xf>
    <xf numFmtId="168" fontId="1" fillId="10" borderId="18" xfId="0" applyNumberFormat="1" applyFont="1" applyFill="1" applyBorder="1" applyAlignment="1">
      <alignment horizontal="center" wrapText="1"/>
    </xf>
    <xf numFmtId="1" fontId="1" fillId="9" borderId="3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168" fontId="1" fillId="0" borderId="19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1" fontId="1" fillId="3" borderId="18" xfId="0" applyNumberFormat="1" applyFont="1" applyFill="1" applyBorder="1" applyAlignment="1">
      <alignment horizontal="center" vertical="center" wrapText="1"/>
    </xf>
    <xf numFmtId="1" fontId="1" fillId="9" borderId="3" xfId="0" applyNumberFormat="1" applyFont="1" applyFill="1" applyBorder="1" applyAlignment="1">
      <alignment horizontal="center" wrapText="1"/>
    </xf>
    <xf numFmtId="0" fontId="14" fillId="0" borderId="18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4" fontId="14" fillId="0" borderId="20" xfId="0" applyNumberFormat="1" applyFont="1" applyBorder="1" applyAlignment="1">
      <alignment vertical="center"/>
    </xf>
    <xf numFmtId="4" fontId="14" fillId="0" borderId="18" xfId="0" applyNumberFormat="1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2" fontId="6" fillId="0" borderId="19" xfId="0" applyNumberFormat="1" applyFont="1" applyBorder="1" applyAlignment="1">
      <alignment vertical="center" wrapText="1"/>
    </xf>
    <xf numFmtId="0" fontId="14" fillId="4" borderId="18" xfId="0" applyFont="1" applyFill="1" applyBorder="1" applyAlignment="1">
      <alignment vertical="center"/>
    </xf>
    <xf numFmtId="2" fontId="6" fillId="0" borderId="18" xfId="0" applyNumberFormat="1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/>
    </xf>
    <xf numFmtId="2" fontId="6" fillId="0" borderId="18" xfId="0" applyNumberFormat="1" applyFont="1" applyBorder="1" applyAlignment="1">
      <alignment vertical="center" wrapText="1"/>
    </xf>
    <xf numFmtId="0" fontId="14" fillId="4" borderId="18" xfId="0" applyFont="1" applyFill="1" applyBorder="1" applyAlignment="1">
      <alignment horizontal="center" vertical="center"/>
    </xf>
    <xf numFmtId="0" fontId="14" fillId="10" borderId="18" xfId="0" applyFont="1" applyFill="1" applyBorder="1" applyAlignment="1">
      <alignment vertical="center"/>
    </xf>
    <xf numFmtId="0" fontId="14" fillId="0" borderId="16" xfId="0" applyFont="1" applyBorder="1" applyAlignment="1">
      <alignment vertical="center"/>
    </xf>
    <xf numFmtId="168" fontId="1" fillId="9" borderId="18" xfId="0" applyNumberFormat="1" applyFont="1" applyFill="1" applyBorder="1" applyAlignment="1">
      <alignment vertical="center"/>
    </xf>
    <xf numFmtId="3" fontId="1" fillId="9" borderId="3" xfId="0" applyNumberFormat="1" applyFont="1" applyFill="1" applyBorder="1" applyAlignment="1">
      <alignment horizontal="center" vertical="center"/>
    </xf>
    <xf numFmtId="3" fontId="1" fillId="9" borderId="18" xfId="0" applyNumberFormat="1" applyFont="1" applyFill="1" applyBorder="1" applyAlignment="1">
      <alignment horizontal="center" vertical="center"/>
    </xf>
    <xf numFmtId="3" fontId="1" fillId="9" borderId="19" xfId="0" applyNumberFormat="1" applyFont="1" applyFill="1" applyBorder="1" applyAlignment="1">
      <alignment horizontal="center" vertical="center"/>
    </xf>
    <xf numFmtId="3" fontId="1" fillId="9" borderId="1" xfId="0" applyNumberFormat="1" applyFont="1" applyFill="1" applyBorder="1" applyAlignment="1">
      <alignment horizontal="center" vertical="center"/>
    </xf>
    <xf numFmtId="168" fontId="1" fillId="9" borderId="20" xfId="0" applyNumberFormat="1" applyFont="1" applyFill="1" applyBorder="1" applyAlignment="1">
      <alignment horizontal="center" vertical="center"/>
    </xf>
    <xf numFmtId="168" fontId="1" fillId="9" borderId="19" xfId="0" applyNumberFormat="1" applyFont="1" applyFill="1" applyBorder="1" applyAlignment="1">
      <alignment horizontal="center" vertical="center"/>
    </xf>
    <xf numFmtId="168" fontId="1" fillId="9" borderId="3" xfId="0" applyNumberFormat="1" applyFont="1" applyFill="1" applyBorder="1" applyAlignment="1">
      <alignment horizontal="center" vertical="center"/>
    </xf>
    <xf numFmtId="3" fontId="1" fillId="9" borderId="20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3" fontId="1" fillId="0" borderId="20" xfId="0" applyNumberFormat="1" applyFont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/>
    </xf>
    <xf numFmtId="168" fontId="1" fillId="0" borderId="18" xfId="0" applyNumberFormat="1" applyFont="1" applyBorder="1" applyAlignment="1">
      <alignment vertical="center"/>
    </xf>
    <xf numFmtId="9" fontId="1" fillId="0" borderId="19" xfId="0" applyNumberFormat="1" applyFont="1" applyBorder="1" applyAlignment="1">
      <alignment horizontal="center" vertical="center" wrapText="1"/>
    </xf>
    <xf numFmtId="9" fontId="6" fillId="0" borderId="19" xfId="0" applyNumberFormat="1" applyFont="1" applyBorder="1" applyAlignment="1">
      <alignment horizontal="center" vertical="center" wrapText="1"/>
    </xf>
    <xf numFmtId="10" fontId="6" fillId="2" borderId="18" xfId="0" applyNumberFormat="1" applyFont="1" applyFill="1" applyBorder="1" applyAlignment="1">
      <alignment horizontal="center"/>
    </xf>
    <xf numFmtId="9" fontId="1" fillId="0" borderId="3" xfId="0" applyNumberFormat="1" applyFont="1" applyBorder="1" applyAlignment="1">
      <alignment horizontal="center" vertical="center" wrapText="1"/>
    </xf>
    <xf numFmtId="2" fontId="1" fillId="10" borderId="3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168" fontId="1" fillId="0" borderId="19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vertical="center" wrapText="1"/>
    </xf>
    <xf numFmtId="168" fontId="1" fillId="0" borderId="3" xfId="0" applyNumberFormat="1" applyFont="1" applyBorder="1" applyAlignment="1">
      <alignment horizontal="center" vertical="center"/>
    </xf>
    <xf numFmtId="10" fontId="6" fillId="2" borderId="18" xfId="0" applyNumberFormat="1" applyFont="1" applyFill="1" applyBorder="1"/>
    <xf numFmtId="0" fontId="1" fillId="0" borderId="18" xfId="0" applyFont="1" applyBorder="1" applyAlignment="1">
      <alignment wrapText="1"/>
    </xf>
    <xf numFmtId="9" fontId="1" fillId="9" borderId="3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168" fontId="1" fillId="0" borderId="20" xfId="0" applyNumberFormat="1" applyFont="1" applyBorder="1" applyAlignment="1">
      <alignment horizontal="center" vertical="center"/>
    </xf>
    <xf numFmtId="168" fontId="1" fillId="10" borderId="20" xfId="0" applyNumberFormat="1" applyFont="1" applyFill="1" applyBorder="1" applyAlignment="1">
      <alignment horizontal="center" vertical="center"/>
    </xf>
    <xf numFmtId="168" fontId="1" fillId="3" borderId="20" xfId="0" applyNumberFormat="1" applyFont="1" applyFill="1" applyBorder="1" applyAlignment="1">
      <alignment horizontal="center" vertical="center"/>
    </xf>
    <xf numFmtId="168" fontId="1" fillId="10" borderId="20" xfId="0" applyNumberFormat="1" applyFont="1" applyFill="1" applyBorder="1" applyAlignment="1">
      <alignment horizontal="center" vertical="center" wrapText="1"/>
    </xf>
    <xf numFmtId="1" fontId="1" fillId="3" borderId="20" xfId="0" applyNumberFormat="1" applyFont="1" applyFill="1" applyBorder="1" applyAlignment="1">
      <alignment horizontal="center" vertical="center" wrapText="1"/>
    </xf>
    <xf numFmtId="168" fontId="1" fillId="9" borderId="1" xfId="0" applyNumberFormat="1" applyFont="1" applyFill="1" applyBorder="1" applyAlignment="1">
      <alignment horizontal="center" vertical="center"/>
    </xf>
    <xf numFmtId="168" fontId="1" fillId="3" borderId="18" xfId="0" applyNumberFormat="1" applyFont="1" applyFill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0" fontId="6" fillId="2" borderId="18" xfId="0" applyNumberFormat="1" applyFont="1" applyFill="1" applyBorder="1" applyAlignment="1">
      <alignment horizontal="center"/>
    </xf>
    <xf numFmtId="2" fontId="6" fillId="0" borderId="18" xfId="0" applyNumberFormat="1" applyFont="1" applyBorder="1" applyAlignment="1">
      <alignment horizontal="center" vertical="center" wrapText="1"/>
    </xf>
    <xf numFmtId="168" fontId="1" fillId="2" borderId="20" xfId="0" applyNumberFormat="1" applyFont="1" applyFill="1" applyBorder="1" applyAlignment="1">
      <alignment horizontal="center" vertical="center" wrapText="1"/>
    </xf>
    <xf numFmtId="10" fontId="1" fillId="0" borderId="19" xfId="0" applyNumberFormat="1" applyFont="1" applyBorder="1" applyAlignment="1">
      <alignment horizontal="center" vertical="center"/>
    </xf>
    <xf numFmtId="168" fontId="1" fillId="3" borderId="18" xfId="0" applyNumberFormat="1" applyFont="1" applyFill="1" applyBorder="1" applyAlignment="1">
      <alignment horizontal="center" vertical="center" wrapText="1"/>
    </xf>
    <xf numFmtId="9" fontId="1" fillId="9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2" fontId="6" fillId="10" borderId="18" xfId="0" applyNumberFormat="1" applyFont="1" applyFill="1" applyBorder="1" applyAlignment="1">
      <alignment vertical="center" wrapText="1"/>
    </xf>
    <xf numFmtId="1" fontId="1" fillId="10" borderId="20" xfId="0" applyNumberFormat="1" applyFont="1" applyFill="1" applyBorder="1" applyAlignment="1">
      <alignment horizontal="center" vertical="center" wrapText="1"/>
    </xf>
    <xf numFmtId="9" fontId="6" fillId="0" borderId="18" xfId="0" applyNumberFormat="1" applyFont="1" applyBorder="1" applyAlignment="1">
      <alignment vertical="center" wrapText="1"/>
    </xf>
    <xf numFmtId="168" fontId="1" fillId="0" borderId="26" xfId="0" applyNumberFormat="1" applyFont="1" applyBorder="1" applyAlignment="1">
      <alignment horizontal="center" vertical="center" wrapText="1"/>
    </xf>
    <xf numFmtId="168" fontId="1" fillId="0" borderId="27" xfId="0" applyNumberFormat="1" applyFont="1" applyBorder="1" applyAlignment="1">
      <alignment horizontal="center" vertical="center" wrapText="1"/>
    </xf>
    <xf numFmtId="10" fontId="6" fillId="2" borderId="0" xfId="0" applyNumberFormat="1" applyFont="1" applyFill="1" applyAlignment="1">
      <alignment horizontal="center"/>
    </xf>
    <xf numFmtId="1" fontId="1" fillId="0" borderId="20" xfId="0" applyNumberFormat="1" applyFont="1" applyBorder="1" applyAlignment="1">
      <alignment horizontal="center" vertical="center"/>
    </xf>
    <xf numFmtId="1" fontId="1" fillId="10" borderId="20" xfId="0" applyNumberFormat="1" applyFont="1" applyFill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 wrapText="1"/>
    </xf>
    <xf numFmtId="168" fontId="1" fillId="0" borderId="20" xfId="0" applyNumberFormat="1" applyFont="1" applyBorder="1" applyAlignment="1">
      <alignment horizontal="center" vertical="center"/>
    </xf>
    <xf numFmtId="10" fontId="2" fillId="9" borderId="18" xfId="0" applyNumberFormat="1" applyFont="1" applyFill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 wrapText="1"/>
    </xf>
    <xf numFmtId="1" fontId="1" fillId="0" borderId="19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wrapText="1"/>
    </xf>
    <xf numFmtId="9" fontId="1" fillId="0" borderId="18" xfId="0" applyNumberFormat="1" applyFont="1" applyBorder="1" applyAlignment="1">
      <alignment horizontal="center" wrapText="1"/>
    </xf>
    <xf numFmtId="9" fontId="1" fillId="0" borderId="19" xfId="0" applyNumberFormat="1" applyFont="1" applyBorder="1" applyAlignment="1">
      <alignment horizontal="center" wrapText="1"/>
    </xf>
    <xf numFmtId="9" fontId="1" fillId="0" borderId="1" xfId="0" applyNumberFormat="1" applyFont="1" applyBorder="1" applyAlignment="1">
      <alignment horizontal="center" wrapText="1"/>
    </xf>
    <xf numFmtId="9" fontId="1" fillId="0" borderId="20" xfId="0" applyNumberFormat="1" applyFont="1" applyBorder="1" applyAlignment="1">
      <alignment horizontal="center" wrapText="1"/>
    </xf>
    <xf numFmtId="9" fontId="1" fillId="0" borderId="3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20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/>
    </xf>
    <xf numFmtId="168" fontId="1" fillId="0" borderId="19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169" fontId="1" fillId="0" borderId="20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169" fontId="1" fillId="10" borderId="18" xfId="0" applyNumberFormat="1" applyFont="1" applyFill="1" applyBorder="1" applyAlignment="1">
      <alignment horizontal="center" vertical="center"/>
    </xf>
    <xf numFmtId="169" fontId="1" fillId="10" borderId="20" xfId="0" applyNumberFormat="1" applyFont="1" applyFill="1" applyBorder="1" applyAlignment="1">
      <alignment horizontal="center" vertical="center"/>
    </xf>
    <xf numFmtId="169" fontId="1" fillId="0" borderId="3" xfId="0" applyNumberFormat="1" applyFont="1" applyBorder="1" applyAlignment="1">
      <alignment horizontal="center" vertical="center"/>
    </xf>
    <xf numFmtId="3" fontId="1" fillId="4" borderId="18" xfId="0" applyNumberFormat="1" applyFont="1" applyFill="1" applyBorder="1" applyAlignment="1">
      <alignment horizontal="center" vertical="center"/>
    </xf>
    <xf numFmtId="168" fontId="1" fillId="0" borderId="19" xfId="0" applyNumberFormat="1" applyFont="1" applyBorder="1" applyAlignment="1">
      <alignment horizontal="center" wrapText="1"/>
    </xf>
    <xf numFmtId="168" fontId="1" fillId="0" borderId="3" xfId="0" applyNumberFormat="1" applyFont="1" applyBorder="1" applyAlignment="1">
      <alignment horizontal="center" wrapText="1"/>
    </xf>
    <xf numFmtId="168" fontId="1" fillId="0" borderId="1" xfId="0" applyNumberFormat="1" applyFont="1" applyBorder="1" applyAlignment="1">
      <alignment horizontal="center" wrapText="1"/>
    </xf>
    <xf numFmtId="0" fontId="1" fillId="10" borderId="18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168" fontId="1" fillId="9" borderId="2" xfId="0" applyNumberFormat="1" applyFont="1" applyFill="1" applyBorder="1" applyAlignment="1">
      <alignment horizontal="center" vertical="center" wrapText="1"/>
    </xf>
    <xf numFmtId="168" fontId="1" fillId="9" borderId="18" xfId="0" applyNumberFormat="1" applyFont="1" applyFill="1" applyBorder="1" applyAlignment="1">
      <alignment wrapText="1"/>
    </xf>
    <xf numFmtId="168" fontId="1" fillId="9" borderId="19" xfId="0" applyNumberFormat="1" applyFont="1" applyFill="1" applyBorder="1" applyAlignment="1">
      <alignment wrapText="1"/>
    </xf>
    <xf numFmtId="168" fontId="1" fillId="9" borderId="20" xfId="0" applyNumberFormat="1" applyFont="1" applyFill="1" applyBorder="1" applyAlignment="1">
      <alignment wrapText="1"/>
    </xf>
    <xf numFmtId="168" fontId="1" fillId="9" borderId="19" xfId="0" applyNumberFormat="1" applyFont="1" applyFill="1" applyBorder="1" applyAlignment="1">
      <alignment wrapText="1"/>
    </xf>
    <xf numFmtId="168" fontId="1" fillId="9" borderId="1" xfId="0" applyNumberFormat="1" applyFont="1" applyFill="1" applyBorder="1" applyAlignment="1">
      <alignment wrapText="1"/>
    </xf>
    <xf numFmtId="168" fontId="1" fillId="9" borderId="3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8" fontId="1" fillId="0" borderId="3" xfId="0" applyNumberFormat="1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10" borderId="18" xfId="0" applyFont="1" applyFill="1" applyBorder="1" applyAlignment="1">
      <alignment wrapText="1"/>
    </xf>
    <xf numFmtId="168" fontId="16" fillId="9" borderId="18" xfId="0" applyNumberFormat="1" applyFont="1" applyFill="1" applyBorder="1" applyAlignment="1">
      <alignment horizontal="center" vertical="center"/>
    </xf>
    <xf numFmtId="168" fontId="6" fillId="9" borderId="3" xfId="0" applyNumberFormat="1" applyFont="1" applyFill="1" applyBorder="1" applyAlignment="1">
      <alignment horizontal="center" vertical="center" wrapText="1"/>
    </xf>
    <xf numFmtId="168" fontId="6" fillId="9" borderId="18" xfId="0" applyNumberFormat="1" applyFont="1" applyFill="1" applyBorder="1" applyAlignment="1">
      <alignment horizontal="center" vertical="center" wrapText="1"/>
    </xf>
    <xf numFmtId="168" fontId="6" fillId="9" borderId="19" xfId="0" applyNumberFormat="1" applyFont="1" applyFill="1" applyBorder="1" applyAlignment="1">
      <alignment horizontal="center" vertical="center" wrapText="1"/>
    </xf>
    <xf numFmtId="10" fontId="1" fillId="0" borderId="18" xfId="0" applyNumberFormat="1" applyFont="1" applyBorder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168" fontId="1" fillId="2" borderId="18" xfId="0" applyNumberFormat="1" applyFont="1" applyFill="1" applyBorder="1" applyAlignment="1">
      <alignment horizontal="center" vertical="center" wrapText="1"/>
    </xf>
    <xf numFmtId="168" fontId="1" fillId="2" borderId="3" xfId="0" applyNumberFormat="1" applyFont="1" applyFill="1" applyBorder="1" applyAlignment="1">
      <alignment horizontal="center" vertical="center" wrapText="1"/>
    </xf>
    <xf numFmtId="168" fontId="1" fillId="2" borderId="19" xfId="0" applyNumberFormat="1" applyFont="1" applyFill="1" applyBorder="1" applyAlignment="1">
      <alignment horizontal="center" vertical="center" wrapText="1"/>
    </xf>
    <xf numFmtId="168" fontId="6" fillId="0" borderId="3" xfId="0" applyNumberFormat="1" applyFont="1" applyBorder="1" applyAlignment="1">
      <alignment horizontal="center" vertical="center" wrapText="1"/>
    </xf>
    <xf numFmtId="168" fontId="6" fillId="0" borderId="18" xfId="0" applyNumberFormat="1" applyFont="1" applyBorder="1" applyAlignment="1">
      <alignment horizontal="center" vertical="center" wrapText="1"/>
    </xf>
    <xf numFmtId="168" fontId="6" fillId="0" borderId="19" xfId="0" applyNumberFormat="1" applyFont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 wrapText="1"/>
    </xf>
    <xf numFmtId="3" fontId="1" fillId="10" borderId="20" xfId="0" applyNumberFormat="1" applyFont="1" applyFill="1" applyBorder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168" fontId="6" fillId="0" borderId="3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10" borderId="18" xfId="0" applyNumberFormat="1" applyFont="1" applyFill="1" applyBorder="1" applyAlignment="1">
      <alignment horizontal="center" vertical="center" wrapText="1"/>
    </xf>
    <xf numFmtId="168" fontId="6" fillId="10" borderId="18" xfId="0" applyNumberFormat="1" applyFont="1" applyFill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0" fontId="11" fillId="9" borderId="18" xfId="0" applyNumberFormat="1" applyFont="1" applyFill="1" applyBorder="1" applyAlignment="1">
      <alignment horizontal="center" vertical="center"/>
    </xf>
    <xf numFmtId="168" fontId="1" fillId="2" borderId="18" xfId="0" applyNumberFormat="1" applyFont="1" applyFill="1" applyBorder="1" applyAlignment="1">
      <alignment horizontal="center" wrapText="1"/>
    </xf>
    <xf numFmtId="168" fontId="6" fillId="0" borderId="18" xfId="0" applyNumberFormat="1" applyFont="1" applyBorder="1" applyAlignment="1">
      <alignment horizontal="center" vertical="center" wrapText="1"/>
    </xf>
    <xf numFmtId="168" fontId="1" fillId="2" borderId="22" xfId="0" applyNumberFormat="1" applyFont="1" applyFill="1" applyBorder="1" applyAlignment="1">
      <alignment horizontal="center" vertical="center" wrapText="1"/>
    </xf>
    <xf numFmtId="164" fontId="17" fillId="0" borderId="18" xfId="0" applyNumberFormat="1" applyFont="1" applyBorder="1" applyAlignment="1">
      <alignment horizontal="center" vertical="center"/>
    </xf>
    <xf numFmtId="168" fontId="1" fillId="2" borderId="3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68" fontId="1" fillId="9" borderId="3" xfId="0" applyNumberFormat="1" applyFont="1" applyFill="1" applyBorder="1" applyAlignment="1">
      <alignment horizontal="center" vertical="center" wrapText="1"/>
    </xf>
    <xf numFmtId="0" fontId="18" fillId="0" borderId="0" xfId="0" applyFont="1"/>
    <xf numFmtId="168" fontId="19" fillId="2" borderId="3" xfId="0" applyNumberFormat="1" applyFont="1" applyFill="1" applyBorder="1" applyAlignment="1">
      <alignment horizontal="center" vertical="center" wrapText="1"/>
    </xf>
    <xf numFmtId="168" fontId="17" fillId="2" borderId="3" xfId="0" applyNumberFormat="1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vertical="center" wrapText="1"/>
    </xf>
    <xf numFmtId="1" fontId="1" fillId="0" borderId="18" xfId="0" applyNumberFormat="1" applyFont="1" applyBorder="1" applyAlignment="1">
      <alignment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1" fillId="12" borderId="0" xfId="0" applyFont="1" applyFill="1" applyAlignment="1">
      <alignment horizontal="center" vertical="center" wrapText="1"/>
    </xf>
    <xf numFmtId="0" fontId="5" fillId="14" borderId="0" xfId="0" applyFont="1" applyFill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166" fontId="8" fillId="6" borderId="15" xfId="0" applyNumberFormat="1" applyFont="1" applyFill="1" applyBorder="1" applyAlignment="1">
      <alignment horizontal="center" vertical="center" wrapText="1"/>
    </xf>
    <xf numFmtId="0" fontId="10" fillId="0" borderId="13" xfId="0" applyFont="1" applyBorder="1"/>
    <xf numFmtId="0" fontId="10" fillId="0" borderId="14" xfId="0" applyFont="1" applyBorder="1"/>
    <xf numFmtId="0" fontId="11" fillId="0" borderId="1" xfId="0" applyFont="1" applyBorder="1" applyAlignment="1">
      <alignment horizontal="left" vertical="center" wrapText="1"/>
    </xf>
    <xf numFmtId="0" fontId="10" fillId="0" borderId="2" xfId="0" applyFont="1" applyBorder="1"/>
    <xf numFmtId="0" fontId="10" fillId="0" borderId="3" xfId="0" applyFont="1" applyBorder="1"/>
    <xf numFmtId="49" fontId="1" fillId="0" borderId="5" xfId="0" applyNumberFormat="1" applyFont="1" applyBorder="1" applyAlignment="1">
      <alignment horizontal="center" vertical="center" wrapText="1"/>
    </xf>
    <xf numFmtId="0" fontId="10" fillId="0" borderId="12" xfId="0" applyFont="1" applyBorder="1"/>
    <xf numFmtId="0" fontId="10" fillId="0" borderId="17" xfId="0" applyFont="1" applyBorder="1"/>
    <xf numFmtId="0" fontId="11" fillId="6" borderId="5" xfId="0" applyFont="1" applyFill="1" applyBorder="1" applyAlignment="1">
      <alignment horizontal="center" vertical="center" wrapText="1"/>
    </xf>
    <xf numFmtId="166" fontId="8" fillId="6" borderId="1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0" fillId="0" borderId="0" xfId="0" applyFont="1" applyAlignment="1"/>
    <xf numFmtId="14" fontId="7" fillId="0" borderId="0" xfId="0" applyNumberFormat="1" applyFont="1" applyAlignment="1">
      <alignment horizontal="right" vertical="center" wrapText="1"/>
    </xf>
    <xf numFmtId="14" fontId="12" fillId="0" borderId="0" xfId="0" applyNumberFormat="1" applyFont="1" applyAlignment="1">
      <alignment horizontal="center" vertical="center" wrapText="1"/>
    </xf>
    <xf numFmtId="0" fontId="10" fillId="0" borderId="4" xfId="0" applyFont="1" applyBorder="1"/>
    <xf numFmtId="0" fontId="11" fillId="2" borderId="2" xfId="0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8" fillId="12" borderId="0" xfId="0" applyFont="1" applyFill="1" applyAlignment="1">
      <alignment horizontal="center" vertical="center" wrapText="1"/>
    </xf>
    <xf numFmtId="0" fontId="0" fillId="11" borderId="0" xfId="0" applyFont="1" applyFill="1" applyAlignment="1"/>
    <xf numFmtId="0" fontId="11" fillId="13" borderId="0" xfId="0" applyFont="1" applyFill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10" fillId="0" borderId="0" xfId="0" applyFont="1" applyBorder="1"/>
    <xf numFmtId="49" fontId="11" fillId="6" borderId="5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0" fillId="0" borderId="9" xfId="0" applyFont="1" applyBorder="1"/>
    <xf numFmtId="164" fontId="11" fillId="6" borderId="5" xfId="0" applyNumberFormat="1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0" fillId="0" borderId="22" xfId="0" applyFont="1" applyBorder="1"/>
    <xf numFmtId="165" fontId="11" fillId="6" borderId="8" xfId="0" applyNumberFormat="1" applyFont="1" applyFill="1" applyBorder="1" applyAlignment="1">
      <alignment horizontal="center" vertical="center" wrapText="1"/>
    </xf>
    <xf numFmtId="0" fontId="10" fillId="0" borderId="7" xfId="0" applyFont="1" applyBorder="1"/>
    <xf numFmtId="0" fontId="10" fillId="0" borderId="10" xfId="0" applyFont="1" applyBorder="1"/>
    <xf numFmtId="17" fontId="11" fillId="6" borderId="7" xfId="0" applyNumberFormat="1" applyFont="1" applyFill="1" applyBorder="1" applyAlignment="1">
      <alignment horizontal="center" vertical="center" wrapText="1"/>
    </xf>
    <xf numFmtId="0" fontId="10" fillId="0" borderId="11" xfId="0" applyFont="1" applyBorder="1"/>
    <xf numFmtId="166" fontId="8" fillId="6" borderId="28" xfId="0" applyNumberFormat="1" applyFont="1" applyFill="1" applyBorder="1" applyAlignment="1">
      <alignment horizontal="center" vertical="center" wrapText="1"/>
    </xf>
    <xf numFmtId="0" fontId="10" fillId="0" borderId="29" xfId="0" applyFont="1" applyBorder="1"/>
    <xf numFmtId="0" fontId="10" fillId="0" borderId="30" xfId="0" applyFont="1" applyBorder="1"/>
  </cellXfs>
  <cellStyles count="1">
    <cellStyle name="Обычный" xfId="0" builtinId="0"/>
  </cellStyles>
  <dxfs count="286"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FF8080"/>
          <bgColor rgb="FFFF8080"/>
        </patternFill>
      </fill>
      <border>
        <left/>
        <right/>
        <top/>
        <bottom/>
      </border>
    </dxf>
    <dxf>
      <fill>
        <patternFill patternType="solid">
          <fgColor rgb="FFDA9694"/>
          <bgColor rgb="FFDA9694"/>
        </patternFill>
      </fill>
      <border>
        <left/>
        <right/>
        <top/>
        <bottom/>
      </border>
    </dxf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</dxfs>
  <tableStyles count="1">
    <tableStyle name="Ломоносовский-style" pivot="0" count="3">
      <tableStyleElement type="headerRow" dxfId="285"/>
      <tableStyleElement type="firstRowStripe" dxfId="284"/>
      <tableStyleElement type="secondRowStripe" dxfId="28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D85C6"/>
    <pageSetUpPr fitToPage="1"/>
  </sheetPr>
  <dimension ref="A1:CW131"/>
  <sheetViews>
    <sheetView tabSelected="1" zoomScale="80" zoomScaleNormal="80" workbookViewId="0">
      <pane ySplit="9" topLeftCell="A10" activePane="bottomLeft" state="frozen"/>
      <selection pane="bottomLeft" activeCell="B3" sqref="B3"/>
    </sheetView>
  </sheetViews>
  <sheetFormatPr defaultColWidth="15.140625" defaultRowHeight="15" customHeight="1" x14ac:dyDescent="0.25"/>
  <cols>
    <col min="1" max="1" width="5" customWidth="1"/>
    <col min="2" max="2" width="50.140625" customWidth="1"/>
    <col min="3" max="3" width="6.7109375" customWidth="1"/>
    <col min="4" max="4" width="10.42578125" customWidth="1"/>
    <col min="5" max="5" width="12.42578125" customWidth="1"/>
    <col min="6" max="6" width="13" customWidth="1"/>
    <col min="7" max="8" width="16.42578125" customWidth="1"/>
    <col min="9" max="9" width="15.5703125" customWidth="1"/>
    <col min="10" max="10" width="13.28515625" customWidth="1"/>
    <col min="11" max="11" width="30.42578125" customWidth="1"/>
    <col min="12" max="12" width="8.42578125" customWidth="1"/>
    <col min="13" max="14" width="8.140625" customWidth="1"/>
    <col min="15" max="58" width="9.42578125" customWidth="1"/>
    <col min="59" max="100" width="9.42578125" hidden="1" customWidth="1"/>
    <col min="101" max="101" width="18.140625" customWidth="1"/>
  </cols>
  <sheetData>
    <row r="1" spans="1:101" ht="15.75" customHeight="1" x14ac:dyDescent="0.25">
      <c r="A1" s="1"/>
      <c r="B1" s="2"/>
      <c r="C1" s="3"/>
      <c r="D1" s="3"/>
      <c r="E1" s="3"/>
      <c r="F1" s="3"/>
      <c r="G1" s="3"/>
      <c r="H1" s="3"/>
      <c r="I1" s="4"/>
      <c r="J1" s="8"/>
      <c r="K1" s="3"/>
      <c r="L1" s="5"/>
      <c r="M1" s="5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506"/>
      <c r="CW1" s="507"/>
    </row>
    <row r="2" spans="1:101" ht="15.75" customHeight="1" x14ac:dyDescent="0.25">
      <c r="A2" s="1"/>
      <c r="B2" s="2"/>
      <c r="C2" s="3"/>
      <c r="D2" s="3"/>
      <c r="E2" s="3"/>
      <c r="F2" s="3"/>
      <c r="G2" s="3"/>
      <c r="H2" s="3"/>
      <c r="I2" s="513"/>
      <c r="J2" s="514"/>
      <c r="K2" s="514"/>
      <c r="L2" s="514"/>
      <c r="M2" s="514"/>
      <c r="N2" s="9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508"/>
      <c r="CW2" s="507"/>
    </row>
    <row r="3" spans="1:101" ht="26.25" customHeight="1" x14ac:dyDescent="0.25">
      <c r="A3" s="11"/>
      <c r="B3" s="12">
        <f ca="1">TODAY()-5</f>
        <v>42704</v>
      </c>
      <c r="C3" s="6"/>
      <c r="D3" s="6"/>
      <c r="E3" s="6"/>
      <c r="F3" s="6">
        <f ca="1">INDEX($N13:$BF13,,MATCH($B$3,$N$7:$BF$7,0)+1)</f>
        <v>0.4</v>
      </c>
      <c r="G3" s="6"/>
      <c r="H3" s="6"/>
      <c r="I3" s="515"/>
      <c r="J3" s="514"/>
      <c r="K3" s="514"/>
      <c r="L3" s="514"/>
      <c r="M3" s="492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4"/>
      <c r="AJ3" s="10"/>
      <c r="AK3" s="10"/>
      <c r="AL3" s="10"/>
      <c r="AM3" s="10"/>
      <c r="AN3" s="10"/>
      <c r="AO3" s="10"/>
      <c r="AP3" s="10"/>
      <c r="AQ3" s="10">
        <f ca="1">LOOKUP(,-1/($N$7:$BF$7=$B$3),$N13:$CV13)</f>
        <v>0.3</v>
      </c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</row>
    <row r="4" spans="1:101" ht="25.5" customHeight="1" x14ac:dyDescent="0.25">
      <c r="A4" s="516" t="s">
        <v>0</v>
      </c>
      <c r="B4" s="517"/>
      <c r="C4" s="517"/>
      <c r="D4" s="15"/>
      <c r="E4" s="3"/>
      <c r="F4" s="3"/>
      <c r="G4" s="16"/>
      <c r="H4" s="3"/>
      <c r="I4" s="494"/>
      <c r="J4" s="494"/>
      <c r="K4" s="494"/>
      <c r="L4" s="494"/>
      <c r="M4" s="493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13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509"/>
    </row>
    <row r="5" spans="1:101" ht="25.5" customHeight="1" x14ac:dyDescent="0.25">
      <c r="A5" s="510"/>
      <c r="B5" s="510"/>
      <c r="C5" s="510"/>
      <c r="D5" s="17"/>
      <c r="E5" s="3"/>
      <c r="F5" s="3"/>
      <c r="G5" s="3"/>
      <c r="H5" s="3"/>
      <c r="I5" s="4"/>
      <c r="J5" s="8"/>
      <c r="K5" s="3"/>
      <c r="L5" s="5"/>
      <c r="M5" s="5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510"/>
    </row>
    <row r="6" spans="1:101" ht="16.5" customHeight="1" thickBot="1" x14ac:dyDescent="0.3">
      <c r="A6" s="518" t="s">
        <v>1</v>
      </c>
      <c r="B6" s="504" t="s">
        <v>8</v>
      </c>
      <c r="C6" s="504" t="s">
        <v>2</v>
      </c>
      <c r="D6" s="519" t="s">
        <v>3</v>
      </c>
      <c r="E6" s="499"/>
      <c r="F6" s="500"/>
      <c r="G6" s="504" t="s">
        <v>4</v>
      </c>
      <c r="H6" s="504" t="s">
        <v>5</v>
      </c>
      <c r="I6" s="520" t="s">
        <v>6</v>
      </c>
      <c r="J6" s="522" t="s">
        <v>9</v>
      </c>
      <c r="K6" s="504" t="s">
        <v>10</v>
      </c>
      <c r="L6" s="519" t="s">
        <v>7</v>
      </c>
      <c r="M6" s="521"/>
      <c r="N6" s="528" t="s">
        <v>11</v>
      </c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  <c r="Z6" s="526"/>
      <c r="AA6" s="526"/>
      <c r="AB6" s="526"/>
      <c r="AC6" s="526"/>
      <c r="AD6" s="526"/>
      <c r="AE6" s="526"/>
      <c r="AF6" s="526"/>
      <c r="AG6" s="526"/>
      <c r="AH6" s="526"/>
      <c r="AI6" s="526"/>
      <c r="AJ6" s="526"/>
      <c r="AK6" s="529"/>
      <c r="AL6" s="525">
        <v>42705</v>
      </c>
      <c r="AM6" s="526"/>
      <c r="AN6" s="526"/>
      <c r="AO6" s="526"/>
      <c r="AP6" s="526"/>
      <c r="AQ6" s="526"/>
      <c r="AR6" s="526"/>
      <c r="AS6" s="526"/>
      <c r="AT6" s="526"/>
      <c r="AU6" s="526"/>
      <c r="AV6" s="526"/>
      <c r="AW6" s="526"/>
      <c r="AX6" s="526"/>
      <c r="AY6" s="526"/>
      <c r="AZ6" s="526"/>
      <c r="BA6" s="526"/>
      <c r="BB6" s="526"/>
      <c r="BC6" s="526"/>
      <c r="BD6" s="526"/>
      <c r="BE6" s="526"/>
      <c r="BF6" s="526"/>
      <c r="BG6" s="526"/>
      <c r="BH6" s="526"/>
      <c r="BI6" s="526"/>
      <c r="BJ6" s="526"/>
      <c r="BK6" s="526"/>
      <c r="BL6" s="526"/>
      <c r="BM6" s="526"/>
      <c r="BN6" s="526"/>
      <c r="BO6" s="526"/>
      <c r="BP6" s="526"/>
      <c r="BQ6" s="526"/>
      <c r="BR6" s="526"/>
      <c r="BS6" s="526"/>
      <c r="BT6" s="526"/>
      <c r="BU6" s="526"/>
      <c r="BV6" s="526"/>
      <c r="BW6" s="526"/>
      <c r="BX6" s="526"/>
      <c r="BY6" s="526"/>
      <c r="BZ6" s="526"/>
      <c r="CA6" s="526"/>
      <c r="CB6" s="526"/>
      <c r="CC6" s="526"/>
      <c r="CD6" s="526"/>
      <c r="CE6" s="526"/>
      <c r="CF6" s="526"/>
      <c r="CG6" s="526"/>
      <c r="CH6" s="526"/>
      <c r="CI6" s="526"/>
      <c r="CJ6" s="526"/>
      <c r="CK6" s="526"/>
      <c r="CL6" s="526"/>
      <c r="CM6" s="526"/>
      <c r="CN6" s="526"/>
      <c r="CO6" s="526"/>
      <c r="CP6" s="526"/>
      <c r="CQ6" s="526"/>
      <c r="CR6" s="526"/>
      <c r="CS6" s="526"/>
      <c r="CT6" s="526"/>
      <c r="CU6" s="526"/>
      <c r="CV6" s="527"/>
      <c r="CW6" s="504" t="s">
        <v>12</v>
      </c>
    </row>
    <row r="7" spans="1:101" ht="19.5" customHeight="1" thickBot="1" x14ac:dyDescent="0.3">
      <c r="A7" s="502"/>
      <c r="B7" s="502"/>
      <c r="C7" s="502"/>
      <c r="D7" s="504" t="s">
        <v>13</v>
      </c>
      <c r="E7" s="504" t="s">
        <v>14</v>
      </c>
      <c r="F7" s="504" t="s">
        <v>15</v>
      </c>
      <c r="G7" s="502"/>
      <c r="H7" s="502"/>
      <c r="I7" s="502"/>
      <c r="J7" s="502"/>
      <c r="K7" s="502"/>
      <c r="L7" s="504" t="s">
        <v>16</v>
      </c>
      <c r="M7" s="523" t="s">
        <v>17</v>
      </c>
      <c r="N7" s="495">
        <v>42697</v>
      </c>
      <c r="O7" s="496"/>
      <c r="P7" s="497"/>
      <c r="Q7" s="495">
        <v>42698</v>
      </c>
      <c r="R7" s="496"/>
      <c r="S7" s="497"/>
      <c r="T7" s="495">
        <v>42699</v>
      </c>
      <c r="U7" s="496"/>
      <c r="V7" s="497"/>
      <c r="W7" s="495">
        <v>42700</v>
      </c>
      <c r="X7" s="496"/>
      <c r="Y7" s="497"/>
      <c r="Z7" s="495">
        <v>42701</v>
      </c>
      <c r="AA7" s="496"/>
      <c r="AB7" s="497"/>
      <c r="AC7" s="495">
        <v>42702</v>
      </c>
      <c r="AD7" s="496"/>
      <c r="AE7" s="497"/>
      <c r="AF7" s="495">
        <v>42703</v>
      </c>
      <c r="AG7" s="496"/>
      <c r="AH7" s="497"/>
      <c r="AI7" s="495">
        <v>42704</v>
      </c>
      <c r="AJ7" s="496"/>
      <c r="AK7" s="497"/>
      <c r="AL7" s="495">
        <v>42705</v>
      </c>
      <c r="AM7" s="496"/>
      <c r="AN7" s="497"/>
      <c r="AO7" s="495">
        <v>42706</v>
      </c>
      <c r="AP7" s="496"/>
      <c r="AQ7" s="497"/>
      <c r="AR7" s="530">
        <v>42707</v>
      </c>
      <c r="AS7" s="531"/>
      <c r="AT7" s="532"/>
      <c r="AU7" s="495">
        <v>42708</v>
      </c>
      <c r="AV7" s="496"/>
      <c r="AW7" s="497"/>
      <c r="AX7" s="495">
        <v>42709</v>
      </c>
      <c r="AY7" s="496"/>
      <c r="AZ7" s="497"/>
      <c r="BA7" s="495">
        <v>42710</v>
      </c>
      <c r="BB7" s="496"/>
      <c r="BC7" s="497"/>
      <c r="BD7" s="495">
        <v>42711</v>
      </c>
      <c r="BE7" s="496"/>
      <c r="BF7" s="497"/>
      <c r="BG7" s="505">
        <v>42712</v>
      </c>
      <c r="BH7" s="496"/>
      <c r="BI7" s="497"/>
      <c r="BJ7" s="505">
        <v>42713</v>
      </c>
      <c r="BK7" s="496"/>
      <c r="BL7" s="497"/>
      <c r="BM7" s="505">
        <v>42714</v>
      </c>
      <c r="BN7" s="496"/>
      <c r="BO7" s="497"/>
      <c r="BP7" s="505">
        <v>42715</v>
      </c>
      <c r="BQ7" s="496"/>
      <c r="BR7" s="497"/>
      <c r="BS7" s="505">
        <v>42716</v>
      </c>
      <c r="BT7" s="496"/>
      <c r="BU7" s="497"/>
      <c r="BV7" s="505">
        <v>42717</v>
      </c>
      <c r="BW7" s="496"/>
      <c r="BX7" s="497"/>
      <c r="BY7" s="495">
        <v>42718</v>
      </c>
      <c r="BZ7" s="496"/>
      <c r="CA7" s="497"/>
      <c r="CB7" s="505">
        <v>42719</v>
      </c>
      <c r="CC7" s="496"/>
      <c r="CD7" s="497"/>
      <c r="CE7" s="505">
        <v>42720</v>
      </c>
      <c r="CF7" s="496"/>
      <c r="CG7" s="497"/>
      <c r="CH7" s="495">
        <v>42721</v>
      </c>
      <c r="CI7" s="496"/>
      <c r="CJ7" s="497"/>
      <c r="CK7" s="505">
        <v>42722</v>
      </c>
      <c r="CL7" s="496"/>
      <c r="CM7" s="497"/>
      <c r="CN7" s="505">
        <v>42723</v>
      </c>
      <c r="CO7" s="496"/>
      <c r="CP7" s="497"/>
      <c r="CQ7" s="495">
        <v>42724</v>
      </c>
      <c r="CR7" s="496"/>
      <c r="CS7" s="497"/>
      <c r="CT7" s="495">
        <v>42725</v>
      </c>
      <c r="CU7" s="496"/>
      <c r="CV7" s="497"/>
      <c r="CW7" s="502"/>
    </row>
    <row r="8" spans="1:101" ht="31.5" customHeight="1" x14ac:dyDescent="0.25">
      <c r="A8" s="503"/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03"/>
      <c r="M8" s="524"/>
      <c r="N8" s="18" t="s">
        <v>16</v>
      </c>
      <c r="O8" s="19" t="s">
        <v>17</v>
      </c>
      <c r="P8" s="20" t="s">
        <v>18</v>
      </c>
      <c r="Q8" s="18" t="s">
        <v>16</v>
      </c>
      <c r="R8" s="19" t="s">
        <v>17</v>
      </c>
      <c r="S8" s="21" t="s">
        <v>18</v>
      </c>
      <c r="T8" s="22" t="s">
        <v>16</v>
      </c>
      <c r="U8" s="19" t="s">
        <v>17</v>
      </c>
      <c r="V8" s="20" t="s">
        <v>18</v>
      </c>
      <c r="W8" s="18" t="s">
        <v>16</v>
      </c>
      <c r="X8" s="19" t="s">
        <v>17</v>
      </c>
      <c r="Y8" s="21" t="s">
        <v>18</v>
      </c>
      <c r="Z8" s="22" t="s">
        <v>16</v>
      </c>
      <c r="AA8" s="19" t="s">
        <v>17</v>
      </c>
      <c r="AB8" s="20" t="s">
        <v>18</v>
      </c>
      <c r="AC8" s="22" t="s">
        <v>16</v>
      </c>
      <c r="AD8" s="19" t="s">
        <v>17</v>
      </c>
      <c r="AE8" s="20" t="s">
        <v>18</v>
      </c>
      <c r="AF8" s="22" t="s">
        <v>16</v>
      </c>
      <c r="AG8" s="19" t="s">
        <v>17</v>
      </c>
      <c r="AH8" s="20" t="s">
        <v>18</v>
      </c>
      <c r="AI8" s="22" t="s">
        <v>16</v>
      </c>
      <c r="AJ8" s="19" t="s">
        <v>17</v>
      </c>
      <c r="AK8" s="20" t="s">
        <v>18</v>
      </c>
      <c r="AL8" s="22" t="s">
        <v>16</v>
      </c>
      <c r="AM8" s="19" t="s">
        <v>17</v>
      </c>
      <c r="AN8" s="20" t="s">
        <v>18</v>
      </c>
      <c r="AO8" s="18" t="s">
        <v>16</v>
      </c>
      <c r="AP8" s="19" t="s">
        <v>17</v>
      </c>
      <c r="AQ8" s="21" t="s">
        <v>18</v>
      </c>
      <c r="AR8" s="23" t="s">
        <v>16</v>
      </c>
      <c r="AS8" s="24" t="s">
        <v>17</v>
      </c>
      <c r="AT8" s="25" t="s">
        <v>18</v>
      </c>
      <c r="AU8" s="18" t="s">
        <v>16</v>
      </c>
      <c r="AV8" s="19" t="s">
        <v>17</v>
      </c>
      <c r="AW8" s="21" t="s">
        <v>18</v>
      </c>
      <c r="AX8" s="22" t="s">
        <v>16</v>
      </c>
      <c r="AY8" s="19" t="s">
        <v>17</v>
      </c>
      <c r="AZ8" s="20" t="s">
        <v>18</v>
      </c>
      <c r="BA8" s="18" t="s">
        <v>16</v>
      </c>
      <c r="BB8" s="19" t="s">
        <v>17</v>
      </c>
      <c r="BC8" s="21" t="s">
        <v>18</v>
      </c>
      <c r="BD8" s="22" t="s">
        <v>16</v>
      </c>
      <c r="BE8" s="19" t="s">
        <v>17</v>
      </c>
      <c r="BF8" s="20" t="s">
        <v>18</v>
      </c>
      <c r="BG8" s="18" t="s">
        <v>16</v>
      </c>
      <c r="BH8" s="19" t="s">
        <v>17</v>
      </c>
      <c r="BI8" s="20" t="s">
        <v>18</v>
      </c>
      <c r="BJ8" s="18" t="s">
        <v>16</v>
      </c>
      <c r="BK8" s="19" t="s">
        <v>17</v>
      </c>
      <c r="BL8" s="20" t="s">
        <v>18</v>
      </c>
      <c r="BM8" s="18" t="s">
        <v>16</v>
      </c>
      <c r="BN8" s="19" t="s">
        <v>17</v>
      </c>
      <c r="BO8" s="20" t="s">
        <v>18</v>
      </c>
      <c r="BP8" s="18" t="s">
        <v>16</v>
      </c>
      <c r="BQ8" s="19" t="s">
        <v>17</v>
      </c>
      <c r="BR8" s="20" t="s">
        <v>18</v>
      </c>
      <c r="BS8" s="18" t="s">
        <v>16</v>
      </c>
      <c r="BT8" s="19" t="s">
        <v>17</v>
      </c>
      <c r="BU8" s="20" t="s">
        <v>18</v>
      </c>
      <c r="BV8" s="18" t="s">
        <v>16</v>
      </c>
      <c r="BW8" s="19" t="s">
        <v>17</v>
      </c>
      <c r="BX8" s="20" t="s">
        <v>18</v>
      </c>
      <c r="BY8" s="18" t="s">
        <v>16</v>
      </c>
      <c r="BZ8" s="19" t="s">
        <v>17</v>
      </c>
      <c r="CA8" s="20" t="s">
        <v>18</v>
      </c>
      <c r="CB8" s="18" t="s">
        <v>16</v>
      </c>
      <c r="CC8" s="19" t="s">
        <v>17</v>
      </c>
      <c r="CD8" s="20" t="s">
        <v>18</v>
      </c>
      <c r="CE8" s="18" t="s">
        <v>16</v>
      </c>
      <c r="CF8" s="19" t="s">
        <v>17</v>
      </c>
      <c r="CG8" s="20" t="s">
        <v>18</v>
      </c>
      <c r="CH8" s="18" t="s">
        <v>16</v>
      </c>
      <c r="CI8" s="19" t="s">
        <v>17</v>
      </c>
      <c r="CJ8" s="20" t="s">
        <v>18</v>
      </c>
      <c r="CK8" s="18" t="s">
        <v>16</v>
      </c>
      <c r="CL8" s="19" t="s">
        <v>17</v>
      </c>
      <c r="CM8" s="20" t="s">
        <v>18</v>
      </c>
      <c r="CN8" s="18" t="s">
        <v>16</v>
      </c>
      <c r="CO8" s="19" t="s">
        <v>17</v>
      </c>
      <c r="CP8" s="20" t="s">
        <v>18</v>
      </c>
      <c r="CQ8" s="18" t="s">
        <v>16</v>
      </c>
      <c r="CR8" s="19" t="s">
        <v>17</v>
      </c>
      <c r="CS8" s="20" t="s">
        <v>18</v>
      </c>
      <c r="CT8" s="18" t="s">
        <v>16</v>
      </c>
      <c r="CU8" s="19" t="s">
        <v>17</v>
      </c>
      <c r="CV8" s="20" t="s">
        <v>18</v>
      </c>
      <c r="CW8" s="503"/>
    </row>
    <row r="9" spans="1:101" ht="15.75" customHeight="1" x14ac:dyDescent="0.25">
      <c r="A9" s="26" t="s">
        <v>19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8">
        <v>9</v>
      </c>
      <c r="J9" s="29">
        <v>10</v>
      </c>
      <c r="K9" s="27">
        <v>11</v>
      </c>
      <c r="L9" s="27">
        <v>12</v>
      </c>
      <c r="M9" s="30">
        <v>13</v>
      </c>
      <c r="N9" s="18">
        <v>14</v>
      </c>
      <c r="O9" s="27">
        <v>15</v>
      </c>
      <c r="P9" s="30">
        <v>16</v>
      </c>
      <c r="Q9" s="18">
        <v>17</v>
      </c>
      <c r="R9" s="27">
        <v>18</v>
      </c>
      <c r="S9" s="30">
        <v>19</v>
      </c>
      <c r="T9" s="18">
        <v>20</v>
      </c>
      <c r="U9" s="27">
        <v>21</v>
      </c>
      <c r="V9" s="30">
        <v>22</v>
      </c>
      <c r="W9" s="18">
        <v>23</v>
      </c>
      <c r="X9" s="27">
        <v>24</v>
      </c>
      <c r="Y9" s="30">
        <v>25</v>
      </c>
      <c r="Z9" s="18">
        <v>26</v>
      </c>
      <c r="AA9" s="27">
        <v>27</v>
      </c>
      <c r="AB9" s="30">
        <v>28</v>
      </c>
      <c r="AC9" s="18">
        <v>29</v>
      </c>
      <c r="AD9" s="27">
        <v>30</v>
      </c>
      <c r="AE9" s="30">
        <v>31</v>
      </c>
      <c r="AF9" s="18">
        <v>32</v>
      </c>
      <c r="AG9" s="27">
        <v>33</v>
      </c>
      <c r="AH9" s="30">
        <v>34</v>
      </c>
      <c r="AI9" s="18">
        <v>35</v>
      </c>
      <c r="AJ9" s="27">
        <v>36</v>
      </c>
      <c r="AK9" s="30">
        <v>37</v>
      </c>
      <c r="AL9" s="18">
        <v>38</v>
      </c>
      <c r="AM9" s="27">
        <v>39</v>
      </c>
      <c r="AN9" s="30">
        <v>40</v>
      </c>
      <c r="AO9" s="18">
        <v>41</v>
      </c>
      <c r="AP9" s="27">
        <v>42</v>
      </c>
      <c r="AQ9" s="30">
        <v>43</v>
      </c>
      <c r="AR9" s="18">
        <v>44</v>
      </c>
      <c r="AS9" s="27">
        <v>45</v>
      </c>
      <c r="AT9" s="30">
        <v>46</v>
      </c>
      <c r="AU9" s="18">
        <v>47</v>
      </c>
      <c r="AV9" s="27">
        <v>48</v>
      </c>
      <c r="AW9" s="30">
        <v>49</v>
      </c>
      <c r="AX9" s="18">
        <v>50</v>
      </c>
      <c r="AY9" s="27">
        <v>51</v>
      </c>
      <c r="AZ9" s="30">
        <v>52</v>
      </c>
      <c r="BA9" s="18">
        <v>53</v>
      </c>
      <c r="BB9" s="27">
        <v>54</v>
      </c>
      <c r="BC9" s="30">
        <v>55</v>
      </c>
      <c r="BD9" s="18">
        <v>56</v>
      </c>
      <c r="BE9" s="27">
        <v>57</v>
      </c>
      <c r="BF9" s="30">
        <v>58</v>
      </c>
      <c r="BG9" s="18">
        <v>59</v>
      </c>
      <c r="BH9" s="27">
        <v>60</v>
      </c>
      <c r="BI9" s="30">
        <v>61</v>
      </c>
      <c r="BJ9" s="18">
        <v>62</v>
      </c>
      <c r="BK9" s="27">
        <v>63</v>
      </c>
      <c r="BL9" s="30">
        <v>64</v>
      </c>
      <c r="BM9" s="18">
        <v>65</v>
      </c>
      <c r="BN9" s="27">
        <v>66</v>
      </c>
      <c r="BO9" s="30">
        <v>67</v>
      </c>
      <c r="BP9" s="18">
        <v>68</v>
      </c>
      <c r="BQ9" s="27">
        <v>69</v>
      </c>
      <c r="BR9" s="30">
        <v>70</v>
      </c>
      <c r="BS9" s="18">
        <v>71</v>
      </c>
      <c r="BT9" s="27">
        <v>72</v>
      </c>
      <c r="BU9" s="30">
        <v>73</v>
      </c>
      <c r="BV9" s="18">
        <v>74</v>
      </c>
      <c r="BW9" s="27">
        <v>75</v>
      </c>
      <c r="BX9" s="30">
        <v>76</v>
      </c>
      <c r="BY9" s="18">
        <v>77</v>
      </c>
      <c r="BZ9" s="27">
        <v>78</v>
      </c>
      <c r="CA9" s="30">
        <v>79</v>
      </c>
      <c r="CB9" s="18">
        <v>80</v>
      </c>
      <c r="CC9" s="27">
        <v>81</v>
      </c>
      <c r="CD9" s="30">
        <v>82</v>
      </c>
      <c r="CE9" s="18">
        <v>83</v>
      </c>
      <c r="CF9" s="27">
        <v>84</v>
      </c>
      <c r="CG9" s="30">
        <v>85</v>
      </c>
      <c r="CH9" s="18">
        <v>86</v>
      </c>
      <c r="CI9" s="27">
        <v>87</v>
      </c>
      <c r="CJ9" s="30">
        <v>88</v>
      </c>
      <c r="CK9" s="18">
        <v>89</v>
      </c>
      <c r="CL9" s="27">
        <v>90</v>
      </c>
      <c r="CM9" s="30">
        <v>91</v>
      </c>
      <c r="CN9" s="18">
        <v>92</v>
      </c>
      <c r="CO9" s="27">
        <v>93</v>
      </c>
      <c r="CP9" s="30">
        <v>94</v>
      </c>
      <c r="CQ9" s="18">
        <v>95</v>
      </c>
      <c r="CR9" s="27">
        <v>96</v>
      </c>
      <c r="CS9" s="30">
        <v>97</v>
      </c>
      <c r="CT9" s="18">
        <v>98</v>
      </c>
      <c r="CU9" s="27">
        <v>99</v>
      </c>
      <c r="CV9" s="30">
        <v>100</v>
      </c>
      <c r="CW9" s="18">
        <v>101</v>
      </c>
    </row>
    <row r="10" spans="1:101" ht="15.75" customHeight="1" x14ac:dyDescent="0.25">
      <c r="A10" s="31">
        <v>5</v>
      </c>
      <c r="B10" s="32" t="s">
        <v>30</v>
      </c>
      <c r="C10" s="33"/>
      <c r="D10" s="33"/>
      <c r="E10" s="33"/>
      <c r="F10" s="33"/>
      <c r="G10" s="34"/>
      <c r="H10" s="34"/>
      <c r="I10" s="35"/>
      <c r="J10" s="38"/>
      <c r="K10" s="39"/>
      <c r="L10" s="40">
        <f t="shared" ref="L10:M10" si="0">SUM(L12:L129)</f>
        <v>240</v>
      </c>
      <c r="M10" s="40">
        <f t="shared" si="0"/>
        <v>233</v>
      </c>
      <c r="N10" s="41"/>
      <c r="O10" s="37"/>
      <c r="P10" s="42"/>
      <c r="Q10" s="41"/>
      <c r="R10" s="37"/>
      <c r="S10" s="43"/>
      <c r="T10" s="45"/>
      <c r="U10" s="37"/>
      <c r="V10" s="42"/>
      <c r="W10" s="41"/>
      <c r="X10" s="37"/>
      <c r="Y10" s="43"/>
      <c r="Z10" s="45"/>
      <c r="AA10" s="37"/>
      <c r="AB10" s="42"/>
      <c r="AC10" s="45"/>
      <c r="AD10" s="37"/>
      <c r="AE10" s="42"/>
      <c r="AF10" s="45"/>
      <c r="AG10" s="37"/>
      <c r="AH10" s="42"/>
      <c r="AI10" s="45"/>
      <c r="AJ10" s="37"/>
      <c r="AK10" s="42"/>
      <c r="AL10" s="45"/>
      <c r="AM10" s="37"/>
      <c r="AN10" s="42"/>
      <c r="AO10" s="41"/>
      <c r="AP10" s="37"/>
      <c r="AQ10" s="43"/>
      <c r="AR10" s="45"/>
      <c r="AS10" s="37"/>
      <c r="AT10" s="42"/>
      <c r="AU10" s="41"/>
      <c r="AV10" s="37"/>
      <c r="AW10" s="43"/>
      <c r="AX10" s="45"/>
      <c r="AY10" s="37"/>
      <c r="AZ10" s="42"/>
      <c r="BA10" s="41"/>
      <c r="BB10" s="37"/>
      <c r="BC10" s="43"/>
      <c r="BD10" s="45"/>
      <c r="BE10" s="37"/>
      <c r="BF10" s="42"/>
      <c r="BG10" s="41"/>
      <c r="BH10" s="37"/>
      <c r="BI10" s="42"/>
      <c r="BJ10" s="41"/>
      <c r="BK10" s="37"/>
      <c r="BL10" s="42"/>
      <c r="BM10" s="41"/>
      <c r="BN10" s="37"/>
      <c r="BO10" s="42"/>
      <c r="BP10" s="41"/>
      <c r="BQ10" s="37"/>
      <c r="BR10" s="42"/>
      <c r="BS10" s="41"/>
      <c r="BT10" s="37"/>
      <c r="BU10" s="42"/>
      <c r="BV10" s="41"/>
      <c r="BW10" s="37"/>
      <c r="BX10" s="42"/>
      <c r="BY10" s="41"/>
      <c r="BZ10" s="37"/>
      <c r="CA10" s="42"/>
      <c r="CB10" s="41"/>
      <c r="CC10" s="37"/>
      <c r="CD10" s="42"/>
      <c r="CE10" s="41"/>
      <c r="CF10" s="37"/>
      <c r="CG10" s="42"/>
      <c r="CH10" s="41"/>
      <c r="CI10" s="37"/>
      <c r="CJ10" s="42"/>
      <c r="CK10" s="41"/>
      <c r="CL10" s="37"/>
      <c r="CM10" s="42"/>
      <c r="CN10" s="41"/>
      <c r="CO10" s="37"/>
      <c r="CP10" s="42"/>
      <c r="CQ10" s="41"/>
      <c r="CR10" s="37"/>
      <c r="CS10" s="42"/>
      <c r="CT10" s="41"/>
      <c r="CU10" s="37"/>
      <c r="CV10" s="42"/>
      <c r="CW10" s="47"/>
    </row>
    <row r="11" spans="1:101" ht="31.5" customHeight="1" x14ac:dyDescent="0.25">
      <c r="A11" s="48"/>
      <c r="B11" s="49" t="s">
        <v>32</v>
      </c>
      <c r="C11" s="498"/>
      <c r="D11" s="499"/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499"/>
      <c r="P11" s="499"/>
      <c r="Q11" s="499"/>
      <c r="R11" s="499"/>
      <c r="S11" s="499"/>
      <c r="T11" s="499"/>
      <c r="U11" s="499"/>
      <c r="V11" s="499"/>
      <c r="W11" s="499"/>
      <c r="X11" s="499"/>
      <c r="Y11" s="499"/>
      <c r="Z11" s="499"/>
      <c r="AA11" s="499"/>
      <c r="AB11" s="499"/>
      <c r="AC11" s="499"/>
      <c r="AD11" s="499"/>
      <c r="AE11" s="499"/>
      <c r="AF11" s="499"/>
      <c r="AG11" s="499"/>
      <c r="AH11" s="499"/>
      <c r="AI11" s="499"/>
      <c r="AJ11" s="499"/>
      <c r="AK11" s="499"/>
      <c r="AL11" s="499"/>
      <c r="AM11" s="499"/>
      <c r="AN11" s="499"/>
      <c r="AO11" s="499"/>
      <c r="AP11" s="499"/>
      <c r="AQ11" s="499"/>
      <c r="AR11" s="499"/>
      <c r="AS11" s="499"/>
      <c r="AT11" s="499"/>
      <c r="AU11" s="499"/>
      <c r="AV11" s="499"/>
      <c r="AW11" s="499"/>
      <c r="AX11" s="499"/>
      <c r="AY11" s="499"/>
      <c r="AZ11" s="499"/>
      <c r="BA11" s="499"/>
      <c r="BB11" s="499"/>
      <c r="BC11" s="499"/>
      <c r="BD11" s="499"/>
      <c r="BE11" s="499"/>
      <c r="BF11" s="499"/>
      <c r="BG11" s="499"/>
      <c r="BH11" s="499"/>
      <c r="BI11" s="499"/>
      <c r="BJ11" s="499"/>
      <c r="BK11" s="499"/>
      <c r="BL11" s="499"/>
      <c r="BM11" s="499"/>
      <c r="BN11" s="499"/>
      <c r="BO11" s="499"/>
      <c r="BP11" s="499"/>
      <c r="BQ11" s="499"/>
      <c r="BR11" s="499"/>
      <c r="BS11" s="499"/>
      <c r="BT11" s="499"/>
      <c r="BU11" s="499"/>
      <c r="BV11" s="499"/>
      <c r="BW11" s="499"/>
      <c r="BX11" s="499"/>
      <c r="BY11" s="499"/>
      <c r="BZ11" s="499"/>
      <c r="CA11" s="499"/>
      <c r="CB11" s="499"/>
      <c r="CC11" s="499"/>
      <c r="CD11" s="499"/>
      <c r="CE11" s="499"/>
      <c r="CF11" s="499"/>
      <c r="CG11" s="499"/>
      <c r="CH11" s="499"/>
      <c r="CI11" s="499"/>
      <c r="CJ11" s="499"/>
      <c r="CK11" s="499"/>
      <c r="CL11" s="499"/>
      <c r="CM11" s="499"/>
      <c r="CN11" s="499"/>
      <c r="CO11" s="499"/>
      <c r="CP11" s="499"/>
      <c r="CQ11" s="499"/>
      <c r="CR11" s="499"/>
      <c r="CS11" s="499"/>
      <c r="CT11" s="499"/>
      <c r="CU11" s="499"/>
      <c r="CV11" s="499"/>
      <c r="CW11" s="500"/>
    </row>
    <row r="12" spans="1:101" ht="15.75" customHeight="1" x14ac:dyDescent="0.25">
      <c r="A12" s="501" t="s">
        <v>19</v>
      </c>
      <c r="B12" s="50" t="s">
        <v>35</v>
      </c>
      <c r="C12" s="51" t="s">
        <v>18</v>
      </c>
      <c r="D12" s="52">
        <v>1</v>
      </c>
      <c r="E12" s="53">
        <f>(H13+H14)/2</f>
        <v>0.32407407407407418</v>
      </c>
      <c r="F12" s="52">
        <f t="shared" ref="F12:F25" si="1">D12-E12</f>
        <v>0.67592592592592582</v>
      </c>
      <c r="G12" s="54"/>
      <c r="H12" s="52">
        <f>E12</f>
        <v>0.32407407407407418</v>
      </c>
      <c r="I12" s="55"/>
      <c r="J12" s="56"/>
      <c r="K12" s="51" t="s">
        <v>36</v>
      </c>
      <c r="L12" s="57">
        <v>22</v>
      </c>
      <c r="M12" s="58">
        <v>22</v>
      </c>
      <c r="N12" s="59"/>
      <c r="O12" s="60"/>
      <c r="P12" s="61"/>
      <c r="Q12" s="59"/>
      <c r="R12" s="60"/>
      <c r="S12" s="62"/>
      <c r="T12" s="63"/>
      <c r="U12" s="60"/>
      <c r="V12" s="61"/>
      <c r="W12" s="59"/>
      <c r="X12" s="60"/>
      <c r="Y12" s="64"/>
      <c r="Z12" s="63"/>
      <c r="AA12" s="60"/>
      <c r="AB12" s="68"/>
      <c r="AC12" s="63"/>
      <c r="AD12" s="60"/>
      <c r="AE12" s="61"/>
      <c r="AF12" s="63"/>
      <c r="AG12" s="60"/>
      <c r="AH12" s="61"/>
      <c r="AI12" s="63"/>
      <c r="AJ12" s="60"/>
      <c r="AK12" s="61"/>
      <c r="AL12" s="63"/>
      <c r="AM12" s="60"/>
      <c r="AN12" s="69"/>
      <c r="AO12" s="71"/>
      <c r="AP12" s="60"/>
      <c r="AQ12" s="60"/>
      <c r="AR12" s="72"/>
      <c r="AS12" s="60"/>
      <c r="AT12" s="61"/>
      <c r="AU12" s="59"/>
      <c r="AV12" s="60"/>
      <c r="AW12" s="62"/>
      <c r="AX12" s="63"/>
      <c r="AY12" s="60"/>
      <c r="AZ12" s="61"/>
      <c r="BA12" s="59"/>
      <c r="BB12" s="60"/>
      <c r="BC12" s="62"/>
      <c r="BD12" s="63"/>
      <c r="BE12" s="60"/>
      <c r="BF12" s="61"/>
      <c r="BG12" s="59"/>
      <c r="BH12" s="60"/>
      <c r="BI12" s="61"/>
      <c r="BJ12" s="59"/>
      <c r="BK12" s="60"/>
      <c r="BL12" s="61"/>
      <c r="BM12" s="59"/>
      <c r="BN12" s="60"/>
      <c r="BO12" s="61"/>
      <c r="BP12" s="59"/>
      <c r="BQ12" s="60"/>
      <c r="BR12" s="61"/>
      <c r="BS12" s="59"/>
      <c r="BT12" s="60"/>
      <c r="BU12" s="61"/>
      <c r="BV12" s="59"/>
      <c r="BW12" s="60"/>
      <c r="BX12" s="61"/>
      <c r="BY12" s="59"/>
      <c r="BZ12" s="60"/>
      <c r="CA12" s="61"/>
      <c r="CB12" s="59"/>
      <c r="CC12" s="60"/>
      <c r="CD12" s="61"/>
      <c r="CE12" s="59"/>
      <c r="CF12" s="60"/>
      <c r="CG12" s="61"/>
      <c r="CH12" s="59"/>
      <c r="CI12" s="60"/>
      <c r="CJ12" s="61"/>
      <c r="CK12" s="59"/>
      <c r="CL12" s="60"/>
      <c r="CM12" s="61"/>
      <c r="CN12" s="59"/>
      <c r="CO12" s="60"/>
      <c r="CP12" s="61"/>
      <c r="CQ12" s="59"/>
      <c r="CR12" s="60"/>
      <c r="CS12" s="61"/>
      <c r="CT12" s="59"/>
      <c r="CU12" s="60"/>
      <c r="CV12" s="61"/>
      <c r="CW12" s="73"/>
    </row>
    <row r="13" spans="1:101" ht="15.75" customHeight="1" x14ac:dyDescent="0.25">
      <c r="A13" s="502"/>
      <c r="B13" s="75" t="s">
        <v>39</v>
      </c>
      <c r="C13" s="66" t="s">
        <v>38</v>
      </c>
      <c r="D13" s="70">
        <v>16.2</v>
      </c>
      <c r="E13" s="70">
        <f>8+O13+R13+U13+X13+AA13+AD13+AG13+AJ13+AM13+AP13+AS13+AV13+AY13+BB13+BE13+BH13+BK13+BN13+BQ13+BT13+BW13+BZ13+CC13+CF13+CI13+CL13+CO13+CR13+CU13</f>
        <v>10.500000000000004</v>
      </c>
      <c r="F13" s="70">
        <f t="shared" si="1"/>
        <v>5.6999999999999957</v>
      </c>
      <c r="G13" s="79"/>
      <c r="H13" s="46">
        <f t="shared" ref="H13:H14" si="2">E13/D13</f>
        <v>0.64814814814814836</v>
      </c>
      <c r="I13" s="83">
        <f ca="1">INDEX($N13:$BF13,,MATCH($B$3,$N$7:$BF$7,0)+1)/D13</f>
        <v>2.469135802469136E-2</v>
      </c>
      <c r="J13" s="74">
        <v>42724</v>
      </c>
      <c r="K13" s="66"/>
      <c r="L13" s="85"/>
      <c r="M13" s="87"/>
      <c r="N13" s="89"/>
      <c r="O13" s="90"/>
      <c r="P13" s="91"/>
      <c r="Q13" s="92"/>
      <c r="R13" s="90"/>
      <c r="S13" s="93"/>
      <c r="T13" s="89">
        <v>0.3</v>
      </c>
      <c r="U13" s="90">
        <v>0.3</v>
      </c>
      <c r="V13" s="91"/>
      <c r="W13" s="92">
        <v>0.3</v>
      </c>
      <c r="X13" s="94">
        <v>0.4</v>
      </c>
      <c r="Y13" s="95"/>
      <c r="Z13" s="89"/>
      <c r="AA13" s="90"/>
      <c r="AB13" s="96"/>
      <c r="AC13" s="89">
        <v>0.3</v>
      </c>
      <c r="AD13" s="94">
        <v>0.4</v>
      </c>
      <c r="AE13" s="91"/>
      <c r="AF13" s="89">
        <v>0.3</v>
      </c>
      <c r="AG13" s="94">
        <v>0.3</v>
      </c>
      <c r="AH13" s="91"/>
      <c r="AI13" s="67">
        <v>0.3</v>
      </c>
      <c r="AJ13" s="98">
        <v>0.4</v>
      </c>
      <c r="AK13" s="97">
        <f>AJ13/AI13</f>
        <v>1.3333333333333335</v>
      </c>
      <c r="AL13" s="99">
        <v>0.3</v>
      </c>
      <c r="AM13" s="98">
        <v>0.3</v>
      </c>
      <c r="AN13" s="100">
        <f>AM13/AL13</f>
        <v>1</v>
      </c>
      <c r="AO13" s="102">
        <v>0.4</v>
      </c>
      <c r="AP13" s="104">
        <v>0.4</v>
      </c>
      <c r="AQ13" s="106">
        <f>AP13/AO13</f>
        <v>1</v>
      </c>
      <c r="AR13" s="92">
        <v>0.4</v>
      </c>
      <c r="AS13" s="90"/>
      <c r="AT13" s="91"/>
      <c r="AU13" s="92"/>
      <c r="AV13" s="90"/>
      <c r="AW13" s="93"/>
      <c r="AX13" s="89">
        <v>0.4</v>
      </c>
      <c r="AY13" s="90"/>
      <c r="AZ13" s="91"/>
      <c r="BA13" s="92">
        <v>0.4</v>
      </c>
      <c r="BB13" s="90"/>
      <c r="BC13" s="93"/>
      <c r="BD13" s="89">
        <v>0.4</v>
      </c>
      <c r="BE13" s="90"/>
      <c r="BF13" s="91"/>
      <c r="BG13" s="92">
        <v>0.4</v>
      </c>
      <c r="BH13" s="90"/>
      <c r="BI13" s="91"/>
      <c r="BJ13" s="92">
        <v>0.4</v>
      </c>
      <c r="BK13" s="90"/>
      <c r="BL13" s="91"/>
      <c r="BM13" s="92">
        <v>0.4</v>
      </c>
      <c r="BN13" s="90"/>
      <c r="BO13" s="91"/>
      <c r="BP13" s="92"/>
      <c r="BQ13" s="90"/>
      <c r="BR13" s="91"/>
      <c r="BS13" s="92">
        <v>0.4</v>
      </c>
      <c r="BT13" s="90"/>
      <c r="BU13" s="91"/>
      <c r="BV13" s="92">
        <v>0.4</v>
      </c>
      <c r="BW13" s="90"/>
      <c r="BX13" s="91"/>
      <c r="BY13" s="92">
        <v>0.4</v>
      </c>
      <c r="BZ13" s="90"/>
      <c r="CA13" s="91"/>
      <c r="CB13" s="92">
        <v>0.4</v>
      </c>
      <c r="CC13" s="90"/>
      <c r="CD13" s="91"/>
      <c r="CE13" s="92">
        <v>0.4</v>
      </c>
      <c r="CF13" s="90"/>
      <c r="CG13" s="91"/>
      <c r="CH13" s="92">
        <v>0.4</v>
      </c>
      <c r="CI13" s="90"/>
      <c r="CJ13" s="91"/>
      <c r="CK13" s="92"/>
      <c r="CL13" s="90"/>
      <c r="CM13" s="91"/>
      <c r="CN13" s="92">
        <v>0.4</v>
      </c>
      <c r="CO13" s="90"/>
      <c r="CP13" s="91"/>
      <c r="CQ13" s="92">
        <v>0.4</v>
      </c>
      <c r="CR13" s="90"/>
      <c r="CS13" s="91"/>
      <c r="CT13" s="92"/>
      <c r="CU13" s="90"/>
      <c r="CV13" s="91"/>
      <c r="CW13" s="107"/>
    </row>
    <row r="14" spans="1:101" ht="15.75" customHeight="1" x14ac:dyDescent="0.25">
      <c r="A14" s="503"/>
      <c r="B14" s="75" t="s">
        <v>40</v>
      </c>
      <c r="C14" s="66" t="s">
        <v>41</v>
      </c>
      <c r="D14" s="108">
        <v>35</v>
      </c>
      <c r="E14" s="108">
        <f>O14+R14+U14+X14+AA14+AD14+AG14+AJ14+AM14+AP14+AS14+AV14+AY14+BB14+BE14+BH14+BK14+BN14+BQ14+BT14+BW14+BZ14+CC14+CF14+CI14+CL14+CO14+CR14+CU14</f>
        <v>0</v>
      </c>
      <c r="F14" s="108">
        <f t="shared" si="1"/>
        <v>35</v>
      </c>
      <c r="G14" s="79"/>
      <c r="H14" s="46">
        <f t="shared" si="2"/>
        <v>0</v>
      </c>
      <c r="I14" s="83"/>
      <c r="J14" s="74"/>
      <c r="K14" s="66"/>
      <c r="L14" s="85"/>
      <c r="M14" s="109"/>
      <c r="N14" s="89"/>
      <c r="O14" s="90"/>
      <c r="P14" s="91"/>
      <c r="Q14" s="92"/>
      <c r="R14" s="90"/>
      <c r="S14" s="93"/>
      <c r="T14" s="89"/>
      <c r="U14" s="90"/>
      <c r="V14" s="91"/>
      <c r="W14" s="92"/>
      <c r="X14" s="90"/>
      <c r="Y14" s="95"/>
      <c r="Z14" s="89"/>
      <c r="AA14" s="90"/>
      <c r="AB14" s="96"/>
      <c r="AC14" s="89"/>
      <c r="AD14" s="90"/>
      <c r="AE14" s="91"/>
      <c r="AF14" s="89"/>
      <c r="AG14" s="90"/>
      <c r="AH14" s="91"/>
      <c r="AI14" s="89"/>
      <c r="AJ14" s="90"/>
      <c r="AK14" s="91"/>
      <c r="AL14" s="89"/>
      <c r="AM14" s="90"/>
      <c r="AN14" s="93"/>
      <c r="AO14" s="102"/>
      <c r="AP14" s="90"/>
      <c r="AQ14" s="90"/>
      <c r="AR14" s="92"/>
      <c r="AS14" s="90"/>
      <c r="AT14" s="91"/>
      <c r="AU14" s="92"/>
      <c r="AV14" s="90"/>
      <c r="AW14" s="93"/>
      <c r="AX14" s="89">
        <v>2</v>
      </c>
      <c r="AY14" s="90"/>
      <c r="AZ14" s="91"/>
      <c r="BA14" s="92">
        <v>3</v>
      </c>
      <c r="BB14" s="90"/>
      <c r="BC14" s="93"/>
      <c r="BD14" s="89">
        <v>3</v>
      </c>
      <c r="BE14" s="90"/>
      <c r="BF14" s="91"/>
      <c r="BG14" s="92">
        <v>3</v>
      </c>
      <c r="BH14" s="90"/>
      <c r="BI14" s="91"/>
      <c r="BJ14" s="92">
        <v>3</v>
      </c>
      <c r="BK14" s="90"/>
      <c r="BL14" s="91"/>
      <c r="BM14" s="92">
        <v>3</v>
      </c>
      <c r="BN14" s="90"/>
      <c r="BO14" s="91"/>
      <c r="BP14" s="92"/>
      <c r="BQ14" s="90"/>
      <c r="BR14" s="91"/>
      <c r="BS14" s="92">
        <v>3</v>
      </c>
      <c r="BT14" s="90"/>
      <c r="BU14" s="91"/>
      <c r="BV14" s="92">
        <v>3</v>
      </c>
      <c r="BW14" s="90"/>
      <c r="BX14" s="91"/>
      <c r="BY14" s="92">
        <v>3</v>
      </c>
      <c r="BZ14" s="90"/>
      <c r="CA14" s="91"/>
      <c r="CB14" s="92">
        <v>3</v>
      </c>
      <c r="CC14" s="90"/>
      <c r="CD14" s="91"/>
      <c r="CE14" s="92">
        <v>3</v>
      </c>
      <c r="CF14" s="90"/>
      <c r="CG14" s="91"/>
      <c r="CH14" s="92">
        <v>3</v>
      </c>
      <c r="CI14" s="90"/>
      <c r="CJ14" s="91"/>
      <c r="CK14" s="92"/>
      <c r="CL14" s="90"/>
      <c r="CM14" s="91"/>
      <c r="CN14" s="92"/>
      <c r="CO14" s="90"/>
      <c r="CP14" s="91"/>
      <c r="CQ14" s="92"/>
      <c r="CR14" s="90"/>
      <c r="CS14" s="110"/>
      <c r="CT14" s="92"/>
      <c r="CU14" s="90"/>
      <c r="CV14" s="91"/>
      <c r="CW14" s="107"/>
    </row>
    <row r="15" spans="1:101" ht="15.75" customHeight="1" x14ac:dyDescent="0.25">
      <c r="A15" s="501" t="s">
        <v>20</v>
      </c>
      <c r="B15" s="111" t="s">
        <v>43</v>
      </c>
      <c r="C15" s="51" t="s">
        <v>18</v>
      </c>
      <c r="D15" s="52">
        <v>1</v>
      </c>
      <c r="E15" s="53">
        <f>(H16+H17)/2</f>
        <v>1</v>
      </c>
      <c r="F15" s="52">
        <f t="shared" si="1"/>
        <v>0</v>
      </c>
      <c r="G15" s="112"/>
      <c r="H15" s="52">
        <f>E15</f>
        <v>1</v>
      </c>
      <c r="I15" s="55"/>
      <c r="J15" s="56"/>
      <c r="K15" s="51" t="s">
        <v>34</v>
      </c>
      <c r="L15" s="113"/>
      <c r="M15" s="114"/>
      <c r="N15" s="59"/>
      <c r="O15" s="60"/>
      <c r="P15" s="61"/>
      <c r="Q15" s="59"/>
      <c r="R15" s="60"/>
      <c r="S15" s="62"/>
      <c r="T15" s="63"/>
      <c r="U15" s="60"/>
      <c r="V15" s="61"/>
      <c r="W15" s="59"/>
      <c r="X15" s="60"/>
      <c r="Y15" s="64"/>
      <c r="Z15" s="63"/>
      <c r="AA15" s="60"/>
      <c r="AB15" s="68"/>
      <c r="AC15" s="63"/>
      <c r="AD15" s="60"/>
      <c r="AE15" s="61"/>
      <c r="AF15" s="63"/>
      <c r="AG15" s="60"/>
      <c r="AH15" s="61"/>
      <c r="AI15" s="63"/>
      <c r="AJ15" s="60"/>
      <c r="AK15" s="61"/>
      <c r="AL15" s="63"/>
      <c r="AM15" s="60"/>
      <c r="AN15" s="69"/>
      <c r="AO15" s="71"/>
      <c r="AP15" s="60"/>
      <c r="AQ15" s="60"/>
      <c r="AR15" s="72"/>
      <c r="AS15" s="60"/>
      <c r="AT15" s="61"/>
      <c r="AU15" s="59"/>
      <c r="AV15" s="60"/>
      <c r="AW15" s="62"/>
      <c r="AX15" s="63"/>
      <c r="AY15" s="60"/>
      <c r="AZ15" s="61"/>
      <c r="BA15" s="59"/>
      <c r="BB15" s="60"/>
      <c r="BC15" s="62"/>
      <c r="BD15" s="63"/>
      <c r="BE15" s="60"/>
      <c r="BF15" s="61"/>
      <c r="BG15" s="59"/>
      <c r="BH15" s="60"/>
      <c r="BI15" s="61"/>
      <c r="BJ15" s="59"/>
      <c r="BK15" s="60"/>
      <c r="BL15" s="61"/>
      <c r="BM15" s="59"/>
      <c r="BN15" s="60"/>
      <c r="BO15" s="61"/>
      <c r="BP15" s="59"/>
      <c r="BQ15" s="60"/>
      <c r="BR15" s="61"/>
      <c r="BS15" s="59"/>
      <c r="BT15" s="60"/>
      <c r="BU15" s="61"/>
      <c r="BV15" s="59"/>
      <c r="BW15" s="60"/>
      <c r="BX15" s="61"/>
      <c r="BY15" s="59"/>
      <c r="BZ15" s="60"/>
      <c r="CA15" s="61"/>
      <c r="CB15" s="59"/>
      <c r="CC15" s="60"/>
      <c r="CD15" s="61"/>
      <c r="CE15" s="59"/>
      <c r="CF15" s="60"/>
      <c r="CG15" s="61"/>
      <c r="CH15" s="59"/>
      <c r="CI15" s="60"/>
      <c r="CJ15" s="61"/>
      <c r="CK15" s="59"/>
      <c r="CL15" s="60"/>
      <c r="CM15" s="61"/>
      <c r="CN15" s="59"/>
      <c r="CO15" s="60"/>
      <c r="CP15" s="61"/>
      <c r="CQ15" s="59"/>
      <c r="CR15" s="60"/>
      <c r="CS15" s="61"/>
      <c r="CT15" s="59"/>
      <c r="CU15" s="60"/>
      <c r="CV15" s="61"/>
      <c r="CW15" s="73"/>
    </row>
    <row r="16" spans="1:101" ht="15.75" customHeight="1" x14ac:dyDescent="0.25">
      <c r="A16" s="502"/>
      <c r="B16" s="65" t="s">
        <v>44</v>
      </c>
      <c r="C16" s="66" t="s">
        <v>38</v>
      </c>
      <c r="D16" s="70">
        <v>0.15</v>
      </c>
      <c r="E16" s="70">
        <f>0.149+O16+R16+U16+X16+AA16+AD16+AG16+AJ16+AM16+AP16+AS16+AV16+AY16+BB16+BE16+BH16+BK16+BN16+BQ16+BT16+BW16+BZ16+CC16+CF16+CI16+CL16+CO16+CR16+CU16</f>
        <v>0.15</v>
      </c>
      <c r="F16" s="70">
        <f t="shared" si="1"/>
        <v>0</v>
      </c>
      <c r="G16" s="115">
        <v>0.99</v>
      </c>
      <c r="H16" s="46">
        <f t="shared" ref="H16:H17" si="3">E16/D16</f>
        <v>1</v>
      </c>
      <c r="I16" s="83"/>
      <c r="J16" s="74">
        <v>42724</v>
      </c>
      <c r="K16" s="66"/>
      <c r="L16" s="116">
        <v>2</v>
      </c>
      <c r="M16" s="109"/>
      <c r="N16" s="117">
        <v>0</v>
      </c>
      <c r="O16" s="94">
        <v>0</v>
      </c>
      <c r="P16" s="118">
        <v>0</v>
      </c>
      <c r="Q16" s="119">
        <v>0</v>
      </c>
      <c r="R16" s="94">
        <v>0</v>
      </c>
      <c r="S16" s="120">
        <v>0</v>
      </c>
      <c r="T16" s="117">
        <v>0</v>
      </c>
      <c r="U16" s="94">
        <v>0</v>
      </c>
      <c r="V16" s="118">
        <v>0</v>
      </c>
      <c r="W16" s="119">
        <v>0</v>
      </c>
      <c r="X16" s="94">
        <v>0</v>
      </c>
      <c r="Y16" s="121">
        <v>0</v>
      </c>
      <c r="Z16" s="117">
        <v>0</v>
      </c>
      <c r="AA16" s="94">
        <v>0</v>
      </c>
      <c r="AB16" s="122">
        <v>0</v>
      </c>
      <c r="AC16" s="117">
        <v>0</v>
      </c>
      <c r="AD16" s="94">
        <v>0</v>
      </c>
      <c r="AE16" s="118">
        <v>0</v>
      </c>
      <c r="AF16" s="117">
        <v>0</v>
      </c>
      <c r="AG16" s="94">
        <v>0</v>
      </c>
      <c r="AH16" s="118">
        <v>0</v>
      </c>
      <c r="AI16" s="89"/>
      <c r="AJ16" s="90"/>
      <c r="AK16" s="91"/>
      <c r="AL16" s="99">
        <v>1E-3</v>
      </c>
      <c r="AM16" s="123">
        <v>1E-3</v>
      </c>
      <c r="AN16" s="124">
        <f>AM16*100/AL16</f>
        <v>100</v>
      </c>
      <c r="AO16" s="102"/>
      <c r="AP16" s="90"/>
      <c r="AQ16" s="90"/>
      <c r="AR16" s="92"/>
      <c r="AS16" s="90"/>
      <c r="AT16" s="91"/>
      <c r="AU16" s="92"/>
      <c r="AV16" s="90"/>
      <c r="AW16" s="93"/>
      <c r="AX16" s="89"/>
      <c r="AY16" s="90"/>
      <c r="AZ16" s="91"/>
      <c r="BA16" s="92"/>
      <c r="BB16" s="90"/>
      <c r="BC16" s="93"/>
      <c r="BD16" s="89"/>
      <c r="BE16" s="90"/>
      <c r="BF16" s="91"/>
      <c r="BG16" s="92"/>
      <c r="BH16" s="90"/>
      <c r="BI16" s="91"/>
      <c r="BJ16" s="92"/>
      <c r="BK16" s="90"/>
      <c r="BL16" s="91"/>
      <c r="BM16" s="92"/>
      <c r="BN16" s="90"/>
      <c r="BO16" s="91"/>
      <c r="BP16" s="92"/>
      <c r="BQ16" s="90"/>
      <c r="BR16" s="91"/>
      <c r="BS16" s="92"/>
      <c r="BT16" s="90"/>
      <c r="BU16" s="91"/>
      <c r="BV16" s="92"/>
      <c r="BW16" s="90"/>
      <c r="BX16" s="91"/>
      <c r="BY16" s="92"/>
      <c r="BZ16" s="90"/>
      <c r="CA16" s="91"/>
      <c r="CB16" s="92"/>
      <c r="CC16" s="90"/>
      <c r="CD16" s="91"/>
      <c r="CE16" s="92"/>
      <c r="CF16" s="90"/>
      <c r="CG16" s="91"/>
      <c r="CH16" s="92"/>
      <c r="CI16" s="90"/>
      <c r="CJ16" s="91"/>
      <c r="CK16" s="92"/>
      <c r="CL16" s="90"/>
      <c r="CM16" s="91"/>
      <c r="CN16" s="92"/>
      <c r="CO16" s="90"/>
      <c r="CP16" s="91"/>
      <c r="CQ16" s="92"/>
      <c r="CR16" s="90"/>
      <c r="CS16" s="91"/>
      <c r="CT16" s="92"/>
      <c r="CU16" s="90"/>
      <c r="CV16" s="91"/>
      <c r="CW16" s="107"/>
    </row>
    <row r="17" spans="1:101" ht="15.75" customHeight="1" x14ac:dyDescent="0.25">
      <c r="A17" s="503"/>
      <c r="B17" s="65" t="s">
        <v>42</v>
      </c>
      <c r="C17" s="66" t="s">
        <v>41</v>
      </c>
      <c r="D17" s="66">
        <v>6</v>
      </c>
      <c r="E17" s="66">
        <f>6+O17+R17+U17+X17+AA17+AD17+AG17+AJ17+AM17+AP17+AS17+AV17+AY17+BB17+BE17+BH17+BK17+BN17+BQ17+BT17+BW17+BZ17+CC17+CF17+CI17+CL17+CO17+CR17+CU17</f>
        <v>6</v>
      </c>
      <c r="F17" s="108">
        <f t="shared" si="1"/>
        <v>0</v>
      </c>
      <c r="G17" s="125">
        <v>1</v>
      </c>
      <c r="H17" s="46">
        <f t="shared" si="3"/>
        <v>1</v>
      </c>
      <c r="I17" s="83"/>
      <c r="J17" s="126" t="s">
        <v>31</v>
      </c>
      <c r="K17" s="66"/>
      <c r="L17" s="85"/>
      <c r="M17" s="109"/>
      <c r="N17" s="117">
        <v>0</v>
      </c>
      <c r="O17" s="94">
        <v>0</v>
      </c>
      <c r="P17" s="118">
        <v>0</v>
      </c>
      <c r="Q17" s="119">
        <v>0</v>
      </c>
      <c r="R17" s="94">
        <v>0</v>
      </c>
      <c r="S17" s="120">
        <v>0</v>
      </c>
      <c r="T17" s="117">
        <v>0</v>
      </c>
      <c r="U17" s="94">
        <v>0</v>
      </c>
      <c r="V17" s="118">
        <v>0</v>
      </c>
      <c r="W17" s="119">
        <v>0</v>
      </c>
      <c r="X17" s="94">
        <v>0</v>
      </c>
      <c r="Y17" s="121">
        <v>0</v>
      </c>
      <c r="Z17" s="117">
        <v>0</v>
      </c>
      <c r="AA17" s="94">
        <v>0</v>
      </c>
      <c r="AB17" s="122">
        <v>0</v>
      </c>
      <c r="AC17" s="117">
        <v>0</v>
      </c>
      <c r="AD17" s="94">
        <v>0</v>
      </c>
      <c r="AE17" s="118">
        <v>0</v>
      </c>
      <c r="AF17" s="117">
        <v>0</v>
      </c>
      <c r="AG17" s="94">
        <v>0</v>
      </c>
      <c r="AH17" s="118">
        <v>0</v>
      </c>
      <c r="AI17" s="89"/>
      <c r="AJ17" s="90"/>
      <c r="AK17" s="91"/>
      <c r="AL17" s="89"/>
      <c r="AM17" s="90"/>
      <c r="AN17" s="93"/>
      <c r="AO17" s="102"/>
      <c r="AP17" s="90"/>
      <c r="AQ17" s="90"/>
      <c r="AR17" s="92"/>
      <c r="AS17" s="90"/>
      <c r="AT17" s="91"/>
      <c r="AU17" s="92"/>
      <c r="AV17" s="90"/>
      <c r="AW17" s="93"/>
      <c r="AX17" s="89"/>
      <c r="AY17" s="90"/>
      <c r="AZ17" s="91"/>
      <c r="BA17" s="92"/>
      <c r="BB17" s="90"/>
      <c r="BC17" s="93"/>
      <c r="BD17" s="89"/>
      <c r="BE17" s="90"/>
      <c r="BF17" s="91"/>
      <c r="BG17" s="92"/>
      <c r="BH17" s="90"/>
      <c r="BI17" s="91"/>
      <c r="BJ17" s="92"/>
      <c r="BK17" s="90"/>
      <c r="BL17" s="91"/>
      <c r="BM17" s="92"/>
      <c r="BN17" s="90"/>
      <c r="BO17" s="91"/>
      <c r="BP17" s="92"/>
      <c r="BQ17" s="90"/>
      <c r="BR17" s="91"/>
      <c r="BS17" s="92"/>
      <c r="BT17" s="90"/>
      <c r="BU17" s="91"/>
      <c r="BV17" s="92"/>
      <c r="BW17" s="90"/>
      <c r="BX17" s="91"/>
      <c r="BY17" s="92"/>
      <c r="BZ17" s="90"/>
      <c r="CA17" s="91"/>
      <c r="CB17" s="92"/>
      <c r="CC17" s="90"/>
      <c r="CD17" s="91"/>
      <c r="CE17" s="92"/>
      <c r="CF17" s="90"/>
      <c r="CG17" s="91"/>
      <c r="CH17" s="92"/>
      <c r="CI17" s="90"/>
      <c r="CJ17" s="91"/>
      <c r="CK17" s="92"/>
      <c r="CL17" s="90"/>
      <c r="CM17" s="91"/>
      <c r="CN17" s="92"/>
      <c r="CO17" s="90"/>
      <c r="CP17" s="91"/>
      <c r="CQ17" s="92"/>
      <c r="CR17" s="90"/>
      <c r="CS17" s="91"/>
      <c r="CT17" s="92"/>
      <c r="CU17" s="90"/>
      <c r="CV17" s="91"/>
      <c r="CW17" s="107"/>
    </row>
    <row r="18" spans="1:101" ht="15.75" customHeight="1" x14ac:dyDescent="0.25">
      <c r="A18" s="501" t="s">
        <v>21</v>
      </c>
      <c r="B18" s="111" t="s">
        <v>47</v>
      </c>
      <c r="C18" s="51" t="s">
        <v>18</v>
      </c>
      <c r="D18" s="52">
        <v>1</v>
      </c>
      <c r="E18" s="53">
        <f>(H19+H20)/2</f>
        <v>0.86466165413533835</v>
      </c>
      <c r="F18" s="52">
        <f t="shared" si="1"/>
        <v>0.13533834586466165</v>
      </c>
      <c r="G18" s="112"/>
      <c r="H18" s="52">
        <f>E18</f>
        <v>0.86466165413533835</v>
      </c>
      <c r="I18" s="55"/>
      <c r="J18" s="56"/>
      <c r="K18" s="51" t="s">
        <v>36</v>
      </c>
      <c r="L18" s="113"/>
      <c r="M18" s="127"/>
      <c r="N18" s="59"/>
      <c r="O18" s="60"/>
      <c r="P18" s="61"/>
      <c r="Q18" s="59"/>
      <c r="R18" s="60"/>
      <c r="S18" s="62"/>
      <c r="T18" s="63"/>
      <c r="U18" s="60"/>
      <c r="V18" s="61"/>
      <c r="W18" s="59"/>
      <c r="X18" s="60"/>
      <c r="Y18" s="64"/>
      <c r="Z18" s="63"/>
      <c r="AA18" s="60"/>
      <c r="AB18" s="68"/>
      <c r="AC18" s="63"/>
      <c r="AD18" s="60"/>
      <c r="AE18" s="61"/>
      <c r="AF18" s="63"/>
      <c r="AG18" s="60"/>
      <c r="AH18" s="61"/>
      <c r="AI18" s="63"/>
      <c r="AJ18" s="60"/>
      <c r="AK18" s="61"/>
      <c r="AL18" s="63"/>
      <c r="AM18" s="60"/>
      <c r="AN18" s="69"/>
      <c r="AO18" s="71"/>
      <c r="AP18" s="60"/>
      <c r="AQ18" s="60"/>
      <c r="AR18" s="72"/>
      <c r="AS18" s="60"/>
      <c r="AT18" s="61"/>
      <c r="AU18" s="59"/>
      <c r="AV18" s="60"/>
      <c r="AW18" s="62"/>
      <c r="AX18" s="63"/>
      <c r="AY18" s="60"/>
      <c r="AZ18" s="61"/>
      <c r="BA18" s="59"/>
      <c r="BB18" s="60"/>
      <c r="BC18" s="62"/>
      <c r="BD18" s="63"/>
      <c r="BE18" s="60"/>
      <c r="BF18" s="61"/>
      <c r="BG18" s="59"/>
      <c r="BH18" s="60"/>
      <c r="BI18" s="61"/>
      <c r="BJ18" s="59"/>
      <c r="BK18" s="60"/>
      <c r="BL18" s="61"/>
      <c r="BM18" s="59"/>
      <c r="BN18" s="60"/>
      <c r="BO18" s="61"/>
      <c r="BP18" s="59"/>
      <c r="BQ18" s="60"/>
      <c r="BR18" s="61"/>
      <c r="BS18" s="59"/>
      <c r="BT18" s="60"/>
      <c r="BU18" s="61"/>
      <c r="BV18" s="59"/>
      <c r="BW18" s="60"/>
      <c r="BX18" s="61"/>
      <c r="BY18" s="59"/>
      <c r="BZ18" s="60"/>
      <c r="CA18" s="61"/>
      <c r="CB18" s="59"/>
      <c r="CC18" s="60"/>
      <c r="CD18" s="61"/>
      <c r="CE18" s="59"/>
      <c r="CF18" s="60"/>
      <c r="CG18" s="61"/>
      <c r="CH18" s="59"/>
      <c r="CI18" s="60"/>
      <c r="CJ18" s="61"/>
      <c r="CK18" s="59"/>
      <c r="CL18" s="60"/>
      <c r="CM18" s="61"/>
      <c r="CN18" s="59"/>
      <c r="CO18" s="60"/>
      <c r="CP18" s="61"/>
      <c r="CQ18" s="59"/>
      <c r="CR18" s="60"/>
      <c r="CS18" s="61"/>
      <c r="CT18" s="59"/>
      <c r="CU18" s="60"/>
      <c r="CV18" s="61"/>
      <c r="CW18" s="73"/>
    </row>
    <row r="19" spans="1:101" ht="15.75" customHeight="1" x14ac:dyDescent="0.25">
      <c r="A19" s="502"/>
      <c r="B19" s="75" t="s">
        <v>39</v>
      </c>
      <c r="C19" s="66" t="s">
        <v>38</v>
      </c>
      <c r="D19" s="66">
        <v>3.99</v>
      </c>
      <c r="E19" s="70">
        <f>1.99+O19+R19+U19+X19+AA19+AD19+AG19+AJ19+AM19+AP19+AS19+AV19+AY19+BB19+BE19+BH19+BK19+BN19+BQ19+BT19+BW19+BZ19+CC19+CF19+CI19+CL19+CO19+CR19+CU19</f>
        <v>2.91</v>
      </c>
      <c r="F19" s="70">
        <f t="shared" si="1"/>
        <v>1.08</v>
      </c>
      <c r="G19" s="36"/>
      <c r="H19" s="46">
        <f t="shared" ref="H19:H20" si="4">E19/D19</f>
        <v>0.72932330827067671</v>
      </c>
      <c r="I19" s="83">
        <f ca="1">INDEX($N19:$BF19,,MATCH($B$3,$N$7:$BF$7,0)+1)/D19</f>
        <v>3.7593984962406013E-2</v>
      </c>
      <c r="J19" s="74">
        <v>42724</v>
      </c>
      <c r="K19" s="66"/>
      <c r="L19" s="116">
        <v>5</v>
      </c>
      <c r="M19" s="87">
        <v>8</v>
      </c>
      <c r="N19" s="89"/>
      <c r="O19" s="90"/>
      <c r="P19" s="91"/>
      <c r="Q19" s="92"/>
      <c r="R19" s="90"/>
      <c r="S19" s="93"/>
      <c r="T19" s="89">
        <v>0.1</v>
      </c>
      <c r="U19" s="90">
        <v>0.11</v>
      </c>
      <c r="V19" s="91"/>
      <c r="W19" s="92">
        <v>0.1</v>
      </c>
      <c r="X19" s="94">
        <v>0.11</v>
      </c>
      <c r="Y19" s="95"/>
      <c r="Z19" s="89"/>
      <c r="AA19" s="90"/>
      <c r="AB19" s="96"/>
      <c r="AC19" s="89">
        <v>0.1</v>
      </c>
      <c r="AD19" s="94">
        <v>0.05</v>
      </c>
      <c r="AE19" s="91"/>
      <c r="AF19" s="89">
        <v>0.1</v>
      </c>
      <c r="AG19" s="94">
        <v>0.1</v>
      </c>
      <c r="AH19" s="91"/>
      <c r="AI19" s="67">
        <v>0.2</v>
      </c>
      <c r="AJ19" s="98">
        <v>0.15</v>
      </c>
      <c r="AK19" s="97">
        <f>AJ19/AI19</f>
        <v>0.74999999999999989</v>
      </c>
      <c r="AL19" s="99">
        <v>0.2</v>
      </c>
      <c r="AM19" s="98">
        <v>0.2</v>
      </c>
      <c r="AN19" s="100">
        <f>AM19/AL19</f>
        <v>1</v>
      </c>
      <c r="AO19" s="76">
        <v>0.2</v>
      </c>
      <c r="AP19" s="128">
        <v>0.2</v>
      </c>
      <c r="AQ19" s="106">
        <f>AP19/AO19</f>
        <v>1</v>
      </c>
      <c r="AR19" s="129">
        <v>0.2</v>
      </c>
      <c r="AS19" s="130"/>
      <c r="AT19" s="131"/>
      <c r="AU19" s="129"/>
      <c r="AV19" s="130"/>
      <c r="AW19" s="132"/>
      <c r="AX19" s="133">
        <v>0.2</v>
      </c>
      <c r="AY19" s="130"/>
      <c r="AZ19" s="131"/>
      <c r="BA19" s="129">
        <v>0.2</v>
      </c>
      <c r="BB19" s="130"/>
      <c r="BC19" s="132"/>
      <c r="BD19" s="133">
        <v>0.2</v>
      </c>
      <c r="BE19" s="130"/>
      <c r="BF19" s="131"/>
      <c r="BG19" s="129">
        <v>0.2</v>
      </c>
      <c r="BH19" s="90"/>
      <c r="BI19" s="91"/>
      <c r="BJ19" s="92"/>
      <c r="BK19" s="90"/>
      <c r="BL19" s="91"/>
      <c r="BM19" s="92"/>
      <c r="BN19" s="90"/>
      <c r="BO19" s="91"/>
      <c r="BP19" s="92"/>
      <c r="BQ19" s="90"/>
      <c r="BR19" s="91"/>
      <c r="BS19" s="92"/>
      <c r="BT19" s="90"/>
      <c r="BU19" s="91"/>
      <c r="BV19" s="92"/>
      <c r="BW19" s="90"/>
      <c r="BX19" s="91"/>
      <c r="BY19" s="92"/>
      <c r="BZ19" s="90"/>
      <c r="CA19" s="91"/>
      <c r="CB19" s="92"/>
      <c r="CC19" s="90"/>
      <c r="CD19" s="91"/>
      <c r="CE19" s="92"/>
      <c r="CF19" s="90"/>
      <c r="CG19" s="91"/>
      <c r="CH19" s="92"/>
      <c r="CI19" s="90"/>
      <c r="CJ19" s="91"/>
      <c r="CK19" s="92"/>
      <c r="CL19" s="90"/>
      <c r="CM19" s="91"/>
      <c r="CN19" s="92"/>
      <c r="CO19" s="90"/>
      <c r="CP19" s="91"/>
      <c r="CQ19" s="92"/>
      <c r="CR19" s="90"/>
      <c r="CS19" s="91"/>
      <c r="CT19" s="92"/>
      <c r="CU19" s="90"/>
      <c r="CV19" s="91"/>
      <c r="CW19" s="107"/>
    </row>
    <row r="20" spans="1:101" ht="15.75" customHeight="1" x14ac:dyDescent="0.25">
      <c r="A20" s="503"/>
      <c r="B20" s="75" t="s">
        <v>40</v>
      </c>
      <c r="C20" s="66" t="s">
        <v>41</v>
      </c>
      <c r="D20" s="66">
        <v>33</v>
      </c>
      <c r="E20" s="66">
        <f>33+O20+R20+U20+X20+AA20+AD20+AG20+AJ20+AM20+AP20+AS20+AV20+AY20+BB20+BE20+BH20+BK20+BN20+BQ20+BT20+BW20+BZ20+CC20+CF20+CI20+CL20+CO20+CR20+CU20</f>
        <v>33</v>
      </c>
      <c r="F20" s="108">
        <f t="shared" si="1"/>
        <v>0</v>
      </c>
      <c r="G20" s="36"/>
      <c r="H20" s="46">
        <f t="shared" si="4"/>
        <v>1</v>
      </c>
      <c r="I20" s="83"/>
      <c r="J20" s="74" t="s">
        <v>31</v>
      </c>
      <c r="K20" s="66"/>
      <c r="L20" s="85"/>
      <c r="M20" s="109"/>
      <c r="N20" s="89"/>
      <c r="O20" s="90"/>
      <c r="P20" s="91"/>
      <c r="Q20" s="92"/>
      <c r="R20" s="90"/>
      <c r="S20" s="93"/>
      <c r="T20" s="89"/>
      <c r="U20" s="90"/>
      <c r="V20" s="91"/>
      <c r="W20" s="92"/>
      <c r="X20" s="90"/>
      <c r="Y20" s="95"/>
      <c r="Z20" s="89"/>
      <c r="AA20" s="90"/>
      <c r="AB20" s="96"/>
      <c r="AC20" s="89"/>
      <c r="AD20" s="90"/>
      <c r="AE20" s="91"/>
      <c r="AF20" s="89"/>
      <c r="AG20" s="90"/>
      <c r="AH20" s="91"/>
      <c r="AI20" s="89"/>
      <c r="AJ20" s="90"/>
      <c r="AK20" s="91"/>
      <c r="AL20" s="133"/>
      <c r="AM20" s="130"/>
      <c r="AN20" s="132"/>
      <c r="AO20" s="76"/>
      <c r="AP20" s="130"/>
      <c r="AQ20" s="130"/>
      <c r="AR20" s="129"/>
      <c r="AS20" s="130"/>
      <c r="AT20" s="131"/>
      <c r="AU20" s="129"/>
      <c r="AV20" s="130"/>
      <c r="AW20" s="132"/>
      <c r="AX20" s="133"/>
      <c r="AY20" s="130"/>
      <c r="AZ20" s="131"/>
      <c r="BA20" s="129"/>
      <c r="BB20" s="130"/>
      <c r="BC20" s="132"/>
      <c r="BD20" s="133"/>
      <c r="BE20" s="130"/>
      <c r="BF20" s="131"/>
      <c r="BG20" s="129"/>
      <c r="BH20" s="90"/>
      <c r="BI20" s="91"/>
      <c r="BJ20" s="92"/>
      <c r="BK20" s="90"/>
      <c r="BL20" s="91"/>
      <c r="BM20" s="92"/>
      <c r="BN20" s="90"/>
      <c r="BO20" s="91"/>
      <c r="BP20" s="92"/>
      <c r="BQ20" s="90"/>
      <c r="BR20" s="91"/>
      <c r="BS20" s="92"/>
      <c r="BT20" s="90"/>
      <c r="BU20" s="91"/>
      <c r="BV20" s="92"/>
      <c r="BW20" s="90"/>
      <c r="BX20" s="91"/>
      <c r="BY20" s="92"/>
      <c r="BZ20" s="90"/>
      <c r="CA20" s="91"/>
      <c r="CB20" s="92"/>
      <c r="CC20" s="90"/>
      <c r="CD20" s="91"/>
      <c r="CE20" s="92"/>
      <c r="CF20" s="90"/>
      <c r="CG20" s="91"/>
      <c r="CH20" s="92"/>
      <c r="CI20" s="90"/>
      <c r="CJ20" s="91"/>
      <c r="CK20" s="92"/>
      <c r="CL20" s="90"/>
      <c r="CM20" s="91"/>
      <c r="CN20" s="92"/>
      <c r="CO20" s="90"/>
      <c r="CP20" s="91"/>
      <c r="CQ20" s="92"/>
      <c r="CR20" s="90"/>
      <c r="CS20" s="91"/>
      <c r="CT20" s="92"/>
      <c r="CU20" s="90"/>
      <c r="CV20" s="91"/>
      <c r="CW20" s="107"/>
    </row>
    <row r="21" spans="1:101" ht="15.75" customHeight="1" x14ac:dyDescent="0.25">
      <c r="A21" s="501" t="s">
        <v>22</v>
      </c>
      <c r="B21" s="135" t="s">
        <v>49</v>
      </c>
      <c r="C21" s="136" t="s">
        <v>18</v>
      </c>
      <c r="D21" s="137">
        <v>1</v>
      </c>
      <c r="E21" s="53">
        <f>(H22+H23+H24)/3</f>
        <v>0.50555555555555565</v>
      </c>
      <c r="F21" s="137">
        <f t="shared" si="1"/>
        <v>0.49444444444444435</v>
      </c>
      <c r="G21" s="138"/>
      <c r="H21" s="137">
        <f>E21</f>
        <v>0.50555555555555565</v>
      </c>
      <c r="I21" s="139"/>
      <c r="J21" s="140"/>
      <c r="K21" s="136" t="s">
        <v>34</v>
      </c>
      <c r="L21" s="113"/>
      <c r="M21" s="114"/>
      <c r="N21" s="143"/>
      <c r="O21" s="145"/>
      <c r="P21" s="147"/>
      <c r="Q21" s="143"/>
      <c r="R21" s="145"/>
      <c r="S21" s="149"/>
      <c r="T21" s="150"/>
      <c r="U21" s="145"/>
      <c r="V21" s="147"/>
      <c r="W21" s="143"/>
      <c r="X21" s="145"/>
      <c r="Y21" s="152"/>
      <c r="Z21" s="150"/>
      <c r="AA21" s="145"/>
      <c r="AB21" s="154"/>
      <c r="AC21" s="150"/>
      <c r="AD21" s="145"/>
      <c r="AE21" s="147"/>
      <c r="AF21" s="150"/>
      <c r="AG21" s="145"/>
      <c r="AH21" s="147"/>
      <c r="AI21" s="150"/>
      <c r="AJ21" s="145"/>
      <c r="AK21" s="147"/>
      <c r="AL21" s="156"/>
      <c r="AM21" s="157"/>
      <c r="AN21" s="158"/>
      <c r="AO21" s="159"/>
      <c r="AP21" s="157"/>
      <c r="AQ21" s="157"/>
      <c r="AR21" s="160"/>
      <c r="AS21" s="157"/>
      <c r="AT21" s="161"/>
      <c r="AU21" s="162"/>
      <c r="AV21" s="157"/>
      <c r="AW21" s="163"/>
      <c r="AX21" s="156"/>
      <c r="AY21" s="157"/>
      <c r="AZ21" s="161"/>
      <c r="BA21" s="162"/>
      <c r="BB21" s="157"/>
      <c r="BC21" s="163"/>
      <c r="BD21" s="156"/>
      <c r="BE21" s="157"/>
      <c r="BF21" s="161"/>
      <c r="BG21" s="162"/>
      <c r="BH21" s="145"/>
      <c r="BI21" s="147"/>
      <c r="BJ21" s="143"/>
      <c r="BK21" s="145"/>
      <c r="BL21" s="147"/>
      <c r="BM21" s="143"/>
      <c r="BN21" s="145"/>
      <c r="BO21" s="147"/>
      <c r="BP21" s="143"/>
      <c r="BQ21" s="145"/>
      <c r="BR21" s="147"/>
      <c r="BS21" s="143"/>
      <c r="BT21" s="145"/>
      <c r="BU21" s="147"/>
      <c r="BV21" s="143"/>
      <c r="BW21" s="145"/>
      <c r="BX21" s="147"/>
      <c r="BY21" s="143"/>
      <c r="BZ21" s="145"/>
      <c r="CA21" s="147"/>
      <c r="CB21" s="143"/>
      <c r="CC21" s="145"/>
      <c r="CD21" s="147"/>
      <c r="CE21" s="143"/>
      <c r="CF21" s="145"/>
      <c r="CG21" s="147"/>
      <c r="CH21" s="143"/>
      <c r="CI21" s="145"/>
      <c r="CJ21" s="147"/>
      <c r="CK21" s="143"/>
      <c r="CL21" s="145"/>
      <c r="CM21" s="147"/>
      <c r="CN21" s="143"/>
      <c r="CO21" s="145"/>
      <c r="CP21" s="147"/>
      <c r="CQ21" s="143"/>
      <c r="CR21" s="145"/>
      <c r="CS21" s="147"/>
      <c r="CT21" s="143"/>
      <c r="CU21" s="145"/>
      <c r="CV21" s="147"/>
      <c r="CW21" s="73"/>
    </row>
    <row r="22" spans="1:101" ht="15.75" customHeight="1" x14ac:dyDescent="0.25">
      <c r="A22" s="502"/>
      <c r="B22" s="65" t="s">
        <v>51</v>
      </c>
      <c r="C22" s="66" t="s">
        <v>38</v>
      </c>
      <c r="D22" s="164">
        <v>1.5</v>
      </c>
      <c r="E22" s="70">
        <f>1+O22+R22+U22+X22+AA22+AD22+AG22+AJ22+AM22+AP22+AS22+AV22+AY22+BB22+BE22+BH22+BK22+BN22+BQ22+BT22+BW22+BZ22+CC22+CF22+CI22+CL22+CO22+CR22+CU22</f>
        <v>1.1500000000000001</v>
      </c>
      <c r="F22" s="70">
        <f t="shared" si="1"/>
        <v>0.34999999999999987</v>
      </c>
      <c r="G22" s="125">
        <v>0</v>
      </c>
      <c r="H22" s="46">
        <f t="shared" ref="H22:H24" si="5">E22/D22</f>
        <v>0.76666666666666672</v>
      </c>
      <c r="I22" s="83">
        <f ca="1">INDEX($N22:$BF22,,MATCH($B$3,$N$7:$BF$7,0)+1)/D22</f>
        <v>3.3333333333333333E-2</v>
      </c>
      <c r="J22" s="74">
        <v>42724</v>
      </c>
      <c r="K22" s="66"/>
      <c r="L22" s="165">
        <v>8</v>
      </c>
      <c r="M22" s="166">
        <v>8</v>
      </c>
      <c r="N22" s="117">
        <v>0</v>
      </c>
      <c r="O22" s="94">
        <v>0</v>
      </c>
      <c r="P22" s="118">
        <v>0</v>
      </c>
      <c r="Q22" s="119">
        <v>0</v>
      </c>
      <c r="R22" s="94">
        <v>0</v>
      </c>
      <c r="S22" s="120">
        <v>0</v>
      </c>
      <c r="T22" s="117">
        <v>0</v>
      </c>
      <c r="U22" s="94">
        <v>0</v>
      </c>
      <c r="V22" s="118">
        <v>0</v>
      </c>
      <c r="W22" s="119">
        <v>0</v>
      </c>
      <c r="X22" s="94">
        <v>0</v>
      </c>
      <c r="Y22" s="121">
        <v>0</v>
      </c>
      <c r="Z22" s="117">
        <v>0</v>
      </c>
      <c r="AA22" s="94">
        <v>0</v>
      </c>
      <c r="AB22" s="122">
        <v>0</v>
      </c>
      <c r="AC22" s="117">
        <v>0</v>
      </c>
      <c r="AD22" s="94">
        <v>0</v>
      </c>
      <c r="AE22" s="118">
        <v>0</v>
      </c>
      <c r="AF22" s="117">
        <v>0.05</v>
      </c>
      <c r="AG22" s="117">
        <v>0.05</v>
      </c>
      <c r="AH22" s="118">
        <v>100</v>
      </c>
      <c r="AI22" s="67">
        <v>0.05</v>
      </c>
      <c r="AJ22" s="98">
        <v>0.05</v>
      </c>
      <c r="AK22" s="97">
        <f t="shared" ref="AK22:AK23" si="6">AJ22/AI22</f>
        <v>1</v>
      </c>
      <c r="AL22" s="167">
        <v>0.05</v>
      </c>
      <c r="AM22" s="98">
        <v>0.05</v>
      </c>
      <c r="AN22" s="100">
        <f t="shared" ref="AN22:AN23" si="7">AM22/AL22</f>
        <v>1</v>
      </c>
      <c r="AO22" s="169">
        <v>0.05</v>
      </c>
      <c r="AP22" s="170"/>
      <c r="AQ22" s="106">
        <f t="shared" ref="AQ22:AQ24" si="8">AP22/AO22</f>
        <v>0</v>
      </c>
      <c r="AR22" s="171">
        <v>0.05</v>
      </c>
      <c r="AS22" s="130"/>
      <c r="AT22" s="131"/>
      <c r="AU22" s="172">
        <v>0.05</v>
      </c>
      <c r="AV22" s="130"/>
      <c r="AW22" s="132"/>
      <c r="AX22" s="173">
        <v>0.05</v>
      </c>
      <c r="AY22" s="130"/>
      <c r="AZ22" s="131"/>
      <c r="BA22" s="172">
        <v>0.05</v>
      </c>
      <c r="BB22" s="130"/>
      <c r="BC22" s="132"/>
      <c r="BD22" s="173">
        <v>0.05</v>
      </c>
      <c r="BE22" s="130"/>
      <c r="BF22" s="131"/>
      <c r="BG22" s="172">
        <v>0.05</v>
      </c>
      <c r="BH22" s="90"/>
      <c r="BI22" s="91"/>
      <c r="BJ22" s="92"/>
      <c r="BK22" s="90"/>
      <c r="BL22" s="91"/>
      <c r="BM22" s="92"/>
      <c r="BN22" s="90"/>
      <c r="BO22" s="91"/>
      <c r="BP22" s="92"/>
      <c r="BQ22" s="90"/>
      <c r="BR22" s="91"/>
      <c r="BS22" s="92"/>
      <c r="BT22" s="90"/>
      <c r="BU22" s="91"/>
      <c r="BV22" s="92"/>
      <c r="BW22" s="90"/>
      <c r="BX22" s="91"/>
      <c r="BY22" s="92"/>
      <c r="BZ22" s="90"/>
      <c r="CA22" s="91"/>
      <c r="CB22" s="92"/>
      <c r="CC22" s="90"/>
      <c r="CD22" s="91"/>
      <c r="CE22" s="92"/>
      <c r="CF22" s="90"/>
      <c r="CG22" s="91"/>
      <c r="CH22" s="92"/>
      <c r="CI22" s="90"/>
      <c r="CJ22" s="91"/>
      <c r="CK22" s="92"/>
      <c r="CL22" s="90"/>
      <c r="CM22" s="91"/>
      <c r="CN22" s="92"/>
      <c r="CO22" s="90"/>
      <c r="CP22" s="91"/>
      <c r="CQ22" s="92"/>
      <c r="CR22" s="90"/>
      <c r="CS22" s="91"/>
      <c r="CT22" s="92"/>
      <c r="CU22" s="90"/>
      <c r="CV22" s="91"/>
      <c r="CW22" s="174"/>
    </row>
    <row r="23" spans="1:101" ht="15.75" customHeight="1" x14ac:dyDescent="0.25">
      <c r="A23" s="502"/>
      <c r="B23" s="65" t="s">
        <v>39</v>
      </c>
      <c r="C23" s="66" t="s">
        <v>38</v>
      </c>
      <c r="D23" s="70">
        <v>0.2</v>
      </c>
      <c r="E23" s="70">
        <f>O23+R23+U23+X23+AA23+AD23+AG23+AJ23+AM23+AP23+AS23+AV23+AY23+BB23+BE23+BH23+BK23+BN23+BQ23+BT23+BW23+BZ23+CC23+CF23+CI23+CL23+CO23+CR23+CU23</f>
        <v>0.15000000000000002</v>
      </c>
      <c r="F23" s="70">
        <f t="shared" si="1"/>
        <v>4.9999999999999989E-2</v>
      </c>
      <c r="G23" s="125">
        <v>1</v>
      </c>
      <c r="H23" s="46">
        <f t="shared" si="5"/>
        <v>0.75000000000000011</v>
      </c>
      <c r="I23" s="83">
        <f t="shared" ref="I22:I24" si="9">AP23/D23</f>
        <v>0</v>
      </c>
      <c r="J23" s="74">
        <v>42724</v>
      </c>
      <c r="K23" s="66"/>
      <c r="L23" s="116">
        <v>3</v>
      </c>
      <c r="M23" s="175" t="s">
        <v>53</v>
      </c>
      <c r="N23" s="117">
        <v>0</v>
      </c>
      <c r="O23" s="94">
        <v>0</v>
      </c>
      <c r="P23" s="118">
        <v>0</v>
      </c>
      <c r="Q23" s="119">
        <v>0</v>
      </c>
      <c r="R23" s="94">
        <v>0</v>
      </c>
      <c r="S23" s="120">
        <v>0</v>
      </c>
      <c r="T23" s="117">
        <v>0</v>
      </c>
      <c r="U23" s="94">
        <v>0</v>
      </c>
      <c r="V23" s="118">
        <v>0</v>
      </c>
      <c r="W23" s="119">
        <v>0</v>
      </c>
      <c r="X23" s="94">
        <v>0</v>
      </c>
      <c r="Y23" s="121">
        <v>0</v>
      </c>
      <c r="Z23" s="117">
        <v>0</v>
      </c>
      <c r="AA23" s="94">
        <v>0</v>
      </c>
      <c r="AB23" s="122">
        <v>0</v>
      </c>
      <c r="AC23" s="117">
        <v>0</v>
      </c>
      <c r="AD23" s="94">
        <v>0</v>
      </c>
      <c r="AE23" s="118">
        <v>0</v>
      </c>
      <c r="AF23" s="176">
        <v>0.05</v>
      </c>
      <c r="AG23" s="176">
        <v>0.05</v>
      </c>
      <c r="AH23" s="118">
        <v>100</v>
      </c>
      <c r="AI23" s="67">
        <v>0.05</v>
      </c>
      <c r="AJ23" s="98">
        <v>0.05</v>
      </c>
      <c r="AK23" s="97">
        <f t="shared" si="6"/>
        <v>1</v>
      </c>
      <c r="AL23" s="178">
        <v>0.05</v>
      </c>
      <c r="AM23" s="98">
        <v>0.05</v>
      </c>
      <c r="AN23" s="100">
        <f t="shared" si="7"/>
        <v>1</v>
      </c>
      <c r="AO23" s="179">
        <v>0.05</v>
      </c>
      <c r="AP23" s="170"/>
      <c r="AQ23" s="106">
        <f t="shared" si="8"/>
        <v>0</v>
      </c>
      <c r="AR23" s="171">
        <v>0.05</v>
      </c>
      <c r="AS23" s="130"/>
      <c r="AT23" s="131"/>
      <c r="AU23" s="129"/>
      <c r="AV23" s="130"/>
      <c r="AW23" s="132"/>
      <c r="AX23" s="133"/>
      <c r="AY23" s="130"/>
      <c r="AZ23" s="131"/>
      <c r="BA23" s="129"/>
      <c r="BB23" s="130"/>
      <c r="BC23" s="132"/>
      <c r="BD23" s="133"/>
      <c r="BE23" s="130"/>
      <c r="BF23" s="131"/>
      <c r="BG23" s="129"/>
      <c r="BH23" s="90"/>
      <c r="BI23" s="91"/>
      <c r="BJ23" s="92"/>
      <c r="BK23" s="90"/>
      <c r="BL23" s="91"/>
      <c r="BM23" s="92"/>
      <c r="BN23" s="90"/>
      <c r="BO23" s="91"/>
      <c r="BP23" s="92"/>
      <c r="BQ23" s="90"/>
      <c r="BR23" s="91"/>
      <c r="BS23" s="92"/>
      <c r="BT23" s="90"/>
      <c r="BU23" s="91"/>
      <c r="BV23" s="92"/>
      <c r="BW23" s="90"/>
      <c r="BX23" s="91"/>
      <c r="BY23" s="92"/>
      <c r="BZ23" s="90"/>
      <c r="CA23" s="91"/>
      <c r="CB23" s="92"/>
      <c r="CC23" s="90"/>
      <c r="CD23" s="91"/>
      <c r="CE23" s="92"/>
      <c r="CF23" s="90"/>
      <c r="CG23" s="91"/>
      <c r="CH23" s="92"/>
      <c r="CI23" s="90"/>
      <c r="CJ23" s="91"/>
      <c r="CK23" s="92"/>
      <c r="CL23" s="90"/>
      <c r="CM23" s="91"/>
      <c r="CN23" s="92"/>
      <c r="CO23" s="90"/>
      <c r="CP23" s="91"/>
      <c r="CQ23" s="92"/>
      <c r="CR23" s="90"/>
      <c r="CS23" s="91"/>
      <c r="CT23" s="92"/>
      <c r="CU23" s="90"/>
      <c r="CV23" s="91"/>
      <c r="CW23" s="107"/>
    </row>
    <row r="24" spans="1:101" ht="15.75" customHeight="1" x14ac:dyDescent="0.25">
      <c r="A24" s="503"/>
      <c r="B24" s="65" t="s">
        <v>40</v>
      </c>
      <c r="C24" s="66" t="s">
        <v>41</v>
      </c>
      <c r="D24" s="66">
        <v>2</v>
      </c>
      <c r="E24" s="66">
        <v>0</v>
      </c>
      <c r="F24" s="108">
        <f t="shared" si="1"/>
        <v>2</v>
      </c>
      <c r="G24" s="125">
        <v>0</v>
      </c>
      <c r="H24" s="46">
        <f t="shared" si="5"/>
        <v>0</v>
      </c>
      <c r="I24" s="83">
        <f t="shared" si="9"/>
        <v>0</v>
      </c>
      <c r="J24" s="74">
        <v>42724</v>
      </c>
      <c r="K24" s="66"/>
      <c r="L24" s="116">
        <v>2</v>
      </c>
      <c r="M24" s="109"/>
      <c r="N24" s="180">
        <v>0</v>
      </c>
      <c r="O24" s="94">
        <v>0</v>
      </c>
      <c r="P24" s="182">
        <v>0</v>
      </c>
      <c r="Q24" s="119">
        <v>0</v>
      </c>
      <c r="R24" s="94">
        <v>0</v>
      </c>
      <c r="S24" s="120">
        <v>0</v>
      </c>
      <c r="T24" s="117">
        <v>0</v>
      </c>
      <c r="U24" s="94">
        <v>0</v>
      </c>
      <c r="V24" s="118">
        <v>0</v>
      </c>
      <c r="W24" s="119">
        <v>0</v>
      </c>
      <c r="X24" s="94">
        <v>0</v>
      </c>
      <c r="Y24" s="121">
        <v>0</v>
      </c>
      <c r="Z24" s="117">
        <v>0</v>
      </c>
      <c r="AA24" s="94">
        <v>0</v>
      </c>
      <c r="AB24" s="122">
        <v>0</v>
      </c>
      <c r="AC24" s="117">
        <v>0</v>
      </c>
      <c r="AD24" s="94">
        <v>0</v>
      </c>
      <c r="AE24" s="118">
        <v>0</v>
      </c>
      <c r="AF24" s="117">
        <v>0</v>
      </c>
      <c r="AG24" s="94">
        <v>0</v>
      </c>
      <c r="AH24" s="91"/>
      <c r="AI24" s="183">
        <v>0</v>
      </c>
      <c r="AJ24" s="185">
        <v>0</v>
      </c>
      <c r="AK24" s="122">
        <v>0</v>
      </c>
      <c r="AL24" s="173">
        <v>0</v>
      </c>
      <c r="AM24" s="130"/>
      <c r="AN24" s="132"/>
      <c r="AO24" s="76">
        <v>2</v>
      </c>
      <c r="AP24" s="170"/>
      <c r="AQ24" s="106">
        <f t="shared" si="8"/>
        <v>0</v>
      </c>
      <c r="AR24" s="129"/>
      <c r="AS24" s="130"/>
      <c r="AT24" s="131"/>
      <c r="AU24" s="129"/>
      <c r="AV24" s="130"/>
      <c r="AW24" s="132"/>
      <c r="AX24" s="133"/>
      <c r="AY24" s="130"/>
      <c r="AZ24" s="131"/>
      <c r="BA24" s="129"/>
      <c r="BB24" s="130"/>
      <c r="BC24" s="132"/>
      <c r="BD24" s="133"/>
      <c r="BE24" s="130"/>
      <c r="BF24" s="131"/>
      <c r="BG24" s="129"/>
      <c r="BH24" s="90"/>
      <c r="BI24" s="91"/>
      <c r="BJ24" s="92"/>
      <c r="BK24" s="90"/>
      <c r="BL24" s="91"/>
      <c r="BM24" s="92"/>
      <c r="BN24" s="90"/>
      <c r="BO24" s="91"/>
      <c r="BP24" s="92"/>
      <c r="BQ24" s="90"/>
      <c r="BR24" s="91"/>
      <c r="BS24" s="92"/>
      <c r="BT24" s="90"/>
      <c r="BU24" s="91"/>
      <c r="BV24" s="92"/>
      <c r="BW24" s="90"/>
      <c r="BX24" s="91"/>
      <c r="BY24" s="92"/>
      <c r="BZ24" s="90"/>
      <c r="CA24" s="91"/>
      <c r="CB24" s="92"/>
      <c r="CC24" s="90"/>
      <c r="CD24" s="91"/>
      <c r="CE24" s="92"/>
      <c r="CF24" s="90"/>
      <c r="CG24" s="91"/>
      <c r="CH24" s="92"/>
      <c r="CI24" s="90"/>
      <c r="CJ24" s="91"/>
      <c r="CK24" s="92"/>
      <c r="CL24" s="90"/>
      <c r="CM24" s="91"/>
      <c r="CN24" s="92"/>
      <c r="CO24" s="90"/>
      <c r="CP24" s="91"/>
      <c r="CQ24" s="92"/>
      <c r="CR24" s="90"/>
      <c r="CS24" s="91"/>
      <c r="CT24" s="92"/>
      <c r="CU24" s="90"/>
      <c r="CV24" s="91"/>
      <c r="CW24" s="107"/>
    </row>
    <row r="25" spans="1:101" ht="15.75" hidden="1" customHeight="1" x14ac:dyDescent="0.25">
      <c r="A25" s="501"/>
      <c r="B25" s="111" t="s">
        <v>54</v>
      </c>
      <c r="C25" s="51" t="s">
        <v>18</v>
      </c>
      <c r="D25" s="52">
        <v>1</v>
      </c>
      <c r="E25" s="53" t="e">
        <f>E26*D25/D26</f>
        <v>#DIV/0!</v>
      </c>
      <c r="F25" s="186" t="e">
        <f t="shared" si="1"/>
        <v>#DIV/0!</v>
      </c>
      <c r="G25" s="112"/>
      <c r="H25" s="186"/>
      <c r="I25" s="55"/>
      <c r="J25" s="56"/>
      <c r="K25" s="51" t="s">
        <v>55</v>
      </c>
      <c r="L25" s="113"/>
      <c r="M25" s="114"/>
      <c r="N25" s="187"/>
      <c r="O25" s="60"/>
      <c r="P25" s="188"/>
      <c r="Q25" s="59"/>
      <c r="R25" s="60"/>
      <c r="S25" s="62"/>
      <c r="T25" s="63"/>
      <c r="U25" s="60"/>
      <c r="V25" s="61"/>
      <c r="W25" s="59"/>
      <c r="X25" s="60"/>
      <c r="Y25" s="64"/>
      <c r="Z25" s="63"/>
      <c r="AA25" s="60"/>
      <c r="AB25" s="68"/>
      <c r="AC25" s="63"/>
      <c r="AD25" s="60"/>
      <c r="AE25" s="61"/>
      <c r="AF25" s="63"/>
      <c r="AG25" s="60"/>
      <c r="AH25" s="61"/>
      <c r="AI25" s="63"/>
      <c r="AJ25" s="60"/>
      <c r="AK25" s="61"/>
      <c r="AL25" s="189"/>
      <c r="AM25" s="190"/>
      <c r="AN25" s="191"/>
      <c r="AO25" s="192"/>
      <c r="AP25" s="190"/>
      <c r="AQ25" s="190"/>
      <c r="AR25" s="193"/>
      <c r="AS25" s="190"/>
      <c r="AT25" s="194"/>
      <c r="AU25" s="195"/>
      <c r="AV25" s="190"/>
      <c r="AW25" s="196"/>
      <c r="AX25" s="189"/>
      <c r="AY25" s="190"/>
      <c r="AZ25" s="194"/>
      <c r="BA25" s="195"/>
      <c r="BB25" s="190"/>
      <c r="BC25" s="196"/>
      <c r="BD25" s="189"/>
      <c r="BE25" s="190"/>
      <c r="BF25" s="194"/>
      <c r="BG25" s="195"/>
      <c r="BH25" s="60"/>
      <c r="BI25" s="61"/>
      <c r="BJ25" s="59"/>
      <c r="BK25" s="60"/>
      <c r="BL25" s="61"/>
      <c r="BM25" s="59"/>
      <c r="BN25" s="60"/>
      <c r="BO25" s="61"/>
      <c r="BP25" s="59"/>
      <c r="BQ25" s="60"/>
      <c r="BR25" s="61"/>
      <c r="BS25" s="59"/>
      <c r="BT25" s="60"/>
      <c r="BU25" s="61"/>
      <c r="BV25" s="59"/>
      <c r="BW25" s="60"/>
      <c r="BX25" s="61"/>
      <c r="BY25" s="59"/>
      <c r="BZ25" s="60"/>
      <c r="CA25" s="61"/>
      <c r="CB25" s="59"/>
      <c r="CC25" s="60"/>
      <c r="CD25" s="61"/>
      <c r="CE25" s="59"/>
      <c r="CF25" s="60"/>
      <c r="CG25" s="61"/>
      <c r="CH25" s="59"/>
      <c r="CI25" s="60"/>
      <c r="CJ25" s="61"/>
      <c r="CK25" s="59"/>
      <c r="CL25" s="60"/>
      <c r="CM25" s="61"/>
      <c r="CN25" s="59"/>
      <c r="CO25" s="60"/>
      <c r="CP25" s="61"/>
      <c r="CQ25" s="59"/>
      <c r="CR25" s="60"/>
      <c r="CS25" s="61"/>
      <c r="CT25" s="59"/>
      <c r="CU25" s="60"/>
      <c r="CV25" s="61"/>
      <c r="CW25" s="73"/>
    </row>
    <row r="26" spans="1:101" ht="15.75" hidden="1" customHeight="1" x14ac:dyDescent="0.25">
      <c r="A26" s="502"/>
      <c r="B26" s="65" t="s">
        <v>39</v>
      </c>
      <c r="C26" s="66" t="s">
        <v>38</v>
      </c>
      <c r="D26" s="70"/>
      <c r="E26" s="70"/>
      <c r="F26" s="70"/>
      <c r="G26" s="70"/>
      <c r="H26" s="197"/>
      <c r="I26" s="198"/>
      <c r="J26" s="74"/>
      <c r="K26" s="66"/>
      <c r="L26" s="85"/>
      <c r="M26" s="199"/>
      <c r="N26" s="200"/>
      <c r="O26" s="90"/>
      <c r="P26" s="202"/>
      <c r="Q26" s="92"/>
      <c r="R26" s="90"/>
      <c r="S26" s="93"/>
      <c r="T26" s="89"/>
      <c r="U26" s="90"/>
      <c r="V26" s="91"/>
      <c r="W26" s="92"/>
      <c r="X26" s="90"/>
      <c r="Y26" s="95"/>
      <c r="Z26" s="89"/>
      <c r="AA26" s="90"/>
      <c r="AB26" s="96"/>
      <c r="AC26" s="89"/>
      <c r="AD26" s="90"/>
      <c r="AE26" s="91"/>
      <c r="AF26" s="89"/>
      <c r="AG26" s="90"/>
      <c r="AH26" s="91"/>
      <c r="AI26" s="89"/>
      <c r="AJ26" s="90"/>
      <c r="AK26" s="91"/>
      <c r="AL26" s="133"/>
      <c r="AM26" s="130"/>
      <c r="AN26" s="132"/>
      <c r="AO26" s="76"/>
      <c r="AP26" s="130"/>
      <c r="AQ26" s="130"/>
      <c r="AR26" s="129"/>
      <c r="AS26" s="130"/>
      <c r="AT26" s="131"/>
      <c r="AU26" s="129"/>
      <c r="AV26" s="130"/>
      <c r="AW26" s="132"/>
      <c r="AX26" s="133"/>
      <c r="AY26" s="130"/>
      <c r="AZ26" s="131"/>
      <c r="BA26" s="129"/>
      <c r="BB26" s="130"/>
      <c r="BC26" s="132"/>
      <c r="BD26" s="133"/>
      <c r="BE26" s="130"/>
      <c r="BF26" s="131"/>
      <c r="BG26" s="129"/>
      <c r="BH26" s="90"/>
      <c r="BI26" s="91"/>
      <c r="BJ26" s="92"/>
      <c r="BK26" s="90"/>
      <c r="BL26" s="91"/>
      <c r="BM26" s="92"/>
      <c r="BN26" s="90"/>
      <c r="BO26" s="91"/>
      <c r="BP26" s="92"/>
      <c r="BQ26" s="90"/>
      <c r="BR26" s="91"/>
      <c r="BS26" s="92"/>
      <c r="BT26" s="90"/>
      <c r="BU26" s="91"/>
      <c r="BV26" s="92"/>
      <c r="BW26" s="90"/>
      <c r="BX26" s="91"/>
      <c r="BY26" s="92"/>
      <c r="BZ26" s="90"/>
      <c r="CA26" s="91"/>
      <c r="CB26" s="92"/>
      <c r="CC26" s="90"/>
      <c r="CD26" s="91"/>
      <c r="CE26" s="92"/>
      <c r="CF26" s="90"/>
      <c r="CG26" s="91"/>
      <c r="CH26" s="92"/>
      <c r="CI26" s="90"/>
      <c r="CJ26" s="91"/>
      <c r="CK26" s="92"/>
      <c r="CL26" s="90"/>
      <c r="CM26" s="91"/>
      <c r="CN26" s="92"/>
      <c r="CO26" s="90"/>
      <c r="CP26" s="91"/>
      <c r="CQ26" s="92"/>
      <c r="CR26" s="90"/>
      <c r="CS26" s="91"/>
      <c r="CT26" s="92"/>
      <c r="CU26" s="90"/>
      <c r="CV26" s="91"/>
      <c r="CW26" s="107"/>
    </row>
    <row r="27" spans="1:101" ht="1.5" hidden="1" customHeight="1" x14ac:dyDescent="0.25">
      <c r="A27" s="503"/>
      <c r="B27" s="65" t="s">
        <v>40</v>
      </c>
      <c r="C27" s="66" t="s">
        <v>41</v>
      </c>
      <c r="D27" s="70"/>
      <c r="E27" s="70"/>
      <c r="F27" s="70"/>
      <c r="G27" s="70"/>
      <c r="H27" s="197"/>
      <c r="I27" s="198"/>
      <c r="J27" s="74"/>
      <c r="K27" s="66"/>
      <c r="L27" s="85"/>
      <c r="M27" s="199"/>
      <c r="N27" s="200"/>
      <c r="O27" s="203"/>
      <c r="P27" s="202"/>
      <c r="Q27" s="92"/>
      <c r="R27" s="90"/>
      <c r="S27" s="93"/>
      <c r="T27" s="89"/>
      <c r="U27" s="90"/>
      <c r="V27" s="91"/>
      <c r="W27" s="92"/>
      <c r="X27" s="90"/>
      <c r="Y27" s="95"/>
      <c r="Z27" s="89"/>
      <c r="AA27" s="90"/>
      <c r="AB27" s="96"/>
      <c r="AC27" s="89"/>
      <c r="AD27" s="90"/>
      <c r="AE27" s="91"/>
      <c r="AF27" s="89"/>
      <c r="AG27" s="90"/>
      <c r="AH27" s="91"/>
      <c r="AI27" s="89"/>
      <c r="AJ27" s="90"/>
      <c r="AK27" s="91"/>
      <c r="AL27" s="133"/>
      <c r="AM27" s="130"/>
      <c r="AN27" s="132"/>
      <c r="AO27" s="76"/>
      <c r="AP27" s="130"/>
      <c r="AQ27" s="130"/>
      <c r="AR27" s="129"/>
      <c r="AS27" s="130"/>
      <c r="AT27" s="131"/>
      <c r="AU27" s="129"/>
      <c r="AV27" s="130"/>
      <c r="AW27" s="132"/>
      <c r="AX27" s="133"/>
      <c r="AY27" s="130"/>
      <c r="AZ27" s="131"/>
      <c r="BA27" s="129"/>
      <c r="BB27" s="130"/>
      <c r="BC27" s="132"/>
      <c r="BD27" s="133"/>
      <c r="BE27" s="130"/>
      <c r="BF27" s="131"/>
      <c r="BG27" s="129"/>
      <c r="BH27" s="90"/>
      <c r="BI27" s="91"/>
      <c r="BJ27" s="92"/>
      <c r="BK27" s="90"/>
      <c r="BL27" s="91"/>
      <c r="BM27" s="92"/>
      <c r="BN27" s="90"/>
      <c r="BO27" s="91"/>
      <c r="BP27" s="92"/>
      <c r="BQ27" s="90"/>
      <c r="BR27" s="91"/>
      <c r="BS27" s="92"/>
      <c r="BT27" s="90"/>
      <c r="BU27" s="91"/>
      <c r="BV27" s="92"/>
      <c r="BW27" s="90"/>
      <c r="BX27" s="91"/>
      <c r="BY27" s="92"/>
      <c r="BZ27" s="90"/>
      <c r="CA27" s="91"/>
      <c r="CB27" s="92"/>
      <c r="CC27" s="90"/>
      <c r="CD27" s="91"/>
      <c r="CE27" s="92"/>
      <c r="CF27" s="90"/>
      <c r="CG27" s="91"/>
      <c r="CH27" s="92"/>
      <c r="CI27" s="90"/>
      <c r="CJ27" s="91"/>
      <c r="CK27" s="92"/>
      <c r="CL27" s="90"/>
      <c r="CM27" s="91"/>
      <c r="CN27" s="92"/>
      <c r="CO27" s="90"/>
      <c r="CP27" s="91"/>
      <c r="CQ27" s="92"/>
      <c r="CR27" s="90"/>
      <c r="CS27" s="91"/>
      <c r="CT27" s="92"/>
      <c r="CU27" s="90"/>
      <c r="CV27" s="91"/>
      <c r="CW27" s="107"/>
    </row>
    <row r="28" spans="1:101" ht="15.75" customHeight="1" x14ac:dyDescent="0.25">
      <c r="A28" s="501" t="s">
        <v>23</v>
      </c>
      <c r="B28" s="204" t="s">
        <v>58</v>
      </c>
      <c r="C28" s="51" t="s">
        <v>18</v>
      </c>
      <c r="D28" s="52">
        <v>1</v>
      </c>
      <c r="E28" s="53">
        <f>(H29+H30)/2</f>
        <v>0.65508110300081102</v>
      </c>
      <c r="F28" s="52">
        <f t="shared" ref="F28:F31" si="10">D28-E28</f>
        <v>0.34491889699918898</v>
      </c>
      <c r="G28" s="205"/>
      <c r="H28" s="52">
        <f>E28</f>
        <v>0.65508110300081102</v>
      </c>
      <c r="I28" s="55"/>
      <c r="J28" s="56">
        <v>42724</v>
      </c>
      <c r="K28" s="206" t="s">
        <v>59</v>
      </c>
      <c r="L28" s="51"/>
      <c r="M28" s="207"/>
      <c r="N28" s="208"/>
      <c r="O28" s="209"/>
      <c r="P28" s="210"/>
      <c r="Q28" s="211"/>
      <c r="R28" s="209"/>
      <c r="S28" s="212"/>
      <c r="T28" s="211"/>
      <c r="U28" s="209"/>
      <c r="V28" s="212"/>
      <c r="W28" s="213"/>
      <c r="X28" s="207"/>
      <c r="Y28" s="214"/>
      <c r="Z28" s="213"/>
      <c r="AA28" s="207"/>
      <c r="AB28" s="214"/>
      <c r="AC28" s="213"/>
      <c r="AD28" s="207"/>
      <c r="AE28" s="215"/>
      <c r="AF28" s="213"/>
      <c r="AG28" s="207"/>
      <c r="AH28" s="207"/>
      <c r="AI28" s="63"/>
      <c r="AJ28" s="60"/>
      <c r="AK28" s="61"/>
      <c r="AL28" s="189"/>
      <c r="AM28" s="190"/>
      <c r="AN28" s="191"/>
      <c r="AO28" s="192"/>
      <c r="AP28" s="190"/>
      <c r="AQ28" s="190"/>
      <c r="AR28" s="193"/>
      <c r="AS28" s="190"/>
      <c r="AT28" s="194"/>
      <c r="AU28" s="195"/>
      <c r="AV28" s="190"/>
      <c r="AW28" s="196"/>
      <c r="AX28" s="189"/>
      <c r="AY28" s="190"/>
      <c r="AZ28" s="194"/>
      <c r="BA28" s="195"/>
      <c r="BB28" s="190"/>
      <c r="BC28" s="196"/>
      <c r="BD28" s="189"/>
      <c r="BE28" s="190"/>
      <c r="BF28" s="194"/>
      <c r="BG28" s="195"/>
      <c r="BH28" s="60"/>
      <c r="BI28" s="61"/>
      <c r="BJ28" s="59"/>
      <c r="BK28" s="60"/>
      <c r="BL28" s="61"/>
      <c r="BM28" s="59"/>
      <c r="BN28" s="60"/>
      <c r="BO28" s="61"/>
      <c r="BP28" s="59"/>
      <c r="BQ28" s="60"/>
      <c r="BR28" s="61"/>
      <c r="BS28" s="59"/>
      <c r="BT28" s="60"/>
      <c r="BU28" s="61"/>
      <c r="BV28" s="59"/>
      <c r="BW28" s="60"/>
      <c r="BX28" s="61"/>
      <c r="BY28" s="59"/>
      <c r="BZ28" s="60"/>
      <c r="CA28" s="61"/>
      <c r="CB28" s="59"/>
      <c r="CC28" s="60"/>
      <c r="CD28" s="61"/>
      <c r="CE28" s="59"/>
      <c r="CF28" s="60"/>
      <c r="CG28" s="61"/>
      <c r="CH28" s="59"/>
      <c r="CI28" s="60"/>
      <c r="CJ28" s="61"/>
      <c r="CK28" s="59"/>
      <c r="CL28" s="60"/>
      <c r="CM28" s="61"/>
      <c r="CN28" s="59"/>
      <c r="CO28" s="60"/>
      <c r="CP28" s="61"/>
      <c r="CQ28" s="59"/>
      <c r="CR28" s="60"/>
      <c r="CS28" s="61"/>
      <c r="CT28" s="59"/>
      <c r="CU28" s="60"/>
      <c r="CV28" s="61"/>
      <c r="CW28" s="73"/>
    </row>
    <row r="29" spans="1:101" ht="15.75" customHeight="1" x14ac:dyDescent="0.25">
      <c r="A29" s="502"/>
      <c r="B29" s="65" t="s">
        <v>39</v>
      </c>
      <c r="C29" s="66" t="s">
        <v>38</v>
      </c>
      <c r="D29" s="70">
        <v>20.55</v>
      </c>
      <c r="E29" s="70">
        <f>9.55+O29+R29+U29+X29+AA29+AD29+AG29+AJ29+AM29+AP29+AS29+AV29+AY29+BB29+BE29+BH29+BK29+BN29+BQ29+BT29+BW29+BZ29+CC29+CF29+CI29+CL29+CO29+CR29+CU29</f>
        <v>12.927000000000003</v>
      </c>
      <c r="F29" s="70">
        <f t="shared" si="10"/>
        <v>7.6229999999999976</v>
      </c>
      <c r="G29" s="217"/>
      <c r="H29" s="46">
        <f t="shared" ref="H29:H30" si="11">E29/D29</f>
        <v>0.62905109489051103</v>
      </c>
      <c r="I29" s="83">
        <f t="shared" ref="I29:I30" si="12">AP29/D29</f>
        <v>6.1800486618004864E-3</v>
      </c>
      <c r="J29" s="74"/>
      <c r="K29" s="66"/>
      <c r="L29" s="66"/>
      <c r="M29" s="218"/>
      <c r="N29" s="219">
        <v>0.4</v>
      </c>
      <c r="O29" s="219">
        <v>0.4</v>
      </c>
      <c r="P29" s="220">
        <v>0.1</v>
      </c>
      <c r="Q29" s="219">
        <v>0.4</v>
      </c>
      <c r="R29" s="219">
        <v>0.4</v>
      </c>
      <c r="S29" s="220">
        <v>0.1</v>
      </c>
      <c r="T29" s="219">
        <v>0.4</v>
      </c>
      <c r="U29" s="219">
        <v>0.4</v>
      </c>
      <c r="V29" s="221"/>
      <c r="W29" s="219">
        <v>0.4</v>
      </c>
      <c r="X29" s="219">
        <v>0.4</v>
      </c>
      <c r="Y29" s="221"/>
      <c r="Z29" s="219">
        <v>0.4</v>
      </c>
      <c r="AA29" s="219">
        <v>0.4</v>
      </c>
      <c r="AB29" s="221"/>
      <c r="AC29" s="219">
        <v>0.4</v>
      </c>
      <c r="AD29" s="222">
        <v>1.25</v>
      </c>
      <c r="AE29" s="223">
        <f>AD29/AC29</f>
        <v>3.125</v>
      </c>
      <c r="AF29" s="224">
        <v>400</v>
      </c>
      <c r="AG29" s="218"/>
      <c r="AH29" s="218"/>
      <c r="AI29" s="89"/>
      <c r="AJ29" s="90"/>
      <c r="AK29" s="91"/>
      <c r="AL29" s="225">
        <v>0.4</v>
      </c>
      <c r="AM29" s="226">
        <v>0</v>
      </c>
      <c r="AN29" s="100">
        <f t="shared" ref="AN29:AN30" si="13">AM29/AL29</f>
        <v>0</v>
      </c>
      <c r="AO29" s="126">
        <v>0.1</v>
      </c>
      <c r="AP29" s="232">
        <v>0.127</v>
      </c>
      <c r="AQ29" s="106">
        <f t="shared" ref="AQ29:AQ30" si="14">AP29/AO29</f>
        <v>1.27</v>
      </c>
      <c r="AR29" s="129"/>
      <c r="AS29" s="130"/>
      <c r="AT29" s="131"/>
      <c r="AU29" s="129"/>
      <c r="AV29" s="130"/>
      <c r="AW29" s="132"/>
      <c r="AX29" s="133"/>
      <c r="AY29" s="130"/>
      <c r="AZ29" s="131"/>
      <c r="BA29" s="129"/>
      <c r="BB29" s="130"/>
      <c r="BC29" s="132"/>
      <c r="BD29" s="133"/>
      <c r="BE29" s="130"/>
      <c r="BF29" s="131"/>
      <c r="BG29" s="129"/>
      <c r="BH29" s="90"/>
      <c r="BI29" s="91"/>
      <c r="BJ29" s="92"/>
      <c r="BK29" s="90"/>
      <c r="BL29" s="91"/>
      <c r="BM29" s="92"/>
      <c r="BN29" s="90"/>
      <c r="BO29" s="91"/>
      <c r="BP29" s="92"/>
      <c r="BQ29" s="90"/>
      <c r="BR29" s="91"/>
      <c r="BS29" s="92"/>
      <c r="BT29" s="90"/>
      <c r="BU29" s="91"/>
      <c r="BV29" s="92"/>
      <c r="BW29" s="90"/>
      <c r="BX29" s="91"/>
      <c r="BY29" s="92"/>
      <c r="BZ29" s="90"/>
      <c r="CA29" s="91"/>
      <c r="CB29" s="92"/>
      <c r="CC29" s="90"/>
      <c r="CD29" s="91"/>
      <c r="CE29" s="92"/>
      <c r="CF29" s="90"/>
      <c r="CG29" s="91"/>
      <c r="CH29" s="92"/>
      <c r="CI29" s="90"/>
      <c r="CJ29" s="91"/>
      <c r="CK29" s="92"/>
      <c r="CL29" s="90"/>
      <c r="CM29" s="91"/>
      <c r="CN29" s="92"/>
      <c r="CO29" s="90"/>
      <c r="CP29" s="91"/>
      <c r="CQ29" s="92"/>
      <c r="CR29" s="90"/>
      <c r="CS29" s="91"/>
      <c r="CT29" s="92"/>
      <c r="CU29" s="90"/>
      <c r="CV29" s="91"/>
      <c r="CW29" s="107"/>
    </row>
    <row r="30" spans="1:101" ht="15.75" customHeight="1" x14ac:dyDescent="0.25">
      <c r="A30" s="503"/>
      <c r="B30" s="65" t="s">
        <v>40</v>
      </c>
      <c r="C30" s="66" t="s">
        <v>41</v>
      </c>
      <c r="D30" s="66">
        <v>1800</v>
      </c>
      <c r="E30" s="218">
        <f>958+O30+R30+U30+X30+AA30+AD30+AG30+AJ30+AM30+AP30+AS30+AV30+AY30+BB30+BE30+BH30+BK30+BN30+BQ30+BT30+BW30+BZ30+CC30+CF30+CI30+CL30+CO30+CR30+CU30</f>
        <v>1226</v>
      </c>
      <c r="F30" s="108">
        <f t="shared" si="10"/>
        <v>574</v>
      </c>
      <c r="G30" s="217"/>
      <c r="H30" s="46">
        <f t="shared" si="11"/>
        <v>0.68111111111111111</v>
      </c>
      <c r="I30" s="83">
        <f t="shared" si="12"/>
        <v>0.01</v>
      </c>
      <c r="J30" s="74"/>
      <c r="K30" s="66"/>
      <c r="L30" s="66"/>
      <c r="M30" s="218"/>
      <c r="N30" s="234">
        <v>10</v>
      </c>
      <c r="O30" s="218">
        <v>10</v>
      </c>
      <c r="P30" s="235">
        <f>O30*100/N30</f>
        <v>100</v>
      </c>
      <c r="Q30" s="224">
        <v>10</v>
      </c>
      <c r="R30" s="236">
        <v>60</v>
      </c>
      <c r="S30" s="221">
        <f>R30*100/Q30</f>
        <v>600</v>
      </c>
      <c r="T30" s="224">
        <v>10</v>
      </c>
      <c r="U30" s="237">
        <v>10</v>
      </c>
      <c r="V30" s="221"/>
      <c r="W30" s="224">
        <v>10</v>
      </c>
      <c r="X30" s="237">
        <v>10</v>
      </c>
      <c r="Y30" s="221"/>
      <c r="Z30" s="224">
        <v>10</v>
      </c>
      <c r="AA30" s="237">
        <v>10</v>
      </c>
      <c r="AB30" s="221"/>
      <c r="AC30" s="224">
        <v>10</v>
      </c>
      <c r="AD30" s="237">
        <v>10</v>
      </c>
      <c r="AE30" s="238">
        <v>100</v>
      </c>
      <c r="AF30" s="224">
        <v>10</v>
      </c>
      <c r="AG30" s="218"/>
      <c r="AH30" s="218"/>
      <c r="AI30" s="89"/>
      <c r="AJ30" s="90"/>
      <c r="AK30" s="91"/>
      <c r="AL30" s="167">
        <v>10</v>
      </c>
      <c r="AM30" s="239">
        <v>140</v>
      </c>
      <c r="AN30" s="100">
        <f t="shared" si="13"/>
        <v>14</v>
      </c>
      <c r="AO30" s="169">
        <v>10</v>
      </c>
      <c r="AP30" s="240">
        <v>18</v>
      </c>
      <c r="AQ30" s="106">
        <f t="shared" si="14"/>
        <v>1.8</v>
      </c>
      <c r="AR30" s="129"/>
      <c r="AS30" s="130"/>
      <c r="AT30" s="131"/>
      <c r="AU30" s="129"/>
      <c r="AV30" s="130"/>
      <c r="AW30" s="132"/>
      <c r="AX30" s="133"/>
      <c r="AY30" s="130"/>
      <c r="AZ30" s="131"/>
      <c r="BA30" s="129"/>
      <c r="BB30" s="130"/>
      <c r="BC30" s="132"/>
      <c r="BD30" s="133"/>
      <c r="BE30" s="130"/>
      <c r="BF30" s="131"/>
      <c r="BG30" s="129"/>
      <c r="BH30" s="90"/>
      <c r="BI30" s="91"/>
      <c r="BJ30" s="92"/>
      <c r="BK30" s="90"/>
      <c r="BL30" s="91"/>
      <c r="BM30" s="92"/>
      <c r="BN30" s="90"/>
      <c r="BO30" s="91"/>
      <c r="BP30" s="92"/>
      <c r="BQ30" s="90"/>
      <c r="BR30" s="91"/>
      <c r="BS30" s="92"/>
      <c r="BT30" s="90"/>
      <c r="BU30" s="91"/>
      <c r="BV30" s="92"/>
      <c r="BW30" s="90"/>
      <c r="BX30" s="91"/>
      <c r="BY30" s="92"/>
      <c r="BZ30" s="90"/>
      <c r="CA30" s="91"/>
      <c r="CB30" s="92"/>
      <c r="CC30" s="90"/>
      <c r="CD30" s="91"/>
      <c r="CE30" s="92"/>
      <c r="CF30" s="90"/>
      <c r="CG30" s="91"/>
      <c r="CH30" s="92"/>
      <c r="CI30" s="90"/>
      <c r="CJ30" s="91"/>
      <c r="CK30" s="92"/>
      <c r="CL30" s="90"/>
      <c r="CM30" s="91"/>
      <c r="CN30" s="92"/>
      <c r="CO30" s="90"/>
      <c r="CP30" s="91"/>
      <c r="CQ30" s="92"/>
      <c r="CR30" s="90"/>
      <c r="CS30" s="91"/>
      <c r="CT30" s="92"/>
      <c r="CU30" s="90"/>
      <c r="CV30" s="91"/>
      <c r="CW30" s="107"/>
    </row>
    <row r="31" spans="1:101" ht="15.75" customHeight="1" x14ac:dyDescent="0.25">
      <c r="A31" s="501" t="s">
        <v>24</v>
      </c>
      <c r="B31" s="111" t="s">
        <v>64</v>
      </c>
      <c r="C31" s="51" t="s">
        <v>18</v>
      </c>
      <c r="D31" s="52">
        <v>1</v>
      </c>
      <c r="E31" s="242">
        <v>0</v>
      </c>
      <c r="F31" s="52">
        <f t="shared" si="10"/>
        <v>1</v>
      </c>
      <c r="G31" s="112"/>
      <c r="H31" s="186"/>
      <c r="I31" s="55"/>
      <c r="J31" s="56"/>
      <c r="K31" s="51" t="s">
        <v>65</v>
      </c>
      <c r="L31" s="113"/>
      <c r="M31" s="114"/>
      <c r="N31" s="187"/>
      <c r="O31" s="60"/>
      <c r="P31" s="188"/>
      <c r="Q31" s="59"/>
      <c r="R31" s="60"/>
      <c r="S31" s="62"/>
      <c r="T31" s="63"/>
      <c r="U31" s="60"/>
      <c r="V31" s="61"/>
      <c r="W31" s="59"/>
      <c r="X31" s="60"/>
      <c r="Y31" s="64"/>
      <c r="Z31" s="63"/>
      <c r="AA31" s="60"/>
      <c r="AB31" s="68"/>
      <c r="AC31" s="63"/>
      <c r="AD31" s="60"/>
      <c r="AE31" s="61"/>
      <c r="AF31" s="63"/>
      <c r="AG31" s="60"/>
      <c r="AH31" s="61"/>
      <c r="AI31" s="63"/>
      <c r="AJ31" s="60"/>
      <c r="AK31" s="61"/>
      <c r="AL31" s="189"/>
      <c r="AM31" s="190"/>
      <c r="AN31" s="191"/>
      <c r="AO31" s="192"/>
      <c r="AP31" s="190"/>
      <c r="AQ31" s="190"/>
      <c r="AR31" s="193"/>
      <c r="AS31" s="190"/>
      <c r="AT31" s="194"/>
      <c r="AU31" s="195"/>
      <c r="AV31" s="190"/>
      <c r="AW31" s="196"/>
      <c r="AX31" s="189"/>
      <c r="AY31" s="190"/>
      <c r="AZ31" s="194"/>
      <c r="BA31" s="195"/>
      <c r="BB31" s="190"/>
      <c r="BC31" s="196"/>
      <c r="BD31" s="189"/>
      <c r="BE31" s="190"/>
      <c r="BF31" s="194"/>
      <c r="BG31" s="195"/>
      <c r="BH31" s="60"/>
      <c r="BI31" s="61"/>
      <c r="BJ31" s="59"/>
      <c r="BK31" s="60"/>
      <c r="BL31" s="61"/>
      <c r="BM31" s="59"/>
      <c r="BN31" s="60"/>
      <c r="BO31" s="61"/>
      <c r="BP31" s="59"/>
      <c r="BQ31" s="60"/>
      <c r="BR31" s="61"/>
      <c r="BS31" s="59"/>
      <c r="BT31" s="60"/>
      <c r="BU31" s="61"/>
      <c r="BV31" s="59"/>
      <c r="BW31" s="60"/>
      <c r="BX31" s="61"/>
      <c r="BY31" s="59"/>
      <c r="BZ31" s="60"/>
      <c r="CA31" s="61"/>
      <c r="CB31" s="59"/>
      <c r="CC31" s="60"/>
      <c r="CD31" s="61"/>
      <c r="CE31" s="59"/>
      <c r="CF31" s="60"/>
      <c r="CG31" s="61"/>
      <c r="CH31" s="59"/>
      <c r="CI31" s="60"/>
      <c r="CJ31" s="61"/>
      <c r="CK31" s="59"/>
      <c r="CL31" s="60"/>
      <c r="CM31" s="61"/>
      <c r="CN31" s="59"/>
      <c r="CO31" s="60"/>
      <c r="CP31" s="61"/>
      <c r="CQ31" s="59"/>
      <c r="CR31" s="60"/>
      <c r="CS31" s="61"/>
      <c r="CT31" s="59"/>
      <c r="CU31" s="60"/>
      <c r="CV31" s="61"/>
      <c r="CW31" s="73"/>
    </row>
    <row r="32" spans="1:101" ht="15.75" customHeight="1" x14ac:dyDescent="0.25">
      <c r="A32" s="502"/>
      <c r="B32" s="65" t="s">
        <v>39</v>
      </c>
      <c r="C32" s="66" t="s">
        <v>38</v>
      </c>
      <c r="D32" s="175">
        <v>5.91</v>
      </c>
      <c r="E32" s="175" t="s">
        <v>53</v>
      </c>
      <c r="F32" s="175" t="s">
        <v>53</v>
      </c>
      <c r="G32" s="70"/>
      <c r="H32" s="36"/>
      <c r="I32" s="198"/>
      <c r="J32" s="74"/>
      <c r="K32" s="66"/>
      <c r="L32" s="85"/>
      <c r="M32" s="199"/>
      <c r="N32" s="200"/>
      <c r="O32" s="244"/>
      <c r="P32" s="202"/>
      <c r="Q32" s="92"/>
      <c r="R32" s="90"/>
      <c r="S32" s="93"/>
      <c r="T32" s="89"/>
      <c r="U32" s="90"/>
      <c r="V32" s="91"/>
      <c r="W32" s="92"/>
      <c r="X32" s="90"/>
      <c r="Y32" s="95"/>
      <c r="Z32" s="89"/>
      <c r="AA32" s="90"/>
      <c r="AB32" s="96"/>
      <c r="AC32" s="89"/>
      <c r="AD32" s="90"/>
      <c r="AE32" s="91"/>
      <c r="AF32" s="89"/>
      <c r="AG32" s="90"/>
      <c r="AH32" s="91"/>
      <c r="AI32" s="89"/>
      <c r="AJ32" s="90"/>
      <c r="AK32" s="91"/>
      <c r="AL32" s="133"/>
      <c r="AM32" s="130"/>
      <c r="AN32" s="132"/>
      <c r="AO32" s="76"/>
      <c r="AP32" s="130"/>
      <c r="AQ32" s="130"/>
      <c r="AR32" s="129"/>
      <c r="AS32" s="130"/>
      <c r="AT32" s="131"/>
      <c r="AU32" s="129"/>
      <c r="AV32" s="130"/>
      <c r="AW32" s="132"/>
      <c r="AX32" s="133"/>
      <c r="AY32" s="130"/>
      <c r="AZ32" s="131"/>
      <c r="BA32" s="129"/>
      <c r="BB32" s="130"/>
      <c r="BC32" s="132"/>
      <c r="BD32" s="133"/>
      <c r="BE32" s="130"/>
      <c r="BF32" s="131"/>
      <c r="BG32" s="129"/>
      <c r="BH32" s="90"/>
      <c r="BI32" s="91"/>
      <c r="BJ32" s="92"/>
      <c r="BK32" s="90"/>
      <c r="BL32" s="91"/>
      <c r="BM32" s="92"/>
      <c r="BN32" s="90"/>
      <c r="BO32" s="91"/>
      <c r="BP32" s="92"/>
      <c r="BQ32" s="90"/>
      <c r="BR32" s="91"/>
      <c r="BS32" s="92"/>
      <c r="BT32" s="90"/>
      <c r="BU32" s="91"/>
      <c r="BV32" s="92"/>
      <c r="BW32" s="90"/>
      <c r="BX32" s="91"/>
      <c r="BY32" s="92"/>
      <c r="BZ32" s="90"/>
      <c r="CA32" s="91"/>
      <c r="CB32" s="92"/>
      <c r="CC32" s="90"/>
      <c r="CD32" s="91"/>
      <c r="CE32" s="92"/>
      <c r="CF32" s="90"/>
      <c r="CG32" s="91"/>
      <c r="CH32" s="92"/>
      <c r="CI32" s="90"/>
      <c r="CJ32" s="91"/>
      <c r="CK32" s="92"/>
      <c r="CL32" s="90"/>
      <c r="CM32" s="91"/>
      <c r="CN32" s="92"/>
      <c r="CO32" s="90"/>
      <c r="CP32" s="91"/>
      <c r="CQ32" s="92"/>
      <c r="CR32" s="90"/>
      <c r="CS32" s="91"/>
      <c r="CT32" s="92"/>
      <c r="CU32" s="90"/>
      <c r="CV32" s="91"/>
      <c r="CW32" s="107"/>
    </row>
    <row r="33" spans="1:101" ht="15.75" customHeight="1" x14ac:dyDescent="0.25">
      <c r="A33" s="503"/>
      <c r="B33" s="65" t="s">
        <v>40</v>
      </c>
      <c r="C33" s="66" t="s">
        <v>41</v>
      </c>
      <c r="D33" s="175">
        <v>33</v>
      </c>
      <c r="E33" s="175" t="s">
        <v>53</v>
      </c>
      <c r="F33" s="175" t="s">
        <v>53</v>
      </c>
      <c r="G33" s="70"/>
      <c r="H33" s="36"/>
      <c r="I33" s="198"/>
      <c r="J33" s="74"/>
      <c r="K33" s="66"/>
      <c r="L33" s="85"/>
      <c r="M33" s="199"/>
      <c r="N33" s="200"/>
      <c r="O33" s="90"/>
      <c r="P33" s="202"/>
      <c r="Q33" s="92"/>
      <c r="R33" s="90"/>
      <c r="S33" s="93"/>
      <c r="T33" s="89"/>
      <c r="U33" s="90"/>
      <c r="V33" s="91"/>
      <c r="W33" s="92"/>
      <c r="X33" s="90"/>
      <c r="Y33" s="95"/>
      <c r="Z33" s="89"/>
      <c r="AA33" s="90"/>
      <c r="AB33" s="96"/>
      <c r="AC33" s="89"/>
      <c r="AD33" s="90"/>
      <c r="AE33" s="91"/>
      <c r="AF33" s="89"/>
      <c r="AG33" s="90"/>
      <c r="AH33" s="91"/>
      <c r="AI33" s="89"/>
      <c r="AJ33" s="90"/>
      <c r="AK33" s="91"/>
      <c r="AL33" s="133"/>
      <c r="AM33" s="130"/>
      <c r="AN33" s="132"/>
      <c r="AO33" s="76"/>
      <c r="AP33" s="130"/>
      <c r="AQ33" s="130"/>
      <c r="AR33" s="129"/>
      <c r="AS33" s="130"/>
      <c r="AT33" s="131"/>
      <c r="AU33" s="129"/>
      <c r="AV33" s="130"/>
      <c r="AW33" s="132"/>
      <c r="AX33" s="133"/>
      <c r="AY33" s="130"/>
      <c r="AZ33" s="131"/>
      <c r="BA33" s="129"/>
      <c r="BB33" s="130"/>
      <c r="BC33" s="132"/>
      <c r="BD33" s="133"/>
      <c r="BE33" s="130"/>
      <c r="BF33" s="131"/>
      <c r="BG33" s="129"/>
      <c r="BH33" s="90"/>
      <c r="BI33" s="91"/>
      <c r="BJ33" s="92"/>
      <c r="BK33" s="90"/>
      <c r="BL33" s="91"/>
      <c r="BM33" s="92"/>
      <c r="BN33" s="90"/>
      <c r="BO33" s="91"/>
      <c r="BP33" s="92"/>
      <c r="BQ33" s="90"/>
      <c r="BR33" s="91"/>
      <c r="BS33" s="92"/>
      <c r="BT33" s="90"/>
      <c r="BU33" s="91"/>
      <c r="BV33" s="92"/>
      <c r="BW33" s="90"/>
      <c r="BX33" s="91"/>
      <c r="BY33" s="92"/>
      <c r="BZ33" s="90"/>
      <c r="CA33" s="91"/>
      <c r="CB33" s="92"/>
      <c r="CC33" s="90"/>
      <c r="CD33" s="91"/>
      <c r="CE33" s="92"/>
      <c r="CF33" s="90"/>
      <c r="CG33" s="91"/>
      <c r="CH33" s="92"/>
      <c r="CI33" s="90"/>
      <c r="CJ33" s="91"/>
      <c r="CK33" s="92"/>
      <c r="CL33" s="90"/>
      <c r="CM33" s="91"/>
      <c r="CN33" s="92"/>
      <c r="CO33" s="90"/>
      <c r="CP33" s="91"/>
      <c r="CQ33" s="92"/>
      <c r="CR33" s="90"/>
      <c r="CS33" s="91"/>
      <c r="CT33" s="92"/>
      <c r="CU33" s="90"/>
      <c r="CV33" s="91"/>
      <c r="CW33" s="107"/>
    </row>
    <row r="34" spans="1:101" ht="15.75" customHeight="1" x14ac:dyDescent="0.25">
      <c r="A34" s="512"/>
      <c r="B34" s="135" t="s">
        <v>66</v>
      </c>
      <c r="C34" s="51"/>
      <c r="D34" s="52">
        <v>1</v>
      </c>
      <c r="E34" s="53">
        <f>(H35+H36)/2</f>
        <v>0.73067632850241548</v>
      </c>
      <c r="F34" s="52">
        <f t="shared" ref="F34:F36" si="15">D34-E34</f>
        <v>0.26932367149758452</v>
      </c>
      <c r="G34" s="112"/>
      <c r="H34" s="52">
        <f>E34</f>
        <v>0.73067632850241548</v>
      </c>
      <c r="I34" s="246"/>
      <c r="J34" s="56"/>
      <c r="K34" s="247" t="s">
        <v>55</v>
      </c>
      <c r="L34" s="248"/>
      <c r="M34" s="249"/>
      <c r="N34" s="250"/>
      <c r="O34" s="251"/>
      <c r="P34" s="252"/>
      <c r="Q34" s="253"/>
      <c r="R34" s="251"/>
      <c r="S34" s="254"/>
      <c r="T34" s="255"/>
      <c r="U34" s="251"/>
      <c r="V34" s="256"/>
      <c r="W34" s="253"/>
      <c r="X34" s="251"/>
      <c r="Y34" s="257"/>
      <c r="Z34" s="255"/>
      <c r="AA34" s="251"/>
      <c r="AB34" s="258"/>
      <c r="AC34" s="255"/>
      <c r="AD34" s="251"/>
      <c r="AE34" s="256"/>
      <c r="AF34" s="255"/>
      <c r="AG34" s="251"/>
      <c r="AH34" s="256"/>
      <c r="AI34" s="255"/>
      <c r="AJ34" s="251"/>
      <c r="AK34" s="256"/>
      <c r="AL34" s="259"/>
      <c r="AM34" s="260"/>
      <c r="AN34" s="263"/>
      <c r="AO34" s="51"/>
      <c r="AP34" s="260"/>
      <c r="AQ34" s="260"/>
      <c r="AR34" s="264"/>
      <c r="AS34" s="260"/>
      <c r="AT34" s="265"/>
      <c r="AU34" s="264"/>
      <c r="AV34" s="260"/>
      <c r="AW34" s="263"/>
      <c r="AX34" s="259"/>
      <c r="AY34" s="260"/>
      <c r="AZ34" s="265"/>
      <c r="BA34" s="264"/>
      <c r="BB34" s="260"/>
      <c r="BC34" s="263"/>
      <c r="BD34" s="259"/>
      <c r="BE34" s="260"/>
      <c r="BF34" s="265"/>
      <c r="BG34" s="264"/>
      <c r="BH34" s="251"/>
      <c r="BI34" s="256"/>
      <c r="BJ34" s="253"/>
      <c r="BK34" s="251"/>
      <c r="BL34" s="256"/>
      <c r="BM34" s="253"/>
      <c r="BN34" s="251"/>
      <c r="BO34" s="256"/>
      <c r="BP34" s="253"/>
      <c r="BQ34" s="251"/>
      <c r="BR34" s="256"/>
      <c r="BS34" s="253"/>
      <c r="BT34" s="251"/>
      <c r="BU34" s="256"/>
      <c r="BV34" s="253"/>
      <c r="BW34" s="251"/>
      <c r="BX34" s="256"/>
      <c r="BY34" s="253"/>
      <c r="BZ34" s="251"/>
      <c r="CA34" s="256"/>
      <c r="CB34" s="253"/>
      <c r="CC34" s="251"/>
      <c r="CD34" s="256"/>
      <c r="CE34" s="253"/>
      <c r="CF34" s="251"/>
      <c r="CG34" s="256"/>
      <c r="CH34" s="253"/>
      <c r="CI34" s="251"/>
      <c r="CJ34" s="256"/>
      <c r="CK34" s="253"/>
      <c r="CL34" s="251"/>
      <c r="CM34" s="256"/>
      <c r="CN34" s="253"/>
      <c r="CO34" s="251"/>
      <c r="CP34" s="256"/>
      <c r="CQ34" s="253"/>
      <c r="CR34" s="251"/>
      <c r="CS34" s="256"/>
      <c r="CT34" s="253"/>
      <c r="CU34" s="251"/>
      <c r="CV34" s="256"/>
      <c r="CW34" s="266"/>
    </row>
    <row r="35" spans="1:101" ht="15.75" customHeight="1" x14ac:dyDescent="0.25">
      <c r="A35" s="502"/>
      <c r="B35" s="267" t="s">
        <v>40</v>
      </c>
      <c r="C35" s="126" t="s">
        <v>63</v>
      </c>
      <c r="D35" s="268">
        <v>312</v>
      </c>
      <c r="E35" s="66">
        <f>156+O35+R35+U35+X35+AA35+AD35+AG35+AJ35+AM35+AP35+AS35+AV35+AY35+BB35+BE35+BH35+BK35+BN35+BQ35+BT35+BW35+BZ35+CC35+CF35+CI35+CL35+CO35+CR35+CU35</f>
        <v>156</v>
      </c>
      <c r="F35" s="108">
        <f t="shared" si="15"/>
        <v>156</v>
      </c>
      <c r="G35" s="269">
        <v>0.95</v>
      </c>
      <c r="H35" s="46">
        <f t="shared" ref="H35:H36" si="16">E35/D35</f>
        <v>0.5</v>
      </c>
      <c r="I35" s="198"/>
      <c r="J35" s="270">
        <v>42709</v>
      </c>
      <c r="K35" s="66"/>
      <c r="L35" s="126" t="s">
        <v>53</v>
      </c>
      <c r="M35" s="126" t="s">
        <v>53</v>
      </c>
      <c r="N35" s="200"/>
      <c r="O35" s="90"/>
      <c r="P35" s="202"/>
      <c r="Q35" s="92"/>
      <c r="R35" s="90"/>
      <c r="S35" s="93"/>
      <c r="T35" s="89"/>
      <c r="U35" s="90"/>
      <c r="V35" s="91"/>
      <c r="W35" s="92"/>
      <c r="X35" s="90"/>
      <c r="Y35" s="95"/>
      <c r="Z35" s="89"/>
      <c r="AA35" s="90"/>
      <c r="AB35" s="96"/>
      <c r="AC35" s="89"/>
      <c r="AD35" s="90"/>
      <c r="AE35" s="91"/>
      <c r="AF35" s="89"/>
      <c r="AG35" s="90"/>
      <c r="AH35" s="91"/>
      <c r="AI35" s="89"/>
      <c r="AJ35" s="90"/>
      <c r="AK35" s="91"/>
      <c r="AL35" s="133"/>
      <c r="AM35" s="130"/>
      <c r="AN35" s="132"/>
      <c r="AO35" s="76"/>
      <c r="AP35" s="130"/>
      <c r="AQ35" s="130"/>
      <c r="AR35" s="129"/>
      <c r="AS35" s="130"/>
      <c r="AT35" s="131"/>
      <c r="AU35" s="129"/>
      <c r="AV35" s="130"/>
      <c r="AW35" s="132"/>
      <c r="AX35" s="133"/>
      <c r="AY35" s="130"/>
      <c r="AZ35" s="131"/>
      <c r="BA35" s="129"/>
      <c r="BB35" s="130"/>
      <c r="BC35" s="132"/>
      <c r="BD35" s="133"/>
      <c r="BE35" s="130"/>
      <c r="BF35" s="131"/>
      <c r="BG35" s="129"/>
      <c r="BH35" s="90"/>
      <c r="BI35" s="91"/>
      <c r="BJ35" s="92"/>
      <c r="BK35" s="90"/>
      <c r="BL35" s="91"/>
      <c r="BM35" s="92"/>
      <c r="BN35" s="90"/>
      <c r="BO35" s="91"/>
      <c r="BP35" s="92"/>
      <c r="BQ35" s="90"/>
      <c r="BR35" s="91"/>
      <c r="BS35" s="92"/>
      <c r="BT35" s="90"/>
      <c r="BU35" s="91"/>
      <c r="BV35" s="92"/>
      <c r="BW35" s="90"/>
      <c r="BX35" s="91"/>
      <c r="BY35" s="92"/>
      <c r="BZ35" s="90"/>
      <c r="CA35" s="91"/>
      <c r="CB35" s="92"/>
      <c r="CC35" s="90"/>
      <c r="CD35" s="91"/>
      <c r="CE35" s="92"/>
      <c r="CF35" s="90"/>
      <c r="CG35" s="91"/>
      <c r="CH35" s="92"/>
      <c r="CI35" s="90"/>
      <c r="CJ35" s="91"/>
      <c r="CK35" s="92"/>
      <c r="CL35" s="90"/>
      <c r="CM35" s="91"/>
      <c r="CN35" s="92"/>
      <c r="CO35" s="90"/>
      <c r="CP35" s="91"/>
      <c r="CQ35" s="92"/>
      <c r="CR35" s="90"/>
      <c r="CS35" s="91"/>
      <c r="CT35" s="92"/>
      <c r="CU35" s="90"/>
      <c r="CV35" s="91"/>
      <c r="CW35" s="107"/>
    </row>
    <row r="36" spans="1:101" ht="15.75" customHeight="1" x14ac:dyDescent="0.25">
      <c r="A36" s="502"/>
      <c r="B36" s="267" t="s">
        <v>62</v>
      </c>
      <c r="C36" s="126" t="s">
        <v>38</v>
      </c>
      <c r="D36" s="164">
        <v>4.1399999999999997</v>
      </c>
      <c r="E36" s="70">
        <f>3.98+O36+R36+U36+X36+AA36+AD36+AG36+AJ36+AM36+AP36+AS36+AV36+AY36+BB36+BE36+BH36+BK36+BN36+BQ36+BT36+BW36+BZ36+CC36+CF36+CI36+CL36+CO36+CR36+CU36</f>
        <v>3.98</v>
      </c>
      <c r="F36" s="70">
        <f t="shared" si="15"/>
        <v>0.1599999999999997</v>
      </c>
      <c r="G36" s="125">
        <v>0.9</v>
      </c>
      <c r="H36" s="46">
        <f t="shared" si="16"/>
        <v>0.96135265700483097</v>
      </c>
      <c r="I36" s="198"/>
      <c r="J36" s="270">
        <v>42709</v>
      </c>
      <c r="K36" s="66"/>
      <c r="L36" s="126" t="s">
        <v>53</v>
      </c>
      <c r="M36" s="126" t="s">
        <v>53</v>
      </c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102"/>
      <c r="Z36" s="90"/>
      <c r="AA36" s="90"/>
      <c r="AB36" s="102"/>
      <c r="AC36" s="90"/>
      <c r="AD36" s="90"/>
      <c r="AE36" s="90"/>
      <c r="AF36" s="90"/>
      <c r="AG36" s="90"/>
      <c r="AH36" s="90"/>
      <c r="AI36" s="90"/>
      <c r="AJ36" s="90"/>
      <c r="AK36" s="90"/>
      <c r="AL36" s="130"/>
      <c r="AM36" s="130"/>
      <c r="AN36" s="130"/>
      <c r="AO36" s="76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85"/>
    </row>
    <row r="37" spans="1:101" ht="30.75" customHeight="1" x14ac:dyDescent="0.25">
      <c r="A37" s="277"/>
      <c r="B37" s="278" t="s">
        <v>69</v>
      </c>
      <c r="C37" s="511"/>
      <c r="D37" s="499"/>
      <c r="E37" s="499"/>
      <c r="F37" s="499"/>
      <c r="G37" s="499"/>
      <c r="H37" s="499"/>
      <c r="I37" s="499"/>
      <c r="J37" s="499"/>
      <c r="K37" s="499"/>
      <c r="L37" s="499"/>
      <c r="M37" s="499"/>
      <c r="N37" s="499"/>
      <c r="O37" s="499"/>
      <c r="P37" s="499"/>
      <c r="Q37" s="499"/>
      <c r="R37" s="499"/>
      <c r="S37" s="499"/>
      <c r="T37" s="499"/>
      <c r="U37" s="499"/>
      <c r="V37" s="499"/>
      <c r="W37" s="499"/>
      <c r="X37" s="499"/>
      <c r="Y37" s="499"/>
      <c r="Z37" s="499"/>
      <c r="AA37" s="499"/>
      <c r="AB37" s="499"/>
      <c r="AC37" s="499"/>
      <c r="AD37" s="499"/>
      <c r="AE37" s="499"/>
      <c r="AF37" s="499"/>
      <c r="AG37" s="499"/>
      <c r="AH37" s="499"/>
      <c r="AI37" s="499"/>
      <c r="AJ37" s="499"/>
      <c r="AK37" s="499"/>
      <c r="AL37" s="499"/>
      <c r="AM37" s="499"/>
      <c r="AN37" s="499"/>
      <c r="AO37" s="499"/>
      <c r="AP37" s="499"/>
      <c r="AQ37" s="499"/>
      <c r="AR37" s="499"/>
      <c r="AS37" s="499"/>
      <c r="AT37" s="499"/>
      <c r="AU37" s="499"/>
      <c r="AV37" s="499"/>
      <c r="AW37" s="499"/>
      <c r="AX37" s="499"/>
      <c r="AY37" s="499"/>
      <c r="AZ37" s="499"/>
      <c r="BA37" s="499"/>
      <c r="BB37" s="499"/>
      <c r="BC37" s="499"/>
      <c r="BD37" s="499"/>
      <c r="BE37" s="499"/>
      <c r="BF37" s="499"/>
      <c r="BG37" s="499"/>
      <c r="BH37" s="499"/>
      <c r="BI37" s="499"/>
      <c r="BJ37" s="499"/>
      <c r="BK37" s="499"/>
      <c r="BL37" s="499"/>
      <c r="BM37" s="499"/>
      <c r="BN37" s="499"/>
      <c r="BO37" s="499"/>
      <c r="BP37" s="499"/>
      <c r="BQ37" s="499"/>
      <c r="BR37" s="499"/>
      <c r="BS37" s="499"/>
      <c r="BT37" s="499"/>
      <c r="BU37" s="499"/>
      <c r="BV37" s="499"/>
      <c r="BW37" s="499"/>
      <c r="BX37" s="499"/>
      <c r="BY37" s="499"/>
      <c r="BZ37" s="499"/>
      <c r="CA37" s="499"/>
      <c r="CB37" s="499"/>
      <c r="CC37" s="499"/>
      <c r="CD37" s="499"/>
      <c r="CE37" s="499"/>
      <c r="CF37" s="499"/>
      <c r="CG37" s="499"/>
      <c r="CH37" s="499"/>
      <c r="CI37" s="499"/>
      <c r="CJ37" s="499"/>
      <c r="CK37" s="499"/>
      <c r="CL37" s="499"/>
      <c r="CM37" s="499"/>
      <c r="CN37" s="499"/>
      <c r="CO37" s="499"/>
      <c r="CP37" s="499"/>
      <c r="CQ37" s="499"/>
      <c r="CR37" s="499"/>
      <c r="CS37" s="499"/>
      <c r="CT37" s="499"/>
      <c r="CU37" s="499"/>
      <c r="CV37" s="499"/>
      <c r="CW37" s="499"/>
    </row>
    <row r="38" spans="1:101" ht="15.75" customHeight="1" x14ac:dyDescent="0.25">
      <c r="A38" s="501" t="s">
        <v>25</v>
      </c>
      <c r="B38" s="111" t="s">
        <v>33</v>
      </c>
      <c r="C38" s="51" t="s">
        <v>18</v>
      </c>
      <c r="D38" s="52">
        <v>1</v>
      </c>
      <c r="E38" s="53">
        <f>(H39+H40)/2</f>
        <v>0.55148809523809539</v>
      </c>
      <c r="F38" s="53">
        <f t="shared" ref="F38:F129" si="17">D38-E38</f>
        <v>0.44851190476190461</v>
      </c>
      <c r="G38" s="112"/>
      <c r="H38" s="52">
        <f>E38</f>
        <v>0.55148809523809539</v>
      </c>
      <c r="I38" s="55"/>
      <c r="J38" s="56"/>
      <c r="K38" s="51" t="s">
        <v>34</v>
      </c>
      <c r="L38" s="51"/>
      <c r="M38" s="286"/>
      <c r="N38" s="288"/>
      <c r="O38" s="289"/>
      <c r="P38" s="291"/>
      <c r="Q38" s="288"/>
      <c r="R38" s="289"/>
      <c r="S38" s="293"/>
      <c r="T38" s="295"/>
      <c r="U38" s="289"/>
      <c r="V38" s="291"/>
      <c r="W38" s="296"/>
      <c r="X38" s="289"/>
      <c r="Y38" s="293"/>
      <c r="Z38" s="298"/>
      <c r="AA38" s="289"/>
      <c r="AB38" s="291"/>
      <c r="AC38" s="298"/>
      <c r="AD38" s="289"/>
      <c r="AE38" s="291"/>
      <c r="AF38" s="298"/>
      <c r="AG38" s="289"/>
      <c r="AH38" s="291"/>
      <c r="AI38" s="298"/>
      <c r="AJ38" s="289"/>
      <c r="AK38" s="291"/>
      <c r="AL38" s="298"/>
      <c r="AM38" s="289"/>
      <c r="AN38" s="291"/>
      <c r="AO38" s="296"/>
      <c r="AP38" s="289"/>
      <c r="AQ38" s="293"/>
      <c r="AR38" s="298"/>
      <c r="AS38" s="289"/>
      <c r="AT38" s="291"/>
      <c r="AU38" s="296"/>
      <c r="AV38" s="289"/>
      <c r="AW38" s="293"/>
      <c r="AX38" s="298"/>
      <c r="AY38" s="289"/>
      <c r="AZ38" s="291"/>
      <c r="BA38" s="296"/>
      <c r="BB38" s="289"/>
      <c r="BC38" s="293"/>
      <c r="BD38" s="298"/>
      <c r="BE38" s="289"/>
      <c r="BF38" s="291"/>
      <c r="BG38" s="296"/>
      <c r="BH38" s="289"/>
      <c r="BI38" s="291"/>
      <c r="BJ38" s="296"/>
      <c r="BK38" s="289"/>
      <c r="BL38" s="291"/>
      <c r="BM38" s="296"/>
      <c r="BN38" s="289"/>
      <c r="BO38" s="291"/>
      <c r="BP38" s="296"/>
      <c r="BQ38" s="289"/>
      <c r="BR38" s="291"/>
      <c r="BS38" s="296"/>
      <c r="BT38" s="289"/>
      <c r="BU38" s="291"/>
      <c r="BV38" s="296"/>
      <c r="BW38" s="289"/>
      <c r="BX38" s="291"/>
      <c r="BY38" s="296"/>
      <c r="BZ38" s="289"/>
      <c r="CA38" s="291"/>
      <c r="CB38" s="296"/>
      <c r="CC38" s="289"/>
      <c r="CD38" s="291"/>
      <c r="CE38" s="296"/>
      <c r="CF38" s="289"/>
      <c r="CG38" s="291"/>
      <c r="CH38" s="296"/>
      <c r="CI38" s="289"/>
      <c r="CJ38" s="291"/>
      <c r="CK38" s="296"/>
      <c r="CL38" s="289"/>
      <c r="CM38" s="291"/>
      <c r="CN38" s="296"/>
      <c r="CO38" s="289"/>
      <c r="CP38" s="291"/>
      <c r="CQ38" s="296"/>
      <c r="CR38" s="289"/>
      <c r="CS38" s="291"/>
      <c r="CT38" s="296"/>
      <c r="CU38" s="289"/>
      <c r="CV38" s="291"/>
      <c r="CW38" s="300"/>
    </row>
    <row r="39" spans="1:101" ht="15.75" customHeight="1" x14ac:dyDescent="0.25">
      <c r="A39" s="502"/>
      <c r="B39" s="65" t="s">
        <v>37</v>
      </c>
      <c r="C39" s="66" t="s">
        <v>38</v>
      </c>
      <c r="D39" s="70">
        <v>0.96</v>
      </c>
      <c r="E39" s="70">
        <f>0.35+O39+R39+U39+X39+AA39+AD39+AG39+AJ39+AM39+AP39+AS39+AV39+AY39+BB39+BE39+BH39+BK39+BN39+BQ39+BT39+BW39+BZ39+CC39+CF39+CI39+CL39+CO39+CR39+CU39</f>
        <v>0.62000000000000022</v>
      </c>
      <c r="F39" s="70">
        <f t="shared" si="17"/>
        <v>0.33999999999999975</v>
      </c>
      <c r="G39" s="125">
        <v>0.6</v>
      </c>
      <c r="H39" s="46">
        <f t="shared" ref="H39:H40" si="18">E39/D39</f>
        <v>0.64583333333333359</v>
      </c>
      <c r="I39" s="83">
        <f t="shared" ref="I39:I40" si="19">AP39/D39</f>
        <v>0</v>
      </c>
      <c r="J39" s="74"/>
      <c r="K39" s="66"/>
      <c r="L39" s="126">
        <v>6</v>
      </c>
      <c r="M39" s="77">
        <v>6</v>
      </c>
      <c r="N39" s="281">
        <v>0.03</v>
      </c>
      <c r="O39" s="281">
        <v>0.03</v>
      </c>
      <c r="P39" s="272">
        <v>100</v>
      </c>
      <c r="Q39" s="281">
        <v>0.03</v>
      </c>
      <c r="R39" s="281">
        <v>0.03</v>
      </c>
      <c r="S39" s="274">
        <v>100</v>
      </c>
      <c r="T39" s="281">
        <v>0.03</v>
      </c>
      <c r="U39" s="281">
        <v>0.03</v>
      </c>
      <c r="V39" s="272">
        <v>100</v>
      </c>
      <c r="W39" s="281">
        <v>0.03</v>
      </c>
      <c r="X39" s="281">
        <v>0.03</v>
      </c>
      <c r="Y39" s="272">
        <v>100</v>
      </c>
      <c r="Z39" s="281">
        <v>0.03</v>
      </c>
      <c r="AA39" s="281">
        <v>0.03</v>
      </c>
      <c r="AB39" s="272">
        <v>100</v>
      </c>
      <c r="AC39" s="281">
        <v>0.03</v>
      </c>
      <c r="AD39" s="261">
        <v>0.03</v>
      </c>
      <c r="AE39" s="283">
        <v>100</v>
      </c>
      <c r="AF39" s="281">
        <v>0.03</v>
      </c>
      <c r="AG39" s="281">
        <v>0.03</v>
      </c>
      <c r="AH39" s="283">
        <v>100</v>
      </c>
      <c r="AI39" s="281">
        <v>0.03</v>
      </c>
      <c r="AJ39" s="284">
        <v>0.03</v>
      </c>
      <c r="AK39" s="97">
        <f t="shared" ref="AK39:AK40" si="20">AJ39/AI39</f>
        <v>1</v>
      </c>
      <c r="AL39" s="281">
        <v>0.03</v>
      </c>
      <c r="AM39" s="284">
        <v>0.03</v>
      </c>
      <c r="AN39" s="97">
        <f t="shared" ref="AN39:AN40" si="21">AM39/AL39</f>
        <v>1</v>
      </c>
      <c r="AO39" s="303">
        <v>0.03</v>
      </c>
      <c r="AP39" s="304"/>
      <c r="AQ39" s="106">
        <f t="shared" ref="AQ39:AQ40" si="22">AP39/AO39</f>
        <v>0</v>
      </c>
      <c r="AR39" s="303">
        <v>0.03</v>
      </c>
      <c r="AS39" s="274"/>
      <c r="AT39" s="272"/>
      <c r="AU39" s="281">
        <v>0.03</v>
      </c>
      <c r="AV39" s="274"/>
      <c r="AW39" s="279"/>
      <c r="AX39" s="281">
        <v>0.03</v>
      </c>
      <c r="AY39" s="274"/>
      <c r="AZ39" s="272"/>
      <c r="BA39" s="281">
        <v>0.03</v>
      </c>
      <c r="BB39" s="274"/>
      <c r="BC39" s="279"/>
      <c r="BD39" s="281">
        <v>0.03</v>
      </c>
      <c r="BE39" s="274"/>
      <c r="BF39" s="272"/>
      <c r="BG39" s="281">
        <v>0.03</v>
      </c>
      <c r="BH39" s="274"/>
      <c r="BI39" s="272"/>
      <c r="BJ39" s="281">
        <v>0.03</v>
      </c>
      <c r="BK39" s="274"/>
      <c r="BL39" s="272"/>
      <c r="BM39" s="281">
        <v>0.03</v>
      </c>
      <c r="BN39" s="274"/>
      <c r="BO39" s="272"/>
      <c r="BP39" s="281">
        <v>0.03</v>
      </c>
      <c r="BQ39" s="274"/>
      <c r="BR39" s="272"/>
      <c r="BS39" s="281">
        <v>0.03</v>
      </c>
      <c r="BT39" s="274"/>
      <c r="BU39" s="272"/>
      <c r="BV39" s="281">
        <v>0.03</v>
      </c>
      <c r="BW39" s="274"/>
      <c r="BX39" s="272"/>
      <c r="BY39" s="281">
        <v>0.03</v>
      </c>
      <c r="BZ39" s="274"/>
      <c r="CA39" s="272"/>
      <c r="CB39" s="281">
        <v>0.03</v>
      </c>
      <c r="CC39" s="274"/>
      <c r="CD39" s="272"/>
      <c r="CE39" s="281">
        <v>0.04</v>
      </c>
      <c r="CF39" s="274"/>
      <c r="CG39" s="272"/>
      <c r="CH39" s="273"/>
      <c r="CI39" s="274"/>
      <c r="CJ39" s="272"/>
      <c r="CK39" s="273"/>
      <c r="CL39" s="274"/>
      <c r="CM39" s="272"/>
      <c r="CN39" s="273"/>
      <c r="CO39" s="274"/>
      <c r="CP39" s="272"/>
      <c r="CQ39" s="273"/>
      <c r="CR39" s="274"/>
      <c r="CS39" s="272"/>
      <c r="CT39" s="273"/>
      <c r="CU39" s="274"/>
      <c r="CV39" s="272"/>
      <c r="CW39" s="294"/>
    </row>
    <row r="40" spans="1:101" ht="15.75" customHeight="1" x14ac:dyDescent="0.25">
      <c r="A40" s="503"/>
      <c r="B40" s="65" t="s">
        <v>42</v>
      </c>
      <c r="C40" s="66" t="s">
        <v>41</v>
      </c>
      <c r="D40" s="108">
        <v>70</v>
      </c>
      <c r="E40" s="108">
        <f>18+O40+R40+U40+X40+AA40+AD40+AG40+AJ40+AM40+AP40+AS40+AV40+AY40+BB40+BE40+BH40+BK40+BN40+BQ40+BT40+BW40+BZ40+CC40+CF40+CI40+CL40+CO40+CR40+CU40</f>
        <v>32</v>
      </c>
      <c r="F40" s="108">
        <f t="shared" si="17"/>
        <v>38</v>
      </c>
      <c r="G40" s="125">
        <v>1</v>
      </c>
      <c r="H40" s="46">
        <f t="shared" si="18"/>
        <v>0.45714285714285713</v>
      </c>
      <c r="I40" s="83">
        <f t="shared" si="19"/>
        <v>0</v>
      </c>
      <c r="J40" s="74"/>
      <c r="K40" s="66"/>
      <c r="L40" s="126">
        <v>2</v>
      </c>
      <c r="M40" s="126">
        <v>2</v>
      </c>
      <c r="N40" s="273">
        <v>0</v>
      </c>
      <c r="O40" s="274">
        <v>0</v>
      </c>
      <c r="P40" s="272">
        <v>0</v>
      </c>
      <c r="Q40" s="273">
        <v>0</v>
      </c>
      <c r="R40" s="274">
        <v>0</v>
      </c>
      <c r="S40" s="279">
        <v>0</v>
      </c>
      <c r="T40" s="301">
        <v>2</v>
      </c>
      <c r="U40" s="274">
        <v>2</v>
      </c>
      <c r="V40" s="272">
        <v>100</v>
      </c>
      <c r="W40" s="273">
        <v>2</v>
      </c>
      <c r="X40" s="273">
        <v>2</v>
      </c>
      <c r="Y40" s="272">
        <v>100</v>
      </c>
      <c r="Z40" s="273">
        <v>2</v>
      </c>
      <c r="AA40" s="273">
        <v>2</v>
      </c>
      <c r="AB40" s="272">
        <v>100</v>
      </c>
      <c r="AC40" s="273">
        <v>2</v>
      </c>
      <c r="AD40" s="276">
        <v>2</v>
      </c>
      <c r="AE40" s="283">
        <v>100</v>
      </c>
      <c r="AF40" s="273">
        <v>2</v>
      </c>
      <c r="AG40" s="276">
        <v>2</v>
      </c>
      <c r="AH40" s="283">
        <v>100</v>
      </c>
      <c r="AI40" s="273">
        <v>2</v>
      </c>
      <c r="AJ40" s="262">
        <v>2</v>
      </c>
      <c r="AK40" s="97">
        <f t="shared" si="20"/>
        <v>1</v>
      </c>
      <c r="AL40" s="273">
        <v>2</v>
      </c>
      <c r="AM40" s="262">
        <v>2</v>
      </c>
      <c r="AN40" s="97">
        <f t="shared" si="21"/>
        <v>1</v>
      </c>
      <c r="AO40" s="273">
        <v>2</v>
      </c>
      <c r="AP40" s="304"/>
      <c r="AQ40" s="106">
        <f t="shared" si="22"/>
        <v>0</v>
      </c>
      <c r="AR40" s="273">
        <v>2</v>
      </c>
      <c r="AS40" s="274"/>
      <c r="AT40" s="272"/>
      <c r="AU40" s="273">
        <v>2</v>
      </c>
      <c r="AV40" s="274"/>
      <c r="AW40" s="279"/>
      <c r="AX40" s="273">
        <v>2</v>
      </c>
      <c r="AY40" s="274"/>
      <c r="AZ40" s="272"/>
      <c r="BA40" s="273">
        <v>2</v>
      </c>
      <c r="BB40" s="274"/>
      <c r="BC40" s="279"/>
      <c r="BD40" s="273">
        <v>2</v>
      </c>
      <c r="BE40" s="274"/>
      <c r="BF40" s="272"/>
      <c r="BG40" s="273">
        <v>2</v>
      </c>
      <c r="BH40" s="274"/>
      <c r="BI40" s="272"/>
      <c r="BJ40" s="273">
        <v>2</v>
      </c>
      <c r="BK40" s="274"/>
      <c r="BL40" s="272"/>
      <c r="BM40" s="273">
        <v>2</v>
      </c>
      <c r="BN40" s="274"/>
      <c r="BO40" s="272"/>
      <c r="BP40" s="273">
        <v>2</v>
      </c>
      <c r="BQ40" s="274"/>
      <c r="BR40" s="272"/>
      <c r="BS40" s="273">
        <v>2</v>
      </c>
      <c r="BT40" s="274"/>
      <c r="BU40" s="272"/>
      <c r="BV40" s="273">
        <v>2</v>
      </c>
      <c r="BW40" s="274"/>
      <c r="BX40" s="272"/>
      <c r="BY40" s="273">
        <v>2</v>
      </c>
      <c r="BZ40" s="274"/>
      <c r="CA40" s="272"/>
      <c r="CB40" s="273">
        <v>2</v>
      </c>
      <c r="CC40" s="274"/>
      <c r="CD40" s="272"/>
      <c r="CE40" s="273">
        <v>3</v>
      </c>
      <c r="CF40" s="274"/>
      <c r="CG40" s="272"/>
      <c r="CH40" s="273"/>
      <c r="CI40" s="274"/>
      <c r="CJ40" s="272"/>
      <c r="CK40" s="273"/>
      <c r="CL40" s="274"/>
      <c r="CM40" s="272"/>
      <c r="CN40" s="273"/>
      <c r="CO40" s="274"/>
      <c r="CP40" s="272"/>
      <c r="CQ40" s="273"/>
      <c r="CR40" s="274"/>
      <c r="CS40" s="272"/>
      <c r="CT40" s="273"/>
      <c r="CU40" s="274"/>
      <c r="CV40" s="272"/>
      <c r="CW40" s="294"/>
    </row>
    <row r="41" spans="1:101" ht="15.75" customHeight="1" x14ac:dyDescent="0.25">
      <c r="A41" s="501" t="s">
        <v>26</v>
      </c>
      <c r="B41" s="111" t="s">
        <v>71</v>
      </c>
      <c r="C41" s="51" t="s">
        <v>18</v>
      </c>
      <c r="D41" s="52">
        <v>1</v>
      </c>
      <c r="E41" s="53">
        <f>(H42+H43)/2</f>
        <v>6.4263322884012541E-2</v>
      </c>
      <c r="F41" s="53">
        <f t="shared" si="17"/>
        <v>0.9357366771159874</v>
      </c>
      <c r="G41" s="112"/>
      <c r="H41" s="52">
        <f>E41</f>
        <v>6.4263322884012541E-2</v>
      </c>
      <c r="I41" s="55"/>
      <c r="J41" s="56"/>
      <c r="K41" s="51" t="s">
        <v>36</v>
      </c>
      <c r="L41" s="51"/>
      <c r="M41" s="286"/>
      <c r="N41" s="288"/>
      <c r="O41" s="289"/>
      <c r="P41" s="291"/>
      <c r="Q41" s="288"/>
      <c r="R41" s="289"/>
      <c r="S41" s="293"/>
      <c r="T41" s="295"/>
      <c r="U41" s="289"/>
      <c r="V41" s="291"/>
      <c r="W41" s="296"/>
      <c r="X41" s="289"/>
      <c r="Y41" s="291"/>
      <c r="Z41" s="296"/>
      <c r="AA41" s="289"/>
      <c r="AB41" s="291"/>
      <c r="AC41" s="298"/>
      <c r="AD41" s="289"/>
      <c r="AE41" s="291"/>
      <c r="AF41" s="298"/>
      <c r="AG41" s="289"/>
      <c r="AH41" s="291"/>
      <c r="AI41" s="298"/>
      <c r="AJ41" s="289"/>
      <c r="AK41" s="291"/>
      <c r="AL41" s="298"/>
      <c r="AM41" s="289"/>
      <c r="AN41" s="291"/>
      <c r="AO41" s="296"/>
      <c r="AP41" s="289"/>
      <c r="AQ41" s="293"/>
      <c r="AR41" s="298"/>
      <c r="AS41" s="289"/>
      <c r="AT41" s="291"/>
      <c r="AU41" s="296"/>
      <c r="AV41" s="289"/>
      <c r="AW41" s="293"/>
      <c r="AX41" s="298"/>
      <c r="AY41" s="289"/>
      <c r="AZ41" s="291"/>
      <c r="BA41" s="296"/>
      <c r="BB41" s="289"/>
      <c r="BC41" s="293"/>
      <c r="BD41" s="298"/>
      <c r="BE41" s="289"/>
      <c r="BF41" s="291"/>
      <c r="BG41" s="296"/>
      <c r="BH41" s="289"/>
      <c r="BI41" s="291"/>
      <c r="BJ41" s="296"/>
      <c r="BK41" s="289"/>
      <c r="BL41" s="291"/>
      <c r="BM41" s="296"/>
      <c r="BN41" s="289"/>
      <c r="BO41" s="291"/>
      <c r="BP41" s="296"/>
      <c r="BQ41" s="289"/>
      <c r="BR41" s="291"/>
      <c r="BS41" s="296"/>
      <c r="BT41" s="289"/>
      <c r="BU41" s="291"/>
      <c r="BV41" s="296"/>
      <c r="BW41" s="289"/>
      <c r="BX41" s="291"/>
      <c r="BY41" s="296"/>
      <c r="BZ41" s="289"/>
      <c r="CA41" s="291"/>
      <c r="CB41" s="296"/>
      <c r="CC41" s="289"/>
      <c r="CD41" s="291"/>
      <c r="CE41" s="296"/>
      <c r="CF41" s="289"/>
      <c r="CG41" s="291"/>
      <c r="CH41" s="296"/>
      <c r="CI41" s="289"/>
      <c r="CJ41" s="291"/>
      <c r="CK41" s="296"/>
      <c r="CL41" s="289"/>
      <c r="CM41" s="291"/>
      <c r="CN41" s="296"/>
      <c r="CO41" s="289"/>
      <c r="CP41" s="291"/>
      <c r="CQ41" s="296"/>
      <c r="CR41" s="289"/>
      <c r="CS41" s="291"/>
      <c r="CT41" s="296"/>
      <c r="CU41" s="289"/>
      <c r="CV41" s="291"/>
      <c r="CW41" s="300"/>
    </row>
    <row r="42" spans="1:101" ht="15.75" customHeight="1" x14ac:dyDescent="0.25">
      <c r="A42" s="502"/>
      <c r="B42" s="65" t="s">
        <v>39</v>
      </c>
      <c r="C42" s="66" t="s">
        <v>38</v>
      </c>
      <c r="D42" s="66">
        <v>3.19</v>
      </c>
      <c r="E42" s="216">
        <f>0.41+R42+U42+X42+AA42+AD42+AG42+AJ42+AM42+AP42+AS42+AV42+AY42+BB42+BE42+BH42+BK42+BN42+BQ42+BT42+BW42+BZ42+CC42+CF42+CI42+CL42+CO42+CR42+CU42</f>
        <v>0.41</v>
      </c>
      <c r="F42" s="70">
        <f t="shared" si="17"/>
        <v>2.78</v>
      </c>
      <c r="G42" s="36"/>
      <c r="H42" s="46">
        <f t="shared" ref="H42:H43" si="23">E42/D42</f>
        <v>0.12852664576802508</v>
      </c>
      <c r="I42" s="83">
        <f t="shared" ref="I42:I43" si="24">AP42/D42</f>
        <v>0</v>
      </c>
      <c r="J42" s="74"/>
      <c r="K42" s="66"/>
      <c r="L42" s="66">
        <v>5</v>
      </c>
      <c r="M42" s="77">
        <v>0</v>
      </c>
      <c r="N42" s="306"/>
      <c r="O42" s="274"/>
      <c r="P42" s="272"/>
      <c r="Q42" s="307"/>
      <c r="R42" s="274"/>
      <c r="S42" s="279"/>
      <c r="T42" s="306"/>
      <c r="U42" s="274"/>
      <c r="V42" s="272"/>
      <c r="W42" s="273"/>
      <c r="X42" s="274"/>
      <c r="Y42" s="272"/>
      <c r="Z42" s="273"/>
      <c r="AA42" s="274"/>
      <c r="AB42" s="272"/>
      <c r="AC42" s="301"/>
      <c r="AD42" s="274"/>
      <c r="AE42" s="272"/>
      <c r="AF42" s="301">
        <v>190</v>
      </c>
      <c r="AG42" s="276">
        <v>0</v>
      </c>
      <c r="AH42" s="272"/>
      <c r="AI42" s="301">
        <v>200</v>
      </c>
      <c r="AJ42" s="276">
        <v>0</v>
      </c>
      <c r="AK42" s="97">
        <f t="shared" ref="AK42:AK43" si="25">AJ42/AI42</f>
        <v>0</v>
      </c>
      <c r="AL42" s="301">
        <v>200</v>
      </c>
      <c r="AM42" s="184">
        <v>0</v>
      </c>
      <c r="AN42" s="272"/>
      <c r="AO42" s="273">
        <v>200</v>
      </c>
      <c r="AP42" s="184">
        <v>0</v>
      </c>
      <c r="AQ42" s="106">
        <f t="shared" ref="AQ42:AQ43" si="26">AP42/AO42</f>
        <v>0</v>
      </c>
      <c r="AR42" s="301"/>
      <c r="AS42" s="274"/>
      <c r="AT42" s="272"/>
      <c r="AU42" s="273"/>
      <c r="AV42" s="274"/>
      <c r="AW42" s="279"/>
      <c r="AX42" s="301">
        <v>200</v>
      </c>
      <c r="AY42" s="274"/>
      <c r="AZ42" s="272"/>
      <c r="BA42" s="273">
        <v>200</v>
      </c>
      <c r="BB42" s="274"/>
      <c r="BC42" s="279"/>
      <c r="BD42" s="301">
        <v>200</v>
      </c>
      <c r="BE42" s="274"/>
      <c r="BF42" s="272"/>
      <c r="BG42" s="273">
        <v>200</v>
      </c>
      <c r="BH42" s="274"/>
      <c r="BI42" s="272"/>
      <c r="BJ42" s="273">
        <v>200</v>
      </c>
      <c r="BK42" s="274"/>
      <c r="BL42" s="272"/>
      <c r="BM42" s="273"/>
      <c r="BN42" s="274"/>
      <c r="BO42" s="272"/>
      <c r="BP42" s="273"/>
      <c r="BQ42" s="274"/>
      <c r="BR42" s="272"/>
      <c r="BS42" s="273">
        <v>200</v>
      </c>
      <c r="BT42" s="274"/>
      <c r="BU42" s="272"/>
      <c r="BV42" s="273">
        <v>200</v>
      </c>
      <c r="BW42" s="274"/>
      <c r="BX42" s="272"/>
      <c r="BY42" s="273">
        <v>200</v>
      </c>
      <c r="BZ42" s="274"/>
      <c r="CA42" s="272"/>
      <c r="CB42" s="273">
        <v>200</v>
      </c>
      <c r="CC42" s="274"/>
      <c r="CD42" s="272"/>
      <c r="CE42" s="273">
        <v>200</v>
      </c>
      <c r="CF42" s="274"/>
      <c r="CG42" s="272"/>
      <c r="CH42" s="273"/>
      <c r="CI42" s="274"/>
      <c r="CJ42" s="272"/>
      <c r="CK42" s="273"/>
      <c r="CL42" s="274"/>
      <c r="CM42" s="272"/>
      <c r="CN42" s="273">
        <v>200</v>
      </c>
      <c r="CO42" s="274"/>
      <c r="CP42" s="272"/>
      <c r="CQ42" s="273">
        <v>200</v>
      </c>
      <c r="CR42" s="274"/>
      <c r="CS42" s="272"/>
      <c r="CT42" s="273"/>
      <c r="CU42" s="274"/>
      <c r="CV42" s="272"/>
      <c r="CW42" s="294"/>
    </row>
    <row r="43" spans="1:101" ht="15.75" customHeight="1" x14ac:dyDescent="0.25">
      <c r="A43" s="503"/>
      <c r="B43" s="65" t="s">
        <v>40</v>
      </c>
      <c r="C43" s="66" t="s">
        <v>41</v>
      </c>
      <c r="D43" s="66">
        <v>42</v>
      </c>
      <c r="E43" s="108">
        <v>0</v>
      </c>
      <c r="F43" s="108">
        <f t="shared" si="17"/>
        <v>42</v>
      </c>
      <c r="G43" s="36"/>
      <c r="H43" s="46">
        <f t="shared" si="23"/>
        <v>0</v>
      </c>
      <c r="I43" s="83">
        <f t="shared" si="24"/>
        <v>0</v>
      </c>
      <c r="J43" s="74"/>
      <c r="K43" s="66"/>
      <c r="L43" s="66"/>
      <c r="M43" s="201"/>
      <c r="N43" s="297"/>
      <c r="O43" s="274"/>
      <c r="P43" s="272"/>
      <c r="Q43" s="305"/>
      <c r="R43" s="274"/>
      <c r="S43" s="279"/>
      <c r="T43" s="297"/>
      <c r="U43" s="274"/>
      <c r="V43" s="272"/>
      <c r="W43" s="273"/>
      <c r="X43" s="274"/>
      <c r="Y43" s="272"/>
      <c r="Z43" s="273"/>
      <c r="AA43" s="274"/>
      <c r="AB43" s="272"/>
      <c r="AC43" s="301">
        <v>4</v>
      </c>
      <c r="AD43" s="276">
        <v>0</v>
      </c>
      <c r="AE43" s="272"/>
      <c r="AF43" s="301">
        <v>4</v>
      </c>
      <c r="AG43" s="276">
        <v>0</v>
      </c>
      <c r="AH43" s="272"/>
      <c r="AI43" s="301">
        <v>4</v>
      </c>
      <c r="AJ43" s="276">
        <v>0</v>
      </c>
      <c r="AK43" s="97">
        <f t="shared" si="25"/>
        <v>0</v>
      </c>
      <c r="AL43" s="301">
        <v>4</v>
      </c>
      <c r="AM43" s="184">
        <v>0</v>
      </c>
      <c r="AN43" s="272"/>
      <c r="AO43" s="273">
        <v>4</v>
      </c>
      <c r="AP43" s="184">
        <v>0</v>
      </c>
      <c r="AQ43" s="106">
        <f t="shared" si="26"/>
        <v>0</v>
      </c>
      <c r="AR43" s="301"/>
      <c r="AS43" s="274"/>
      <c r="AT43" s="272"/>
      <c r="AU43" s="273"/>
      <c r="AV43" s="274"/>
      <c r="AW43" s="279"/>
      <c r="AX43" s="301">
        <v>4</v>
      </c>
      <c r="AY43" s="274"/>
      <c r="AZ43" s="272"/>
      <c r="BA43" s="273">
        <v>4</v>
      </c>
      <c r="BB43" s="274"/>
      <c r="BC43" s="279"/>
      <c r="BD43" s="301">
        <v>4</v>
      </c>
      <c r="BE43" s="274"/>
      <c r="BF43" s="272"/>
      <c r="BG43" s="273">
        <v>4</v>
      </c>
      <c r="BH43" s="274"/>
      <c r="BI43" s="272"/>
      <c r="BJ43" s="273">
        <v>4</v>
      </c>
      <c r="BK43" s="274"/>
      <c r="BL43" s="272"/>
      <c r="BM43" s="273"/>
      <c r="BN43" s="274"/>
      <c r="BO43" s="272"/>
      <c r="BP43" s="273"/>
      <c r="BQ43" s="274"/>
      <c r="BR43" s="272"/>
      <c r="BS43" s="273">
        <v>2</v>
      </c>
      <c r="BT43" s="274"/>
      <c r="BU43" s="272"/>
      <c r="BV43" s="273"/>
      <c r="BW43" s="274"/>
      <c r="BX43" s="272"/>
      <c r="BY43" s="273"/>
      <c r="BZ43" s="274"/>
      <c r="CA43" s="272"/>
      <c r="CB43" s="273"/>
      <c r="CC43" s="274"/>
      <c r="CD43" s="272"/>
      <c r="CE43" s="273"/>
      <c r="CF43" s="274"/>
      <c r="CG43" s="272"/>
      <c r="CH43" s="273"/>
      <c r="CI43" s="274"/>
      <c r="CJ43" s="272"/>
      <c r="CK43" s="273"/>
      <c r="CL43" s="274"/>
      <c r="CM43" s="272"/>
      <c r="CN43" s="273"/>
      <c r="CO43" s="274"/>
      <c r="CP43" s="272"/>
      <c r="CQ43" s="273"/>
      <c r="CR43" s="274"/>
      <c r="CS43" s="272"/>
      <c r="CT43" s="273"/>
      <c r="CU43" s="274"/>
      <c r="CV43" s="272"/>
      <c r="CW43" s="294"/>
    </row>
    <row r="44" spans="1:101" ht="15.75" customHeight="1" x14ac:dyDescent="0.25">
      <c r="A44" s="501" t="s">
        <v>68</v>
      </c>
      <c r="B44" s="111" t="s">
        <v>56</v>
      </c>
      <c r="C44" s="51" t="s">
        <v>18</v>
      </c>
      <c r="D44" s="52">
        <v>1</v>
      </c>
      <c r="E44" s="53">
        <f>(H45+H46)/2</f>
        <v>0.85111111111111115</v>
      </c>
      <c r="F44" s="53">
        <f t="shared" si="17"/>
        <v>0.14888888888888885</v>
      </c>
      <c r="G44" s="112"/>
      <c r="H44" s="52">
        <f>E44</f>
        <v>0.85111111111111115</v>
      </c>
      <c r="I44" s="55"/>
      <c r="J44" s="56"/>
      <c r="K44" s="51" t="s">
        <v>34</v>
      </c>
      <c r="L44" s="51"/>
      <c r="M44" s="286"/>
      <c r="N44" s="288"/>
      <c r="O44" s="289"/>
      <c r="P44" s="291"/>
      <c r="Q44" s="288"/>
      <c r="R44" s="289"/>
      <c r="S44" s="293"/>
      <c r="T44" s="295"/>
      <c r="U44" s="289"/>
      <c r="V44" s="291"/>
      <c r="W44" s="296"/>
      <c r="X44" s="289"/>
      <c r="Y44" s="291"/>
      <c r="Z44" s="296"/>
      <c r="AA44" s="289"/>
      <c r="AB44" s="291"/>
      <c r="AC44" s="298"/>
      <c r="AD44" s="289"/>
      <c r="AE44" s="291"/>
      <c r="AF44" s="298"/>
      <c r="AG44" s="289"/>
      <c r="AH44" s="291"/>
      <c r="AI44" s="298"/>
      <c r="AJ44" s="289"/>
      <c r="AK44" s="291"/>
      <c r="AL44" s="298"/>
      <c r="AM44" s="289"/>
      <c r="AN44" s="291"/>
      <c r="AO44" s="296"/>
      <c r="AP44" s="289"/>
      <c r="AQ44" s="293"/>
      <c r="AR44" s="298"/>
      <c r="AS44" s="289"/>
      <c r="AT44" s="291"/>
      <c r="AU44" s="296"/>
      <c r="AV44" s="289"/>
      <c r="AW44" s="293"/>
      <c r="AX44" s="298"/>
      <c r="AY44" s="289"/>
      <c r="AZ44" s="291"/>
      <c r="BA44" s="296"/>
      <c r="BB44" s="289"/>
      <c r="BC44" s="293"/>
      <c r="BD44" s="298"/>
      <c r="BE44" s="289"/>
      <c r="BF44" s="291"/>
      <c r="BG44" s="296"/>
      <c r="BH44" s="289"/>
      <c r="BI44" s="291"/>
      <c r="BJ44" s="296"/>
      <c r="BK44" s="289"/>
      <c r="BL44" s="291"/>
      <c r="BM44" s="296"/>
      <c r="BN44" s="289"/>
      <c r="BO44" s="291"/>
      <c r="BP44" s="296"/>
      <c r="BQ44" s="289"/>
      <c r="BR44" s="291"/>
      <c r="BS44" s="296"/>
      <c r="BT44" s="289"/>
      <c r="BU44" s="291"/>
      <c r="BV44" s="296"/>
      <c r="BW44" s="289"/>
      <c r="BX44" s="291"/>
      <c r="BY44" s="296"/>
      <c r="BZ44" s="289"/>
      <c r="CA44" s="291"/>
      <c r="CB44" s="296"/>
      <c r="CC44" s="289"/>
      <c r="CD44" s="291"/>
      <c r="CE44" s="296"/>
      <c r="CF44" s="289"/>
      <c r="CG44" s="291"/>
      <c r="CH44" s="296"/>
      <c r="CI44" s="289"/>
      <c r="CJ44" s="291"/>
      <c r="CK44" s="296"/>
      <c r="CL44" s="289"/>
      <c r="CM44" s="291"/>
      <c r="CN44" s="296"/>
      <c r="CO44" s="289"/>
      <c r="CP44" s="291"/>
      <c r="CQ44" s="296"/>
      <c r="CR44" s="289"/>
      <c r="CS44" s="291"/>
      <c r="CT44" s="296"/>
      <c r="CU44" s="289"/>
      <c r="CV44" s="291"/>
      <c r="CW44" s="300"/>
    </row>
    <row r="45" spans="1:101" ht="15.75" customHeight="1" x14ac:dyDescent="0.25">
      <c r="A45" s="502"/>
      <c r="B45" s="65" t="s">
        <v>51</v>
      </c>
      <c r="C45" s="66" t="s">
        <v>38</v>
      </c>
      <c r="D45" s="70">
        <v>0.45</v>
      </c>
      <c r="E45" s="70">
        <f>0.265+O45+R45+U45+X45+AA45+AD45+AG45+AJ45+AM45+AP45+AS45+AV45+AY45+BB45+BE45+BH45+BK45+BN45+BQ45+BT45+BW45+BZ45+CC45+CF45+CI45+CL45+CO45+CR45+CU45</f>
        <v>0.3660000000000001</v>
      </c>
      <c r="F45" s="70">
        <f t="shared" si="17"/>
        <v>8.3999999999999908E-2</v>
      </c>
      <c r="G45" s="125">
        <v>1</v>
      </c>
      <c r="H45" s="46">
        <f t="shared" ref="H45:H46" si="27">E45/D45</f>
        <v>0.81333333333333357</v>
      </c>
      <c r="I45" s="83">
        <f t="shared" ref="I45:I46" si="28">AP45/D45</f>
        <v>0</v>
      </c>
      <c r="J45" s="74">
        <v>42724</v>
      </c>
      <c r="K45" s="66"/>
      <c r="L45" s="66">
        <v>6</v>
      </c>
      <c r="M45" s="201">
        <v>6</v>
      </c>
      <c r="N45" s="306">
        <v>1.6E-2</v>
      </c>
      <c r="O45" s="306">
        <v>1.6E-2</v>
      </c>
      <c r="P45" s="97">
        <f>O45/N45</f>
        <v>1</v>
      </c>
      <c r="Q45" s="305">
        <v>0</v>
      </c>
      <c r="R45" s="274">
        <v>0</v>
      </c>
      <c r="S45" s="279">
        <v>0</v>
      </c>
      <c r="T45" s="306">
        <v>1.6E-2</v>
      </c>
      <c r="U45" s="306">
        <v>1.6E-2</v>
      </c>
      <c r="V45" s="272">
        <v>100</v>
      </c>
      <c r="W45" s="308">
        <v>1.6E-2</v>
      </c>
      <c r="X45" s="308">
        <v>1.6E-2</v>
      </c>
      <c r="Y45" s="283">
        <v>100</v>
      </c>
      <c r="Z45" s="308">
        <v>1.6E-2</v>
      </c>
      <c r="AA45" s="308">
        <v>1.6E-2</v>
      </c>
      <c r="AB45" s="283">
        <v>100</v>
      </c>
      <c r="AC45" s="308">
        <v>1.6E-2</v>
      </c>
      <c r="AD45" s="308">
        <v>1.6E-2</v>
      </c>
      <c r="AE45" s="283">
        <v>100</v>
      </c>
      <c r="AF45" s="308">
        <v>7.0000000000000001E-3</v>
      </c>
      <c r="AG45" s="308">
        <v>7.0000000000000001E-3</v>
      </c>
      <c r="AH45" s="283">
        <v>100</v>
      </c>
      <c r="AI45" s="303">
        <v>7.0000000000000001E-3</v>
      </c>
      <c r="AJ45" s="155">
        <v>7.0000000000000001E-3</v>
      </c>
      <c r="AK45" s="97">
        <f t="shared" ref="AK45:AK46" si="29">AJ45/AI45</f>
        <v>1</v>
      </c>
      <c r="AL45" s="308">
        <v>7.0000000000000001E-3</v>
      </c>
      <c r="AM45" s="155">
        <v>7.0000000000000001E-3</v>
      </c>
      <c r="AN45" s="100">
        <f t="shared" ref="AN45:AN46" si="30">AM45/AL45</f>
        <v>1</v>
      </c>
      <c r="AO45" s="282">
        <v>7.0000000000000001E-3</v>
      </c>
      <c r="AP45" s="310"/>
      <c r="AQ45" s="106">
        <f t="shared" ref="AQ45:AQ46" si="31">AP45/AO45</f>
        <v>0</v>
      </c>
      <c r="AR45" s="308">
        <v>7.0000000000000001E-3</v>
      </c>
      <c r="AS45" s="311"/>
      <c r="AT45" s="312"/>
      <c r="AU45" s="308">
        <v>7.0000000000000001E-3</v>
      </c>
      <c r="AV45" s="311"/>
      <c r="AW45" s="313"/>
      <c r="AX45" s="308">
        <v>7.0000000000000001E-3</v>
      </c>
      <c r="AY45" s="311"/>
      <c r="AZ45" s="312"/>
      <c r="BA45" s="308">
        <v>7.0000000000000001E-3</v>
      </c>
      <c r="BB45" s="311"/>
      <c r="BC45" s="313"/>
      <c r="BD45" s="308">
        <v>7.0000000000000001E-3</v>
      </c>
      <c r="BE45" s="311"/>
      <c r="BF45" s="312"/>
      <c r="BG45" s="308">
        <v>7.0000000000000001E-3</v>
      </c>
      <c r="BH45" s="311"/>
      <c r="BI45" s="312"/>
      <c r="BJ45" s="308">
        <v>7.0000000000000001E-3</v>
      </c>
      <c r="BK45" s="311"/>
      <c r="BL45" s="312"/>
      <c r="BM45" s="308">
        <v>7.0000000000000001E-3</v>
      </c>
      <c r="BN45" s="311"/>
      <c r="BO45" s="312"/>
      <c r="BP45" s="308">
        <v>7.0000000000000001E-3</v>
      </c>
      <c r="BQ45" s="311"/>
      <c r="BR45" s="312"/>
      <c r="BS45" s="308">
        <v>7.0000000000000001E-3</v>
      </c>
      <c r="BT45" s="311"/>
      <c r="BU45" s="312"/>
      <c r="BV45" s="308">
        <v>7.0000000000000001E-3</v>
      </c>
      <c r="BW45" s="311"/>
      <c r="BX45" s="312"/>
      <c r="BY45" s="308">
        <v>7.0000000000000001E-3</v>
      </c>
      <c r="BZ45" s="311"/>
      <c r="CA45" s="312"/>
      <c r="CB45" s="273"/>
      <c r="CC45" s="274"/>
      <c r="CD45" s="272"/>
      <c r="CE45" s="273"/>
      <c r="CF45" s="274"/>
      <c r="CG45" s="272"/>
      <c r="CH45" s="273"/>
      <c r="CI45" s="274"/>
      <c r="CJ45" s="272"/>
      <c r="CK45" s="273"/>
      <c r="CL45" s="274"/>
      <c r="CM45" s="272"/>
      <c r="CN45" s="273"/>
      <c r="CO45" s="274"/>
      <c r="CP45" s="272"/>
      <c r="CQ45" s="273"/>
      <c r="CR45" s="274"/>
      <c r="CS45" s="272"/>
      <c r="CT45" s="273"/>
      <c r="CU45" s="274"/>
      <c r="CV45" s="272"/>
      <c r="CW45" s="294"/>
    </row>
    <row r="46" spans="1:101" ht="15.75" customHeight="1" x14ac:dyDescent="0.25">
      <c r="A46" s="503"/>
      <c r="B46" s="65" t="s">
        <v>40</v>
      </c>
      <c r="C46" s="66" t="s">
        <v>41</v>
      </c>
      <c r="D46" s="66">
        <v>9</v>
      </c>
      <c r="E46" s="108">
        <f>O46+R46+U46+X46+AA46+AD46+AG46+AJ46+AM46+AP46+AS46+AV46+AY46+BB46+BE46+BH46+BK46+BN46+BQ46+BT46+BW46+BZ46+CC46+CF46+CI46+CL46+CO46+CR46+CU46</f>
        <v>8</v>
      </c>
      <c r="F46" s="108">
        <f t="shared" si="17"/>
        <v>1</v>
      </c>
      <c r="G46" s="125">
        <v>1</v>
      </c>
      <c r="H46" s="46">
        <f t="shared" si="27"/>
        <v>0.88888888888888884</v>
      </c>
      <c r="I46" s="83">
        <f t="shared" si="28"/>
        <v>0</v>
      </c>
      <c r="J46" s="74">
        <v>42724</v>
      </c>
      <c r="K46" s="66"/>
      <c r="L46" s="126">
        <v>2</v>
      </c>
      <c r="M46" s="77">
        <v>2</v>
      </c>
      <c r="N46" s="299">
        <v>0</v>
      </c>
      <c r="O46" s="276">
        <v>0</v>
      </c>
      <c r="P46" s="283">
        <v>0</v>
      </c>
      <c r="Q46" s="315">
        <v>0</v>
      </c>
      <c r="R46" s="276">
        <v>0</v>
      </c>
      <c r="S46" s="280">
        <v>0</v>
      </c>
      <c r="T46" s="299">
        <v>3</v>
      </c>
      <c r="U46" s="276">
        <v>3</v>
      </c>
      <c r="V46" s="283">
        <v>100</v>
      </c>
      <c r="W46" s="316">
        <v>1</v>
      </c>
      <c r="X46" s="276">
        <v>1</v>
      </c>
      <c r="Y46" s="283">
        <v>100</v>
      </c>
      <c r="Z46" s="316">
        <v>1</v>
      </c>
      <c r="AA46" s="276">
        <v>1</v>
      </c>
      <c r="AB46" s="283">
        <v>100</v>
      </c>
      <c r="AC46" s="317">
        <v>0</v>
      </c>
      <c r="AD46" s="276">
        <v>0</v>
      </c>
      <c r="AE46" s="283">
        <v>0</v>
      </c>
      <c r="AF46" s="317">
        <v>1</v>
      </c>
      <c r="AG46" s="317">
        <v>1</v>
      </c>
      <c r="AH46" s="283">
        <v>100</v>
      </c>
      <c r="AI46" s="317">
        <v>1</v>
      </c>
      <c r="AJ46" s="262">
        <v>1</v>
      </c>
      <c r="AK46" s="97">
        <f t="shared" si="29"/>
        <v>1</v>
      </c>
      <c r="AL46" s="318">
        <v>1</v>
      </c>
      <c r="AM46" s="181">
        <v>1</v>
      </c>
      <c r="AN46" s="100">
        <f t="shared" si="30"/>
        <v>1</v>
      </c>
      <c r="AO46" s="261">
        <v>1</v>
      </c>
      <c r="AP46" s="245"/>
      <c r="AQ46" s="106">
        <f t="shared" si="31"/>
        <v>0</v>
      </c>
      <c r="AR46" s="281"/>
      <c r="AS46" s="230"/>
      <c r="AT46" s="228"/>
      <c r="AU46" s="229"/>
      <c r="AV46" s="230"/>
      <c r="AW46" s="302"/>
      <c r="AX46" s="281"/>
      <c r="AY46" s="230"/>
      <c r="AZ46" s="228"/>
      <c r="BA46" s="229"/>
      <c r="BB46" s="230"/>
      <c r="BC46" s="302"/>
      <c r="BD46" s="281"/>
      <c r="BE46" s="230"/>
      <c r="BF46" s="228"/>
      <c r="BG46" s="229"/>
      <c r="BH46" s="230"/>
      <c r="BI46" s="228"/>
      <c r="BJ46" s="229"/>
      <c r="BK46" s="230"/>
      <c r="BL46" s="228"/>
      <c r="BM46" s="229"/>
      <c r="BN46" s="230"/>
      <c r="BO46" s="228"/>
      <c r="BP46" s="229"/>
      <c r="BQ46" s="230"/>
      <c r="BR46" s="228"/>
      <c r="BS46" s="229"/>
      <c r="BT46" s="230"/>
      <c r="BU46" s="228"/>
      <c r="BV46" s="229"/>
      <c r="BW46" s="230"/>
      <c r="BX46" s="228"/>
      <c r="BY46" s="229"/>
      <c r="BZ46" s="230"/>
      <c r="CA46" s="228"/>
      <c r="CB46" s="229"/>
      <c r="CC46" s="230"/>
      <c r="CD46" s="228"/>
      <c r="CE46" s="229"/>
      <c r="CF46" s="230"/>
      <c r="CG46" s="228"/>
      <c r="CH46" s="229"/>
      <c r="CI46" s="230"/>
      <c r="CJ46" s="228"/>
      <c r="CK46" s="229"/>
      <c r="CL46" s="230"/>
      <c r="CM46" s="228"/>
      <c r="CN46" s="229"/>
      <c r="CO46" s="230"/>
      <c r="CP46" s="228"/>
      <c r="CQ46" s="229"/>
      <c r="CR46" s="230"/>
      <c r="CS46" s="228"/>
      <c r="CT46" s="229"/>
      <c r="CU46" s="230"/>
      <c r="CV46" s="228"/>
      <c r="CW46" s="294"/>
    </row>
    <row r="47" spans="1:101" ht="15.75" customHeight="1" x14ac:dyDescent="0.25">
      <c r="A47" s="501" t="s">
        <v>27</v>
      </c>
      <c r="B47" s="111" t="s">
        <v>57</v>
      </c>
      <c r="C47" s="51" t="s">
        <v>18</v>
      </c>
      <c r="D47" s="52">
        <v>1</v>
      </c>
      <c r="E47" s="53">
        <f>H48</f>
        <v>0.61136363636363633</v>
      </c>
      <c r="F47" s="53">
        <f t="shared" si="17"/>
        <v>0.38863636363636367</v>
      </c>
      <c r="G47" s="112"/>
      <c r="H47" s="52">
        <f>E47</f>
        <v>0.61136363636363633</v>
      </c>
      <c r="I47" s="55"/>
      <c r="J47" s="56"/>
      <c r="K47" s="51" t="s">
        <v>34</v>
      </c>
      <c r="L47" s="51"/>
      <c r="M47" s="286"/>
      <c r="N47" s="319"/>
      <c r="O47" s="320"/>
      <c r="P47" s="321"/>
      <c r="Q47" s="319"/>
      <c r="R47" s="320"/>
      <c r="S47" s="322"/>
      <c r="T47" s="323"/>
      <c r="U47" s="138"/>
      <c r="V47" s="324"/>
      <c r="W47" s="325"/>
      <c r="X47" s="138"/>
      <c r="Y47" s="326"/>
      <c r="Z47" s="327"/>
      <c r="AA47" s="138"/>
      <c r="AB47" s="324"/>
      <c r="AC47" s="327"/>
      <c r="AD47" s="138"/>
      <c r="AE47" s="324"/>
      <c r="AF47" s="327"/>
      <c r="AG47" s="138"/>
      <c r="AH47" s="324"/>
      <c r="AI47" s="331"/>
      <c r="AJ47" s="320"/>
      <c r="AK47" s="321"/>
      <c r="AL47" s="331"/>
      <c r="AM47" s="320"/>
      <c r="AN47" s="321"/>
      <c r="AO47" s="333"/>
      <c r="AP47" s="320"/>
      <c r="AQ47" s="322"/>
      <c r="AR47" s="331"/>
      <c r="AS47" s="320"/>
      <c r="AT47" s="321"/>
      <c r="AU47" s="333"/>
      <c r="AV47" s="320"/>
      <c r="AW47" s="322"/>
      <c r="AX47" s="331"/>
      <c r="AY47" s="320"/>
      <c r="AZ47" s="321"/>
      <c r="BA47" s="333"/>
      <c r="BB47" s="320"/>
      <c r="BC47" s="322"/>
      <c r="BD47" s="331"/>
      <c r="BE47" s="320"/>
      <c r="BF47" s="321"/>
      <c r="BG47" s="333"/>
      <c r="BH47" s="320"/>
      <c r="BI47" s="321"/>
      <c r="BJ47" s="333"/>
      <c r="BK47" s="320"/>
      <c r="BL47" s="321"/>
      <c r="BM47" s="333"/>
      <c r="BN47" s="320"/>
      <c r="BO47" s="321"/>
      <c r="BP47" s="333"/>
      <c r="BQ47" s="320"/>
      <c r="BR47" s="321"/>
      <c r="BS47" s="333"/>
      <c r="BT47" s="320"/>
      <c r="BU47" s="321"/>
      <c r="BV47" s="333"/>
      <c r="BW47" s="320"/>
      <c r="BX47" s="321"/>
      <c r="BY47" s="333"/>
      <c r="BZ47" s="320"/>
      <c r="CA47" s="321"/>
      <c r="CB47" s="333"/>
      <c r="CC47" s="320"/>
      <c r="CD47" s="321"/>
      <c r="CE47" s="333"/>
      <c r="CF47" s="320"/>
      <c r="CG47" s="321"/>
      <c r="CH47" s="333"/>
      <c r="CI47" s="320"/>
      <c r="CJ47" s="321"/>
      <c r="CK47" s="333"/>
      <c r="CL47" s="320"/>
      <c r="CM47" s="321"/>
      <c r="CN47" s="333"/>
      <c r="CO47" s="320"/>
      <c r="CP47" s="321"/>
      <c r="CQ47" s="333"/>
      <c r="CR47" s="320"/>
      <c r="CS47" s="321"/>
      <c r="CT47" s="333"/>
      <c r="CU47" s="320"/>
      <c r="CV47" s="321"/>
      <c r="CW47" s="300"/>
    </row>
    <row r="48" spans="1:101" ht="15.75" customHeight="1" x14ac:dyDescent="0.25">
      <c r="A48" s="502"/>
      <c r="B48" s="65" t="s">
        <v>51</v>
      </c>
      <c r="C48" s="66" t="s">
        <v>38</v>
      </c>
      <c r="D48" s="70">
        <v>2.2000000000000002</v>
      </c>
      <c r="E48" s="70">
        <f>0.95+O48+R48+U48+X48+AA48+AD48+AG48+AJ48+AM48+AP48+AS48+AV48+AY48+BB48+BE48+BH48+BK48+BN48+BQ48+BT48+BW48+BZ48+CC48+CF48+CI48+CL48+CO48+CR48+CU48</f>
        <v>1.345</v>
      </c>
      <c r="F48" s="70">
        <f t="shared" si="17"/>
        <v>0.8550000000000002</v>
      </c>
      <c r="G48" s="125">
        <v>1</v>
      </c>
      <c r="H48" s="46">
        <f>E48/D48</f>
        <v>0.61136363636363633</v>
      </c>
      <c r="I48" s="83">
        <f>AP48/D48</f>
        <v>0</v>
      </c>
      <c r="J48" s="74">
        <v>42724</v>
      </c>
      <c r="K48" s="66"/>
      <c r="L48" s="126">
        <v>5</v>
      </c>
      <c r="M48" s="77">
        <v>3</v>
      </c>
      <c r="N48" s="306">
        <v>1.6E-2</v>
      </c>
      <c r="O48" s="306">
        <v>1.6E-2</v>
      </c>
      <c r="P48" s="97">
        <f>O48/N48</f>
        <v>1</v>
      </c>
      <c r="Q48" s="315">
        <v>0</v>
      </c>
      <c r="R48" s="276">
        <v>0</v>
      </c>
      <c r="S48" s="280">
        <v>0</v>
      </c>
      <c r="T48" s="329">
        <v>1.6E-2</v>
      </c>
      <c r="U48" s="282">
        <v>1.6E-2</v>
      </c>
      <c r="V48" s="335">
        <v>100</v>
      </c>
      <c r="W48" s="329">
        <v>5.6000000000000001E-2</v>
      </c>
      <c r="X48" s="282">
        <v>5.6000000000000001E-2</v>
      </c>
      <c r="Y48" s="336">
        <v>100</v>
      </c>
      <c r="Z48" s="329">
        <v>5.6000000000000001E-2</v>
      </c>
      <c r="AA48" s="282">
        <v>5.6000000000000001E-2</v>
      </c>
      <c r="AB48" s="335">
        <v>100</v>
      </c>
      <c r="AC48" s="329">
        <v>5.6000000000000001E-2</v>
      </c>
      <c r="AD48" s="282">
        <v>5.6000000000000001E-2</v>
      </c>
      <c r="AE48" s="283">
        <v>100</v>
      </c>
      <c r="AF48" s="329">
        <v>6.5000000000000002E-2</v>
      </c>
      <c r="AG48" s="329">
        <v>6.5000000000000002E-2</v>
      </c>
      <c r="AH48" s="283">
        <v>100</v>
      </c>
      <c r="AI48" s="329">
        <v>6.5000000000000002E-2</v>
      </c>
      <c r="AJ48" s="332">
        <v>6.5000000000000002E-2</v>
      </c>
      <c r="AK48" s="97">
        <f>AJ48/AI48</f>
        <v>1</v>
      </c>
      <c r="AL48" s="329">
        <v>6.5000000000000002E-2</v>
      </c>
      <c r="AM48" s="332">
        <v>6.5000000000000002E-2</v>
      </c>
      <c r="AN48" s="97">
        <f>AM48/AL48</f>
        <v>1</v>
      </c>
      <c r="AO48" s="329">
        <v>6.5000000000000002E-2</v>
      </c>
      <c r="AP48" s="245"/>
      <c r="AQ48" s="106">
        <f>AP48/AO48</f>
        <v>0</v>
      </c>
      <c r="AR48" s="329">
        <v>6.5000000000000002E-2</v>
      </c>
      <c r="AS48" s="274"/>
      <c r="AT48" s="272"/>
      <c r="AU48" s="329">
        <v>6.5000000000000002E-2</v>
      </c>
      <c r="AV48" s="274"/>
      <c r="AW48" s="279"/>
      <c r="AX48" s="329">
        <v>6.5000000000000002E-2</v>
      </c>
      <c r="AY48" s="274"/>
      <c r="AZ48" s="272"/>
      <c r="BA48" s="329">
        <v>6.5000000000000002E-2</v>
      </c>
      <c r="BB48" s="274"/>
      <c r="BC48" s="279"/>
      <c r="BD48" s="329">
        <v>6.5000000000000002E-2</v>
      </c>
      <c r="BE48" s="274"/>
      <c r="BF48" s="272"/>
      <c r="BG48" s="329">
        <v>6.5000000000000002E-2</v>
      </c>
      <c r="BH48" s="274"/>
      <c r="BI48" s="272"/>
      <c r="BJ48" s="329">
        <v>6.5000000000000002E-2</v>
      </c>
      <c r="BK48" s="274"/>
      <c r="BL48" s="272"/>
      <c r="BM48" s="329">
        <v>6.5000000000000002E-2</v>
      </c>
      <c r="BN48" s="274"/>
      <c r="BO48" s="272"/>
      <c r="BP48" s="329">
        <v>6.5000000000000002E-2</v>
      </c>
      <c r="BQ48" s="274"/>
      <c r="BR48" s="272"/>
      <c r="BS48" s="329">
        <v>6.5000000000000002E-2</v>
      </c>
      <c r="BT48" s="274"/>
      <c r="BU48" s="272"/>
      <c r="BV48" s="329">
        <v>6.5000000000000002E-2</v>
      </c>
      <c r="BW48" s="274"/>
      <c r="BX48" s="272"/>
      <c r="BY48" s="329">
        <v>6.5000000000000002E-2</v>
      </c>
      <c r="BZ48" s="274"/>
      <c r="CA48" s="272"/>
      <c r="CB48" s="273"/>
      <c r="CC48" s="274"/>
      <c r="CD48" s="272"/>
      <c r="CE48" s="273"/>
      <c r="CF48" s="274"/>
      <c r="CG48" s="272"/>
      <c r="CH48" s="273"/>
      <c r="CI48" s="274"/>
      <c r="CJ48" s="272"/>
      <c r="CK48" s="273"/>
      <c r="CL48" s="274"/>
      <c r="CM48" s="272"/>
      <c r="CN48" s="273"/>
      <c r="CO48" s="274"/>
      <c r="CP48" s="272"/>
      <c r="CQ48" s="273"/>
      <c r="CR48" s="274"/>
      <c r="CS48" s="272"/>
      <c r="CT48" s="273"/>
      <c r="CU48" s="274"/>
      <c r="CV48" s="272"/>
      <c r="CW48" s="294"/>
    </row>
    <row r="49" spans="1:101" ht="15.75" hidden="1" customHeight="1" x14ac:dyDescent="0.25">
      <c r="A49" s="503"/>
      <c r="B49" s="65" t="s">
        <v>40</v>
      </c>
      <c r="C49" s="66" t="s">
        <v>41</v>
      </c>
      <c r="D49" s="108">
        <v>0</v>
      </c>
      <c r="E49" s="108">
        <f>O49+R49+U49+X49+AA49+AD49+AG49+AJ49+AM49+AP49+AS49+AV49+AY49+BB49+BE49+BH49+BK49+BN49+BQ49+BT49+BW49+BZ49+CC49+CF49+CI49+CL49+CO49+CR49+CU49</f>
        <v>0</v>
      </c>
      <c r="F49" s="70">
        <f t="shared" si="17"/>
        <v>0</v>
      </c>
      <c r="G49" s="125">
        <v>0</v>
      </c>
      <c r="H49" s="197"/>
      <c r="I49" s="198"/>
      <c r="J49" s="74"/>
      <c r="K49" s="66"/>
      <c r="L49" s="126"/>
      <c r="M49" s="77"/>
      <c r="N49" s="271"/>
      <c r="O49" s="230"/>
      <c r="P49" s="228"/>
      <c r="Q49" s="275"/>
      <c r="R49" s="230"/>
      <c r="S49" s="302"/>
      <c r="T49" s="306"/>
      <c r="U49" s="290"/>
      <c r="V49" s="292"/>
      <c r="W49" s="314"/>
      <c r="X49" s="290"/>
      <c r="Y49" s="287"/>
      <c r="Z49" s="88"/>
      <c r="AA49" s="290"/>
      <c r="AB49" s="292"/>
      <c r="AC49" s="88"/>
      <c r="AD49" s="290"/>
      <c r="AE49" s="292"/>
      <c r="AF49" s="88"/>
      <c r="AG49" s="290"/>
      <c r="AH49" s="292"/>
      <c r="AI49" s="281"/>
      <c r="AJ49" s="230"/>
      <c r="AK49" s="228"/>
      <c r="AL49" s="281"/>
      <c r="AM49" s="230"/>
      <c r="AN49" s="228"/>
      <c r="AO49" s="229"/>
      <c r="AP49" s="230"/>
      <c r="AQ49" s="302"/>
      <c r="AR49" s="281"/>
      <c r="AS49" s="230"/>
      <c r="AT49" s="228"/>
      <c r="AU49" s="229"/>
      <c r="AV49" s="230"/>
      <c r="AW49" s="302"/>
      <c r="AX49" s="281"/>
      <c r="AY49" s="230"/>
      <c r="AZ49" s="228"/>
      <c r="BA49" s="229"/>
      <c r="BB49" s="230"/>
      <c r="BC49" s="302"/>
      <c r="BD49" s="281"/>
      <c r="BE49" s="230"/>
      <c r="BF49" s="228"/>
      <c r="BG49" s="229"/>
      <c r="BH49" s="230"/>
      <c r="BI49" s="228"/>
      <c r="BJ49" s="229"/>
      <c r="BK49" s="230"/>
      <c r="BL49" s="228"/>
      <c r="BM49" s="229"/>
      <c r="BN49" s="230"/>
      <c r="BO49" s="228"/>
      <c r="BP49" s="229"/>
      <c r="BQ49" s="230"/>
      <c r="BR49" s="228"/>
      <c r="BS49" s="229"/>
      <c r="BT49" s="230"/>
      <c r="BU49" s="228"/>
      <c r="BV49" s="229"/>
      <c r="BW49" s="230"/>
      <c r="BX49" s="228"/>
      <c r="BY49" s="229"/>
      <c r="BZ49" s="230"/>
      <c r="CA49" s="228"/>
      <c r="CB49" s="229"/>
      <c r="CC49" s="230"/>
      <c r="CD49" s="228"/>
      <c r="CE49" s="229"/>
      <c r="CF49" s="230"/>
      <c r="CG49" s="228"/>
      <c r="CH49" s="229"/>
      <c r="CI49" s="230"/>
      <c r="CJ49" s="228"/>
      <c r="CK49" s="229"/>
      <c r="CL49" s="230"/>
      <c r="CM49" s="228"/>
      <c r="CN49" s="229"/>
      <c r="CO49" s="230"/>
      <c r="CP49" s="228"/>
      <c r="CQ49" s="229"/>
      <c r="CR49" s="230"/>
      <c r="CS49" s="228"/>
      <c r="CT49" s="229"/>
      <c r="CU49" s="230"/>
      <c r="CV49" s="228"/>
      <c r="CW49" s="294"/>
    </row>
    <row r="50" spans="1:101" ht="15.75" customHeight="1" x14ac:dyDescent="0.25">
      <c r="A50" s="501" t="s">
        <v>28</v>
      </c>
      <c r="B50" s="111" t="s">
        <v>80</v>
      </c>
      <c r="C50" s="51" t="s">
        <v>18</v>
      </c>
      <c r="D50" s="52">
        <v>1</v>
      </c>
      <c r="E50" s="53">
        <f>(H51+H52)/2</f>
        <v>0.38089596027984651</v>
      </c>
      <c r="F50" s="53">
        <f t="shared" si="17"/>
        <v>0.61910403972015349</v>
      </c>
      <c r="G50" s="112"/>
      <c r="H50" s="52">
        <f>E50</f>
        <v>0.38089596027984651</v>
      </c>
      <c r="I50" s="55"/>
      <c r="J50" s="56"/>
      <c r="K50" s="51" t="s">
        <v>36</v>
      </c>
      <c r="L50" s="51"/>
      <c r="M50" s="286"/>
      <c r="N50" s="338"/>
      <c r="O50" s="320"/>
      <c r="P50" s="321"/>
      <c r="Q50" s="338"/>
      <c r="R50" s="320"/>
      <c r="S50" s="322"/>
      <c r="T50" s="323"/>
      <c r="U50" s="138"/>
      <c r="V50" s="324"/>
      <c r="W50" s="325"/>
      <c r="X50" s="138"/>
      <c r="Y50" s="326"/>
      <c r="Z50" s="327"/>
      <c r="AA50" s="138"/>
      <c r="AB50" s="324"/>
      <c r="AC50" s="327"/>
      <c r="AD50" s="138"/>
      <c r="AE50" s="324"/>
      <c r="AF50" s="327"/>
      <c r="AG50" s="138"/>
      <c r="AH50" s="324"/>
      <c r="AI50" s="331"/>
      <c r="AJ50" s="320"/>
      <c r="AK50" s="321"/>
      <c r="AL50" s="331"/>
      <c r="AM50" s="320"/>
      <c r="AN50" s="321"/>
      <c r="AO50" s="333"/>
      <c r="AP50" s="320"/>
      <c r="AQ50" s="322"/>
      <c r="AR50" s="331"/>
      <c r="AS50" s="320"/>
      <c r="AT50" s="321"/>
      <c r="AU50" s="333"/>
      <c r="AV50" s="320"/>
      <c r="AW50" s="322"/>
      <c r="AX50" s="331"/>
      <c r="AY50" s="320"/>
      <c r="AZ50" s="321"/>
      <c r="BA50" s="333"/>
      <c r="BB50" s="320"/>
      <c r="BC50" s="322"/>
      <c r="BD50" s="331"/>
      <c r="BE50" s="320"/>
      <c r="BF50" s="321"/>
      <c r="BG50" s="333"/>
      <c r="BH50" s="320"/>
      <c r="BI50" s="321"/>
      <c r="BJ50" s="333"/>
      <c r="BK50" s="320"/>
      <c r="BL50" s="321"/>
      <c r="BM50" s="333"/>
      <c r="BN50" s="320"/>
      <c r="BO50" s="321"/>
      <c r="BP50" s="333"/>
      <c r="BQ50" s="320"/>
      <c r="BR50" s="321"/>
      <c r="BS50" s="333"/>
      <c r="BT50" s="320"/>
      <c r="BU50" s="321"/>
      <c r="BV50" s="333"/>
      <c r="BW50" s="320"/>
      <c r="BX50" s="321"/>
      <c r="BY50" s="333"/>
      <c r="BZ50" s="320"/>
      <c r="CA50" s="321"/>
      <c r="CB50" s="333"/>
      <c r="CC50" s="320"/>
      <c r="CD50" s="321"/>
      <c r="CE50" s="333"/>
      <c r="CF50" s="320"/>
      <c r="CG50" s="321"/>
      <c r="CH50" s="333"/>
      <c r="CI50" s="320"/>
      <c r="CJ50" s="321"/>
      <c r="CK50" s="333"/>
      <c r="CL50" s="320"/>
      <c r="CM50" s="321"/>
      <c r="CN50" s="333"/>
      <c r="CO50" s="320"/>
      <c r="CP50" s="321"/>
      <c r="CQ50" s="333"/>
      <c r="CR50" s="320"/>
      <c r="CS50" s="321"/>
      <c r="CT50" s="333"/>
      <c r="CU50" s="320"/>
      <c r="CV50" s="321"/>
      <c r="CW50" s="300"/>
    </row>
    <row r="51" spans="1:101" ht="15.75" customHeight="1" x14ac:dyDescent="0.25">
      <c r="A51" s="502"/>
      <c r="B51" s="65" t="s">
        <v>39</v>
      </c>
      <c r="C51" s="66" t="s">
        <v>38</v>
      </c>
      <c r="D51" s="70">
        <v>12.66</v>
      </c>
      <c r="E51" s="70">
        <f>3.46+O51+R51+U51+X51+AA51+AD51+AG51+AJ51+AM51+AP51+AS51+AV51+AY51+BB51+BE51+BH51+BK51+BN51+BQ51+BT51+BW51+BZ51+CC51+CF51+CI51+CL51+CO51+CR51+CU51</f>
        <v>4.5199999999999996</v>
      </c>
      <c r="F51" s="70">
        <f t="shared" si="17"/>
        <v>8.14</v>
      </c>
      <c r="G51" s="66"/>
      <c r="H51" s="46">
        <f t="shared" ref="H51:H52" si="32">E51/D51</f>
        <v>0.35703001579778826</v>
      </c>
      <c r="I51" s="83">
        <f t="shared" ref="I51:I52" si="33">AP51/D51</f>
        <v>0</v>
      </c>
      <c r="J51" s="74"/>
      <c r="K51" s="328"/>
      <c r="L51" s="66">
        <v>12</v>
      </c>
      <c r="M51" s="77">
        <v>16</v>
      </c>
      <c r="N51" s="271"/>
      <c r="O51" s="230"/>
      <c r="P51" s="228"/>
      <c r="Q51" s="275"/>
      <c r="R51" s="230"/>
      <c r="S51" s="302"/>
      <c r="T51" s="133">
        <v>0.4</v>
      </c>
      <c r="U51" s="130">
        <v>0</v>
      </c>
      <c r="V51" s="131"/>
      <c r="W51" s="129">
        <v>0.4</v>
      </c>
      <c r="X51" s="339">
        <v>0.38</v>
      </c>
      <c r="Y51" s="340"/>
      <c r="Z51" s="133"/>
      <c r="AA51" s="130"/>
      <c r="AB51" s="341"/>
      <c r="AC51" s="133">
        <v>0.4</v>
      </c>
      <c r="AD51" s="339">
        <v>0.38</v>
      </c>
      <c r="AE51" s="131"/>
      <c r="AF51" s="342">
        <v>0.4</v>
      </c>
      <c r="AG51" s="343">
        <v>0.3</v>
      </c>
      <c r="AH51" s="131"/>
      <c r="AI51" s="344">
        <v>0.4</v>
      </c>
      <c r="AJ51" s="169">
        <v>0</v>
      </c>
      <c r="AK51" s="97">
        <f t="shared" ref="AK51:AK52" si="34">AJ51/AI51</f>
        <v>0</v>
      </c>
      <c r="AL51" s="133">
        <v>0.4</v>
      </c>
      <c r="AM51" s="346">
        <v>0</v>
      </c>
      <c r="AN51" s="97">
        <f t="shared" ref="AN51:AN52" si="35">AM51/AL51</f>
        <v>0</v>
      </c>
      <c r="AO51" s="348">
        <v>0.4</v>
      </c>
      <c r="AP51" s="350">
        <v>0</v>
      </c>
      <c r="AQ51" s="106">
        <f t="shared" ref="AQ51:AQ52" si="36">AP51/AO51</f>
        <v>0</v>
      </c>
      <c r="AR51" s="133">
        <v>0.4</v>
      </c>
      <c r="AS51" s="130"/>
      <c r="AT51" s="131"/>
      <c r="AU51" s="129"/>
      <c r="AV51" s="130"/>
      <c r="AW51" s="132"/>
      <c r="AX51" s="133">
        <v>0.4</v>
      </c>
      <c r="AY51" s="130"/>
      <c r="AZ51" s="131"/>
      <c r="BA51" s="129">
        <v>0.4</v>
      </c>
      <c r="BB51" s="130"/>
      <c r="BC51" s="132"/>
      <c r="BD51" s="133">
        <v>0.4</v>
      </c>
      <c r="BE51" s="130"/>
      <c r="BF51" s="131"/>
      <c r="BG51" s="129">
        <v>0.4</v>
      </c>
      <c r="BH51" s="130"/>
      <c r="BI51" s="131"/>
      <c r="BJ51" s="129">
        <v>0.4</v>
      </c>
      <c r="BK51" s="130"/>
      <c r="BL51" s="131"/>
      <c r="BM51" s="129">
        <v>0.4</v>
      </c>
      <c r="BN51" s="130"/>
      <c r="BO51" s="131"/>
      <c r="BP51" s="129"/>
      <c r="BQ51" s="130"/>
      <c r="BR51" s="131"/>
      <c r="BS51" s="129">
        <v>0.4</v>
      </c>
      <c r="BT51" s="130"/>
      <c r="BU51" s="131"/>
      <c r="BV51" s="129">
        <v>0.4</v>
      </c>
      <c r="BW51" s="130"/>
      <c r="BX51" s="131"/>
      <c r="BY51" s="129">
        <v>0.4</v>
      </c>
      <c r="BZ51" s="130"/>
      <c r="CA51" s="131"/>
      <c r="CB51" s="129">
        <v>0.4</v>
      </c>
      <c r="CC51" s="130"/>
      <c r="CD51" s="131"/>
      <c r="CE51" s="129">
        <v>0.4</v>
      </c>
      <c r="CF51" s="130"/>
      <c r="CG51" s="131"/>
      <c r="CH51" s="129">
        <v>0.4</v>
      </c>
      <c r="CI51" s="130"/>
      <c r="CJ51" s="131"/>
      <c r="CK51" s="129"/>
      <c r="CL51" s="130"/>
      <c r="CM51" s="131"/>
      <c r="CN51" s="129">
        <v>0.4</v>
      </c>
      <c r="CO51" s="130"/>
      <c r="CP51" s="131"/>
      <c r="CQ51" s="129">
        <v>0.4</v>
      </c>
      <c r="CR51" s="130"/>
      <c r="CS51" s="131"/>
      <c r="CT51" s="129">
        <v>0.4</v>
      </c>
      <c r="CU51" s="130"/>
      <c r="CV51" s="228"/>
      <c r="CW51" s="294"/>
    </row>
    <row r="52" spans="1:101" ht="15.75" customHeight="1" x14ac:dyDescent="0.25">
      <c r="A52" s="503"/>
      <c r="B52" s="65" t="s">
        <v>40</v>
      </c>
      <c r="C52" s="66" t="s">
        <v>41</v>
      </c>
      <c r="D52" s="66">
        <v>42</v>
      </c>
      <c r="E52" s="108">
        <f>O52+R52+U52+X52+AA52+AD52+AG52+AJ52+AM52+AP52+AS52+AV52+AY52+BB52+BE52+BH52+BK52+BN52+BQ52+BT52+BW52+BZ52+CC52+CF52+CI52+CL52+CO52+CR52+CU52</f>
        <v>17</v>
      </c>
      <c r="F52" s="108">
        <f t="shared" si="17"/>
        <v>25</v>
      </c>
      <c r="G52" s="66"/>
      <c r="H52" s="46">
        <f t="shared" si="32"/>
        <v>0.40476190476190477</v>
      </c>
      <c r="I52" s="83">
        <f t="shared" si="33"/>
        <v>4.7619047619047616E-2</v>
      </c>
      <c r="J52" s="74"/>
      <c r="K52" s="66"/>
      <c r="L52" s="66"/>
      <c r="M52" s="201"/>
      <c r="N52" s="306"/>
      <c r="O52" s="274"/>
      <c r="P52" s="272"/>
      <c r="Q52" s="307"/>
      <c r="R52" s="274"/>
      <c r="S52" s="279"/>
      <c r="T52" s="133">
        <v>2</v>
      </c>
      <c r="U52" s="130">
        <v>0</v>
      </c>
      <c r="V52" s="131"/>
      <c r="W52" s="129">
        <v>2</v>
      </c>
      <c r="X52" s="339">
        <v>0</v>
      </c>
      <c r="Y52" s="340"/>
      <c r="Z52" s="133"/>
      <c r="AA52" s="130"/>
      <c r="AB52" s="341"/>
      <c r="AC52" s="133">
        <v>2</v>
      </c>
      <c r="AD52" s="339">
        <v>0</v>
      </c>
      <c r="AE52" s="131"/>
      <c r="AF52" s="133">
        <v>2</v>
      </c>
      <c r="AG52" s="339">
        <v>8</v>
      </c>
      <c r="AH52" s="131"/>
      <c r="AI52" s="167">
        <v>2</v>
      </c>
      <c r="AJ52" s="169">
        <v>0</v>
      </c>
      <c r="AK52" s="97">
        <f t="shared" si="34"/>
        <v>0</v>
      </c>
      <c r="AL52" s="133">
        <v>2</v>
      </c>
      <c r="AM52" s="351">
        <v>7</v>
      </c>
      <c r="AN52" s="97">
        <f t="shared" si="35"/>
        <v>3.5</v>
      </c>
      <c r="AO52" s="348">
        <v>2</v>
      </c>
      <c r="AP52" s="240">
        <v>2</v>
      </c>
      <c r="AQ52" s="106">
        <f t="shared" si="36"/>
        <v>1</v>
      </c>
      <c r="AR52" s="133">
        <v>2</v>
      </c>
      <c r="AS52" s="130"/>
      <c r="AT52" s="131"/>
      <c r="AU52" s="129"/>
      <c r="AV52" s="130"/>
      <c r="AW52" s="132"/>
      <c r="AX52" s="133">
        <v>2</v>
      </c>
      <c r="AY52" s="130"/>
      <c r="AZ52" s="131"/>
      <c r="BA52" s="129">
        <v>2</v>
      </c>
      <c r="BB52" s="130"/>
      <c r="BC52" s="132"/>
      <c r="BD52" s="133">
        <v>2</v>
      </c>
      <c r="BE52" s="130"/>
      <c r="BF52" s="131"/>
      <c r="BG52" s="129">
        <v>2</v>
      </c>
      <c r="BH52" s="130"/>
      <c r="BI52" s="131"/>
      <c r="BJ52" s="129">
        <v>2</v>
      </c>
      <c r="BK52" s="130"/>
      <c r="BL52" s="131"/>
      <c r="BM52" s="129">
        <v>2</v>
      </c>
      <c r="BN52" s="130"/>
      <c r="BO52" s="131"/>
      <c r="BP52" s="129"/>
      <c r="BQ52" s="130"/>
      <c r="BR52" s="131"/>
      <c r="BS52" s="129">
        <v>2</v>
      </c>
      <c r="BT52" s="130"/>
      <c r="BU52" s="131"/>
      <c r="BV52" s="129">
        <v>2</v>
      </c>
      <c r="BW52" s="130"/>
      <c r="BX52" s="131"/>
      <c r="BY52" s="129">
        <v>2</v>
      </c>
      <c r="BZ52" s="130"/>
      <c r="CA52" s="131"/>
      <c r="CB52" s="129">
        <v>2</v>
      </c>
      <c r="CC52" s="130"/>
      <c r="CD52" s="131"/>
      <c r="CE52" s="129">
        <v>2</v>
      </c>
      <c r="CF52" s="130"/>
      <c r="CG52" s="131"/>
      <c r="CH52" s="129">
        <v>2</v>
      </c>
      <c r="CI52" s="130"/>
      <c r="CJ52" s="131"/>
      <c r="CK52" s="129"/>
      <c r="CL52" s="130"/>
      <c r="CM52" s="131"/>
      <c r="CN52" s="129">
        <v>2</v>
      </c>
      <c r="CO52" s="130"/>
      <c r="CP52" s="131"/>
      <c r="CQ52" s="129"/>
      <c r="CR52" s="130"/>
      <c r="CS52" s="352"/>
      <c r="CT52" s="129"/>
      <c r="CU52" s="130"/>
      <c r="CV52" s="272"/>
      <c r="CW52" s="294"/>
    </row>
    <row r="53" spans="1:101" ht="15.75" customHeight="1" x14ac:dyDescent="0.25">
      <c r="A53" s="501" t="s">
        <v>29</v>
      </c>
      <c r="B53" s="204" t="s">
        <v>88</v>
      </c>
      <c r="C53" s="51" t="s">
        <v>18</v>
      </c>
      <c r="D53" s="52">
        <v>1</v>
      </c>
      <c r="E53" s="53">
        <f>(H54+H55)/2</f>
        <v>0.11842105263157895</v>
      </c>
      <c r="F53" s="53">
        <f t="shared" si="17"/>
        <v>0.88157894736842102</v>
      </c>
      <c r="G53" s="353"/>
      <c r="H53" s="52">
        <f>E53</f>
        <v>0.11842105263157895</v>
      </c>
      <c r="I53" s="55"/>
      <c r="J53" s="140"/>
      <c r="K53" s="136" t="s">
        <v>36</v>
      </c>
      <c r="L53" s="51"/>
      <c r="M53" s="286"/>
      <c r="N53" s="354"/>
      <c r="O53" s="355"/>
      <c r="P53" s="356"/>
      <c r="Q53" s="354"/>
      <c r="R53" s="355"/>
      <c r="S53" s="357"/>
      <c r="T53" s="358"/>
      <c r="U53" s="112"/>
      <c r="V53" s="359"/>
      <c r="W53" s="360"/>
      <c r="X53" s="112"/>
      <c r="Y53" s="359"/>
      <c r="Z53" s="360"/>
      <c r="AA53" s="112"/>
      <c r="AB53" s="359"/>
      <c r="AC53" s="358"/>
      <c r="AD53" s="112"/>
      <c r="AE53" s="359"/>
      <c r="AF53" s="360"/>
      <c r="AG53" s="112"/>
      <c r="AH53" s="359"/>
      <c r="AI53" s="361"/>
      <c r="AJ53" s="355"/>
      <c r="AK53" s="356"/>
      <c r="AL53" s="361"/>
      <c r="AM53" s="355"/>
      <c r="AN53" s="356"/>
      <c r="AO53" s="354"/>
      <c r="AP53" s="355"/>
      <c r="AQ53" s="357"/>
      <c r="AR53" s="361"/>
      <c r="AS53" s="355"/>
      <c r="AT53" s="356"/>
      <c r="AU53" s="354"/>
      <c r="AV53" s="355"/>
      <c r="AW53" s="357"/>
      <c r="AX53" s="361"/>
      <c r="AY53" s="355"/>
      <c r="AZ53" s="356"/>
      <c r="BA53" s="354"/>
      <c r="BB53" s="355"/>
      <c r="BC53" s="357"/>
      <c r="BD53" s="361"/>
      <c r="BE53" s="355"/>
      <c r="BF53" s="356"/>
      <c r="BG53" s="354"/>
      <c r="BH53" s="355"/>
      <c r="BI53" s="356"/>
      <c r="BJ53" s="354"/>
      <c r="BK53" s="355"/>
      <c r="BL53" s="356"/>
      <c r="BM53" s="354"/>
      <c r="BN53" s="355"/>
      <c r="BO53" s="356"/>
      <c r="BP53" s="354"/>
      <c r="BQ53" s="355"/>
      <c r="BR53" s="356"/>
      <c r="BS53" s="354"/>
      <c r="BT53" s="355"/>
      <c r="BU53" s="356"/>
      <c r="BV53" s="354"/>
      <c r="BW53" s="355"/>
      <c r="BX53" s="356"/>
      <c r="BY53" s="354"/>
      <c r="BZ53" s="355"/>
      <c r="CA53" s="356"/>
      <c r="CB53" s="354"/>
      <c r="CC53" s="355"/>
      <c r="CD53" s="356"/>
      <c r="CE53" s="354"/>
      <c r="CF53" s="355"/>
      <c r="CG53" s="356"/>
      <c r="CH53" s="354"/>
      <c r="CI53" s="355"/>
      <c r="CJ53" s="356"/>
      <c r="CK53" s="354"/>
      <c r="CL53" s="355"/>
      <c r="CM53" s="356"/>
      <c r="CN53" s="354"/>
      <c r="CO53" s="355"/>
      <c r="CP53" s="356"/>
      <c r="CQ53" s="354"/>
      <c r="CR53" s="355"/>
      <c r="CS53" s="356"/>
      <c r="CT53" s="354"/>
      <c r="CU53" s="355"/>
      <c r="CV53" s="356"/>
      <c r="CW53" s="362"/>
    </row>
    <row r="54" spans="1:101" ht="15.75" customHeight="1" x14ac:dyDescent="0.25">
      <c r="A54" s="502"/>
      <c r="B54" s="65" t="s">
        <v>39</v>
      </c>
      <c r="C54" s="66" t="s">
        <v>38</v>
      </c>
      <c r="D54" s="66">
        <v>1.9</v>
      </c>
      <c r="E54" s="70">
        <f t="shared" ref="E54:E55" si="37">O54+R54+U54+X54+AA54+AD54+AG54+AJ54+AM54+AP54+AS54+AV54+AY54+BB54+BE54+BH54+BK54+BN54+BQ54+BT54+BW54+BZ54+CC54+CF54+CI54+CL54+CO54+CR54+CU54</f>
        <v>0.45</v>
      </c>
      <c r="F54" s="70">
        <f t="shared" si="17"/>
        <v>1.45</v>
      </c>
      <c r="G54" s="36"/>
      <c r="H54" s="46">
        <f t="shared" ref="H54:H55" si="38">E54/D54</f>
        <v>0.23684210526315791</v>
      </c>
      <c r="I54" s="83">
        <f>AP54/D54</f>
        <v>0.13157894736842105</v>
      </c>
      <c r="J54" s="74"/>
      <c r="K54" s="66"/>
      <c r="L54" s="66">
        <v>8</v>
      </c>
      <c r="M54" s="77">
        <v>4</v>
      </c>
      <c r="N54" s="297"/>
      <c r="O54" s="274"/>
      <c r="P54" s="272"/>
      <c r="Q54" s="305"/>
      <c r="R54" s="274"/>
      <c r="S54" s="272"/>
      <c r="T54" s="305"/>
      <c r="U54" s="274"/>
      <c r="V54" s="272"/>
      <c r="W54" s="273"/>
      <c r="X54" s="274"/>
      <c r="Y54" s="272"/>
      <c r="Z54" s="273"/>
      <c r="AA54" s="274"/>
      <c r="AB54" s="272"/>
      <c r="AC54" s="82">
        <v>0.1</v>
      </c>
      <c r="AD54" s="365">
        <v>0.1</v>
      </c>
      <c r="AE54" s="272"/>
      <c r="AF54" s="82">
        <v>0.1</v>
      </c>
      <c r="AG54" s="84">
        <v>0.1</v>
      </c>
      <c r="AH54" s="103"/>
      <c r="AI54" s="78">
        <v>0.1</v>
      </c>
      <c r="AJ54" s="84">
        <v>0</v>
      </c>
      <c r="AK54" s="97">
        <f>AJ54/AI54</f>
        <v>0</v>
      </c>
      <c r="AL54" s="78">
        <v>0.1</v>
      </c>
      <c r="AM54" s="233">
        <v>0</v>
      </c>
      <c r="AN54" s="97">
        <f>AM54/AL54</f>
        <v>0</v>
      </c>
      <c r="AO54" s="82">
        <v>0.1</v>
      </c>
      <c r="AP54" s="101">
        <v>0.25</v>
      </c>
      <c r="AQ54" s="106">
        <f>AP54/AO54</f>
        <v>2.5</v>
      </c>
      <c r="AR54" s="78">
        <v>0.1</v>
      </c>
      <c r="AS54" s="80"/>
      <c r="AT54" s="103"/>
      <c r="AU54" s="82"/>
      <c r="AV54" s="80"/>
      <c r="AW54" s="105"/>
      <c r="AX54" s="78">
        <v>0.1</v>
      </c>
      <c r="AY54" s="80"/>
      <c r="AZ54" s="103"/>
      <c r="BA54" s="82">
        <v>0.1</v>
      </c>
      <c r="BB54" s="80"/>
      <c r="BC54" s="105"/>
      <c r="BD54" s="78">
        <v>0.1</v>
      </c>
      <c r="BE54" s="80"/>
      <c r="BF54" s="103"/>
      <c r="BG54" s="82">
        <v>0.1</v>
      </c>
      <c r="BH54" s="80"/>
      <c r="BI54" s="103"/>
      <c r="BJ54" s="82">
        <v>0.1</v>
      </c>
      <c r="BK54" s="80"/>
      <c r="BL54" s="103"/>
      <c r="BM54" s="82">
        <v>0.1</v>
      </c>
      <c r="BN54" s="80"/>
      <c r="BO54" s="103"/>
      <c r="BP54" s="82"/>
      <c r="BQ54" s="80"/>
      <c r="BR54" s="103"/>
      <c r="BS54" s="82">
        <v>0.1</v>
      </c>
      <c r="BT54" s="80"/>
      <c r="BU54" s="103"/>
      <c r="BV54" s="82">
        <v>0.1</v>
      </c>
      <c r="BW54" s="80"/>
      <c r="BX54" s="103"/>
      <c r="BY54" s="82">
        <v>0.1</v>
      </c>
      <c r="BZ54" s="80"/>
      <c r="CA54" s="103"/>
      <c r="CB54" s="82">
        <v>0.1</v>
      </c>
      <c r="CC54" s="80"/>
      <c r="CD54" s="103"/>
      <c r="CE54" s="82">
        <v>0.1</v>
      </c>
      <c r="CF54" s="80"/>
      <c r="CG54" s="103"/>
      <c r="CH54" s="82">
        <v>0.1</v>
      </c>
      <c r="CI54" s="80"/>
      <c r="CJ54" s="103"/>
      <c r="CK54" s="273"/>
      <c r="CL54" s="274"/>
      <c r="CM54" s="272"/>
      <c r="CN54" s="82">
        <v>0.1</v>
      </c>
      <c r="CO54" s="274"/>
      <c r="CP54" s="272"/>
      <c r="CQ54" s="273"/>
      <c r="CR54" s="274"/>
      <c r="CS54" s="272"/>
      <c r="CT54" s="273"/>
      <c r="CU54" s="274"/>
      <c r="CV54" s="272"/>
      <c r="CW54" s="294"/>
    </row>
    <row r="55" spans="1:101" ht="15.75" customHeight="1" x14ac:dyDescent="0.25">
      <c r="A55" s="503"/>
      <c r="B55" s="65" t="s">
        <v>40</v>
      </c>
      <c r="C55" s="66" t="s">
        <v>41</v>
      </c>
      <c r="D55" s="66">
        <v>11</v>
      </c>
      <c r="E55" s="108">
        <f t="shared" si="37"/>
        <v>0</v>
      </c>
      <c r="F55" s="108">
        <f t="shared" si="17"/>
        <v>11</v>
      </c>
      <c r="G55" s="36"/>
      <c r="H55" s="46">
        <f t="shared" si="38"/>
        <v>0</v>
      </c>
      <c r="I55" s="83"/>
      <c r="J55" s="74"/>
      <c r="K55" s="66"/>
      <c r="L55" s="66"/>
      <c r="M55" s="334"/>
      <c r="N55" s="229"/>
      <c r="O55" s="230"/>
      <c r="P55" s="228"/>
      <c r="Q55" s="229"/>
      <c r="R55" s="230"/>
      <c r="S55" s="228"/>
      <c r="T55" s="229"/>
      <c r="U55" s="230"/>
      <c r="V55" s="228"/>
      <c r="W55" s="229"/>
      <c r="X55" s="230"/>
      <c r="Y55" s="228"/>
      <c r="Z55" s="229"/>
      <c r="AA55" s="230"/>
      <c r="AB55" s="228"/>
      <c r="AC55" s="229"/>
      <c r="AD55" s="230"/>
      <c r="AE55" s="228"/>
      <c r="AF55" s="82"/>
      <c r="AG55" s="80"/>
      <c r="AH55" s="103"/>
      <c r="AI55" s="78"/>
      <c r="AJ55" s="80"/>
      <c r="AK55" s="103"/>
      <c r="AL55" s="78"/>
      <c r="AM55" s="80"/>
      <c r="AN55" s="103"/>
      <c r="AO55" s="82"/>
      <c r="AP55" s="80"/>
      <c r="AQ55" s="105"/>
      <c r="AR55" s="78"/>
      <c r="AS55" s="80"/>
      <c r="AT55" s="103"/>
      <c r="AU55" s="82"/>
      <c r="AV55" s="80"/>
      <c r="AW55" s="105"/>
      <c r="AX55" s="78">
        <v>2</v>
      </c>
      <c r="AY55" s="80"/>
      <c r="AZ55" s="103"/>
      <c r="BA55" s="82">
        <v>2</v>
      </c>
      <c r="BB55" s="80"/>
      <c r="BC55" s="105"/>
      <c r="BD55" s="78">
        <v>2</v>
      </c>
      <c r="BE55" s="80"/>
      <c r="BF55" s="103"/>
      <c r="BG55" s="82">
        <v>2</v>
      </c>
      <c r="BH55" s="80"/>
      <c r="BI55" s="103"/>
      <c r="BJ55" s="82">
        <v>2</v>
      </c>
      <c r="BK55" s="80"/>
      <c r="BL55" s="103"/>
      <c r="BM55" s="82">
        <v>1</v>
      </c>
      <c r="BN55" s="80"/>
      <c r="BO55" s="103"/>
      <c r="BP55" s="82"/>
      <c r="BQ55" s="80"/>
      <c r="BR55" s="103"/>
      <c r="BS55" s="82"/>
      <c r="BT55" s="80"/>
      <c r="BU55" s="103"/>
      <c r="BV55" s="82"/>
      <c r="BW55" s="80"/>
      <c r="BX55" s="103"/>
      <c r="BY55" s="82"/>
      <c r="BZ55" s="80"/>
      <c r="CA55" s="103"/>
      <c r="CB55" s="82"/>
      <c r="CC55" s="80"/>
      <c r="CD55" s="103"/>
      <c r="CE55" s="82"/>
      <c r="CF55" s="80"/>
      <c r="CG55" s="103"/>
      <c r="CH55" s="82"/>
      <c r="CI55" s="80"/>
      <c r="CJ55" s="103"/>
      <c r="CK55" s="229"/>
      <c r="CL55" s="230"/>
      <c r="CM55" s="228"/>
      <c r="CN55" s="229"/>
      <c r="CO55" s="230"/>
      <c r="CP55" s="228"/>
      <c r="CQ55" s="229"/>
      <c r="CR55" s="230"/>
      <c r="CS55" s="228"/>
      <c r="CT55" s="229"/>
      <c r="CU55" s="230"/>
      <c r="CV55" s="228"/>
      <c r="CW55" s="229"/>
    </row>
    <row r="56" spans="1:101" ht="31.5" customHeight="1" x14ac:dyDescent="0.25">
      <c r="A56" s="501" t="s">
        <v>75</v>
      </c>
      <c r="B56" s="204" t="s">
        <v>91</v>
      </c>
      <c r="C56" s="51" t="s">
        <v>18</v>
      </c>
      <c r="D56" s="52">
        <v>1</v>
      </c>
      <c r="E56" s="53">
        <f>(H57+H58)/2</f>
        <v>0.334807724507451</v>
      </c>
      <c r="F56" s="53">
        <f t="shared" si="17"/>
        <v>0.665192275492549</v>
      </c>
      <c r="G56" s="353"/>
      <c r="H56" s="52">
        <f>E56</f>
        <v>0.334807724507451</v>
      </c>
      <c r="I56" s="55"/>
      <c r="J56" s="56">
        <v>42724</v>
      </c>
      <c r="K56" s="136" t="s">
        <v>92</v>
      </c>
      <c r="L56" s="247">
        <v>8</v>
      </c>
      <c r="M56" s="366">
        <v>8</v>
      </c>
      <c r="N56" s="296"/>
      <c r="O56" s="289"/>
      <c r="P56" s="291"/>
      <c r="Q56" s="296"/>
      <c r="R56" s="289"/>
      <c r="S56" s="291"/>
      <c r="T56" s="296"/>
      <c r="U56" s="289"/>
      <c r="V56" s="291"/>
      <c r="W56" s="296"/>
      <c r="X56" s="289"/>
      <c r="Y56" s="291"/>
      <c r="Z56" s="296"/>
      <c r="AA56" s="289"/>
      <c r="AB56" s="291"/>
      <c r="AC56" s="296"/>
      <c r="AD56" s="289"/>
      <c r="AE56" s="291"/>
      <c r="AF56" s="296"/>
      <c r="AG56" s="289"/>
      <c r="AH56" s="289"/>
      <c r="AI56" s="361"/>
      <c r="AJ56" s="355"/>
      <c r="AK56" s="356"/>
      <c r="AL56" s="361"/>
      <c r="AM56" s="355"/>
      <c r="AN56" s="356"/>
      <c r="AO56" s="354"/>
      <c r="AP56" s="355"/>
      <c r="AQ56" s="357"/>
      <c r="AR56" s="361"/>
      <c r="AS56" s="355"/>
      <c r="AT56" s="356"/>
      <c r="AU56" s="354"/>
      <c r="AV56" s="355"/>
      <c r="AW56" s="357"/>
      <c r="AX56" s="361"/>
      <c r="AY56" s="355"/>
      <c r="AZ56" s="356"/>
      <c r="BA56" s="354"/>
      <c r="BB56" s="355"/>
      <c r="BC56" s="357"/>
      <c r="BD56" s="361"/>
      <c r="BE56" s="355"/>
      <c r="BF56" s="356"/>
      <c r="BG56" s="354"/>
      <c r="BH56" s="355"/>
      <c r="BI56" s="356"/>
      <c r="BJ56" s="354"/>
      <c r="BK56" s="355"/>
      <c r="BL56" s="356"/>
      <c r="BM56" s="354"/>
      <c r="BN56" s="355"/>
      <c r="BO56" s="356"/>
      <c r="BP56" s="354"/>
      <c r="BQ56" s="355"/>
      <c r="BR56" s="356"/>
      <c r="BS56" s="354"/>
      <c r="BT56" s="355"/>
      <c r="BU56" s="356"/>
      <c r="BV56" s="355"/>
      <c r="BW56" s="355"/>
      <c r="BX56" s="356"/>
      <c r="BY56" s="354"/>
      <c r="BZ56" s="355"/>
      <c r="CA56" s="356"/>
      <c r="CB56" s="354"/>
      <c r="CC56" s="355"/>
      <c r="CD56" s="356"/>
      <c r="CE56" s="354"/>
      <c r="CF56" s="355"/>
      <c r="CG56" s="356"/>
      <c r="CH56" s="354"/>
      <c r="CI56" s="355"/>
      <c r="CJ56" s="356"/>
      <c r="CK56" s="354"/>
      <c r="CL56" s="355"/>
      <c r="CM56" s="356"/>
      <c r="CN56" s="354"/>
      <c r="CO56" s="355"/>
      <c r="CP56" s="356"/>
      <c r="CQ56" s="354"/>
      <c r="CR56" s="355"/>
      <c r="CS56" s="356"/>
      <c r="CT56" s="354"/>
      <c r="CU56" s="355"/>
      <c r="CV56" s="356"/>
      <c r="CW56" s="362"/>
    </row>
    <row r="57" spans="1:101" ht="15.75" customHeight="1" x14ac:dyDescent="0.25">
      <c r="A57" s="502"/>
      <c r="B57" s="134" t="s">
        <v>93</v>
      </c>
      <c r="C57" s="66" t="s">
        <v>38</v>
      </c>
      <c r="D57" s="70">
        <v>8.74</v>
      </c>
      <c r="E57" s="70">
        <f>1.03+O57+R57+U57+X57+AA57+AD57+AG57+AJ57+AM57+AP57+AS57+AV57+AY57+BB57+BE57+BH57+BK57+BN57+BQ57+BT57+BW57+BZ57+CC57+CF57+CI57+CL57+CO57+CR57+CU57</f>
        <v>3.73</v>
      </c>
      <c r="F57" s="70">
        <f t="shared" si="17"/>
        <v>5.01</v>
      </c>
      <c r="G57" s="367"/>
      <c r="H57" s="46">
        <f t="shared" ref="H57:H58" si="39">E57/D57</f>
        <v>0.42677345537757438</v>
      </c>
      <c r="I57" s="83">
        <f t="shared" ref="I57:I58" si="40">AP57/D57</f>
        <v>4.0045766590389012E-2</v>
      </c>
      <c r="J57" s="74"/>
      <c r="K57" s="80"/>
      <c r="L57" s="80"/>
      <c r="M57" s="103"/>
      <c r="N57" s="230"/>
      <c r="O57" s="230"/>
      <c r="P57" s="345"/>
      <c r="Q57" s="229">
        <v>0.28000000000000003</v>
      </c>
      <c r="R57" s="230">
        <v>0.28999999999999998</v>
      </c>
      <c r="S57" s="368">
        <f t="shared" ref="S57:S58" si="41">R57/Q57</f>
        <v>1.0357142857142856</v>
      </c>
      <c r="T57" s="229">
        <v>0.28000000000000003</v>
      </c>
      <c r="U57" s="230">
        <v>0.28000000000000003</v>
      </c>
      <c r="V57" s="368">
        <f t="shared" ref="V57:V58" si="42">U57/T57</f>
        <v>1</v>
      </c>
      <c r="W57" s="229">
        <v>0.28000000000000003</v>
      </c>
      <c r="X57" s="230">
        <v>0.28000000000000003</v>
      </c>
      <c r="Y57" s="369">
        <f t="shared" ref="Y57:Y58" si="43">X57/W57</f>
        <v>1</v>
      </c>
      <c r="Z57" s="229">
        <v>0.28000000000000003</v>
      </c>
      <c r="AA57" s="230">
        <v>0.28000000000000003</v>
      </c>
      <c r="AB57" s="370">
        <f t="shared" ref="AB57:AB58" si="44">AA57/Z57</f>
        <v>1</v>
      </c>
      <c r="AC57" s="229">
        <v>0.28000000000000003</v>
      </c>
      <c r="AD57" s="347">
        <v>0.3</v>
      </c>
      <c r="AE57" s="283">
        <f t="shared" ref="AE57:AE58" si="45">AD57/AC57</f>
        <v>1.0714285714285714</v>
      </c>
      <c r="AF57" s="229">
        <v>0.28000000000000003</v>
      </c>
      <c r="AG57" s="231">
        <v>0.3</v>
      </c>
      <c r="AH57" s="371">
        <f t="shared" ref="AH57:AH58" si="46">AG57/AF57</f>
        <v>1.0714285714285714</v>
      </c>
      <c r="AI57" s="229">
        <v>0.28000000000000003</v>
      </c>
      <c r="AJ57" s="372">
        <v>0.28999999999999998</v>
      </c>
      <c r="AK57" s="97">
        <f t="shared" ref="AK57:AK58" si="47">AJ57/AI57</f>
        <v>1.0357142857142856</v>
      </c>
      <c r="AL57" s="231">
        <v>0.316</v>
      </c>
      <c r="AM57" s="372">
        <v>0.33</v>
      </c>
      <c r="AN57" s="97">
        <f t="shared" ref="AN57:AN58" si="48">AM57/AL57</f>
        <v>1.0443037974683544</v>
      </c>
      <c r="AO57" s="231">
        <v>0.316</v>
      </c>
      <c r="AP57" s="373">
        <v>0.35</v>
      </c>
      <c r="AQ57" s="374">
        <f t="shared" ref="AQ57:AQ58" si="49">AP57/AO57</f>
        <v>1.1075949367088607</v>
      </c>
      <c r="AR57" s="231">
        <v>0.316</v>
      </c>
      <c r="AS57" s="70"/>
      <c r="AT57" s="375"/>
      <c r="AU57" s="231">
        <v>0.316</v>
      </c>
      <c r="AV57" s="70"/>
      <c r="AW57" s="376"/>
      <c r="AX57" s="231">
        <v>0.316</v>
      </c>
      <c r="AY57" s="70"/>
      <c r="AZ57" s="375"/>
      <c r="BA57" s="231">
        <v>0.316</v>
      </c>
      <c r="BB57" s="70"/>
      <c r="BC57" s="376"/>
      <c r="BD57" s="231">
        <v>0.316</v>
      </c>
      <c r="BE57" s="70"/>
      <c r="BF57" s="375"/>
      <c r="BG57" s="231">
        <v>0.316</v>
      </c>
      <c r="BH57" s="70"/>
      <c r="BI57" s="375"/>
      <c r="BJ57" s="231">
        <v>0.316</v>
      </c>
      <c r="BK57" s="70"/>
      <c r="BL57" s="375"/>
      <c r="BM57" s="231">
        <v>0.316</v>
      </c>
      <c r="BN57" s="70"/>
      <c r="BO57" s="375"/>
      <c r="BP57" s="231">
        <v>0.316</v>
      </c>
      <c r="BQ57" s="70"/>
      <c r="BR57" s="375"/>
      <c r="BS57" s="231">
        <v>0.316</v>
      </c>
      <c r="BT57" s="70"/>
      <c r="BU57" s="375"/>
      <c r="BV57" s="231">
        <v>0.316</v>
      </c>
      <c r="BW57" s="70"/>
      <c r="BX57" s="375"/>
      <c r="BY57" s="231">
        <v>0.316</v>
      </c>
      <c r="BZ57" s="70"/>
      <c r="CA57" s="375"/>
      <c r="CB57" s="231">
        <v>0.316</v>
      </c>
      <c r="CC57" s="70"/>
      <c r="CD57" s="375"/>
      <c r="CE57" s="231">
        <v>0.316</v>
      </c>
      <c r="CF57" s="70"/>
      <c r="CG57" s="375"/>
      <c r="CH57" s="231">
        <v>0.316</v>
      </c>
      <c r="CI57" s="70"/>
      <c r="CJ57" s="375"/>
      <c r="CK57" s="231">
        <v>0.316</v>
      </c>
      <c r="CL57" s="70"/>
      <c r="CM57" s="375"/>
      <c r="CN57" s="229"/>
      <c r="CO57" s="70"/>
      <c r="CP57" s="375"/>
      <c r="CQ57" s="229"/>
      <c r="CR57" s="70"/>
      <c r="CS57" s="375"/>
      <c r="CT57" s="229"/>
      <c r="CU57" s="70"/>
      <c r="CV57" s="375"/>
      <c r="CW57" s="377"/>
    </row>
    <row r="58" spans="1:101" ht="15.75" customHeight="1" x14ac:dyDescent="0.25">
      <c r="A58" s="503"/>
      <c r="B58" s="134" t="s">
        <v>42</v>
      </c>
      <c r="C58" s="66" t="s">
        <v>41</v>
      </c>
      <c r="D58" s="66">
        <v>943</v>
      </c>
      <c r="E58" s="108">
        <f>30+O58+R58+U58+X58+AA58+AD58+AG58+AJ58+AM58+AP58+AS58+AV58+AY58+BB58+BE58+BH58+BK58+BN58+BQ58+BT58+BW58+BZ58+CC58+CF58+CI58+CL58+CO58+CR58+CU58</f>
        <v>229</v>
      </c>
      <c r="F58" s="108">
        <f t="shared" si="17"/>
        <v>714</v>
      </c>
      <c r="G58" s="367"/>
      <c r="H58" s="46">
        <f t="shared" si="39"/>
        <v>0.24284199363732767</v>
      </c>
      <c r="I58" s="83">
        <f t="shared" si="40"/>
        <v>4.7720042417815481E-2</v>
      </c>
      <c r="J58" s="74"/>
      <c r="K58" s="80"/>
      <c r="L58" s="80"/>
      <c r="M58" s="103"/>
      <c r="N58" s="230"/>
      <c r="O58" s="230"/>
      <c r="P58" s="345"/>
      <c r="Q58" s="229">
        <v>15</v>
      </c>
      <c r="R58" s="230">
        <v>15</v>
      </c>
      <c r="S58" s="368">
        <f t="shared" si="41"/>
        <v>1</v>
      </c>
      <c r="T58" s="229">
        <v>15</v>
      </c>
      <c r="U58" s="230">
        <v>15</v>
      </c>
      <c r="V58" s="368">
        <f t="shared" si="42"/>
        <v>1</v>
      </c>
      <c r="W58" s="229">
        <v>15</v>
      </c>
      <c r="X58" s="230">
        <v>15</v>
      </c>
      <c r="Y58" s="369">
        <f t="shared" si="43"/>
        <v>1</v>
      </c>
      <c r="Z58" s="229">
        <v>15</v>
      </c>
      <c r="AA58" s="230">
        <v>15</v>
      </c>
      <c r="AB58" s="370">
        <f t="shared" si="44"/>
        <v>1</v>
      </c>
      <c r="AC58" s="229">
        <v>15</v>
      </c>
      <c r="AD58" s="347">
        <v>16</v>
      </c>
      <c r="AE58" s="379">
        <f t="shared" si="45"/>
        <v>1.0666666666666667</v>
      </c>
      <c r="AF58" s="229">
        <v>15</v>
      </c>
      <c r="AG58" s="231">
        <v>17</v>
      </c>
      <c r="AH58" s="371">
        <f t="shared" si="46"/>
        <v>1.1333333333333333</v>
      </c>
      <c r="AI58" s="229">
        <v>15</v>
      </c>
      <c r="AJ58" s="372">
        <v>16</v>
      </c>
      <c r="AK58" s="97">
        <f t="shared" si="47"/>
        <v>1.0666666666666667</v>
      </c>
      <c r="AL58" s="231">
        <v>45</v>
      </c>
      <c r="AM58" s="372">
        <v>45</v>
      </c>
      <c r="AN58" s="97">
        <f t="shared" si="48"/>
        <v>1</v>
      </c>
      <c r="AO58" s="231">
        <v>45</v>
      </c>
      <c r="AP58" s="373">
        <v>45</v>
      </c>
      <c r="AQ58" s="374">
        <f t="shared" si="49"/>
        <v>1</v>
      </c>
      <c r="AR58" s="231">
        <v>45</v>
      </c>
      <c r="AS58" s="70"/>
      <c r="AT58" s="375"/>
      <c r="AU58" s="231">
        <v>45</v>
      </c>
      <c r="AV58" s="70"/>
      <c r="AW58" s="376"/>
      <c r="AX58" s="231">
        <v>45</v>
      </c>
      <c r="AY58" s="70"/>
      <c r="AZ58" s="375"/>
      <c r="BA58" s="231">
        <v>45</v>
      </c>
      <c r="BB58" s="70"/>
      <c r="BC58" s="376"/>
      <c r="BD58" s="231">
        <v>45</v>
      </c>
      <c r="BE58" s="70"/>
      <c r="BF58" s="375"/>
      <c r="BG58" s="231">
        <v>45</v>
      </c>
      <c r="BH58" s="70"/>
      <c r="BI58" s="375"/>
      <c r="BJ58" s="231">
        <v>45</v>
      </c>
      <c r="BK58" s="70"/>
      <c r="BL58" s="375"/>
      <c r="BM58" s="231">
        <v>45</v>
      </c>
      <c r="BN58" s="70"/>
      <c r="BO58" s="375"/>
      <c r="BP58" s="231">
        <v>45</v>
      </c>
      <c r="BQ58" s="70"/>
      <c r="BR58" s="375"/>
      <c r="BS58" s="231">
        <v>45</v>
      </c>
      <c r="BT58" s="70"/>
      <c r="BU58" s="375"/>
      <c r="BV58" s="231">
        <v>45</v>
      </c>
      <c r="BW58" s="70"/>
      <c r="BX58" s="375"/>
      <c r="BY58" s="231">
        <v>45</v>
      </c>
      <c r="BZ58" s="70"/>
      <c r="CA58" s="375"/>
      <c r="CB58" s="231">
        <v>45</v>
      </c>
      <c r="CC58" s="70"/>
      <c r="CD58" s="375"/>
      <c r="CE58" s="231">
        <v>45</v>
      </c>
      <c r="CF58" s="70"/>
      <c r="CG58" s="375"/>
      <c r="CH58" s="231">
        <v>45</v>
      </c>
      <c r="CI58" s="70"/>
      <c r="CJ58" s="375"/>
      <c r="CK58" s="231">
        <v>45</v>
      </c>
      <c r="CL58" s="70"/>
      <c r="CM58" s="375"/>
      <c r="CN58" s="229"/>
      <c r="CO58" s="70"/>
      <c r="CP58" s="375"/>
      <c r="CQ58" s="229"/>
      <c r="CR58" s="70"/>
      <c r="CS58" s="375"/>
      <c r="CT58" s="229"/>
      <c r="CU58" s="70"/>
      <c r="CV58" s="375"/>
      <c r="CW58" s="377"/>
    </row>
    <row r="59" spans="1:101" ht="31.5" customHeight="1" x14ac:dyDescent="0.25">
      <c r="A59" s="501" t="s">
        <v>76</v>
      </c>
      <c r="B59" s="204" t="s">
        <v>94</v>
      </c>
      <c r="C59" s="51" t="s">
        <v>18</v>
      </c>
      <c r="D59" s="52">
        <v>1</v>
      </c>
      <c r="E59" s="53">
        <f>(H60+H61)/2</f>
        <v>0.43907284498202936</v>
      </c>
      <c r="F59" s="53">
        <f t="shared" si="17"/>
        <v>0.56092715501797064</v>
      </c>
      <c r="G59" s="353"/>
      <c r="H59" s="52">
        <f>E59</f>
        <v>0.43907284498202936</v>
      </c>
      <c r="I59" s="55"/>
      <c r="J59" s="56">
        <v>42724</v>
      </c>
      <c r="K59" s="136" t="s">
        <v>92</v>
      </c>
      <c r="L59" s="136">
        <v>10</v>
      </c>
      <c r="M59" s="364">
        <v>10</v>
      </c>
      <c r="N59" s="296"/>
      <c r="O59" s="289"/>
      <c r="P59" s="291"/>
      <c r="Q59" s="296"/>
      <c r="R59" s="289"/>
      <c r="S59" s="291"/>
      <c r="T59" s="296"/>
      <c r="U59" s="289"/>
      <c r="V59" s="291"/>
      <c r="W59" s="296"/>
      <c r="X59" s="289"/>
      <c r="Y59" s="291"/>
      <c r="Z59" s="296"/>
      <c r="AA59" s="289"/>
      <c r="AB59" s="370"/>
      <c r="AC59" s="296"/>
      <c r="AD59" s="289"/>
      <c r="AE59" s="291"/>
      <c r="AF59" s="296"/>
      <c r="AG59" s="289"/>
      <c r="AH59" s="289"/>
      <c r="AI59" s="296"/>
      <c r="AJ59" s="289"/>
      <c r="AK59" s="289"/>
      <c r="AL59" s="327"/>
      <c r="AM59" s="327"/>
      <c r="AN59" s="296"/>
      <c r="AO59" s="325"/>
      <c r="AP59" s="325"/>
      <c r="AQ59" s="381"/>
      <c r="AR59" s="327"/>
      <c r="AS59" s="138"/>
      <c r="AT59" s="324"/>
      <c r="AU59" s="325"/>
      <c r="AV59" s="138"/>
      <c r="AW59" s="326"/>
      <c r="AX59" s="327"/>
      <c r="AY59" s="138"/>
      <c r="AZ59" s="324"/>
      <c r="BA59" s="325"/>
      <c r="BB59" s="138"/>
      <c r="BC59" s="326"/>
      <c r="BD59" s="327"/>
      <c r="BE59" s="138"/>
      <c r="BF59" s="324"/>
      <c r="BG59" s="325"/>
      <c r="BH59" s="138"/>
      <c r="BI59" s="324"/>
      <c r="BJ59" s="325"/>
      <c r="BK59" s="138"/>
      <c r="BL59" s="324"/>
      <c r="BM59" s="325"/>
      <c r="BN59" s="138"/>
      <c r="BO59" s="324"/>
      <c r="BP59" s="325"/>
      <c r="BQ59" s="138"/>
      <c r="BR59" s="324"/>
      <c r="BS59" s="325"/>
      <c r="BT59" s="138"/>
      <c r="BU59" s="324"/>
      <c r="BV59" s="325"/>
      <c r="BW59" s="138"/>
      <c r="BX59" s="324"/>
      <c r="BY59" s="325"/>
      <c r="BZ59" s="138"/>
      <c r="CA59" s="324"/>
      <c r="CB59" s="325"/>
      <c r="CC59" s="138"/>
      <c r="CD59" s="324"/>
      <c r="CE59" s="325"/>
      <c r="CF59" s="138"/>
      <c r="CG59" s="324"/>
      <c r="CH59" s="325"/>
      <c r="CI59" s="138"/>
      <c r="CJ59" s="324"/>
      <c r="CK59" s="325"/>
      <c r="CL59" s="138"/>
      <c r="CM59" s="324"/>
      <c r="CN59" s="325"/>
      <c r="CO59" s="138"/>
      <c r="CP59" s="324"/>
      <c r="CQ59" s="325"/>
      <c r="CR59" s="138"/>
      <c r="CS59" s="324"/>
      <c r="CT59" s="325"/>
      <c r="CU59" s="138"/>
      <c r="CV59" s="324"/>
      <c r="CW59" s="377"/>
    </row>
    <row r="60" spans="1:101" ht="15.75" customHeight="1" x14ac:dyDescent="0.25">
      <c r="A60" s="502"/>
      <c r="B60" s="134" t="s">
        <v>93</v>
      </c>
      <c r="C60" s="66" t="s">
        <v>38</v>
      </c>
      <c r="D60" s="70">
        <v>17.446000000000002</v>
      </c>
      <c r="E60" s="70">
        <f>4.13+O60+R60+U60+X60+AA60+AD60+AG60+AJ60+AM60+AP60+AS60+AV60+AY60+BB60+BE60+BH60+BK60+BN60+BQ60+BT60+BW60+BZ60+CC60+CF60+CI60+CL60+CO60+CR60+CU60</f>
        <v>8.86</v>
      </c>
      <c r="F60" s="70">
        <f t="shared" si="17"/>
        <v>8.5860000000000021</v>
      </c>
      <c r="G60" s="367"/>
      <c r="H60" s="46">
        <f t="shared" ref="H60:H61" si="50">E60/D60</f>
        <v>0.50785280293477009</v>
      </c>
      <c r="I60" s="83">
        <f t="shared" ref="I60:I61" si="51">AP60/D60</f>
        <v>3.0952653903473574E-2</v>
      </c>
      <c r="J60" s="74"/>
      <c r="K60" s="80"/>
      <c r="L60" s="80"/>
      <c r="M60" s="103"/>
      <c r="N60" s="230"/>
      <c r="O60" s="230"/>
      <c r="P60" s="345"/>
      <c r="Q60" s="229">
        <v>0.51</v>
      </c>
      <c r="R60" s="230">
        <v>0.48</v>
      </c>
      <c r="S60" s="368">
        <f t="shared" ref="S60:S61" si="52">R60/Q60</f>
        <v>0.94117647058823528</v>
      </c>
      <c r="T60" s="229">
        <v>0.51</v>
      </c>
      <c r="U60" s="230">
        <v>0.5</v>
      </c>
      <c r="V60" s="368">
        <f t="shared" ref="V60:V61" si="53">U60/T60</f>
        <v>0.98039215686274506</v>
      </c>
      <c r="W60" s="229">
        <v>0.51</v>
      </c>
      <c r="X60" s="230">
        <v>0.51</v>
      </c>
      <c r="Y60" s="369">
        <f t="shared" ref="Y60:Y61" si="54">X60/W60</f>
        <v>1</v>
      </c>
      <c r="Z60" s="229">
        <v>0.51</v>
      </c>
      <c r="AA60" s="230">
        <v>0.51</v>
      </c>
      <c r="AB60" s="370">
        <f t="shared" ref="AB60:AB61" si="55">X60/W60</f>
        <v>1</v>
      </c>
      <c r="AC60" s="229">
        <v>0.51</v>
      </c>
      <c r="AD60" s="231">
        <v>0.6</v>
      </c>
      <c r="AE60" s="379">
        <f t="shared" ref="AE60:AE61" si="56">AD60/AC60</f>
        <v>1.1764705882352942</v>
      </c>
      <c r="AF60" s="229">
        <v>0.51</v>
      </c>
      <c r="AG60" s="231">
        <v>0.53</v>
      </c>
      <c r="AH60" s="371">
        <f t="shared" ref="AH60:AH61" si="57">AG60/AF60</f>
        <v>1.0392156862745099</v>
      </c>
      <c r="AI60" s="229">
        <v>0.51</v>
      </c>
      <c r="AJ60" s="372">
        <v>0.53</v>
      </c>
      <c r="AK60" s="97">
        <f t="shared" ref="AK60:AK61" si="58">AJ60/AI60</f>
        <v>1.0392156862745099</v>
      </c>
      <c r="AL60" s="385">
        <v>0.53</v>
      </c>
      <c r="AM60" s="386">
        <v>0.53</v>
      </c>
      <c r="AN60" s="97">
        <f t="shared" ref="AN60:AN61" si="59">AM60/AL60</f>
        <v>1</v>
      </c>
      <c r="AO60" s="385">
        <v>0.53</v>
      </c>
      <c r="AP60" s="387">
        <v>0.54</v>
      </c>
      <c r="AQ60" s="374">
        <f t="shared" ref="AQ60:AQ61" si="60">AP60/AO60</f>
        <v>1.0188679245283019</v>
      </c>
      <c r="AR60" s="385">
        <v>0.53</v>
      </c>
      <c r="AS60" s="70"/>
      <c r="AT60" s="375"/>
      <c r="AU60" s="385">
        <v>0.53</v>
      </c>
      <c r="AV60" s="70"/>
      <c r="AW60" s="376"/>
      <c r="AX60" s="385">
        <v>0.53</v>
      </c>
      <c r="AY60" s="70"/>
      <c r="AZ60" s="375"/>
      <c r="BA60" s="385">
        <v>0.53</v>
      </c>
      <c r="BB60" s="70"/>
      <c r="BC60" s="376"/>
      <c r="BD60" s="385">
        <v>0.53</v>
      </c>
      <c r="BE60" s="70"/>
      <c r="BF60" s="375"/>
      <c r="BG60" s="385">
        <v>0.53</v>
      </c>
      <c r="BH60" s="70"/>
      <c r="BI60" s="375"/>
      <c r="BJ60" s="385">
        <v>0.53</v>
      </c>
      <c r="BK60" s="70"/>
      <c r="BL60" s="375"/>
      <c r="BM60" s="385">
        <v>0.53</v>
      </c>
      <c r="BN60" s="70"/>
      <c r="BO60" s="375"/>
      <c r="BP60" s="385">
        <v>0.53</v>
      </c>
      <c r="BQ60" s="70"/>
      <c r="BR60" s="375"/>
      <c r="BS60" s="385">
        <v>0.53</v>
      </c>
      <c r="BT60" s="70"/>
      <c r="BU60" s="375"/>
      <c r="BV60" s="385">
        <v>0.53</v>
      </c>
      <c r="BW60" s="70"/>
      <c r="BX60" s="375"/>
      <c r="BY60" s="385">
        <v>0.53</v>
      </c>
      <c r="BZ60" s="70"/>
      <c r="CA60" s="375"/>
      <c r="CB60" s="385">
        <v>0.53</v>
      </c>
      <c r="CC60" s="70"/>
      <c r="CD60" s="375"/>
      <c r="CE60" s="385">
        <v>0.53</v>
      </c>
      <c r="CF60" s="70"/>
      <c r="CG60" s="375"/>
      <c r="CH60" s="385">
        <v>0.53</v>
      </c>
      <c r="CI60" s="70"/>
      <c r="CJ60" s="375"/>
      <c r="CK60" s="385">
        <v>0.53</v>
      </c>
      <c r="CL60" s="70"/>
      <c r="CM60" s="375"/>
      <c r="CN60" s="378"/>
      <c r="CO60" s="70"/>
      <c r="CP60" s="375"/>
      <c r="CQ60" s="378"/>
      <c r="CR60" s="70"/>
      <c r="CS60" s="375"/>
      <c r="CT60" s="378"/>
      <c r="CU60" s="70"/>
      <c r="CV60" s="375"/>
      <c r="CW60" s="377"/>
    </row>
    <row r="61" spans="1:101" ht="15.75" customHeight="1" x14ac:dyDescent="0.25">
      <c r="A61" s="503"/>
      <c r="B61" s="134" t="s">
        <v>42</v>
      </c>
      <c r="C61" s="66" t="s">
        <v>41</v>
      </c>
      <c r="D61" s="108">
        <v>478</v>
      </c>
      <c r="E61" s="108">
        <f>40+O61+R61+U61+X61+AA61+AD61+AG61+AJ61+AM61+AP61+AS61+AV61+AY61+BB61+BE61+BH61+BK61+BN61+BQ61+BT61+BW61+BZ61+CC61+CF61+CI61+CL61+CO61+CR61+CU61</f>
        <v>177</v>
      </c>
      <c r="F61" s="108">
        <f t="shared" si="17"/>
        <v>301</v>
      </c>
      <c r="G61" s="367"/>
      <c r="H61" s="46">
        <f t="shared" si="50"/>
        <v>0.3702928870292887</v>
      </c>
      <c r="I61" s="83">
        <f t="shared" si="51"/>
        <v>3.9748953974895397E-2</v>
      </c>
      <c r="J61" s="74"/>
      <c r="K61" s="80"/>
      <c r="L61" s="80"/>
      <c r="M61" s="103"/>
      <c r="N61" s="230"/>
      <c r="O61" s="230"/>
      <c r="P61" s="345"/>
      <c r="Q61" s="229">
        <v>10</v>
      </c>
      <c r="R61" s="230">
        <v>17</v>
      </c>
      <c r="S61" s="368">
        <f t="shared" si="52"/>
        <v>1.7</v>
      </c>
      <c r="T61" s="229">
        <v>10</v>
      </c>
      <c r="U61" s="230">
        <v>17</v>
      </c>
      <c r="V61" s="368">
        <f t="shared" si="53"/>
        <v>1.7</v>
      </c>
      <c r="W61" s="229">
        <v>10</v>
      </c>
      <c r="X61" s="230">
        <v>15</v>
      </c>
      <c r="Y61" s="369">
        <f t="shared" si="54"/>
        <v>1.5</v>
      </c>
      <c r="Z61" s="229">
        <v>10</v>
      </c>
      <c r="AA61" s="230">
        <v>15</v>
      </c>
      <c r="AB61" s="370">
        <f t="shared" si="55"/>
        <v>1.5</v>
      </c>
      <c r="AC61" s="229">
        <v>10</v>
      </c>
      <c r="AD61" s="347">
        <v>11</v>
      </c>
      <c r="AE61" s="379">
        <f t="shared" si="56"/>
        <v>1.1000000000000001</v>
      </c>
      <c r="AF61" s="229">
        <v>10</v>
      </c>
      <c r="AG61" s="231">
        <v>12</v>
      </c>
      <c r="AH61" s="371">
        <f t="shared" si="57"/>
        <v>1.2</v>
      </c>
      <c r="AI61" s="229">
        <v>10</v>
      </c>
      <c r="AJ61" s="372">
        <v>12</v>
      </c>
      <c r="AK61" s="97">
        <f t="shared" si="58"/>
        <v>1.2</v>
      </c>
      <c r="AL61" s="303">
        <v>19</v>
      </c>
      <c r="AM61" s="388">
        <v>19</v>
      </c>
      <c r="AN61" s="97">
        <f t="shared" si="59"/>
        <v>1</v>
      </c>
      <c r="AO61" s="317">
        <v>19</v>
      </c>
      <c r="AP61" s="389">
        <v>19</v>
      </c>
      <c r="AQ61" s="374">
        <f t="shared" si="60"/>
        <v>1</v>
      </c>
      <c r="AR61" s="303">
        <v>19</v>
      </c>
      <c r="AS61" s="290"/>
      <c r="AT61" s="292"/>
      <c r="AU61" s="303">
        <v>19</v>
      </c>
      <c r="AV61" s="290"/>
      <c r="AW61" s="287"/>
      <c r="AX61" s="303">
        <v>19</v>
      </c>
      <c r="AY61" s="290"/>
      <c r="AZ61" s="292"/>
      <c r="BA61" s="303">
        <v>19</v>
      </c>
      <c r="BB61" s="290"/>
      <c r="BC61" s="287"/>
      <c r="BD61" s="303">
        <v>19</v>
      </c>
      <c r="BE61" s="290"/>
      <c r="BF61" s="292"/>
      <c r="BG61" s="303">
        <v>19</v>
      </c>
      <c r="BH61" s="290"/>
      <c r="BI61" s="292"/>
      <c r="BJ61" s="303">
        <v>19</v>
      </c>
      <c r="BK61" s="290"/>
      <c r="BL61" s="292"/>
      <c r="BM61" s="303">
        <v>19</v>
      </c>
      <c r="BN61" s="290"/>
      <c r="BO61" s="292"/>
      <c r="BP61" s="303">
        <v>19</v>
      </c>
      <c r="BQ61" s="290"/>
      <c r="BR61" s="292"/>
      <c r="BS61" s="303">
        <v>19</v>
      </c>
      <c r="BT61" s="290"/>
      <c r="BU61" s="292"/>
      <c r="BV61" s="303">
        <v>19</v>
      </c>
      <c r="BW61" s="290"/>
      <c r="BX61" s="292"/>
      <c r="BY61" s="303">
        <v>19</v>
      </c>
      <c r="BZ61" s="290"/>
      <c r="CA61" s="292"/>
      <c r="CB61" s="303">
        <v>19</v>
      </c>
      <c r="CC61" s="290"/>
      <c r="CD61" s="292"/>
      <c r="CE61" s="303">
        <v>19</v>
      </c>
      <c r="CF61" s="290"/>
      <c r="CG61" s="292"/>
      <c r="CH61" s="303">
        <v>19</v>
      </c>
      <c r="CI61" s="290"/>
      <c r="CJ61" s="292"/>
      <c r="CK61" s="303">
        <v>19</v>
      </c>
      <c r="CL61" s="290"/>
      <c r="CM61" s="292"/>
      <c r="CN61" s="314"/>
      <c r="CO61" s="290"/>
      <c r="CP61" s="292"/>
      <c r="CQ61" s="314"/>
      <c r="CR61" s="290"/>
      <c r="CS61" s="292"/>
      <c r="CT61" s="314"/>
      <c r="CU61" s="290"/>
      <c r="CV61" s="292"/>
      <c r="CW61" s="377"/>
    </row>
    <row r="62" spans="1:101" ht="31.5" customHeight="1" x14ac:dyDescent="0.25">
      <c r="A62" s="501" t="s">
        <v>77</v>
      </c>
      <c r="B62" s="204" t="s">
        <v>95</v>
      </c>
      <c r="C62" s="51" t="s">
        <v>18</v>
      </c>
      <c r="D62" s="52">
        <v>1</v>
      </c>
      <c r="E62" s="53">
        <f>(H63+H64)/2</f>
        <v>0.42636363636363628</v>
      </c>
      <c r="F62" s="53">
        <f t="shared" si="17"/>
        <v>0.57363636363636372</v>
      </c>
      <c r="G62" s="353"/>
      <c r="H62" s="52">
        <f>E62</f>
        <v>0.42636363636363628</v>
      </c>
      <c r="I62" s="353"/>
      <c r="J62" s="56">
        <v>42724</v>
      </c>
      <c r="K62" s="136" t="s">
        <v>92</v>
      </c>
      <c r="L62" s="136">
        <v>4</v>
      </c>
      <c r="M62" s="364">
        <v>4</v>
      </c>
      <c r="N62" s="296"/>
      <c r="O62" s="289"/>
      <c r="P62" s="291"/>
      <c r="Q62" s="296"/>
      <c r="R62" s="289"/>
      <c r="S62" s="291"/>
      <c r="T62" s="296"/>
      <c r="U62" s="289"/>
      <c r="V62" s="291"/>
      <c r="W62" s="296"/>
      <c r="X62" s="289"/>
      <c r="Y62" s="291"/>
      <c r="Z62" s="296"/>
      <c r="AA62" s="289"/>
      <c r="AB62" s="291"/>
      <c r="AC62" s="296"/>
      <c r="AD62" s="289"/>
      <c r="AE62" s="291"/>
      <c r="AF62" s="296"/>
      <c r="AG62" s="289"/>
      <c r="AH62" s="289"/>
      <c r="AI62" s="296"/>
      <c r="AJ62" s="289"/>
      <c r="AK62" s="289"/>
      <c r="AL62" s="358"/>
      <c r="AM62" s="358"/>
      <c r="AN62" s="296"/>
      <c r="AO62" s="360"/>
      <c r="AP62" s="360"/>
      <c r="AQ62" s="381"/>
      <c r="AR62" s="358"/>
      <c r="AS62" s="112"/>
      <c r="AT62" s="359"/>
      <c r="AU62" s="360"/>
      <c r="AV62" s="112"/>
      <c r="AW62" s="390"/>
      <c r="AX62" s="358"/>
      <c r="AY62" s="112"/>
      <c r="AZ62" s="359"/>
      <c r="BA62" s="360"/>
      <c r="BB62" s="112"/>
      <c r="BC62" s="390"/>
      <c r="BD62" s="358"/>
      <c r="BE62" s="112"/>
      <c r="BF62" s="359"/>
      <c r="BG62" s="360"/>
      <c r="BH62" s="112"/>
      <c r="BI62" s="359"/>
      <c r="BJ62" s="360"/>
      <c r="BK62" s="112"/>
      <c r="BL62" s="359"/>
      <c r="BM62" s="360"/>
      <c r="BN62" s="112"/>
      <c r="BO62" s="359"/>
      <c r="BP62" s="360"/>
      <c r="BQ62" s="112"/>
      <c r="BR62" s="359"/>
      <c r="BS62" s="360"/>
      <c r="BT62" s="112"/>
      <c r="BU62" s="359"/>
      <c r="BV62" s="360"/>
      <c r="BW62" s="112"/>
      <c r="BX62" s="359"/>
      <c r="BY62" s="360"/>
      <c r="BZ62" s="112"/>
      <c r="CA62" s="359"/>
      <c r="CB62" s="360"/>
      <c r="CC62" s="112"/>
      <c r="CD62" s="359"/>
      <c r="CE62" s="360"/>
      <c r="CF62" s="112"/>
      <c r="CG62" s="359"/>
      <c r="CH62" s="360"/>
      <c r="CI62" s="112"/>
      <c r="CJ62" s="359"/>
      <c r="CK62" s="360"/>
      <c r="CL62" s="112"/>
      <c r="CM62" s="359"/>
      <c r="CN62" s="360"/>
      <c r="CO62" s="112"/>
      <c r="CP62" s="359"/>
      <c r="CQ62" s="360"/>
      <c r="CR62" s="112"/>
      <c r="CS62" s="359"/>
      <c r="CT62" s="360"/>
      <c r="CU62" s="112"/>
      <c r="CV62" s="359"/>
      <c r="CW62" s="377"/>
    </row>
    <row r="63" spans="1:101" ht="15.75" customHeight="1" x14ac:dyDescent="0.25">
      <c r="A63" s="502"/>
      <c r="B63" s="134" t="s">
        <v>93</v>
      </c>
      <c r="C63" s="80" t="s">
        <v>38</v>
      </c>
      <c r="D63" s="70">
        <v>2.2000000000000002</v>
      </c>
      <c r="E63" s="70">
        <f>0.16+O63+R63+U63+X63+AA63+AD63+AG63+AJ63+AM63+AP63+AS63+AV63+AY63+BB63+BE63+BH63+BK63+BN63+BQ63+BT63+BW63+BZ63+CC63+CF63+CI63+CL63+CO63+CR63+CU63</f>
        <v>1.7</v>
      </c>
      <c r="F63" s="70">
        <f t="shared" si="17"/>
        <v>0.50000000000000022</v>
      </c>
      <c r="G63" s="367"/>
      <c r="H63" s="46">
        <f t="shared" ref="H63:H64" si="61">E63/D63</f>
        <v>0.7727272727272726</v>
      </c>
      <c r="I63" s="83">
        <f>AP63/D63</f>
        <v>1.3636363636363634E-2</v>
      </c>
      <c r="J63" s="74"/>
      <c r="K63" s="80"/>
      <c r="L63" s="80"/>
      <c r="M63" s="103"/>
      <c r="N63" s="230"/>
      <c r="O63" s="230"/>
      <c r="P63" s="345"/>
      <c r="Q63" s="229">
        <v>0.2</v>
      </c>
      <c r="R63" s="230">
        <v>0.18</v>
      </c>
      <c r="S63" s="368">
        <f>R63/Q63</f>
        <v>0.89999999999999991</v>
      </c>
      <c r="T63" s="229">
        <v>0.2</v>
      </c>
      <c r="U63" s="230">
        <v>0.21</v>
      </c>
      <c r="V63" s="368">
        <f>U63/T63</f>
        <v>1.0499999999999998</v>
      </c>
      <c r="W63" s="229">
        <v>0.2</v>
      </c>
      <c r="X63" s="230">
        <v>0.2</v>
      </c>
      <c r="Y63" s="369">
        <f>X63/W63</f>
        <v>1</v>
      </c>
      <c r="Z63" s="229">
        <v>0.2</v>
      </c>
      <c r="AA63" s="230">
        <v>0.2</v>
      </c>
      <c r="AB63" s="370">
        <f>X63/W63</f>
        <v>1</v>
      </c>
      <c r="AC63" s="229">
        <v>0.2</v>
      </c>
      <c r="AD63" s="231">
        <v>0.21</v>
      </c>
      <c r="AE63" s="379">
        <f t="shared" ref="AE63:AE64" si="62">AD63/AC63</f>
        <v>1.0499999999999998</v>
      </c>
      <c r="AF63" s="229">
        <v>0.2</v>
      </c>
      <c r="AG63" s="231">
        <v>0.23</v>
      </c>
      <c r="AH63" s="371">
        <f>AG63/AF63</f>
        <v>1.1499999999999999</v>
      </c>
      <c r="AI63" s="229">
        <v>0.2</v>
      </c>
      <c r="AJ63" s="372">
        <v>0.23</v>
      </c>
      <c r="AK63" s="97">
        <f>AJ63/AI63</f>
        <v>1.1499999999999999</v>
      </c>
      <c r="AL63" s="385">
        <v>0.03</v>
      </c>
      <c r="AM63" s="386">
        <v>0.05</v>
      </c>
      <c r="AN63" s="97">
        <f>AM63/AL63</f>
        <v>1.6666666666666667</v>
      </c>
      <c r="AO63" s="385">
        <v>0.03</v>
      </c>
      <c r="AP63" s="391">
        <v>0.03</v>
      </c>
      <c r="AQ63" s="374">
        <f>AP63/AO63</f>
        <v>1</v>
      </c>
      <c r="AR63" s="385">
        <v>0.03</v>
      </c>
      <c r="AS63" s="70"/>
      <c r="AT63" s="375"/>
      <c r="AU63" s="385">
        <v>0.03</v>
      </c>
      <c r="AV63" s="70"/>
      <c r="AW63" s="376"/>
      <c r="AX63" s="385">
        <v>0.03</v>
      </c>
      <c r="AY63" s="70"/>
      <c r="AZ63" s="375"/>
      <c r="BA63" s="385">
        <v>0.03</v>
      </c>
      <c r="BB63" s="70"/>
      <c r="BC63" s="376"/>
      <c r="BD63" s="385">
        <v>0.03</v>
      </c>
      <c r="BE63" s="70"/>
      <c r="BF63" s="375"/>
      <c r="BG63" s="385">
        <v>0.03</v>
      </c>
      <c r="BH63" s="70"/>
      <c r="BI63" s="375"/>
      <c r="BJ63" s="392">
        <v>0.03</v>
      </c>
      <c r="BK63" s="70"/>
      <c r="BL63" s="375"/>
      <c r="BM63" s="392">
        <v>0.03</v>
      </c>
      <c r="BN63" s="70"/>
      <c r="BO63" s="375"/>
      <c r="BP63" s="392">
        <v>0.03</v>
      </c>
      <c r="BQ63" s="70"/>
      <c r="BR63" s="375"/>
      <c r="BS63" s="392">
        <v>0.03</v>
      </c>
      <c r="BT63" s="70"/>
      <c r="BU63" s="375"/>
      <c r="BV63" s="392">
        <v>0.03</v>
      </c>
      <c r="BW63" s="70"/>
      <c r="BX63" s="375"/>
      <c r="BY63" s="392">
        <v>0.03</v>
      </c>
      <c r="BZ63" s="70"/>
      <c r="CA63" s="375"/>
      <c r="CB63" s="392">
        <v>0.03</v>
      </c>
      <c r="CC63" s="70"/>
      <c r="CD63" s="375"/>
      <c r="CE63" s="392">
        <v>0.03</v>
      </c>
      <c r="CF63" s="70"/>
      <c r="CG63" s="375"/>
      <c r="CH63" s="392">
        <v>0.03</v>
      </c>
      <c r="CI63" s="70"/>
      <c r="CJ63" s="375"/>
      <c r="CK63" s="392">
        <v>0.03</v>
      </c>
      <c r="CL63" s="70"/>
      <c r="CM63" s="375"/>
      <c r="CN63" s="378"/>
      <c r="CO63" s="70"/>
      <c r="CP63" s="375"/>
      <c r="CQ63" s="378"/>
      <c r="CR63" s="70"/>
      <c r="CS63" s="375"/>
      <c r="CT63" s="378"/>
      <c r="CU63" s="70"/>
      <c r="CV63" s="375"/>
      <c r="CW63" s="377"/>
    </row>
    <row r="64" spans="1:101" ht="15.75" customHeight="1" x14ac:dyDescent="0.25">
      <c r="A64" s="503"/>
      <c r="B64" s="134" t="s">
        <v>42</v>
      </c>
      <c r="C64" s="80" t="s">
        <v>41</v>
      </c>
      <c r="D64" s="108">
        <v>50</v>
      </c>
      <c r="E64" s="108">
        <f>O64+R64+U64+X64+AA64+AD64+AG64+AJ64+AM64+AP64+AS64+AV64+AY64+BB64+BE64+BH64+BK64+BN64+BQ64+BT64+BW64+BZ64+CC64+CF64+CI64+CL64+CO64+CR64+CU64</f>
        <v>4</v>
      </c>
      <c r="F64" s="108">
        <f t="shared" si="17"/>
        <v>46</v>
      </c>
      <c r="G64" s="367"/>
      <c r="H64" s="46">
        <f t="shared" si="61"/>
        <v>0.08</v>
      </c>
      <c r="I64" s="83"/>
      <c r="J64" s="74"/>
      <c r="K64" s="80"/>
      <c r="L64" s="80"/>
      <c r="M64" s="103"/>
      <c r="N64" s="230"/>
      <c r="O64" s="230"/>
      <c r="P64" s="345"/>
      <c r="Q64" s="229">
        <v>0</v>
      </c>
      <c r="R64" s="230">
        <v>0</v>
      </c>
      <c r="S64" s="368">
        <v>0</v>
      </c>
      <c r="T64" s="229">
        <v>0</v>
      </c>
      <c r="U64" s="230">
        <v>0</v>
      </c>
      <c r="V64" s="368">
        <v>0</v>
      </c>
      <c r="W64" s="229">
        <v>0</v>
      </c>
      <c r="X64" s="230">
        <v>0</v>
      </c>
      <c r="Y64" s="369">
        <v>0</v>
      </c>
      <c r="Z64" s="229">
        <v>0</v>
      </c>
      <c r="AA64" s="230">
        <v>0</v>
      </c>
      <c r="AB64" s="393">
        <v>0</v>
      </c>
      <c r="AC64" s="231">
        <v>1</v>
      </c>
      <c r="AD64" s="394">
        <v>2</v>
      </c>
      <c r="AE64" s="379">
        <f t="shared" si="62"/>
        <v>2</v>
      </c>
      <c r="AF64" s="229">
        <v>0</v>
      </c>
      <c r="AG64" s="229">
        <v>0</v>
      </c>
      <c r="AH64" s="371"/>
      <c r="AI64" s="229">
        <v>0</v>
      </c>
      <c r="AJ64" s="231">
        <v>2</v>
      </c>
      <c r="AK64" s="168">
        <v>1</v>
      </c>
      <c r="AL64" s="395"/>
      <c r="AM64" s="395"/>
      <c r="AN64" s="396"/>
      <c r="AO64" s="303"/>
      <c r="AP64" s="397"/>
      <c r="AQ64" s="374"/>
      <c r="AR64" s="303">
        <v>0</v>
      </c>
      <c r="AS64" s="290"/>
      <c r="AT64" s="292"/>
      <c r="AU64" s="303">
        <v>0</v>
      </c>
      <c r="AV64" s="290"/>
      <c r="AW64" s="287"/>
      <c r="AX64" s="303">
        <v>0</v>
      </c>
      <c r="AY64" s="290"/>
      <c r="AZ64" s="292"/>
      <c r="BA64" s="303">
        <v>0</v>
      </c>
      <c r="BB64" s="290"/>
      <c r="BC64" s="287"/>
      <c r="BD64" s="303">
        <v>0</v>
      </c>
      <c r="BE64" s="290"/>
      <c r="BF64" s="292"/>
      <c r="BG64" s="303">
        <v>0</v>
      </c>
      <c r="BH64" s="290"/>
      <c r="BI64" s="292"/>
      <c r="BJ64" s="308">
        <v>5</v>
      </c>
      <c r="BK64" s="290"/>
      <c r="BL64" s="292"/>
      <c r="BM64" s="308">
        <v>5</v>
      </c>
      <c r="BN64" s="290"/>
      <c r="BO64" s="292"/>
      <c r="BP64" s="308">
        <v>5</v>
      </c>
      <c r="BQ64" s="290"/>
      <c r="BR64" s="292"/>
      <c r="BS64" s="308">
        <v>5</v>
      </c>
      <c r="BT64" s="290"/>
      <c r="BU64" s="292"/>
      <c r="BV64" s="308">
        <v>5</v>
      </c>
      <c r="BW64" s="290"/>
      <c r="BX64" s="292"/>
      <c r="BY64" s="308">
        <v>5</v>
      </c>
      <c r="BZ64" s="290"/>
      <c r="CA64" s="292"/>
      <c r="CB64" s="308">
        <v>5</v>
      </c>
      <c r="CC64" s="290"/>
      <c r="CD64" s="292"/>
      <c r="CE64" s="308">
        <v>5</v>
      </c>
      <c r="CF64" s="290"/>
      <c r="CG64" s="292"/>
      <c r="CH64" s="308">
        <v>5</v>
      </c>
      <c r="CI64" s="290"/>
      <c r="CJ64" s="292"/>
      <c r="CK64" s="308">
        <v>5</v>
      </c>
      <c r="CL64" s="290"/>
      <c r="CM64" s="292"/>
      <c r="CN64" s="314"/>
      <c r="CO64" s="290"/>
      <c r="CP64" s="292"/>
      <c r="CQ64" s="314"/>
      <c r="CR64" s="290"/>
      <c r="CS64" s="292"/>
      <c r="CT64" s="314"/>
      <c r="CU64" s="290"/>
      <c r="CV64" s="292"/>
      <c r="CW64" s="377"/>
    </row>
    <row r="65" spans="1:101" ht="31.5" customHeight="1" x14ac:dyDescent="0.25">
      <c r="A65" s="501" t="s">
        <v>78</v>
      </c>
      <c r="B65" s="204" t="s">
        <v>98</v>
      </c>
      <c r="C65" s="51" t="s">
        <v>18</v>
      </c>
      <c r="D65" s="52">
        <v>1</v>
      </c>
      <c r="E65" s="53">
        <f>(H66+H67)/2</f>
        <v>0.20037453183520595</v>
      </c>
      <c r="F65" s="53">
        <f t="shared" si="17"/>
        <v>0.79962546816479407</v>
      </c>
      <c r="G65" s="353"/>
      <c r="H65" s="52">
        <f>E65</f>
        <v>0.20037453183520595</v>
      </c>
      <c r="I65" s="353"/>
      <c r="J65" s="56">
        <v>42724</v>
      </c>
      <c r="K65" s="136" t="s">
        <v>92</v>
      </c>
      <c r="L65" s="136">
        <v>3</v>
      </c>
      <c r="M65" s="364">
        <v>3</v>
      </c>
      <c r="N65" s="296"/>
      <c r="O65" s="289"/>
      <c r="P65" s="291"/>
      <c r="Q65" s="296"/>
      <c r="R65" s="289"/>
      <c r="S65" s="291"/>
      <c r="T65" s="296"/>
      <c r="U65" s="289"/>
      <c r="V65" s="291"/>
      <c r="W65" s="296"/>
      <c r="X65" s="289"/>
      <c r="Y65" s="291"/>
      <c r="Z65" s="296"/>
      <c r="AA65" s="289"/>
      <c r="AB65" s="291"/>
      <c r="AC65" s="296"/>
      <c r="AD65" s="289"/>
      <c r="AE65" s="291"/>
      <c r="AF65" s="296"/>
      <c r="AG65" s="289"/>
      <c r="AH65" s="289"/>
      <c r="AI65" s="296"/>
      <c r="AJ65" s="289"/>
      <c r="AK65" s="289"/>
      <c r="AL65" s="358"/>
      <c r="AM65" s="358"/>
      <c r="AN65" s="296"/>
      <c r="AO65" s="360"/>
      <c r="AP65" s="360"/>
      <c r="AQ65" s="398"/>
      <c r="AR65" s="358"/>
      <c r="AS65" s="112"/>
      <c r="AT65" s="359"/>
      <c r="AU65" s="360"/>
      <c r="AV65" s="112"/>
      <c r="AW65" s="390"/>
      <c r="AX65" s="358"/>
      <c r="AY65" s="112"/>
      <c r="AZ65" s="359"/>
      <c r="BA65" s="360"/>
      <c r="BB65" s="112"/>
      <c r="BC65" s="390"/>
      <c r="BD65" s="358"/>
      <c r="BE65" s="112"/>
      <c r="BF65" s="359"/>
      <c r="BG65" s="360"/>
      <c r="BH65" s="112"/>
      <c r="BI65" s="359"/>
      <c r="BJ65" s="360"/>
      <c r="BK65" s="112"/>
      <c r="BL65" s="359"/>
      <c r="BM65" s="360"/>
      <c r="BN65" s="112"/>
      <c r="BO65" s="359"/>
      <c r="BP65" s="360"/>
      <c r="BQ65" s="112"/>
      <c r="BR65" s="359"/>
      <c r="BS65" s="360"/>
      <c r="BT65" s="112"/>
      <c r="BU65" s="359"/>
      <c r="BV65" s="360"/>
      <c r="BW65" s="112"/>
      <c r="BX65" s="359"/>
      <c r="BY65" s="360"/>
      <c r="BZ65" s="112"/>
      <c r="CA65" s="359"/>
      <c r="CB65" s="360"/>
      <c r="CC65" s="112"/>
      <c r="CD65" s="359"/>
      <c r="CE65" s="360"/>
      <c r="CF65" s="112"/>
      <c r="CG65" s="359"/>
      <c r="CH65" s="360"/>
      <c r="CI65" s="112"/>
      <c r="CJ65" s="359"/>
      <c r="CK65" s="360"/>
      <c r="CL65" s="112"/>
      <c r="CM65" s="359"/>
      <c r="CN65" s="360"/>
      <c r="CO65" s="112"/>
      <c r="CP65" s="359"/>
      <c r="CQ65" s="360"/>
      <c r="CR65" s="112"/>
      <c r="CS65" s="359"/>
      <c r="CT65" s="360"/>
      <c r="CU65" s="112"/>
      <c r="CV65" s="359"/>
      <c r="CW65" s="377"/>
    </row>
    <row r="66" spans="1:101" ht="15.75" customHeight="1" x14ac:dyDescent="0.25">
      <c r="A66" s="502"/>
      <c r="B66" s="134" t="s">
        <v>93</v>
      </c>
      <c r="C66" s="80" t="s">
        <v>38</v>
      </c>
      <c r="D66" s="70">
        <v>2.67</v>
      </c>
      <c r="E66" s="70">
        <f>0.15+O66+R66+U66+X66+AA66+AD66+AG66+AJ66+AM66+AP66+AS66+AV66+AY66+BB66+BE66+BH66+BK66+BN66+BQ66+BT66+BW66+BZ66+CC66+CF66+CI66+CL66+CO66+CR66+CU66</f>
        <v>1.0699999999999998</v>
      </c>
      <c r="F66" s="70">
        <f t="shared" si="17"/>
        <v>1.6</v>
      </c>
      <c r="G66" s="367"/>
      <c r="H66" s="46">
        <f t="shared" ref="H66:H67" si="63">E66/D66</f>
        <v>0.40074906367041191</v>
      </c>
      <c r="I66" s="83">
        <f>AP66/D66</f>
        <v>3.3707865168539325E-2</v>
      </c>
      <c r="J66" s="74"/>
      <c r="K66" s="80"/>
      <c r="L66" s="80"/>
      <c r="M66" s="103"/>
      <c r="N66" s="230"/>
      <c r="O66" s="230"/>
      <c r="P66" s="345"/>
      <c r="Q66" s="229">
        <v>0.09</v>
      </c>
      <c r="R66" s="230">
        <v>0.11</v>
      </c>
      <c r="S66" s="368">
        <f>R66/Q66</f>
        <v>1.2222222222222223</v>
      </c>
      <c r="T66" s="229">
        <v>0.09</v>
      </c>
      <c r="U66" s="230">
        <v>0.1</v>
      </c>
      <c r="V66" s="368">
        <f>U66/T66</f>
        <v>1.1111111111111112</v>
      </c>
      <c r="W66" s="229">
        <v>0.09</v>
      </c>
      <c r="X66" s="230">
        <v>0.09</v>
      </c>
      <c r="Y66" s="369">
        <f>X66/W66</f>
        <v>1</v>
      </c>
      <c r="Z66" s="229">
        <v>0.09</v>
      </c>
      <c r="AA66" s="230">
        <v>0.09</v>
      </c>
      <c r="AB66" s="370">
        <f>X66/W66</f>
        <v>1</v>
      </c>
      <c r="AC66" s="229">
        <v>0.09</v>
      </c>
      <c r="AD66" s="347">
        <v>0.1</v>
      </c>
      <c r="AE66" s="379">
        <f>AD66/AC66</f>
        <v>1.1111111111111112</v>
      </c>
      <c r="AF66" s="229">
        <v>0.09</v>
      </c>
      <c r="AG66" s="347">
        <v>0.12</v>
      </c>
      <c r="AH66" s="371">
        <f>AG66/AF66</f>
        <v>1.3333333333333333</v>
      </c>
      <c r="AI66" s="229">
        <v>0.09</v>
      </c>
      <c r="AJ66" s="400">
        <v>0.12</v>
      </c>
      <c r="AK66" s="97">
        <f>AJ66/AI66</f>
        <v>1.3333333333333333</v>
      </c>
      <c r="AL66" s="385">
        <v>0.09</v>
      </c>
      <c r="AM66" s="386">
        <v>0.1</v>
      </c>
      <c r="AN66" s="97">
        <f>AM66/AL66</f>
        <v>1.1111111111111112</v>
      </c>
      <c r="AO66" s="385">
        <v>0.09</v>
      </c>
      <c r="AP66" s="391">
        <v>0.09</v>
      </c>
      <c r="AQ66" s="374">
        <f>AP66/AO66</f>
        <v>1</v>
      </c>
      <c r="AR66" s="385">
        <v>0.09</v>
      </c>
      <c r="AS66" s="70"/>
      <c r="AT66" s="375"/>
      <c r="AU66" s="385">
        <v>0.09</v>
      </c>
      <c r="AV66" s="70"/>
      <c r="AW66" s="385"/>
      <c r="AX66" s="385">
        <v>0.09</v>
      </c>
      <c r="AY66" s="70"/>
      <c r="AZ66" s="375"/>
      <c r="BA66" s="385">
        <v>0.09</v>
      </c>
      <c r="BB66" s="70"/>
      <c r="BC66" s="376"/>
      <c r="BD66" s="385">
        <v>0.09</v>
      </c>
      <c r="BE66" s="70"/>
      <c r="BF66" s="375"/>
      <c r="BG66" s="385">
        <v>0.09</v>
      </c>
      <c r="BH66" s="70"/>
      <c r="BI66" s="375"/>
      <c r="BJ66" s="385">
        <v>0.09</v>
      </c>
      <c r="BK66" s="70"/>
      <c r="BL66" s="375"/>
      <c r="BM66" s="385">
        <v>0.09</v>
      </c>
      <c r="BN66" s="70"/>
      <c r="BO66" s="375"/>
      <c r="BP66" s="385">
        <v>0.09</v>
      </c>
      <c r="BQ66" s="70"/>
      <c r="BR66" s="375"/>
      <c r="BS66" s="385">
        <v>0.09</v>
      </c>
      <c r="BT66" s="70"/>
      <c r="BU66" s="375"/>
      <c r="BV66" s="385">
        <v>0.09</v>
      </c>
      <c r="BW66" s="70"/>
      <c r="BX66" s="375"/>
      <c r="BY66" s="385">
        <v>0.09</v>
      </c>
      <c r="BZ66" s="70"/>
      <c r="CA66" s="375"/>
      <c r="CB66" s="385">
        <v>0.09</v>
      </c>
      <c r="CC66" s="70"/>
      <c r="CD66" s="375"/>
      <c r="CE66" s="385">
        <v>0.09</v>
      </c>
      <c r="CF66" s="70"/>
      <c r="CG66" s="375"/>
      <c r="CH66" s="385">
        <v>0.09</v>
      </c>
      <c r="CI66" s="70"/>
      <c r="CJ66" s="375"/>
      <c r="CK66" s="385">
        <v>0.09</v>
      </c>
      <c r="CL66" s="70"/>
      <c r="CM66" s="375"/>
      <c r="CN66" s="378"/>
      <c r="CO66" s="70"/>
      <c r="CP66" s="375"/>
      <c r="CQ66" s="378"/>
      <c r="CR66" s="70"/>
      <c r="CS66" s="375"/>
      <c r="CT66" s="378"/>
      <c r="CU66" s="70"/>
      <c r="CV66" s="375"/>
      <c r="CW66" s="377"/>
    </row>
    <row r="67" spans="1:101" ht="15.75" customHeight="1" x14ac:dyDescent="0.25">
      <c r="A67" s="503"/>
      <c r="B67" s="134" t="s">
        <v>42</v>
      </c>
      <c r="C67" s="80" t="s">
        <v>41</v>
      </c>
      <c r="D67" s="108">
        <v>122</v>
      </c>
      <c r="E67" s="108">
        <f>O67+R67+U67+X67+AA67+AD67+AG67+AJ67+AM67+AP67+AS67+AV67+AY67+BB67+BE67+BH67+BK67+BN67+BQ67+BT67+BW67+BZ67+CC67+CF67+CI67+CL67+CO67+CR67+CU67</f>
        <v>0</v>
      </c>
      <c r="F67" s="108">
        <f t="shared" si="17"/>
        <v>122</v>
      </c>
      <c r="G67" s="367"/>
      <c r="H67" s="46">
        <f t="shared" si="63"/>
        <v>0</v>
      </c>
      <c r="I67" s="83"/>
      <c r="J67" s="74"/>
      <c r="K67" s="80"/>
      <c r="L67" s="80"/>
      <c r="M67" s="103"/>
      <c r="N67" s="230"/>
      <c r="O67" s="230"/>
      <c r="P67" s="345"/>
      <c r="Q67" s="229"/>
      <c r="R67" s="230"/>
      <c r="S67" s="368"/>
      <c r="T67" s="229"/>
      <c r="U67" s="230"/>
      <c r="V67" s="368"/>
      <c r="W67" s="229"/>
      <c r="X67" s="230"/>
      <c r="Y67" s="369"/>
      <c r="Z67" s="229"/>
      <c r="AA67" s="230"/>
      <c r="AB67" s="393"/>
      <c r="AC67" s="229"/>
      <c r="AD67" s="349"/>
      <c r="AE67" s="345"/>
      <c r="AF67" s="231">
        <v>0</v>
      </c>
      <c r="AG67" s="347">
        <v>0</v>
      </c>
      <c r="AH67" s="371"/>
      <c r="AI67" s="231">
        <v>0</v>
      </c>
      <c r="AJ67" s="347">
        <v>0</v>
      </c>
      <c r="AK67" s="168">
        <v>0</v>
      </c>
      <c r="AL67" s="317"/>
      <c r="AM67" s="401"/>
      <c r="AN67" s="97"/>
      <c r="AO67" s="308"/>
      <c r="AP67" s="397"/>
      <c r="AQ67" s="374"/>
      <c r="AR67" s="303">
        <v>0</v>
      </c>
      <c r="AS67" s="290"/>
      <c r="AT67" s="292"/>
      <c r="AU67" s="308">
        <v>0</v>
      </c>
      <c r="AV67" s="290"/>
      <c r="AW67" s="287"/>
      <c r="AX67" s="303">
        <v>0</v>
      </c>
      <c r="AY67" s="290"/>
      <c r="AZ67" s="292"/>
      <c r="BA67" s="308">
        <v>0</v>
      </c>
      <c r="BB67" s="290"/>
      <c r="BC67" s="287"/>
      <c r="BD67" s="303">
        <v>0</v>
      </c>
      <c r="BE67" s="290"/>
      <c r="BF67" s="292"/>
      <c r="BG67" s="308">
        <v>0</v>
      </c>
      <c r="BH67" s="290"/>
      <c r="BI67" s="292"/>
      <c r="BJ67" s="308">
        <v>0</v>
      </c>
      <c r="BK67" s="290"/>
      <c r="BL67" s="292"/>
      <c r="BM67" s="308">
        <v>15</v>
      </c>
      <c r="BN67" s="290"/>
      <c r="BO67" s="292"/>
      <c r="BP67" s="308">
        <v>15</v>
      </c>
      <c r="BQ67" s="290"/>
      <c r="BR67" s="292"/>
      <c r="BS67" s="308">
        <v>15</v>
      </c>
      <c r="BT67" s="290"/>
      <c r="BU67" s="292"/>
      <c r="BV67" s="308">
        <v>15</v>
      </c>
      <c r="BW67" s="290"/>
      <c r="BX67" s="292"/>
      <c r="BY67" s="308">
        <v>15</v>
      </c>
      <c r="BZ67" s="290"/>
      <c r="CA67" s="292"/>
      <c r="CB67" s="308">
        <v>15</v>
      </c>
      <c r="CC67" s="290"/>
      <c r="CD67" s="292"/>
      <c r="CE67" s="308">
        <v>15</v>
      </c>
      <c r="CF67" s="290"/>
      <c r="CG67" s="292"/>
      <c r="CH67" s="308">
        <v>15</v>
      </c>
      <c r="CI67" s="290"/>
      <c r="CJ67" s="292"/>
      <c r="CK67" s="308">
        <v>15</v>
      </c>
      <c r="CL67" s="290"/>
      <c r="CM67" s="292"/>
      <c r="CN67" s="314"/>
      <c r="CO67" s="290"/>
      <c r="CP67" s="292"/>
      <c r="CQ67" s="314"/>
      <c r="CR67" s="290"/>
      <c r="CS67" s="292"/>
      <c r="CT67" s="314"/>
      <c r="CU67" s="290"/>
      <c r="CV67" s="292"/>
      <c r="CW67" s="377"/>
    </row>
    <row r="68" spans="1:101" ht="31.5" customHeight="1" x14ac:dyDescent="0.25">
      <c r="A68" s="501" t="s">
        <v>79</v>
      </c>
      <c r="B68" s="204" t="s">
        <v>100</v>
      </c>
      <c r="C68" s="51" t="s">
        <v>18</v>
      </c>
      <c r="D68" s="52">
        <v>1</v>
      </c>
      <c r="E68" s="53">
        <f>(H69+H70)/2</f>
        <v>0.2978439153439153</v>
      </c>
      <c r="F68" s="53">
        <f t="shared" si="17"/>
        <v>0.7021560846560847</v>
      </c>
      <c r="G68" s="353"/>
      <c r="H68" s="52">
        <f>E68</f>
        <v>0.2978439153439153</v>
      </c>
      <c r="I68" s="353"/>
      <c r="J68" s="56">
        <v>42724</v>
      </c>
      <c r="K68" s="136" t="s">
        <v>92</v>
      </c>
      <c r="L68" s="136">
        <v>6</v>
      </c>
      <c r="M68" s="364">
        <v>6</v>
      </c>
      <c r="N68" s="296"/>
      <c r="O68" s="289"/>
      <c r="P68" s="291"/>
      <c r="Q68" s="296"/>
      <c r="R68" s="289"/>
      <c r="S68" s="291"/>
      <c r="T68" s="296"/>
      <c r="U68" s="289"/>
      <c r="V68" s="289"/>
      <c r="W68" s="296"/>
      <c r="X68" s="289"/>
      <c r="Y68" s="291"/>
      <c r="Z68" s="296"/>
      <c r="AA68" s="289"/>
      <c r="AB68" s="291"/>
      <c r="AC68" s="296"/>
      <c r="AD68" s="289"/>
      <c r="AE68" s="291"/>
      <c r="AF68" s="296"/>
      <c r="AG68" s="289"/>
      <c r="AH68" s="289"/>
      <c r="AI68" s="296"/>
      <c r="AJ68" s="289"/>
      <c r="AK68" s="289"/>
      <c r="AL68" s="358"/>
      <c r="AM68" s="358"/>
      <c r="AN68" s="296"/>
      <c r="AO68" s="360"/>
      <c r="AP68" s="360"/>
      <c r="AQ68" s="398"/>
      <c r="AR68" s="358"/>
      <c r="AS68" s="112"/>
      <c r="AT68" s="359"/>
      <c r="AU68" s="360"/>
      <c r="AV68" s="112"/>
      <c r="AW68" s="390"/>
      <c r="AX68" s="358"/>
      <c r="AY68" s="112"/>
      <c r="AZ68" s="359"/>
      <c r="BA68" s="360"/>
      <c r="BB68" s="112"/>
      <c r="BC68" s="390"/>
      <c r="BD68" s="358"/>
      <c r="BE68" s="112"/>
      <c r="BF68" s="359"/>
      <c r="BG68" s="360"/>
      <c r="BH68" s="112"/>
      <c r="BI68" s="359"/>
      <c r="BJ68" s="360"/>
      <c r="BK68" s="112"/>
      <c r="BL68" s="359"/>
      <c r="BM68" s="360"/>
      <c r="BN68" s="112"/>
      <c r="BO68" s="359"/>
      <c r="BP68" s="360"/>
      <c r="BQ68" s="112"/>
      <c r="BR68" s="359"/>
      <c r="BS68" s="360"/>
      <c r="BT68" s="112"/>
      <c r="BU68" s="359"/>
      <c r="BV68" s="360"/>
      <c r="BW68" s="112"/>
      <c r="BX68" s="359"/>
      <c r="BY68" s="360"/>
      <c r="BZ68" s="112"/>
      <c r="CA68" s="359"/>
      <c r="CB68" s="360"/>
      <c r="CC68" s="112"/>
      <c r="CD68" s="359"/>
      <c r="CE68" s="360"/>
      <c r="CF68" s="112"/>
      <c r="CG68" s="359"/>
      <c r="CH68" s="360"/>
      <c r="CI68" s="112"/>
      <c r="CJ68" s="359"/>
      <c r="CK68" s="360"/>
      <c r="CL68" s="112"/>
      <c r="CM68" s="359"/>
      <c r="CN68" s="360"/>
      <c r="CO68" s="112"/>
      <c r="CP68" s="359"/>
      <c r="CQ68" s="360"/>
      <c r="CR68" s="112"/>
      <c r="CS68" s="359"/>
      <c r="CT68" s="360"/>
      <c r="CU68" s="112"/>
      <c r="CV68" s="359"/>
      <c r="CW68" s="377"/>
    </row>
    <row r="69" spans="1:101" ht="15.75" customHeight="1" x14ac:dyDescent="0.25">
      <c r="A69" s="502"/>
      <c r="B69" s="134" t="s">
        <v>93</v>
      </c>
      <c r="C69" s="80" t="s">
        <v>38</v>
      </c>
      <c r="D69" s="70">
        <v>4.32</v>
      </c>
      <c r="E69" s="70">
        <f>0.17+O69+R69+U69+X69+AA69+AD69+AG69+AJ69+AM69+AP69+AS69+AV69+AY69+BB69+BE69+BH69+BK69+BN69+BQ69+BT69+BW69+BZ69+CC69+CF69+CI69+CL69+CO69+CR69+CU69</f>
        <v>1.66</v>
      </c>
      <c r="F69" s="70">
        <f t="shared" si="17"/>
        <v>2.66</v>
      </c>
      <c r="G69" s="367"/>
      <c r="H69" s="46">
        <f t="shared" ref="H69:H70" si="64">E69/D69</f>
        <v>0.38425925925925919</v>
      </c>
      <c r="I69" s="83">
        <f>AP69/D69</f>
        <v>4.1666666666666664E-2</v>
      </c>
      <c r="J69" s="74"/>
      <c r="K69" s="80"/>
      <c r="L69" s="80"/>
      <c r="M69" s="103"/>
      <c r="N69" s="230"/>
      <c r="O69" s="230"/>
      <c r="P69" s="349"/>
      <c r="Q69" s="230">
        <v>0.15</v>
      </c>
      <c r="R69" s="230">
        <v>0.17</v>
      </c>
      <c r="S69" s="44">
        <f t="shared" ref="S69:S70" si="65">R69/Q69</f>
        <v>1.1333333333333335</v>
      </c>
      <c r="T69" s="230">
        <v>0.15</v>
      </c>
      <c r="U69" s="230">
        <v>0.16</v>
      </c>
      <c r="V69" s="44">
        <f t="shared" ref="V69:V70" si="66">U69/T69</f>
        <v>1.0666666666666667</v>
      </c>
      <c r="W69" s="230">
        <v>0.15</v>
      </c>
      <c r="X69" s="230">
        <v>0.15</v>
      </c>
      <c r="Y69" s="402">
        <f t="shared" ref="Y69:Y70" si="67">X69/W69</f>
        <v>1</v>
      </c>
      <c r="Z69" s="230">
        <v>0.15</v>
      </c>
      <c r="AA69" s="230">
        <v>0.15</v>
      </c>
      <c r="AB69" s="370">
        <f t="shared" ref="AB69:AB70" si="68">X69/W69</f>
        <v>1</v>
      </c>
      <c r="AC69" s="230">
        <v>0.15</v>
      </c>
      <c r="AD69" s="347">
        <v>0.16</v>
      </c>
      <c r="AE69" s="379">
        <f t="shared" ref="AE69:AE70" si="69">AD69/AC69</f>
        <v>1.0666666666666667</v>
      </c>
      <c r="AF69" s="230">
        <v>0.15</v>
      </c>
      <c r="AG69" s="261">
        <v>0.17</v>
      </c>
      <c r="AH69" s="371">
        <f t="shared" ref="AH69:AH70" si="70">AG69/AF69</f>
        <v>1.1333333333333335</v>
      </c>
      <c r="AI69" s="230">
        <v>0.15</v>
      </c>
      <c r="AJ69" s="181">
        <v>0.17</v>
      </c>
      <c r="AK69" s="97">
        <f t="shared" ref="AK69:AK70" si="71">AJ69/AI69</f>
        <v>1.1333333333333335</v>
      </c>
      <c r="AL69" s="385">
        <v>0.17</v>
      </c>
      <c r="AM69" s="386">
        <v>0.18</v>
      </c>
      <c r="AN69" s="97">
        <f t="shared" ref="AN69:AN70" si="72">AM69/AL69</f>
        <v>1.0588235294117645</v>
      </c>
      <c r="AO69" s="385">
        <v>0.17</v>
      </c>
      <c r="AP69" s="391">
        <v>0.18</v>
      </c>
      <c r="AQ69" s="374">
        <f t="shared" ref="AQ69:AQ70" si="73">AP69/AO69</f>
        <v>1.0588235294117645</v>
      </c>
      <c r="AR69" s="385">
        <v>0.17</v>
      </c>
      <c r="AS69" s="70"/>
      <c r="AT69" s="375"/>
      <c r="AU69" s="385">
        <v>0.17</v>
      </c>
      <c r="AV69" s="70"/>
      <c r="AW69" s="376"/>
      <c r="AX69" s="385">
        <v>0.17</v>
      </c>
      <c r="AY69" s="70"/>
      <c r="AZ69" s="375"/>
      <c r="BA69" s="385">
        <v>0.17</v>
      </c>
      <c r="BB69" s="70"/>
      <c r="BC69" s="376"/>
      <c r="BD69" s="385">
        <v>0.17</v>
      </c>
      <c r="BE69" s="70"/>
      <c r="BF69" s="375"/>
      <c r="BG69" s="385">
        <v>0.17</v>
      </c>
      <c r="BH69" s="70"/>
      <c r="BI69" s="375"/>
      <c r="BJ69" s="385">
        <v>0.17</v>
      </c>
      <c r="BK69" s="70"/>
      <c r="BL69" s="375"/>
      <c r="BM69" s="385">
        <v>0.17</v>
      </c>
      <c r="BN69" s="70"/>
      <c r="BO69" s="375"/>
      <c r="BP69" s="385">
        <v>0.17</v>
      </c>
      <c r="BQ69" s="70"/>
      <c r="BR69" s="375"/>
      <c r="BS69" s="385">
        <v>0.17</v>
      </c>
      <c r="BT69" s="70"/>
      <c r="BU69" s="375"/>
      <c r="BV69" s="385">
        <v>0.17</v>
      </c>
      <c r="BW69" s="70"/>
      <c r="BX69" s="375"/>
      <c r="BY69" s="385">
        <v>0.17</v>
      </c>
      <c r="BZ69" s="70"/>
      <c r="CA69" s="375"/>
      <c r="CB69" s="385">
        <v>0.17</v>
      </c>
      <c r="CC69" s="70"/>
      <c r="CD69" s="375"/>
      <c r="CE69" s="385">
        <v>0.17</v>
      </c>
      <c r="CF69" s="70"/>
      <c r="CG69" s="375"/>
      <c r="CH69" s="385">
        <v>0.17</v>
      </c>
      <c r="CI69" s="70"/>
      <c r="CJ69" s="375"/>
      <c r="CK69" s="385">
        <v>0.17</v>
      </c>
      <c r="CL69" s="70"/>
      <c r="CM69" s="375"/>
      <c r="CN69" s="378"/>
      <c r="CO69" s="70"/>
      <c r="CP69" s="375"/>
      <c r="CQ69" s="378"/>
      <c r="CR69" s="70"/>
      <c r="CS69" s="375"/>
      <c r="CT69" s="378"/>
      <c r="CU69" s="70"/>
      <c r="CV69" s="375"/>
      <c r="CW69" s="377"/>
    </row>
    <row r="70" spans="1:101" ht="16.5" customHeight="1" x14ac:dyDescent="0.25">
      <c r="A70" s="503"/>
      <c r="B70" s="134" t="s">
        <v>42</v>
      </c>
      <c r="C70" s="80" t="s">
        <v>41</v>
      </c>
      <c r="D70" s="108">
        <v>350</v>
      </c>
      <c r="E70" s="108">
        <f>O70+R70+U70+X70+AA70+AD70+AG70+AJ70+AM70+AP70+AS70+AV70+AY70+BB70+BE70+BH70+BK70+BN70+BQ70+BT70+BW70+BZ70+CC70+CF70+CI70+CL70+CO70+CR70+CU70</f>
        <v>74</v>
      </c>
      <c r="F70" s="108">
        <f t="shared" si="17"/>
        <v>276</v>
      </c>
      <c r="G70" s="367"/>
      <c r="H70" s="46">
        <f t="shared" si="64"/>
        <v>0.21142857142857144</v>
      </c>
      <c r="I70" s="83">
        <f>AM70/D70</f>
        <v>4.8571428571428571E-2</v>
      </c>
      <c r="J70" s="74"/>
      <c r="K70" s="80"/>
      <c r="L70" s="80"/>
      <c r="M70" s="103"/>
      <c r="N70" s="230"/>
      <c r="O70" s="230"/>
      <c r="P70" s="349"/>
      <c r="Q70" s="230">
        <v>4</v>
      </c>
      <c r="R70" s="230">
        <v>8</v>
      </c>
      <c r="S70" s="44">
        <f t="shared" si="65"/>
        <v>2</v>
      </c>
      <c r="T70" s="230">
        <v>4</v>
      </c>
      <c r="U70" s="230">
        <v>6</v>
      </c>
      <c r="V70" s="44">
        <f t="shared" si="66"/>
        <v>1.5</v>
      </c>
      <c r="W70" s="230">
        <v>4</v>
      </c>
      <c r="X70" s="230">
        <v>5</v>
      </c>
      <c r="Y70" s="402">
        <f t="shared" si="67"/>
        <v>1.25</v>
      </c>
      <c r="Z70" s="230">
        <v>4</v>
      </c>
      <c r="AA70" s="230">
        <v>5</v>
      </c>
      <c r="AB70" s="370">
        <f t="shared" si="68"/>
        <v>1.25</v>
      </c>
      <c r="AC70" s="230">
        <v>4</v>
      </c>
      <c r="AD70" s="347">
        <v>4</v>
      </c>
      <c r="AE70" s="379">
        <f t="shared" si="69"/>
        <v>1</v>
      </c>
      <c r="AF70" s="230">
        <v>4</v>
      </c>
      <c r="AG70" s="261">
        <v>6</v>
      </c>
      <c r="AH70" s="371">
        <f t="shared" si="70"/>
        <v>1.5</v>
      </c>
      <c r="AI70" s="230">
        <v>4</v>
      </c>
      <c r="AJ70" s="181">
        <v>6</v>
      </c>
      <c r="AK70" s="97">
        <f t="shared" si="71"/>
        <v>1.5</v>
      </c>
      <c r="AL70" s="317">
        <v>17</v>
      </c>
      <c r="AM70" s="401">
        <v>17</v>
      </c>
      <c r="AN70" s="97">
        <f t="shared" si="72"/>
        <v>1</v>
      </c>
      <c r="AO70" s="317">
        <v>17</v>
      </c>
      <c r="AP70" s="337">
        <v>17</v>
      </c>
      <c r="AQ70" s="374">
        <f t="shared" si="73"/>
        <v>1</v>
      </c>
      <c r="AR70" s="303">
        <v>17</v>
      </c>
      <c r="AS70" s="290"/>
      <c r="AT70" s="292"/>
      <c r="AU70" s="303">
        <v>17</v>
      </c>
      <c r="AV70" s="290"/>
      <c r="AW70" s="287"/>
      <c r="AX70" s="303">
        <v>17</v>
      </c>
      <c r="AY70" s="403"/>
      <c r="AZ70" s="404"/>
      <c r="BA70" s="303">
        <v>17</v>
      </c>
      <c r="BB70" s="290"/>
      <c r="BC70" s="287"/>
      <c r="BD70" s="303">
        <v>17</v>
      </c>
      <c r="BE70" s="290"/>
      <c r="BF70" s="292"/>
      <c r="BG70" s="303">
        <v>17</v>
      </c>
      <c r="BH70" s="290"/>
      <c r="BI70" s="292"/>
      <c r="BJ70" s="303">
        <v>17</v>
      </c>
      <c r="BK70" s="290"/>
      <c r="BL70" s="292"/>
      <c r="BM70" s="303">
        <v>17</v>
      </c>
      <c r="BN70" s="290"/>
      <c r="BO70" s="292"/>
      <c r="BP70" s="303">
        <v>17</v>
      </c>
      <c r="BQ70" s="290"/>
      <c r="BR70" s="292"/>
      <c r="BS70" s="303">
        <v>17</v>
      </c>
      <c r="BT70" s="290"/>
      <c r="BU70" s="292"/>
      <c r="BV70" s="303">
        <v>17</v>
      </c>
      <c r="BW70" s="290"/>
      <c r="BX70" s="292"/>
      <c r="BY70" s="303">
        <v>17</v>
      </c>
      <c r="BZ70" s="290"/>
      <c r="CA70" s="292"/>
      <c r="CB70" s="303">
        <v>17</v>
      </c>
      <c r="CC70" s="290"/>
      <c r="CD70" s="292"/>
      <c r="CE70" s="303">
        <v>17</v>
      </c>
      <c r="CF70" s="290"/>
      <c r="CG70" s="292"/>
      <c r="CH70" s="303">
        <v>17</v>
      </c>
      <c r="CI70" s="290"/>
      <c r="CJ70" s="292"/>
      <c r="CK70" s="303">
        <v>17</v>
      </c>
      <c r="CL70" s="290"/>
      <c r="CM70" s="292"/>
      <c r="CN70" s="314"/>
      <c r="CO70" s="290"/>
      <c r="CP70" s="292"/>
      <c r="CQ70" s="314"/>
      <c r="CR70" s="290"/>
      <c r="CS70" s="292"/>
      <c r="CT70" s="314"/>
      <c r="CU70" s="290"/>
      <c r="CV70" s="292"/>
      <c r="CW70" s="377"/>
    </row>
    <row r="71" spans="1:101" ht="31.5" customHeight="1" x14ac:dyDescent="0.25">
      <c r="A71" s="501" t="s">
        <v>81</v>
      </c>
      <c r="B71" s="50" t="s">
        <v>101</v>
      </c>
      <c r="C71" s="51" t="s">
        <v>18</v>
      </c>
      <c r="D71" s="52">
        <v>1</v>
      </c>
      <c r="E71" s="53">
        <f>(H72+H73)/2</f>
        <v>0.2426981919332406</v>
      </c>
      <c r="F71" s="53">
        <f t="shared" si="17"/>
        <v>0.7573018080667594</v>
      </c>
      <c r="G71" s="353"/>
      <c r="H71" s="52">
        <f>E71</f>
        <v>0.2426981919332406</v>
      </c>
      <c r="I71" s="353"/>
      <c r="J71" s="56">
        <v>42724</v>
      </c>
      <c r="K71" s="136" t="s">
        <v>92</v>
      </c>
      <c r="L71" s="136">
        <v>4</v>
      </c>
      <c r="M71" s="364">
        <v>4</v>
      </c>
      <c r="N71" s="296"/>
      <c r="O71" s="289"/>
      <c r="P71" s="291"/>
      <c r="Q71" s="296"/>
      <c r="R71" s="289"/>
      <c r="S71" s="291"/>
      <c r="T71" s="296"/>
      <c r="U71" s="289"/>
      <c r="V71" s="291"/>
      <c r="W71" s="296"/>
      <c r="X71" s="289"/>
      <c r="Y71" s="291"/>
      <c r="Z71" s="296"/>
      <c r="AA71" s="289"/>
      <c r="AB71" s="291"/>
      <c r="AC71" s="296"/>
      <c r="AD71" s="289"/>
      <c r="AE71" s="291"/>
      <c r="AF71" s="296"/>
      <c r="AG71" s="289"/>
      <c r="AH71" s="289"/>
      <c r="AI71" s="296"/>
      <c r="AJ71" s="289"/>
      <c r="AK71" s="289"/>
      <c r="AL71" s="296"/>
      <c r="AM71" s="296"/>
      <c r="AN71" s="296"/>
      <c r="AO71" s="296"/>
      <c r="AP71" s="296"/>
      <c r="AQ71" s="374"/>
      <c r="AR71" s="296"/>
      <c r="AS71" s="289"/>
      <c r="AT71" s="289"/>
      <c r="AU71" s="296"/>
      <c r="AV71" s="289"/>
      <c r="AW71" s="289"/>
      <c r="AX71" s="296"/>
      <c r="AY71" s="289"/>
      <c r="AZ71" s="289"/>
      <c r="BA71" s="296"/>
      <c r="BB71" s="289"/>
      <c r="BC71" s="289"/>
      <c r="BD71" s="296"/>
      <c r="BE71" s="289"/>
      <c r="BF71" s="289"/>
      <c r="BG71" s="296"/>
      <c r="BH71" s="289"/>
      <c r="BI71" s="289"/>
      <c r="BJ71" s="296"/>
      <c r="BK71" s="289"/>
      <c r="BL71" s="289"/>
      <c r="BM71" s="296"/>
      <c r="BN71" s="289"/>
      <c r="BO71" s="289"/>
      <c r="BP71" s="296"/>
      <c r="BQ71" s="289"/>
      <c r="BR71" s="289"/>
      <c r="BS71" s="296"/>
      <c r="BT71" s="289"/>
      <c r="BU71" s="289"/>
      <c r="BV71" s="296"/>
      <c r="BW71" s="289"/>
      <c r="BX71" s="289"/>
      <c r="BY71" s="296"/>
      <c r="BZ71" s="289"/>
      <c r="CA71" s="289"/>
      <c r="CB71" s="296"/>
      <c r="CC71" s="289"/>
      <c r="CD71" s="289"/>
      <c r="CE71" s="296"/>
      <c r="CF71" s="289"/>
      <c r="CG71" s="289"/>
      <c r="CH71" s="296"/>
      <c r="CI71" s="289"/>
      <c r="CJ71" s="289"/>
      <c r="CK71" s="296"/>
      <c r="CL71" s="289"/>
      <c r="CM71" s="289"/>
      <c r="CN71" s="296"/>
      <c r="CO71" s="289"/>
      <c r="CP71" s="289"/>
      <c r="CQ71" s="296"/>
      <c r="CR71" s="289"/>
      <c r="CS71" s="289"/>
      <c r="CT71" s="296"/>
      <c r="CU71" s="289"/>
      <c r="CV71" s="289"/>
      <c r="CW71" s="377"/>
    </row>
    <row r="72" spans="1:101" ht="15.75" customHeight="1" x14ac:dyDescent="0.25">
      <c r="A72" s="502"/>
      <c r="B72" s="33" t="s">
        <v>102</v>
      </c>
      <c r="C72" s="80" t="s">
        <v>38</v>
      </c>
      <c r="D72" s="70">
        <v>7.19</v>
      </c>
      <c r="E72" s="70">
        <f>1.58+O72+R72+U72+X72+AA72+AD72+AG72+AJ72+AM72+AP72+AS72+AV72+AY72+BB72+BE72+BH72+BK72+BN72+BQ72+BT72+BW72+BZ72+CC72+CF72+CI72+CL72+CO72+CR72+CU72</f>
        <v>3.49</v>
      </c>
      <c r="F72" s="70">
        <f t="shared" si="17"/>
        <v>3.7</v>
      </c>
      <c r="G72" s="367"/>
      <c r="H72" s="36">
        <f t="shared" ref="H72:H73" si="74">E72/D72</f>
        <v>0.48539638386648121</v>
      </c>
      <c r="I72" s="83">
        <f>AP72/D72</f>
        <v>3.1988873435326845E-2</v>
      </c>
      <c r="J72" s="74"/>
      <c r="K72" s="80"/>
      <c r="L72" s="80"/>
      <c r="M72" s="103"/>
      <c r="N72" s="230"/>
      <c r="O72" s="230"/>
      <c r="P72" s="349"/>
      <c r="Q72" s="230">
        <v>0.19</v>
      </c>
      <c r="R72" s="230">
        <v>0.21</v>
      </c>
      <c r="S72" s="44">
        <f>R72/Q72</f>
        <v>1.1052631578947367</v>
      </c>
      <c r="T72" s="230">
        <v>0.19</v>
      </c>
      <c r="U72" s="230">
        <v>0.2</v>
      </c>
      <c r="V72" s="44">
        <f>U72/T72</f>
        <v>1.0526315789473684</v>
      </c>
      <c r="W72" s="230">
        <v>0.19</v>
      </c>
      <c r="X72" s="230">
        <v>0.19</v>
      </c>
      <c r="Y72" s="402">
        <f>X72/W72</f>
        <v>1</v>
      </c>
      <c r="Z72" s="230">
        <v>0.19</v>
      </c>
      <c r="AA72" s="230">
        <v>0.19</v>
      </c>
      <c r="AB72" s="405">
        <f>X72/W72</f>
        <v>1</v>
      </c>
      <c r="AC72" s="230">
        <v>0.19</v>
      </c>
      <c r="AD72" s="347">
        <v>0.2</v>
      </c>
      <c r="AE72" s="379">
        <f>AD72/AC72</f>
        <v>1.0526315789473684</v>
      </c>
      <c r="AF72" s="230">
        <v>0.19</v>
      </c>
      <c r="AG72" s="261">
        <v>0.23</v>
      </c>
      <c r="AH72" s="371">
        <f>AG72/AF72</f>
        <v>1.2105263157894737</v>
      </c>
      <c r="AI72" s="230">
        <v>0.19</v>
      </c>
      <c r="AJ72" s="181">
        <v>0.23</v>
      </c>
      <c r="AK72" s="97">
        <f>AJ72/AI72</f>
        <v>1.2105263157894737</v>
      </c>
      <c r="AL72" s="406">
        <v>0.23</v>
      </c>
      <c r="AM72" s="407">
        <v>0.23</v>
      </c>
      <c r="AN72" s="97">
        <f>AM72/AL72</f>
        <v>1</v>
      </c>
      <c r="AO72" s="385">
        <v>0.23</v>
      </c>
      <c r="AP72" s="391">
        <v>0.23</v>
      </c>
      <c r="AQ72" s="374">
        <f>AP72/AO72</f>
        <v>1</v>
      </c>
      <c r="AR72" s="385">
        <v>0.23</v>
      </c>
      <c r="AS72" s="70"/>
      <c r="AT72" s="375"/>
      <c r="AU72" s="385">
        <v>0.23</v>
      </c>
      <c r="AV72" s="70"/>
      <c r="AW72" s="375"/>
      <c r="AX72" s="385">
        <v>0.23</v>
      </c>
      <c r="AY72" s="70"/>
      <c r="AZ72" s="375"/>
      <c r="BA72" s="385">
        <v>0.23</v>
      </c>
      <c r="BB72" s="70"/>
      <c r="BC72" s="376"/>
      <c r="BD72" s="385">
        <v>0.23</v>
      </c>
      <c r="BE72" s="70"/>
      <c r="BF72" s="375"/>
      <c r="BG72" s="385">
        <v>0.23</v>
      </c>
      <c r="BH72" s="70"/>
      <c r="BI72" s="375"/>
      <c r="BJ72" s="385">
        <v>0.23</v>
      </c>
      <c r="BK72" s="70"/>
      <c r="BL72" s="375"/>
      <c r="BM72" s="385">
        <v>0.23</v>
      </c>
      <c r="BN72" s="70"/>
      <c r="BO72" s="375"/>
      <c r="BP72" s="385">
        <v>0.23</v>
      </c>
      <c r="BQ72" s="70"/>
      <c r="BR72" s="375"/>
      <c r="BS72" s="385">
        <v>0.23</v>
      </c>
      <c r="BT72" s="70"/>
      <c r="BU72" s="375"/>
      <c r="BV72" s="385">
        <v>0.23</v>
      </c>
      <c r="BW72" s="70"/>
      <c r="BX72" s="375"/>
      <c r="BY72" s="385">
        <v>0.23</v>
      </c>
      <c r="BZ72" s="70"/>
      <c r="CA72" s="375"/>
      <c r="CB72" s="385">
        <v>0.23</v>
      </c>
      <c r="CC72" s="70"/>
      <c r="CD72" s="375"/>
      <c r="CE72" s="385">
        <v>0.23</v>
      </c>
      <c r="CF72" s="70"/>
      <c r="CG72" s="375"/>
      <c r="CH72" s="385">
        <v>0.23</v>
      </c>
      <c r="CI72" s="70"/>
      <c r="CJ72" s="375"/>
      <c r="CK72" s="385">
        <v>0.23</v>
      </c>
      <c r="CL72" s="70"/>
      <c r="CM72" s="375"/>
      <c r="CN72" s="378"/>
      <c r="CO72" s="70"/>
      <c r="CP72" s="375"/>
      <c r="CQ72" s="378"/>
      <c r="CR72" s="70"/>
      <c r="CS72" s="375"/>
      <c r="CT72" s="378"/>
      <c r="CU72" s="70"/>
      <c r="CV72" s="375"/>
      <c r="CW72" s="377"/>
    </row>
    <row r="73" spans="1:101" ht="15.75" customHeight="1" x14ac:dyDescent="0.25">
      <c r="A73" s="503"/>
      <c r="B73" s="75" t="s">
        <v>104</v>
      </c>
      <c r="C73" s="80" t="s">
        <v>41</v>
      </c>
      <c r="D73" s="108">
        <v>15</v>
      </c>
      <c r="E73" s="108">
        <f>O73+R73+U73+X73+AA73+AD73+AG73+AJ73+AM73+AP73+AS73+AV73+AY73+BB73+BE73+BH73+BK73+BN73+BQ73+BT73+BW73+BZ73+CC73+CF73+CI73+CL73+CO73+CR73+CU73</f>
        <v>0</v>
      </c>
      <c r="F73" s="108">
        <f t="shared" si="17"/>
        <v>15</v>
      </c>
      <c r="G73" s="367"/>
      <c r="H73" s="36">
        <f t="shared" si="74"/>
        <v>0</v>
      </c>
      <c r="I73" s="83"/>
      <c r="J73" s="74"/>
      <c r="K73" s="80"/>
      <c r="L73" s="80"/>
      <c r="M73" s="103"/>
      <c r="N73" s="230"/>
      <c r="O73" s="230"/>
      <c r="P73" s="349"/>
      <c r="Q73" s="230"/>
      <c r="R73" s="230"/>
      <c r="S73" s="230"/>
      <c r="T73" s="230"/>
      <c r="U73" s="349"/>
      <c r="V73" s="349"/>
      <c r="W73" s="230"/>
      <c r="X73" s="349"/>
      <c r="Y73" s="349"/>
      <c r="Z73" s="230"/>
      <c r="AA73" s="349"/>
      <c r="AB73" s="408"/>
      <c r="AC73" s="230"/>
      <c r="AD73" s="349"/>
      <c r="AE73" s="349"/>
      <c r="AF73" s="261">
        <v>0</v>
      </c>
      <c r="AG73" s="261">
        <v>0</v>
      </c>
      <c r="AH73" s="371"/>
      <c r="AI73" s="261">
        <v>0</v>
      </c>
      <c r="AJ73" s="261">
        <v>0</v>
      </c>
      <c r="AK73" s="168">
        <v>0</v>
      </c>
      <c r="AL73" s="409"/>
      <c r="AM73" s="70"/>
      <c r="AN73" s="375"/>
      <c r="AO73" s="378"/>
      <c r="AP73" s="70"/>
      <c r="AQ73" s="376"/>
      <c r="AR73" s="409"/>
      <c r="AS73" s="70"/>
      <c r="AT73" s="375"/>
      <c r="AU73" s="378"/>
      <c r="AV73" s="70"/>
      <c r="AW73" s="70"/>
      <c r="AX73" s="378"/>
      <c r="AY73" s="70"/>
      <c r="AZ73" s="375"/>
      <c r="BA73" s="378"/>
      <c r="BB73" s="70"/>
      <c r="BC73" s="376"/>
      <c r="BD73" s="409"/>
      <c r="BE73" s="70"/>
      <c r="BF73" s="375"/>
      <c r="BG73" s="378"/>
      <c r="BH73" s="70"/>
      <c r="BI73" s="375"/>
      <c r="BJ73" s="378"/>
      <c r="BK73" s="70"/>
      <c r="BL73" s="375"/>
      <c r="BM73" s="378"/>
      <c r="BN73" s="70"/>
      <c r="BO73" s="375"/>
      <c r="BP73" s="378"/>
      <c r="BQ73" s="70"/>
      <c r="BR73" s="375"/>
      <c r="BS73" s="378"/>
      <c r="BT73" s="70"/>
      <c r="BU73" s="375"/>
      <c r="BV73" s="378"/>
      <c r="BW73" s="70"/>
      <c r="BX73" s="375"/>
      <c r="BY73" s="378"/>
      <c r="BZ73" s="70"/>
      <c r="CA73" s="375"/>
      <c r="CB73" s="378"/>
      <c r="CC73" s="70"/>
      <c r="CD73" s="375"/>
      <c r="CE73" s="378"/>
      <c r="CF73" s="70"/>
      <c r="CG73" s="375"/>
      <c r="CH73" s="378"/>
      <c r="CI73" s="70"/>
      <c r="CJ73" s="375"/>
      <c r="CK73" s="378"/>
      <c r="CL73" s="70"/>
      <c r="CM73" s="375"/>
      <c r="CN73" s="378"/>
      <c r="CO73" s="70"/>
      <c r="CP73" s="375"/>
      <c r="CQ73" s="378"/>
      <c r="CR73" s="70"/>
      <c r="CS73" s="375"/>
      <c r="CT73" s="378"/>
      <c r="CU73" s="70"/>
      <c r="CV73" s="375"/>
      <c r="CW73" s="377"/>
    </row>
    <row r="74" spans="1:101" ht="31.5" customHeight="1" x14ac:dyDescent="0.25">
      <c r="A74" s="501" t="s">
        <v>82</v>
      </c>
      <c r="B74" s="50" t="s">
        <v>105</v>
      </c>
      <c r="C74" s="51" t="s">
        <v>18</v>
      </c>
      <c r="D74" s="52">
        <v>1</v>
      </c>
      <c r="E74" s="53">
        <f>(H75+H76)/2</f>
        <v>0</v>
      </c>
      <c r="F74" s="53">
        <f t="shared" si="17"/>
        <v>1</v>
      </c>
      <c r="G74" s="353"/>
      <c r="H74" s="52">
        <f>E74</f>
        <v>0</v>
      </c>
      <c r="I74" s="410"/>
      <c r="J74" s="56">
        <v>42724</v>
      </c>
      <c r="K74" s="136" t="s">
        <v>92</v>
      </c>
      <c r="L74" s="136">
        <v>0</v>
      </c>
      <c r="M74" s="364">
        <v>0</v>
      </c>
      <c r="N74" s="296"/>
      <c r="O74" s="289"/>
      <c r="P74" s="291"/>
      <c r="Q74" s="296"/>
      <c r="R74" s="289"/>
      <c r="S74" s="291"/>
      <c r="T74" s="296"/>
      <c r="U74" s="289"/>
      <c r="V74" s="291"/>
      <c r="W74" s="296"/>
      <c r="X74" s="289"/>
      <c r="Y74" s="291"/>
      <c r="Z74" s="296"/>
      <c r="AA74" s="289"/>
      <c r="AB74" s="291"/>
      <c r="AC74" s="296"/>
      <c r="AD74" s="289"/>
      <c r="AE74" s="291"/>
      <c r="AF74" s="296"/>
      <c r="AG74" s="289"/>
      <c r="AH74" s="289"/>
      <c r="AI74" s="296"/>
      <c r="AJ74" s="289"/>
      <c r="AK74" s="289"/>
      <c r="AL74" s="296"/>
      <c r="AM74" s="289"/>
      <c r="AN74" s="289"/>
      <c r="AO74" s="296"/>
      <c r="AP74" s="289"/>
      <c r="AQ74" s="289"/>
      <c r="AR74" s="296"/>
      <c r="AS74" s="289"/>
      <c r="AT74" s="289"/>
      <c r="AU74" s="296"/>
      <c r="AV74" s="289"/>
      <c r="AW74" s="289"/>
      <c r="AX74" s="296"/>
      <c r="AY74" s="289"/>
      <c r="AZ74" s="289"/>
      <c r="BA74" s="296"/>
      <c r="BB74" s="289"/>
      <c r="BC74" s="289"/>
      <c r="BD74" s="296"/>
      <c r="BE74" s="289"/>
      <c r="BF74" s="289"/>
      <c r="BG74" s="296"/>
      <c r="BH74" s="289"/>
      <c r="BI74" s="289"/>
      <c r="BJ74" s="296"/>
      <c r="BK74" s="289"/>
      <c r="BL74" s="289"/>
      <c r="BM74" s="296"/>
      <c r="BN74" s="289"/>
      <c r="BO74" s="289"/>
      <c r="BP74" s="296"/>
      <c r="BQ74" s="289"/>
      <c r="BR74" s="289"/>
      <c r="BS74" s="296"/>
      <c r="BT74" s="289"/>
      <c r="BU74" s="289"/>
      <c r="BV74" s="296"/>
      <c r="BW74" s="289"/>
      <c r="BX74" s="289"/>
      <c r="BY74" s="296"/>
      <c r="BZ74" s="289"/>
      <c r="CA74" s="289"/>
      <c r="CB74" s="296"/>
      <c r="CC74" s="289"/>
      <c r="CD74" s="289"/>
      <c r="CE74" s="296"/>
      <c r="CF74" s="289"/>
      <c r="CG74" s="289"/>
      <c r="CH74" s="296"/>
      <c r="CI74" s="289"/>
      <c r="CJ74" s="289"/>
      <c r="CK74" s="296"/>
      <c r="CL74" s="289"/>
      <c r="CM74" s="289"/>
      <c r="CN74" s="296"/>
      <c r="CO74" s="289"/>
      <c r="CP74" s="289"/>
      <c r="CQ74" s="296"/>
      <c r="CR74" s="289"/>
      <c r="CS74" s="289"/>
      <c r="CT74" s="296"/>
      <c r="CU74" s="289"/>
      <c r="CV74" s="289"/>
      <c r="CW74" s="377"/>
    </row>
    <row r="75" spans="1:101" ht="15.75" customHeight="1" x14ac:dyDescent="0.25">
      <c r="A75" s="502"/>
      <c r="B75" s="33" t="s">
        <v>102</v>
      </c>
      <c r="C75" s="80" t="s">
        <v>38</v>
      </c>
      <c r="D75" s="70">
        <v>2.92</v>
      </c>
      <c r="E75" s="70">
        <f t="shared" ref="E75:E76" si="75">O75+R75+U75+X75+AA75+AD75+AG75+AJ75+AM75+AP75+AS75+AV75+AY75+BB75+BE75+BH75+BK75+BN75+BQ75+BT75+BW75+BZ75+CC75+CF75+CI75+CL75+CO75+CR75+CU75</f>
        <v>0</v>
      </c>
      <c r="F75" s="70">
        <f t="shared" si="17"/>
        <v>2.92</v>
      </c>
      <c r="G75" s="367"/>
      <c r="H75" s="36">
        <f t="shared" ref="H75:H76" si="76">E75/D75</f>
        <v>0</v>
      </c>
      <c r="I75" s="83"/>
      <c r="J75" s="74"/>
      <c r="K75" s="80"/>
      <c r="L75" s="80"/>
      <c r="M75" s="411"/>
      <c r="N75" s="229"/>
      <c r="O75" s="230"/>
      <c r="P75" s="228"/>
      <c r="Q75" s="229"/>
      <c r="R75" s="230"/>
      <c r="S75" s="228"/>
      <c r="T75" s="229"/>
      <c r="U75" s="230"/>
      <c r="V75" s="228"/>
      <c r="W75" s="229"/>
      <c r="X75" s="230"/>
      <c r="Y75" s="228"/>
      <c r="Z75" s="229"/>
      <c r="AA75" s="230"/>
      <c r="AB75" s="228"/>
      <c r="AC75" s="229"/>
      <c r="AD75" s="230"/>
      <c r="AE75" s="228"/>
      <c r="AF75" s="229"/>
      <c r="AG75" s="230"/>
      <c r="AH75" s="230"/>
      <c r="AI75" s="229"/>
      <c r="AJ75" s="230"/>
      <c r="AK75" s="230"/>
      <c r="AL75" s="231"/>
      <c r="AM75" s="230"/>
      <c r="AN75" s="230"/>
      <c r="AO75" s="229"/>
      <c r="AP75" s="230"/>
      <c r="AQ75" s="230"/>
      <c r="AR75" s="229"/>
      <c r="AS75" s="230"/>
      <c r="AT75" s="230"/>
      <c r="AU75" s="229"/>
      <c r="AV75" s="230"/>
      <c r="AW75" s="230"/>
      <c r="AX75" s="229"/>
      <c r="AY75" s="230"/>
      <c r="AZ75" s="230"/>
      <c r="BA75" s="229"/>
      <c r="BB75" s="230"/>
      <c r="BC75" s="230"/>
      <c r="BD75" s="229"/>
      <c r="BE75" s="230"/>
      <c r="BF75" s="230"/>
      <c r="BG75" s="229"/>
      <c r="BH75" s="230"/>
      <c r="BI75" s="230"/>
      <c r="BJ75" s="229"/>
      <c r="BK75" s="230"/>
      <c r="BL75" s="230"/>
      <c r="BM75" s="229"/>
      <c r="BN75" s="230"/>
      <c r="BO75" s="230"/>
      <c r="BP75" s="229"/>
      <c r="BQ75" s="230"/>
      <c r="BR75" s="230"/>
      <c r="BS75" s="229"/>
      <c r="BT75" s="230"/>
      <c r="BU75" s="230"/>
      <c r="BV75" s="229"/>
      <c r="BW75" s="230"/>
      <c r="BX75" s="230"/>
      <c r="BY75" s="229"/>
      <c r="BZ75" s="230"/>
      <c r="CA75" s="230"/>
      <c r="CB75" s="229"/>
      <c r="CC75" s="230"/>
      <c r="CD75" s="230"/>
      <c r="CE75" s="229"/>
      <c r="CF75" s="230"/>
      <c r="CG75" s="230"/>
      <c r="CH75" s="229"/>
      <c r="CI75" s="230"/>
      <c r="CJ75" s="230"/>
      <c r="CK75" s="229"/>
      <c r="CL75" s="230"/>
      <c r="CM75" s="230"/>
      <c r="CN75" s="229"/>
      <c r="CO75" s="230"/>
      <c r="CP75" s="230"/>
      <c r="CQ75" s="229"/>
      <c r="CR75" s="230"/>
      <c r="CS75" s="230"/>
      <c r="CT75" s="229"/>
      <c r="CU75" s="230"/>
      <c r="CV75" s="230"/>
      <c r="CW75" s="377"/>
    </row>
    <row r="76" spans="1:101" ht="15.75" customHeight="1" x14ac:dyDescent="0.25">
      <c r="A76" s="503"/>
      <c r="B76" s="75" t="s">
        <v>104</v>
      </c>
      <c r="C76" s="80" t="s">
        <v>41</v>
      </c>
      <c r="D76" s="108">
        <v>371</v>
      </c>
      <c r="E76" s="108">
        <f t="shared" si="75"/>
        <v>0</v>
      </c>
      <c r="F76" s="108">
        <f t="shared" si="17"/>
        <v>371</v>
      </c>
      <c r="G76" s="367"/>
      <c r="H76" s="36">
        <f t="shared" si="76"/>
        <v>0</v>
      </c>
      <c r="I76" s="83"/>
      <c r="J76" s="74"/>
      <c r="K76" s="80"/>
      <c r="L76" s="80"/>
      <c r="M76" s="103"/>
      <c r="N76" s="229"/>
      <c r="O76" s="230"/>
      <c r="P76" s="345"/>
      <c r="Q76" s="229"/>
      <c r="R76" s="230"/>
      <c r="S76" s="228"/>
      <c r="T76" s="229"/>
      <c r="U76" s="349"/>
      <c r="V76" s="345"/>
      <c r="W76" s="229"/>
      <c r="X76" s="349"/>
      <c r="Y76" s="412"/>
      <c r="Z76" s="229"/>
      <c r="AA76" s="349"/>
      <c r="AB76" s="412"/>
      <c r="AC76" s="229"/>
      <c r="AD76" s="349"/>
      <c r="AE76" s="345"/>
      <c r="AF76" s="229"/>
      <c r="AG76" s="349"/>
      <c r="AH76" s="349"/>
      <c r="AI76" s="409"/>
      <c r="AJ76" s="70"/>
      <c r="AK76" s="375"/>
      <c r="AL76" s="385"/>
      <c r="AM76" s="70"/>
      <c r="AN76" s="375"/>
      <c r="AO76" s="378"/>
      <c r="AP76" s="70"/>
      <c r="AQ76" s="376"/>
      <c r="AR76" s="409"/>
      <c r="AS76" s="70"/>
      <c r="AT76" s="375"/>
      <c r="AU76" s="378"/>
      <c r="AV76" s="70"/>
      <c r="AW76" s="375"/>
      <c r="AX76" s="378"/>
      <c r="AY76" s="70"/>
      <c r="AZ76" s="375"/>
      <c r="BA76" s="378"/>
      <c r="BB76" s="70"/>
      <c r="BC76" s="376"/>
      <c r="BD76" s="409"/>
      <c r="BE76" s="70"/>
      <c r="BF76" s="375"/>
      <c r="BG76" s="378"/>
      <c r="BH76" s="70"/>
      <c r="BI76" s="375"/>
      <c r="BJ76" s="378"/>
      <c r="BK76" s="70"/>
      <c r="BL76" s="375"/>
      <c r="BM76" s="378"/>
      <c r="BN76" s="70"/>
      <c r="BO76" s="375"/>
      <c r="BP76" s="378"/>
      <c r="BQ76" s="70"/>
      <c r="BR76" s="375"/>
      <c r="BS76" s="378"/>
      <c r="BT76" s="70"/>
      <c r="BU76" s="375"/>
      <c r="BV76" s="378"/>
      <c r="BW76" s="70"/>
      <c r="BX76" s="375"/>
      <c r="BY76" s="378"/>
      <c r="BZ76" s="70"/>
      <c r="CA76" s="375"/>
      <c r="CB76" s="378"/>
      <c r="CC76" s="70"/>
      <c r="CD76" s="375"/>
      <c r="CE76" s="378"/>
      <c r="CF76" s="70"/>
      <c r="CG76" s="375"/>
      <c r="CH76" s="378"/>
      <c r="CI76" s="70"/>
      <c r="CJ76" s="375"/>
      <c r="CK76" s="378"/>
      <c r="CL76" s="70"/>
      <c r="CM76" s="375"/>
      <c r="CN76" s="378"/>
      <c r="CO76" s="70"/>
      <c r="CP76" s="375"/>
      <c r="CQ76" s="378"/>
      <c r="CR76" s="70"/>
      <c r="CS76" s="375"/>
      <c r="CT76" s="378"/>
      <c r="CU76" s="70"/>
      <c r="CV76" s="375"/>
      <c r="CW76" s="377"/>
    </row>
    <row r="77" spans="1:101" ht="15.75" customHeight="1" x14ac:dyDescent="0.25">
      <c r="A77" s="501" t="s">
        <v>83</v>
      </c>
      <c r="B77" s="50" t="s">
        <v>90</v>
      </c>
      <c r="C77" s="51" t="s">
        <v>18</v>
      </c>
      <c r="D77" s="52">
        <v>1</v>
      </c>
      <c r="E77" s="52">
        <f>(H78+H79)/2</f>
        <v>0.56918622371228278</v>
      </c>
      <c r="F77" s="52">
        <f t="shared" si="17"/>
        <v>0.43081377628771722</v>
      </c>
      <c r="G77" s="246"/>
      <c r="H77" s="52">
        <f>E77</f>
        <v>0.56918622371228278</v>
      </c>
      <c r="I77" s="55"/>
      <c r="J77" s="56">
        <v>42719</v>
      </c>
      <c r="K77" s="51" t="s">
        <v>36</v>
      </c>
      <c r="L77" s="51"/>
      <c r="M77" s="286"/>
      <c r="N77" s="360"/>
      <c r="O77" s="112"/>
      <c r="P77" s="359"/>
      <c r="Q77" s="360"/>
      <c r="R77" s="112"/>
      <c r="S77" s="359"/>
      <c r="T77" s="360"/>
      <c r="U77" s="112"/>
      <c r="V77" s="359"/>
      <c r="W77" s="360"/>
      <c r="X77" s="112"/>
      <c r="Y77" s="359"/>
      <c r="Z77" s="360"/>
      <c r="AA77" s="112"/>
      <c r="AB77" s="359"/>
      <c r="AC77" s="360"/>
      <c r="AD77" s="112"/>
      <c r="AE77" s="359"/>
      <c r="AF77" s="358"/>
      <c r="AG77" s="112"/>
      <c r="AH77" s="359"/>
      <c r="AI77" s="358"/>
      <c r="AJ77" s="112"/>
      <c r="AK77" s="359"/>
      <c r="AL77" s="358"/>
      <c r="AM77" s="112"/>
      <c r="AN77" s="359"/>
      <c r="AO77" s="360"/>
      <c r="AP77" s="112"/>
      <c r="AQ77" s="390"/>
      <c r="AR77" s="358"/>
      <c r="AS77" s="112"/>
      <c r="AT77" s="359"/>
      <c r="AU77" s="360"/>
      <c r="AV77" s="112"/>
      <c r="AW77" s="359"/>
      <c r="AX77" s="360"/>
      <c r="AY77" s="112"/>
      <c r="AZ77" s="359"/>
      <c r="BA77" s="360"/>
      <c r="BB77" s="112"/>
      <c r="BC77" s="390"/>
      <c r="BD77" s="358"/>
      <c r="BE77" s="112"/>
      <c r="BF77" s="359"/>
      <c r="BG77" s="360"/>
      <c r="BH77" s="112"/>
      <c r="BI77" s="359"/>
      <c r="BJ77" s="360"/>
      <c r="BK77" s="112"/>
      <c r="BL77" s="359"/>
      <c r="BM77" s="360"/>
      <c r="BN77" s="112"/>
      <c r="BO77" s="359"/>
      <c r="BP77" s="360"/>
      <c r="BQ77" s="112"/>
      <c r="BR77" s="359"/>
      <c r="BS77" s="360"/>
      <c r="BT77" s="112"/>
      <c r="BU77" s="359"/>
      <c r="BV77" s="360"/>
      <c r="BW77" s="112"/>
      <c r="BX77" s="359"/>
      <c r="BY77" s="360"/>
      <c r="BZ77" s="112"/>
      <c r="CA77" s="359"/>
      <c r="CB77" s="360"/>
      <c r="CC77" s="112"/>
      <c r="CD77" s="359"/>
      <c r="CE77" s="360"/>
      <c r="CF77" s="112"/>
      <c r="CG77" s="359"/>
      <c r="CH77" s="360"/>
      <c r="CI77" s="112"/>
      <c r="CJ77" s="359"/>
      <c r="CK77" s="360"/>
      <c r="CL77" s="112"/>
      <c r="CM77" s="359"/>
      <c r="CN77" s="360"/>
      <c r="CO77" s="112"/>
      <c r="CP77" s="359"/>
      <c r="CQ77" s="360"/>
      <c r="CR77" s="112"/>
      <c r="CS77" s="359"/>
      <c r="CT77" s="360"/>
      <c r="CU77" s="112"/>
      <c r="CV77" s="359"/>
      <c r="CW77" s="377"/>
    </row>
    <row r="78" spans="1:101" ht="15.75" customHeight="1" x14ac:dyDescent="0.25">
      <c r="A78" s="502"/>
      <c r="B78" s="65" t="s">
        <v>39</v>
      </c>
      <c r="C78" s="66" t="s">
        <v>38</v>
      </c>
      <c r="D78" s="66">
        <v>16.405000000000001</v>
      </c>
      <c r="E78" s="70">
        <f>O78+R78+U78+X78+AA78+AD78+AG78+AJ78+AM78+AP78+AS78+AV78+AY78+BB78+BE78+BH78+BK78+BN78+BQ78+BT78+BW78+BZ78+CC78+CF78+CI78+CL78+CO78+CR78+CU78</f>
        <v>2.2699999999999996</v>
      </c>
      <c r="F78" s="70">
        <f t="shared" si="17"/>
        <v>14.135000000000002</v>
      </c>
      <c r="G78" s="227"/>
      <c r="H78" s="36">
        <f t="shared" ref="H78:H79" si="77">E78/D78</f>
        <v>0.13837244742456564</v>
      </c>
      <c r="I78" s="83">
        <f>AP78/D78</f>
        <v>2.1944529106979579E-2</v>
      </c>
      <c r="J78" s="74"/>
      <c r="K78" s="66"/>
      <c r="L78" s="66">
        <v>8</v>
      </c>
      <c r="M78" s="268">
        <v>16</v>
      </c>
      <c r="N78" s="363"/>
      <c r="O78" s="218"/>
      <c r="P78" s="221"/>
      <c r="Q78" s="224"/>
      <c r="R78" s="218"/>
      <c r="S78" s="124"/>
      <c r="T78" s="363"/>
      <c r="U78" s="218"/>
      <c r="V78" s="221"/>
      <c r="W78" s="384">
        <v>0.60499999999999998</v>
      </c>
      <c r="X78" s="414" t="s">
        <v>107</v>
      </c>
      <c r="Y78" s="124"/>
      <c r="Z78" s="363"/>
      <c r="AA78" s="66"/>
      <c r="AB78" s="334"/>
      <c r="AC78" s="415">
        <v>0.6</v>
      </c>
      <c r="AD78" s="126">
        <v>0.3</v>
      </c>
      <c r="AE78" s="334"/>
      <c r="AF78" s="415">
        <v>0.6</v>
      </c>
      <c r="AG78" s="126">
        <v>0.2</v>
      </c>
      <c r="AH78" s="334"/>
      <c r="AI78" s="415">
        <v>0.6</v>
      </c>
      <c r="AJ78" s="226">
        <v>0.2</v>
      </c>
      <c r="AK78" s="97">
        <f>AJ78/AI78</f>
        <v>0.33333333333333337</v>
      </c>
      <c r="AL78" s="415">
        <v>0.6</v>
      </c>
      <c r="AM78" s="416">
        <v>0.6</v>
      </c>
      <c r="AN78" s="97">
        <f>AM78/AL78</f>
        <v>1</v>
      </c>
      <c r="AO78" s="384">
        <v>0.6</v>
      </c>
      <c r="AP78" s="226">
        <v>0.36</v>
      </c>
      <c r="AQ78" s="374">
        <f>AP78/AO78</f>
        <v>0.6</v>
      </c>
      <c r="AR78" s="415">
        <v>0.6</v>
      </c>
      <c r="AS78" s="66"/>
      <c r="AT78" s="334"/>
      <c r="AU78" s="384"/>
      <c r="AV78" s="66"/>
      <c r="AW78" s="334"/>
      <c r="AX78" s="384">
        <v>0.6</v>
      </c>
      <c r="AY78" s="66"/>
      <c r="AZ78" s="334"/>
      <c r="BA78" s="384">
        <v>0.6</v>
      </c>
      <c r="BB78" s="66"/>
      <c r="BC78" s="201"/>
      <c r="BD78" s="415">
        <v>0.6</v>
      </c>
      <c r="BE78" s="66"/>
      <c r="BF78" s="334"/>
      <c r="BG78" s="384">
        <v>0.8</v>
      </c>
      <c r="BH78" s="66"/>
      <c r="BI78" s="334"/>
      <c r="BJ78" s="384">
        <v>0.8</v>
      </c>
      <c r="BK78" s="66"/>
      <c r="BL78" s="334"/>
      <c r="BM78" s="384">
        <v>0.8</v>
      </c>
      <c r="BN78" s="66"/>
      <c r="BO78" s="334"/>
      <c r="BP78" s="384"/>
      <c r="BQ78" s="66"/>
      <c r="BR78" s="334"/>
      <c r="BS78" s="384">
        <v>0.8</v>
      </c>
      <c r="BT78" s="66"/>
      <c r="BU78" s="334"/>
      <c r="BV78" s="384">
        <v>0.8</v>
      </c>
      <c r="BW78" s="66"/>
      <c r="BX78" s="334"/>
      <c r="BY78" s="384">
        <v>0.8</v>
      </c>
      <c r="BZ78" s="66"/>
      <c r="CA78" s="334"/>
      <c r="CB78" s="384">
        <v>0.8</v>
      </c>
      <c r="CC78" s="66"/>
      <c r="CD78" s="334"/>
      <c r="CE78" s="384">
        <v>0.8</v>
      </c>
      <c r="CF78" s="66"/>
      <c r="CG78" s="334"/>
      <c r="CH78" s="384">
        <v>0.8</v>
      </c>
      <c r="CI78" s="66"/>
      <c r="CJ78" s="334"/>
      <c r="CK78" s="384"/>
      <c r="CL78" s="66"/>
      <c r="CM78" s="334"/>
      <c r="CN78" s="384">
        <v>0.6</v>
      </c>
      <c r="CO78" s="66"/>
      <c r="CP78" s="334"/>
      <c r="CQ78" s="384">
        <v>0.6</v>
      </c>
      <c r="CR78" s="66"/>
      <c r="CS78" s="334"/>
      <c r="CT78" s="384"/>
      <c r="CU78" s="66"/>
      <c r="CV78" s="221"/>
      <c r="CW78" s="362"/>
    </row>
    <row r="79" spans="1:101" ht="15.75" customHeight="1" x14ac:dyDescent="0.25">
      <c r="A79" s="503"/>
      <c r="B79" s="65" t="s">
        <v>40</v>
      </c>
      <c r="C79" s="66" t="s">
        <v>41</v>
      </c>
      <c r="D79" s="66">
        <v>7</v>
      </c>
      <c r="E79" s="108">
        <f>7+O79+R79+U79+X79+AA79+AD79+AG79+AJ79+AM79+AP79+AS79+AV79+AY79+BB79+BE79+BH79+BK79+BN79+BQ79+BT79+BW79+BZ79+CC79+CF79+CI79+CL79+CO79+CR79+CU79</f>
        <v>7</v>
      </c>
      <c r="F79" s="108">
        <f t="shared" si="17"/>
        <v>0</v>
      </c>
      <c r="G79" s="227"/>
      <c r="H79" s="36">
        <f t="shared" si="77"/>
        <v>1</v>
      </c>
      <c r="I79" s="83"/>
      <c r="J79" s="74" t="s">
        <v>31</v>
      </c>
      <c r="K79" s="66"/>
      <c r="L79" s="66"/>
      <c r="M79" s="66"/>
      <c r="N79" s="417"/>
      <c r="O79" s="418"/>
      <c r="P79" s="419"/>
      <c r="Q79" s="417"/>
      <c r="R79" s="418"/>
      <c r="S79" s="420"/>
      <c r="T79" s="421"/>
      <c r="U79" s="418"/>
      <c r="V79" s="419"/>
      <c r="W79" s="422"/>
      <c r="X79" s="44"/>
      <c r="Y79" s="423"/>
      <c r="Z79" s="424"/>
      <c r="AA79" s="80"/>
      <c r="AB79" s="103"/>
      <c r="AC79" s="78"/>
      <c r="AD79" s="80"/>
      <c r="AE79" s="103"/>
      <c r="AF79" s="78"/>
      <c r="AG79" s="80"/>
      <c r="AH79" s="103"/>
      <c r="AI79" s="78"/>
      <c r="AJ79" s="80"/>
      <c r="AK79" s="103"/>
      <c r="AL79" s="78"/>
      <c r="AM79" s="80"/>
      <c r="AN79" s="103"/>
      <c r="AO79" s="82"/>
      <c r="AP79" s="80"/>
      <c r="AQ79" s="105"/>
      <c r="AR79" s="78"/>
      <c r="AS79" s="80"/>
      <c r="AT79" s="103"/>
      <c r="AU79" s="82"/>
      <c r="AV79" s="80"/>
      <c r="AW79" s="103"/>
      <c r="AX79" s="82"/>
      <c r="AY79" s="80"/>
      <c r="AZ79" s="103"/>
      <c r="BA79" s="82"/>
      <c r="BB79" s="80"/>
      <c r="BC79" s="105"/>
      <c r="BD79" s="78"/>
      <c r="BE79" s="80"/>
      <c r="BF79" s="103"/>
      <c r="BG79" s="82"/>
      <c r="BH79" s="80"/>
      <c r="BI79" s="103"/>
      <c r="BJ79" s="82"/>
      <c r="BK79" s="80"/>
      <c r="BL79" s="103"/>
      <c r="BM79" s="82"/>
      <c r="BN79" s="80"/>
      <c r="BO79" s="103"/>
      <c r="BP79" s="82"/>
      <c r="BQ79" s="80"/>
      <c r="BR79" s="103"/>
      <c r="BS79" s="82"/>
      <c r="BT79" s="80"/>
      <c r="BU79" s="103"/>
      <c r="BV79" s="82"/>
      <c r="BW79" s="80"/>
      <c r="BX79" s="103"/>
      <c r="BY79" s="82"/>
      <c r="BZ79" s="80"/>
      <c r="CA79" s="103"/>
      <c r="CB79" s="82"/>
      <c r="CC79" s="80"/>
      <c r="CD79" s="103"/>
      <c r="CE79" s="82"/>
      <c r="CF79" s="80"/>
      <c r="CG79" s="103"/>
      <c r="CH79" s="82"/>
      <c r="CI79" s="80"/>
      <c r="CJ79" s="103"/>
      <c r="CK79" s="82"/>
      <c r="CL79" s="80"/>
      <c r="CM79" s="103"/>
      <c r="CN79" s="82"/>
      <c r="CO79" s="80"/>
      <c r="CP79" s="103"/>
      <c r="CQ79" s="82"/>
      <c r="CR79" s="80"/>
      <c r="CS79" s="103"/>
      <c r="CT79" s="82"/>
      <c r="CU79" s="80"/>
      <c r="CV79" s="368"/>
      <c r="CW79" s="362"/>
    </row>
    <row r="80" spans="1:101" ht="15.75" customHeight="1" x14ac:dyDescent="0.25">
      <c r="A80" s="501" t="s">
        <v>84</v>
      </c>
      <c r="B80" s="50" t="s">
        <v>108</v>
      </c>
      <c r="C80" s="51" t="s">
        <v>18</v>
      </c>
      <c r="D80" s="52">
        <v>1</v>
      </c>
      <c r="E80" s="53">
        <f>(H81+H82)/2</f>
        <v>0.68518518518518512</v>
      </c>
      <c r="F80" s="53">
        <f t="shared" si="17"/>
        <v>0.31481481481481488</v>
      </c>
      <c r="G80" s="246"/>
      <c r="H80" s="52">
        <f>E80</f>
        <v>0.68518518518518512</v>
      </c>
      <c r="I80" s="55"/>
      <c r="J80" s="56">
        <v>42719</v>
      </c>
      <c r="K80" s="51" t="s">
        <v>34</v>
      </c>
      <c r="L80" s="51"/>
      <c r="M80" s="286"/>
      <c r="N80" s="360"/>
      <c r="O80" s="112"/>
      <c r="P80" s="359"/>
      <c r="Q80" s="360"/>
      <c r="R80" s="112"/>
      <c r="S80" s="390"/>
      <c r="T80" s="358"/>
      <c r="U80" s="112"/>
      <c r="V80" s="359"/>
      <c r="W80" s="360"/>
      <c r="X80" s="112"/>
      <c r="Y80" s="390"/>
      <c r="Z80" s="358"/>
      <c r="AA80" s="112"/>
      <c r="AB80" s="359"/>
      <c r="AC80" s="358"/>
      <c r="AD80" s="112"/>
      <c r="AE80" s="359"/>
      <c r="AF80" s="358"/>
      <c r="AG80" s="112"/>
      <c r="AH80" s="359"/>
      <c r="AI80" s="358"/>
      <c r="AJ80" s="112"/>
      <c r="AK80" s="359"/>
      <c r="AL80" s="358"/>
      <c r="AM80" s="112"/>
      <c r="AN80" s="359"/>
      <c r="AO80" s="360"/>
      <c r="AP80" s="112"/>
      <c r="AQ80" s="390"/>
      <c r="AR80" s="358"/>
      <c r="AS80" s="112"/>
      <c r="AT80" s="359"/>
      <c r="AU80" s="360"/>
      <c r="AV80" s="112"/>
      <c r="AW80" s="359"/>
      <c r="AX80" s="360"/>
      <c r="AY80" s="112"/>
      <c r="AZ80" s="359"/>
      <c r="BA80" s="360"/>
      <c r="BB80" s="112"/>
      <c r="BC80" s="390"/>
      <c r="BD80" s="358"/>
      <c r="BE80" s="112"/>
      <c r="BF80" s="359"/>
      <c r="BG80" s="360"/>
      <c r="BH80" s="112"/>
      <c r="BI80" s="359"/>
      <c r="BJ80" s="360"/>
      <c r="BK80" s="112"/>
      <c r="BL80" s="359"/>
      <c r="BM80" s="360"/>
      <c r="BN80" s="112"/>
      <c r="BO80" s="359"/>
      <c r="BP80" s="360"/>
      <c r="BQ80" s="112"/>
      <c r="BR80" s="359"/>
      <c r="BS80" s="360"/>
      <c r="BT80" s="112"/>
      <c r="BU80" s="359"/>
      <c r="BV80" s="360"/>
      <c r="BW80" s="112"/>
      <c r="BX80" s="359"/>
      <c r="BY80" s="360"/>
      <c r="BZ80" s="112"/>
      <c r="CA80" s="359"/>
      <c r="CB80" s="360"/>
      <c r="CC80" s="112"/>
      <c r="CD80" s="359"/>
      <c r="CE80" s="360"/>
      <c r="CF80" s="112"/>
      <c r="CG80" s="359"/>
      <c r="CH80" s="360"/>
      <c r="CI80" s="112"/>
      <c r="CJ80" s="359"/>
      <c r="CK80" s="360"/>
      <c r="CL80" s="112"/>
      <c r="CM80" s="359"/>
      <c r="CN80" s="360"/>
      <c r="CO80" s="112"/>
      <c r="CP80" s="359"/>
      <c r="CQ80" s="360"/>
      <c r="CR80" s="112"/>
      <c r="CS80" s="359"/>
      <c r="CT80" s="360"/>
      <c r="CU80" s="112"/>
      <c r="CV80" s="359"/>
      <c r="CW80" s="377"/>
    </row>
    <row r="81" spans="1:101" ht="15.75" customHeight="1" x14ac:dyDescent="0.25">
      <c r="A81" s="502"/>
      <c r="B81" s="75" t="s">
        <v>51</v>
      </c>
      <c r="C81" s="66" t="s">
        <v>38</v>
      </c>
      <c r="D81" s="66">
        <v>0.27</v>
      </c>
      <c r="E81" s="70">
        <f>O81+R81+U81+X81+AA81+AD81+AG81+AJ81+AM81+AP81+AS81+AV81+AY81+BB81+BE81+BH81+BK81+BN81+BQ81+BT81+BW81+BZ81+CC81+CF81+CI81+CL81+CO81+CR81+CU81</f>
        <v>0.16</v>
      </c>
      <c r="F81" s="70">
        <f t="shared" si="17"/>
        <v>0.11000000000000001</v>
      </c>
      <c r="G81" s="125">
        <v>0</v>
      </c>
      <c r="H81" s="36">
        <f t="shared" ref="H81:H82" si="78">E81/D81</f>
        <v>0.59259259259259256</v>
      </c>
      <c r="I81" s="83">
        <f t="shared" ref="I81:I82" si="79">AP81/D81</f>
        <v>0</v>
      </c>
      <c r="J81" s="425">
        <v>42472</v>
      </c>
      <c r="K81" s="66"/>
      <c r="L81" s="126">
        <v>3</v>
      </c>
      <c r="M81" s="268">
        <v>3</v>
      </c>
      <c r="N81" s="385">
        <v>0</v>
      </c>
      <c r="O81" s="164">
        <v>0</v>
      </c>
      <c r="P81" s="426">
        <v>0</v>
      </c>
      <c r="Q81" s="392">
        <v>0</v>
      </c>
      <c r="R81" s="164">
        <v>0</v>
      </c>
      <c r="S81" s="427">
        <v>0</v>
      </c>
      <c r="T81" s="385">
        <v>0</v>
      </c>
      <c r="U81" s="164">
        <v>0</v>
      </c>
      <c r="V81" s="426">
        <v>0</v>
      </c>
      <c r="W81" s="392">
        <v>0</v>
      </c>
      <c r="X81" s="164">
        <v>0</v>
      </c>
      <c r="Y81" s="427">
        <v>0</v>
      </c>
      <c r="Z81" s="385">
        <v>0</v>
      </c>
      <c r="AA81" s="164">
        <v>0</v>
      </c>
      <c r="AB81" s="426">
        <v>0</v>
      </c>
      <c r="AC81" s="428">
        <v>0.04</v>
      </c>
      <c r="AD81" s="222">
        <v>0.04</v>
      </c>
      <c r="AE81" s="429">
        <v>100</v>
      </c>
      <c r="AF81" s="428">
        <v>0.04</v>
      </c>
      <c r="AG81" s="222">
        <v>0.04</v>
      </c>
      <c r="AH81" s="371">
        <f t="shared" ref="AH81:AH82" si="80">AG81/AF81</f>
        <v>1</v>
      </c>
      <c r="AI81" s="309">
        <v>0.04</v>
      </c>
      <c r="AJ81" s="430">
        <v>0.04</v>
      </c>
      <c r="AK81" s="97">
        <f t="shared" ref="AK81:AK82" si="81">AJ81/AI81</f>
        <v>1</v>
      </c>
      <c r="AL81" s="428">
        <v>0.04</v>
      </c>
      <c r="AM81" s="431">
        <v>0.04</v>
      </c>
      <c r="AN81" s="97">
        <f t="shared" ref="AN81:AN82" si="82">AM81/AL81</f>
        <v>1</v>
      </c>
      <c r="AO81" s="432">
        <v>0.04</v>
      </c>
      <c r="AP81" s="433"/>
      <c r="AQ81" s="374">
        <f t="shared" ref="AQ81:AQ82" si="83">AP81/AO81</f>
        <v>0</v>
      </c>
      <c r="AR81" s="428">
        <v>0.04</v>
      </c>
      <c r="AS81" s="218"/>
      <c r="AT81" s="221"/>
      <c r="AU81" s="432">
        <v>0.04</v>
      </c>
      <c r="AV81" s="70"/>
      <c r="AW81" s="375"/>
      <c r="AX81" s="378"/>
      <c r="AY81" s="70"/>
      <c r="AZ81" s="375"/>
      <c r="BA81" s="378"/>
      <c r="BB81" s="70"/>
      <c r="BC81" s="376"/>
      <c r="BD81" s="409"/>
      <c r="BE81" s="70"/>
      <c r="BF81" s="375"/>
      <c r="BG81" s="378"/>
      <c r="BH81" s="70"/>
      <c r="BI81" s="375"/>
      <c r="BJ81" s="378"/>
      <c r="BK81" s="70"/>
      <c r="BL81" s="375"/>
      <c r="BM81" s="378"/>
      <c r="BN81" s="70"/>
      <c r="BO81" s="375"/>
      <c r="BP81" s="378"/>
      <c r="BQ81" s="70"/>
      <c r="BR81" s="375"/>
      <c r="BS81" s="378"/>
      <c r="BT81" s="70"/>
      <c r="BU81" s="375"/>
      <c r="BV81" s="378"/>
      <c r="BW81" s="70"/>
      <c r="BX81" s="375"/>
      <c r="BY81" s="378"/>
      <c r="BZ81" s="70"/>
      <c r="CA81" s="375"/>
      <c r="CB81" s="378"/>
      <c r="CC81" s="70"/>
      <c r="CD81" s="375"/>
      <c r="CE81" s="378"/>
      <c r="CF81" s="70"/>
      <c r="CG81" s="375"/>
      <c r="CH81" s="378"/>
      <c r="CI81" s="70"/>
      <c r="CJ81" s="375"/>
      <c r="CK81" s="378"/>
      <c r="CL81" s="70"/>
      <c r="CM81" s="375"/>
      <c r="CN81" s="378"/>
      <c r="CO81" s="70"/>
      <c r="CP81" s="375"/>
      <c r="CQ81" s="378"/>
      <c r="CR81" s="70"/>
      <c r="CS81" s="375"/>
      <c r="CT81" s="378"/>
      <c r="CU81" s="70"/>
      <c r="CV81" s="375"/>
      <c r="CW81" s="377"/>
    </row>
    <row r="82" spans="1:101" ht="15.75" customHeight="1" x14ac:dyDescent="0.25">
      <c r="A82" s="503"/>
      <c r="B82" s="75" t="s">
        <v>40</v>
      </c>
      <c r="C82" s="66" t="s">
        <v>41</v>
      </c>
      <c r="D82" s="66">
        <v>45</v>
      </c>
      <c r="E82" s="108">
        <f>7+O82+R82+U82+X82+AA82+AD82+AG82+AJ82+AM82+AP82+AS82+AV82+AY82+BB82+BE82+BH82+BK82+BN82+BQ82+BT82+BW82+BZ82+CC82+CF82+CI82+CL82+CO82+CR82+CU82</f>
        <v>35</v>
      </c>
      <c r="F82" s="108">
        <f t="shared" si="17"/>
        <v>10</v>
      </c>
      <c r="G82" s="125">
        <v>0</v>
      </c>
      <c r="H82" s="36">
        <f t="shared" si="78"/>
        <v>0.77777777777777779</v>
      </c>
      <c r="I82" s="83">
        <f t="shared" si="79"/>
        <v>0</v>
      </c>
      <c r="J82" s="425">
        <v>42472</v>
      </c>
      <c r="K82" s="66"/>
      <c r="L82" s="126"/>
      <c r="M82" s="201"/>
      <c r="N82" s="329">
        <v>0</v>
      </c>
      <c r="O82" s="330">
        <v>0</v>
      </c>
      <c r="P82" s="434">
        <v>0</v>
      </c>
      <c r="Q82" s="435">
        <v>0</v>
      </c>
      <c r="R82" s="330">
        <v>0</v>
      </c>
      <c r="S82" s="436">
        <v>0</v>
      </c>
      <c r="T82" s="329">
        <v>0</v>
      </c>
      <c r="U82" s="330">
        <v>0</v>
      </c>
      <c r="V82" s="434">
        <v>0</v>
      </c>
      <c r="W82" s="308">
        <v>0</v>
      </c>
      <c r="X82" s="282">
        <v>0</v>
      </c>
      <c r="Y82" s="336">
        <v>0</v>
      </c>
      <c r="Z82" s="303">
        <v>0</v>
      </c>
      <c r="AA82" s="282">
        <v>0</v>
      </c>
      <c r="AB82" s="335">
        <v>0</v>
      </c>
      <c r="AC82" s="78">
        <v>7</v>
      </c>
      <c r="AD82" s="84">
        <v>7</v>
      </c>
      <c r="AE82" s="81">
        <v>7</v>
      </c>
      <c r="AF82" s="78">
        <v>7</v>
      </c>
      <c r="AG82" s="84">
        <v>7</v>
      </c>
      <c r="AH82" s="371">
        <f t="shared" si="80"/>
        <v>1</v>
      </c>
      <c r="AI82" s="80">
        <v>7</v>
      </c>
      <c r="AJ82" s="437">
        <v>7</v>
      </c>
      <c r="AK82" s="97">
        <f t="shared" si="81"/>
        <v>1</v>
      </c>
      <c r="AL82" s="78">
        <v>7</v>
      </c>
      <c r="AM82" s="438">
        <v>7</v>
      </c>
      <c r="AN82" s="97">
        <f t="shared" si="82"/>
        <v>1</v>
      </c>
      <c r="AO82" s="82">
        <v>7</v>
      </c>
      <c r="AP82" s="439"/>
      <c r="AQ82" s="374">
        <f t="shared" si="83"/>
        <v>0</v>
      </c>
      <c r="AR82" s="78">
        <v>7</v>
      </c>
      <c r="AS82" s="80"/>
      <c r="AT82" s="103"/>
      <c r="AU82" s="82">
        <v>5</v>
      </c>
      <c r="AV82" s="290"/>
      <c r="AW82" s="292"/>
      <c r="AX82" s="314"/>
      <c r="AY82" s="290"/>
      <c r="AZ82" s="292"/>
      <c r="BA82" s="314"/>
      <c r="BB82" s="290"/>
      <c r="BC82" s="287"/>
      <c r="BD82" s="88"/>
      <c r="BE82" s="290"/>
      <c r="BF82" s="292"/>
      <c r="BG82" s="314"/>
      <c r="BH82" s="290"/>
      <c r="BI82" s="292"/>
      <c r="BJ82" s="314"/>
      <c r="BK82" s="290"/>
      <c r="BL82" s="292"/>
      <c r="BM82" s="314"/>
      <c r="BN82" s="290"/>
      <c r="BO82" s="292"/>
      <c r="BP82" s="314"/>
      <c r="BQ82" s="290"/>
      <c r="BR82" s="292"/>
      <c r="BS82" s="314"/>
      <c r="BT82" s="290"/>
      <c r="BU82" s="292"/>
      <c r="BV82" s="314"/>
      <c r="BW82" s="290"/>
      <c r="BX82" s="292"/>
      <c r="BY82" s="314"/>
      <c r="BZ82" s="290"/>
      <c r="CA82" s="292"/>
      <c r="CB82" s="314"/>
      <c r="CC82" s="290"/>
      <c r="CD82" s="292"/>
      <c r="CE82" s="314"/>
      <c r="CF82" s="290"/>
      <c r="CG82" s="292"/>
      <c r="CH82" s="314"/>
      <c r="CI82" s="290"/>
      <c r="CJ82" s="292"/>
      <c r="CK82" s="314"/>
      <c r="CL82" s="290"/>
      <c r="CM82" s="292"/>
      <c r="CN82" s="314"/>
      <c r="CO82" s="290"/>
      <c r="CP82" s="292"/>
      <c r="CQ82" s="314"/>
      <c r="CR82" s="290"/>
      <c r="CS82" s="292"/>
      <c r="CT82" s="314"/>
      <c r="CU82" s="290"/>
      <c r="CV82" s="292"/>
      <c r="CW82" s="314"/>
    </row>
    <row r="83" spans="1:101" ht="15.75" customHeight="1" x14ac:dyDescent="0.25">
      <c r="A83" s="501" t="s">
        <v>85</v>
      </c>
      <c r="B83" s="111" t="s">
        <v>110</v>
      </c>
      <c r="C83" s="51" t="s">
        <v>18</v>
      </c>
      <c r="D83" s="52">
        <v>1</v>
      </c>
      <c r="E83" s="53">
        <f>(H84+H85)/2</f>
        <v>0.19687499999999999</v>
      </c>
      <c r="F83" s="53">
        <f t="shared" si="17"/>
        <v>0.80312499999999998</v>
      </c>
      <c r="G83" s="246"/>
      <c r="H83" s="52">
        <f>E83</f>
        <v>0.19687499999999999</v>
      </c>
      <c r="I83" s="55"/>
      <c r="J83" s="56">
        <v>42719</v>
      </c>
      <c r="K83" s="51" t="s">
        <v>34</v>
      </c>
      <c r="L83" s="51"/>
      <c r="M83" s="286"/>
      <c r="N83" s="440"/>
      <c r="O83" s="138"/>
      <c r="P83" s="324"/>
      <c r="Q83" s="325"/>
      <c r="R83" s="138"/>
      <c r="S83" s="326"/>
      <c r="T83" s="327"/>
      <c r="U83" s="138"/>
      <c r="V83" s="324"/>
      <c r="W83" s="325"/>
      <c r="X83" s="138"/>
      <c r="Y83" s="326"/>
      <c r="Z83" s="327"/>
      <c r="AA83" s="138"/>
      <c r="AB83" s="324"/>
      <c r="AC83" s="327"/>
      <c r="AD83" s="138"/>
      <c r="AE83" s="324"/>
      <c r="AF83" s="327"/>
      <c r="AG83" s="138"/>
      <c r="AH83" s="324"/>
      <c r="AI83" s="327"/>
      <c r="AJ83" s="441"/>
      <c r="AK83" s="442"/>
      <c r="AL83" s="443"/>
      <c r="AM83" s="441"/>
      <c r="AN83" s="444"/>
      <c r="AO83" s="319"/>
      <c r="AP83" s="441"/>
      <c r="AQ83" s="445"/>
      <c r="AR83" s="443"/>
      <c r="AS83" s="441"/>
      <c r="AT83" s="442"/>
      <c r="AU83" s="446"/>
      <c r="AV83" s="441"/>
      <c r="AW83" s="442"/>
      <c r="AX83" s="446"/>
      <c r="AY83" s="441"/>
      <c r="AZ83" s="442"/>
      <c r="BA83" s="446"/>
      <c r="BB83" s="441"/>
      <c r="BC83" s="445"/>
      <c r="BD83" s="443"/>
      <c r="BE83" s="441"/>
      <c r="BF83" s="442"/>
      <c r="BG83" s="446"/>
      <c r="BH83" s="441"/>
      <c r="BI83" s="442"/>
      <c r="BJ83" s="446"/>
      <c r="BK83" s="441"/>
      <c r="BL83" s="442"/>
      <c r="BM83" s="446"/>
      <c r="BN83" s="441"/>
      <c r="BO83" s="442"/>
      <c r="BP83" s="446"/>
      <c r="BQ83" s="441"/>
      <c r="BR83" s="442"/>
      <c r="BS83" s="446"/>
      <c r="BT83" s="441"/>
      <c r="BU83" s="442"/>
      <c r="BV83" s="446"/>
      <c r="BW83" s="441"/>
      <c r="BX83" s="442"/>
      <c r="BY83" s="446"/>
      <c r="BZ83" s="441"/>
      <c r="CA83" s="442"/>
      <c r="CB83" s="446"/>
      <c r="CC83" s="441"/>
      <c r="CD83" s="442"/>
      <c r="CE83" s="446"/>
      <c r="CF83" s="441"/>
      <c r="CG83" s="442"/>
      <c r="CH83" s="446"/>
      <c r="CI83" s="441"/>
      <c r="CJ83" s="442"/>
      <c r="CK83" s="446"/>
      <c r="CL83" s="441"/>
      <c r="CM83" s="442"/>
      <c r="CN83" s="446"/>
      <c r="CO83" s="441"/>
      <c r="CP83" s="442"/>
      <c r="CQ83" s="446"/>
      <c r="CR83" s="441"/>
      <c r="CS83" s="442"/>
      <c r="CT83" s="446"/>
      <c r="CU83" s="441"/>
      <c r="CV83" s="442"/>
      <c r="CW83" s="446"/>
    </row>
    <row r="84" spans="1:101" ht="15.75" customHeight="1" x14ac:dyDescent="0.25">
      <c r="A84" s="502"/>
      <c r="B84" s="65" t="s">
        <v>96</v>
      </c>
      <c r="C84" s="66" t="s">
        <v>38</v>
      </c>
      <c r="D84" s="66">
        <v>0.24</v>
      </c>
      <c r="E84" s="70">
        <f>R84+U84+X84+AA84+AD84+AG84+AJ84+AM84+AP84+AS84+AV84+AY84+BB84+BE84+BH84+BK84+BN84+BQ84+BT84+BW84+BZ84+CC84+CF84+CI84+CL84+CO84+CR84+CU84</f>
        <v>0</v>
      </c>
      <c r="F84" s="70">
        <f t="shared" si="17"/>
        <v>0.24</v>
      </c>
      <c r="G84" s="125">
        <v>1</v>
      </c>
      <c r="H84" s="36">
        <f t="shared" ref="H84:H86" si="84">E84/D84</f>
        <v>0</v>
      </c>
      <c r="I84" s="83"/>
      <c r="J84" s="425" t="s">
        <v>112</v>
      </c>
      <c r="K84" s="66"/>
      <c r="L84" s="241"/>
      <c r="M84" s="447"/>
      <c r="N84" s="78">
        <v>0</v>
      </c>
      <c r="O84" s="80">
        <v>0</v>
      </c>
      <c r="P84" s="103"/>
      <c r="Q84" s="82">
        <v>0</v>
      </c>
      <c r="R84" s="80">
        <v>0</v>
      </c>
      <c r="S84" s="105">
        <v>0</v>
      </c>
      <c r="T84" s="78">
        <v>0</v>
      </c>
      <c r="U84" s="80">
        <v>0</v>
      </c>
      <c r="V84" s="103">
        <v>0</v>
      </c>
      <c r="W84" s="78">
        <v>0</v>
      </c>
      <c r="X84" s="84">
        <v>0</v>
      </c>
      <c r="Y84" s="86">
        <v>0</v>
      </c>
      <c r="Z84" s="78">
        <v>0</v>
      </c>
      <c r="AA84" s="84">
        <v>0</v>
      </c>
      <c r="AB84" s="81">
        <v>0</v>
      </c>
      <c r="AC84" s="78">
        <v>0</v>
      </c>
      <c r="AD84" s="84">
        <v>0</v>
      </c>
      <c r="AE84" s="81">
        <v>0</v>
      </c>
      <c r="AF84" s="78">
        <v>0</v>
      </c>
      <c r="AG84" s="84">
        <v>0</v>
      </c>
      <c r="AH84" s="86">
        <v>0</v>
      </c>
      <c r="AI84" s="80"/>
      <c r="AJ84" s="80"/>
      <c r="AK84" s="97"/>
      <c r="AL84" s="78"/>
      <c r="AM84" s="448"/>
      <c r="AN84" s="449">
        <v>0</v>
      </c>
      <c r="AO84" s="78">
        <v>0</v>
      </c>
      <c r="AP84" s="380"/>
      <c r="AQ84" s="450"/>
      <c r="AR84" s="78">
        <v>0</v>
      </c>
      <c r="AS84" s="380"/>
      <c r="AT84" s="382"/>
      <c r="AU84" s="78">
        <v>0</v>
      </c>
      <c r="AV84" s="380"/>
      <c r="AW84" s="382"/>
      <c r="AX84" s="78">
        <v>0</v>
      </c>
      <c r="AY84" s="380"/>
      <c r="AZ84" s="382"/>
      <c r="BA84" s="78">
        <v>0</v>
      </c>
      <c r="BB84" s="380"/>
      <c r="BC84" s="450"/>
      <c r="BD84" s="78">
        <v>0</v>
      </c>
      <c r="BE84" s="380"/>
      <c r="BF84" s="382"/>
      <c r="BG84" s="78">
        <v>0</v>
      </c>
      <c r="BH84" s="380"/>
      <c r="BI84" s="382"/>
      <c r="BJ84" s="78">
        <v>0</v>
      </c>
      <c r="BK84" s="380"/>
      <c r="BL84" s="382"/>
      <c r="BM84" s="78">
        <v>0</v>
      </c>
      <c r="BN84" s="380"/>
      <c r="BO84" s="382"/>
      <c r="BP84" s="383">
        <v>0.05</v>
      </c>
      <c r="BQ84" s="380"/>
      <c r="BR84" s="382"/>
      <c r="BS84" s="383">
        <v>0.05</v>
      </c>
      <c r="BT84" s="380"/>
      <c r="BU84" s="382"/>
      <c r="BV84" s="383">
        <v>0.05</v>
      </c>
      <c r="BW84" s="380"/>
      <c r="BX84" s="382"/>
      <c r="BY84" s="383">
        <v>0.05</v>
      </c>
      <c r="BZ84" s="380"/>
      <c r="CA84" s="382"/>
      <c r="CB84" s="383">
        <v>0.04</v>
      </c>
      <c r="CC84" s="380"/>
      <c r="CD84" s="382"/>
      <c r="CE84" s="383"/>
      <c r="CF84" s="380"/>
      <c r="CG84" s="382"/>
      <c r="CH84" s="383"/>
      <c r="CI84" s="380"/>
      <c r="CJ84" s="382"/>
      <c r="CK84" s="383"/>
      <c r="CL84" s="380"/>
      <c r="CM84" s="382"/>
      <c r="CN84" s="383"/>
      <c r="CO84" s="380"/>
      <c r="CP84" s="382"/>
      <c r="CQ84" s="383"/>
      <c r="CR84" s="380"/>
      <c r="CS84" s="382"/>
      <c r="CT84" s="383"/>
      <c r="CU84" s="380"/>
      <c r="CV84" s="382"/>
      <c r="CW84" s="451"/>
    </row>
    <row r="85" spans="1:101" ht="15.75" customHeight="1" x14ac:dyDescent="0.25">
      <c r="A85" s="502"/>
      <c r="B85" s="65" t="s">
        <v>44</v>
      </c>
      <c r="C85" s="66" t="s">
        <v>38</v>
      </c>
      <c r="D85" s="66">
        <v>0.32</v>
      </c>
      <c r="E85" s="70">
        <f t="shared" ref="E85:E86" si="85">O85+R85+U85+X85+AA85+AD85+AG85+AJ85+AM85+AP85+AS85+AV85+AY85+BB85+BE85+BH85+BK85+BN85+BQ85+BT85+BW85+BZ85+CC85+CF85+CI85+CL85+CO85+CR85+CU85</f>
        <v>0.126</v>
      </c>
      <c r="F85" s="70">
        <f t="shared" si="17"/>
        <v>0.19400000000000001</v>
      </c>
      <c r="G85" s="125">
        <v>1</v>
      </c>
      <c r="H85" s="36">
        <f t="shared" si="84"/>
        <v>0.39374999999999999</v>
      </c>
      <c r="I85" s="83"/>
      <c r="J85" s="425">
        <v>42708</v>
      </c>
      <c r="K85" s="66"/>
      <c r="L85" s="241">
        <v>4</v>
      </c>
      <c r="M85" s="241"/>
      <c r="N85" s="82">
        <v>9.6000000000000002E-2</v>
      </c>
      <c r="O85" s="80">
        <v>9.6000000000000002E-2</v>
      </c>
      <c r="P85" s="97">
        <f t="shared" ref="P85:P86" si="86">O85/N85</f>
        <v>1</v>
      </c>
      <c r="Q85" s="82">
        <v>0</v>
      </c>
      <c r="R85" s="80">
        <v>0</v>
      </c>
      <c r="S85" s="105">
        <v>0</v>
      </c>
      <c r="T85" s="78">
        <v>0.03</v>
      </c>
      <c r="U85" s="80">
        <v>0.03</v>
      </c>
      <c r="V85" s="103">
        <v>100</v>
      </c>
      <c r="W85" s="82">
        <v>0</v>
      </c>
      <c r="X85" s="84">
        <v>0</v>
      </c>
      <c r="Y85" s="86">
        <v>0</v>
      </c>
      <c r="Z85" s="78">
        <v>0</v>
      </c>
      <c r="AA85" s="84">
        <v>0</v>
      </c>
      <c r="AB85" s="81">
        <v>0</v>
      </c>
      <c r="AC85" s="78">
        <v>0</v>
      </c>
      <c r="AD85" s="84">
        <v>0</v>
      </c>
      <c r="AE85" s="81">
        <v>0</v>
      </c>
      <c r="AF85" s="78">
        <v>0</v>
      </c>
      <c r="AG85" s="84">
        <v>0</v>
      </c>
      <c r="AH85" s="81">
        <v>0</v>
      </c>
      <c r="AI85" s="78"/>
      <c r="AJ85" s="80"/>
      <c r="AK85" s="97"/>
      <c r="AL85" s="452"/>
      <c r="AM85" s="448"/>
      <c r="AN85" s="449">
        <v>0</v>
      </c>
      <c r="AO85" s="399">
        <v>0</v>
      </c>
      <c r="AP85" s="380"/>
      <c r="AQ85" s="450"/>
      <c r="AR85" s="452">
        <v>0.02</v>
      </c>
      <c r="AS85" s="380"/>
      <c r="AT85" s="382"/>
      <c r="AU85" s="383">
        <v>0.01</v>
      </c>
      <c r="AV85" s="380"/>
      <c r="AW85" s="382"/>
      <c r="AX85" s="383"/>
      <c r="AY85" s="380"/>
      <c r="AZ85" s="382"/>
      <c r="BA85" s="383"/>
      <c r="BB85" s="380"/>
      <c r="BC85" s="450"/>
      <c r="BD85" s="452"/>
      <c r="BE85" s="380"/>
      <c r="BF85" s="382"/>
      <c r="BG85" s="383"/>
      <c r="BH85" s="380"/>
      <c r="BI85" s="382"/>
      <c r="BJ85" s="383"/>
      <c r="BK85" s="380"/>
      <c r="BL85" s="382"/>
      <c r="BM85" s="383"/>
      <c r="BN85" s="380"/>
      <c r="BO85" s="382"/>
      <c r="BP85" s="383"/>
      <c r="BQ85" s="380"/>
      <c r="BR85" s="382"/>
      <c r="BS85" s="383"/>
      <c r="BT85" s="380"/>
      <c r="BU85" s="382"/>
      <c r="BV85" s="383"/>
      <c r="BW85" s="380"/>
      <c r="BX85" s="382"/>
      <c r="BY85" s="383"/>
      <c r="BZ85" s="380"/>
      <c r="CA85" s="382"/>
      <c r="CB85" s="383"/>
      <c r="CC85" s="380"/>
      <c r="CD85" s="382"/>
      <c r="CE85" s="383"/>
      <c r="CF85" s="380"/>
      <c r="CG85" s="382"/>
      <c r="CH85" s="383"/>
      <c r="CI85" s="380"/>
      <c r="CJ85" s="382"/>
      <c r="CK85" s="383"/>
      <c r="CL85" s="380"/>
      <c r="CM85" s="382"/>
      <c r="CN85" s="383"/>
      <c r="CO85" s="380"/>
      <c r="CP85" s="382"/>
      <c r="CQ85" s="383"/>
      <c r="CR85" s="380"/>
      <c r="CS85" s="382"/>
      <c r="CT85" s="383"/>
      <c r="CU85" s="380"/>
      <c r="CV85" s="382"/>
      <c r="CW85" s="451"/>
    </row>
    <row r="86" spans="1:101" ht="15.75" customHeight="1" x14ac:dyDescent="0.25">
      <c r="A86" s="503"/>
      <c r="B86" s="65" t="s">
        <v>42</v>
      </c>
      <c r="C86" s="66" t="s">
        <v>41</v>
      </c>
      <c r="D86" s="66">
        <v>78</v>
      </c>
      <c r="E86" s="66">
        <f t="shared" si="85"/>
        <v>27</v>
      </c>
      <c r="F86" s="66">
        <f t="shared" si="17"/>
        <v>51</v>
      </c>
      <c r="G86" s="36">
        <v>1</v>
      </c>
      <c r="H86" s="36">
        <f t="shared" si="84"/>
        <v>0.34615384615384615</v>
      </c>
      <c r="I86" s="83"/>
      <c r="J86" s="425">
        <v>42705</v>
      </c>
      <c r="K86" s="66"/>
      <c r="L86" s="126">
        <v>4</v>
      </c>
      <c r="M86" s="268">
        <v>4</v>
      </c>
      <c r="N86" s="78">
        <v>3</v>
      </c>
      <c r="O86" s="80">
        <v>3</v>
      </c>
      <c r="P86" s="97">
        <f t="shared" si="86"/>
        <v>1</v>
      </c>
      <c r="Q86" s="78">
        <v>3</v>
      </c>
      <c r="R86" s="80">
        <v>3</v>
      </c>
      <c r="S86" s="103">
        <v>100</v>
      </c>
      <c r="T86" s="78">
        <v>3</v>
      </c>
      <c r="U86" s="80">
        <v>3</v>
      </c>
      <c r="V86" s="103">
        <v>100</v>
      </c>
      <c r="W86" s="82">
        <v>3</v>
      </c>
      <c r="X86" s="84">
        <v>3</v>
      </c>
      <c r="Y86" s="86">
        <v>100</v>
      </c>
      <c r="Z86" s="78">
        <v>3</v>
      </c>
      <c r="AA86" s="84">
        <v>3</v>
      </c>
      <c r="AB86" s="81">
        <v>100</v>
      </c>
      <c r="AC86" s="78">
        <v>3</v>
      </c>
      <c r="AD86" s="84">
        <v>3</v>
      </c>
      <c r="AE86" s="81">
        <v>100</v>
      </c>
      <c r="AF86" s="78">
        <v>3</v>
      </c>
      <c r="AG86" s="84">
        <v>3</v>
      </c>
      <c r="AH86" s="371">
        <f>AG86/AF86</f>
        <v>1</v>
      </c>
      <c r="AI86" s="78">
        <v>3</v>
      </c>
      <c r="AJ86" s="437">
        <v>3</v>
      </c>
      <c r="AK86" s="97">
        <f>AJ86/AI86</f>
        <v>1</v>
      </c>
      <c r="AL86" s="452">
        <v>3</v>
      </c>
      <c r="AM86" s="453">
        <v>3</v>
      </c>
      <c r="AN86" s="97">
        <f>AM86/AL86</f>
        <v>1</v>
      </c>
      <c r="AO86" s="399"/>
      <c r="AP86" s="380"/>
      <c r="AQ86" s="450"/>
      <c r="AR86" s="452"/>
      <c r="AS86" s="380"/>
      <c r="AT86" s="382"/>
      <c r="AU86" s="383"/>
      <c r="AV86" s="380"/>
      <c r="AW86" s="382"/>
      <c r="AX86" s="383"/>
      <c r="AY86" s="380"/>
      <c r="AZ86" s="382"/>
      <c r="BA86" s="383"/>
      <c r="BB86" s="380"/>
      <c r="BC86" s="450"/>
      <c r="BD86" s="452"/>
      <c r="BE86" s="380"/>
      <c r="BF86" s="382"/>
      <c r="BG86" s="383"/>
      <c r="BH86" s="380"/>
      <c r="BI86" s="382"/>
      <c r="BJ86" s="383"/>
      <c r="BK86" s="380"/>
      <c r="BL86" s="382"/>
      <c r="BM86" s="383"/>
      <c r="BN86" s="380"/>
      <c r="BO86" s="382"/>
      <c r="BP86" s="383"/>
      <c r="BQ86" s="380"/>
      <c r="BR86" s="382"/>
      <c r="BS86" s="383"/>
      <c r="BT86" s="380"/>
      <c r="BU86" s="382"/>
      <c r="BV86" s="383"/>
      <c r="BW86" s="380"/>
      <c r="BX86" s="382"/>
      <c r="BY86" s="383"/>
      <c r="BZ86" s="380"/>
      <c r="CA86" s="382"/>
      <c r="CB86" s="383"/>
      <c r="CC86" s="380"/>
      <c r="CD86" s="382"/>
      <c r="CE86" s="383"/>
      <c r="CF86" s="380"/>
      <c r="CG86" s="382"/>
      <c r="CH86" s="383"/>
      <c r="CI86" s="380"/>
      <c r="CJ86" s="382"/>
      <c r="CK86" s="383"/>
      <c r="CL86" s="380"/>
      <c r="CM86" s="382"/>
      <c r="CN86" s="383"/>
      <c r="CO86" s="380"/>
      <c r="CP86" s="382"/>
      <c r="CQ86" s="383"/>
      <c r="CR86" s="380"/>
      <c r="CS86" s="382"/>
      <c r="CT86" s="383"/>
      <c r="CU86" s="380"/>
      <c r="CV86" s="382"/>
      <c r="CW86" s="451"/>
    </row>
    <row r="87" spans="1:101" ht="15.75" customHeight="1" x14ac:dyDescent="0.25">
      <c r="A87" s="501" t="s">
        <v>86</v>
      </c>
      <c r="B87" s="111" t="s">
        <v>115</v>
      </c>
      <c r="C87" s="51" t="s">
        <v>18</v>
      </c>
      <c r="D87" s="52">
        <v>1</v>
      </c>
      <c r="E87" s="53">
        <f>H88</f>
        <v>1</v>
      </c>
      <c r="F87" s="53">
        <f t="shared" si="17"/>
        <v>0</v>
      </c>
      <c r="G87" s="246"/>
      <c r="H87" s="52">
        <f>E87</f>
        <v>1</v>
      </c>
      <c r="I87" s="55"/>
      <c r="J87" s="56"/>
      <c r="K87" s="51" t="s">
        <v>34</v>
      </c>
      <c r="L87" s="51"/>
      <c r="M87" s="286"/>
      <c r="N87" s="440"/>
      <c r="O87" s="138"/>
      <c r="P87" s="324"/>
      <c r="Q87" s="325"/>
      <c r="R87" s="325"/>
      <c r="S87" s="326"/>
      <c r="T87" s="327"/>
      <c r="U87" s="138"/>
      <c r="V87" s="324"/>
      <c r="W87" s="325"/>
      <c r="X87" s="138"/>
      <c r="Y87" s="326"/>
      <c r="Z87" s="327"/>
      <c r="AA87" s="138"/>
      <c r="AB87" s="324"/>
      <c r="AC87" s="327"/>
      <c r="AD87" s="138"/>
      <c r="AE87" s="324"/>
      <c r="AF87" s="327"/>
      <c r="AG87" s="138"/>
      <c r="AH87" s="324"/>
      <c r="AI87" s="327"/>
      <c r="AJ87" s="441"/>
      <c r="AK87" s="442"/>
      <c r="AL87" s="443"/>
      <c r="AM87" s="441"/>
      <c r="AN87" s="442"/>
      <c r="AO87" s="319"/>
      <c r="AP87" s="441"/>
      <c r="AQ87" s="445"/>
      <c r="AR87" s="443"/>
      <c r="AS87" s="441"/>
      <c r="AT87" s="442"/>
      <c r="AU87" s="446"/>
      <c r="AV87" s="441"/>
      <c r="AW87" s="442"/>
      <c r="AX87" s="446"/>
      <c r="AY87" s="441"/>
      <c r="AZ87" s="442"/>
      <c r="BA87" s="446"/>
      <c r="BB87" s="441"/>
      <c r="BC87" s="445"/>
      <c r="BD87" s="443"/>
      <c r="BE87" s="441"/>
      <c r="BF87" s="442"/>
      <c r="BG87" s="446"/>
      <c r="BH87" s="441"/>
      <c r="BI87" s="442"/>
      <c r="BJ87" s="446"/>
      <c r="BK87" s="441"/>
      <c r="BL87" s="442"/>
      <c r="BM87" s="446"/>
      <c r="BN87" s="441"/>
      <c r="BO87" s="442"/>
      <c r="BP87" s="446"/>
      <c r="BQ87" s="441"/>
      <c r="BR87" s="442"/>
      <c r="BS87" s="446"/>
      <c r="BT87" s="441"/>
      <c r="BU87" s="442"/>
      <c r="BV87" s="446"/>
      <c r="BW87" s="441"/>
      <c r="BX87" s="442"/>
      <c r="BY87" s="446"/>
      <c r="BZ87" s="441"/>
      <c r="CA87" s="442"/>
      <c r="CB87" s="446"/>
      <c r="CC87" s="441"/>
      <c r="CD87" s="442"/>
      <c r="CE87" s="446"/>
      <c r="CF87" s="441"/>
      <c r="CG87" s="442"/>
      <c r="CH87" s="446"/>
      <c r="CI87" s="441"/>
      <c r="CJ87" s="442"/>
      <c r="CK87" s="446"/>
      <c r="CL87" s="441"/>
      <c r="CM87" s="442"/>
      <c r="CN87" s="446"/>
      <c r="CO87" s="441"/>
      <c r="CP87" s="442"/>
      <c r="CQ87" s="446"/>
      <c r="CR87" s="441"/>
      <c r="CS87" s="442"/>
      <c r="CT87" s="446"/>
      <c r="CU87" s="441"/>
      <c r="CV87" s="442"/>
      <c r="CW87" s="446"/>
    </row>
    <row r="88" spans="1:101" ht="15.75" customHeight="1" x14ac:dyDescent="0.25">
      <c r="A88" s="502"/>
      <c r="B88" s="65" t="s">
        <v>51</v>
      </c>
      <c r="C88" s="66" t="s">
        <v>38</v>
      </c>
      <c r="D88" s="70">
        <v>0.53</v>
      </c>
      <c r="E88" s="70">
        <f>0.525+O88+R88+U88+X88+AA88+AD88+AG88+AJ88+AM88+AP88+AS88+AV88+AY88+BB88+BE88+BH88+BK88+BN88+BQ88+BT88+BW88+BZ88+CC88+CF88+CI88+CL88+CO88+CR88+CU88</f>
        <v>0.53</v>
      </c>
      <c r="F88" s="70">
        <f t="shared" si="17"/>
        <v>0</v>
      </c>
      <c r="G88" s="125">
        <v>1</v>
      </c>
      <c r="H88" s="36">
        <f t="shared" ref="H88:H90" si="87">E88/D88</f>
        <v>1</v>
      </c>
      <c r="I88" s="83"/>
      <c r="J88" s="74" t="s">
        <v>31</v>
      </c>
      <c r="K88" s="66"/>
      <c r="L88" s="66"/>
      <c r="M88" s="201"/>
      <c r="N88" s="78">
        <v>0</v>
      </c>
      <c r="O88" s="80">
        <v>0</v>
      </c>
      <c r="P88" s="103">
        <v>0</v>
      </c>
      <c r="Q88" s="82">
        <v>0</v>
      </c>
      <c r="R88" s="80">
        <v>0</v>
      </c>
      <c r="S88" s="105">
        <v>0</v>
      </c>
      <c r="T88" s="78">
        <v>2E-3</v>
      </c>
      <c r="U88" s="78">
        <v>2E-3</v>
      </c>
      <c r="V88" s="103">
        <v>100</v>
      </c>
      <c r="W88" s="78">
        <v>2E-3</v>
      </c>
      <c r="X88" s="78">
        <v>2E-3</v>
      </c>
      <c r="Y88" s="86">
        <v>100</v>
      </c>
      <c r="Z88" s="78">
        <v>1E-3</v>
      </c>
      <c r="AA88" s="78">
        <v>1E-3</v>
      </c>
      <c r="AB88" s="81">
        <v>100</v>
      </c>
      <c r="AC88" s="78"/>
      <c r="AD88" s="80"/>
      <c r="AE88" s="103"/>
      <c r="AF88" s="78"/>
      <c r="AG88" s="80"/>
      <c r="AH88" s="103"/>
      <c r="AI88" s="78"/>
      <c r="AJ88" s="380"/>
      <c r="AK88" s="382"/>
      <c r="AL88" s="452"/>
      <c r="AM88" s="380"/>
      <c r="AN88" s="382"/>
      <c r="AO88" s="399"/>
      <c r="AP88" s="380"/>
      <c r="AQ88" s="450"/>
      <c r="AR88" s="452"/>
      <c r="AS88" s="380"/>
      <c r="AT88" s="382"/>
      <c r="AU88" s="383"/>
      <c r="AV88" s="380"/>
      <c r="AW88" s="382"/>
      <c r="AX88" s="383"/>
      <c r="AY88" s="380"/>
      <c r="AZ88" s="382"/>
      <c r="BA88" s="383"/>
      <c r="BB88" s="380"/>
      <c r="BC88" s="450"/>
      <c r="BD88" s="452"/>
      <c r="BE88" s="380"/>
      <c r="BF88" s="382"/>
      <c r="BG88" s="383"/>
      <c r="BH88" s="380"/>
      <c r="BI88" s="382"/>
      <c r="BJ88" s="383"/>
      <c r="BK88" s="380"/>
      <c r="BL88" s="382"/>
      <c r="BM88" s="383"/>
      <c r="BN88" s="380"/>
      <c r="BO88" s="382"/>
      <c r="BP88" s="383"/>
      <c r="BQ88" s="380"/>
      <c r="BR88" s="382"/>
      <c r="BS88" s="383"/>
      <c r="BT88" s="380"/>
      <c r="BU88" s="382"/>
      <c r="BV88" s="383"/>
      <c r="BW88" s="380"/>
      <c r="BX88" s="382"/>
      <c r="BY88" s="383"/>
      <c r="BZ88" s="380"/>
      <c r="CA88" s="382"/>
      <c r="CB88" s="383"/>
      <c r="CC88" s="380"/>
      <c r="CD88" s="382"/>
      <c r="CE88" s="383"/>
      <c r="CF88" s="380"/>
      <c r="CG88" s="382"/>
      <c r="CH88" s="383"/>
      <c r="CI88" s="380"/>
      <c r="CJ88" s="382"/>
      <c r="CK88" s="383"/>
      <c r="CL88" s="380"/>
      <c r="CM88" s="382"/>
      <c r="CN88" s="383"/>
      <c r="CO88" s="380"/>
      <c r="CP88" s="382"/>
      <c r="CQ88" s="383"/>
      <c r="CR88" s="380"/>
      <c r="CS88" s="382"/>
      <c r="CT88" s="383"/>
      <c r="CU88" s="380"/>
      <c r="CV88" s="382"/>
      <c r="CW88" s="451"/>
    </row>
    <row r="89" spans="1:101" ht="15.75" hidden="1" customHeight="1" x14ac:dyDescent="0.25">
      <c r="A89" s="502"/>
      <c r="B89" s="65" t="s">
        <v>39</v>
      </c>
      <c r="C89" s="66" t="s">
        <v>38</v>
      </c>
      <c r="D89" s="70">
        <v>0</v>
      </c>
      <c r="E89" s="70">
        <f t="shared" ref="E89:E90" si="88">O89+R89+U89+X89+AA89+AD89+AG89+AJ89+AM89+AP89+AS89+AV89+AY89+BB89+BE89+BH89+BK89+BN89+BQ89+BT89+BW89+BZ89+CC89+CF89+CI89+CL89+CO89+CR89+CU89</f>
        <v>0</v>
      </c>
      <c r="F89" s="70">
        <f t="shared" si="17"/>
        <v>0</v>
      </c>
      <c r="G89" s="125">
        <v>0</v>
      </c>
      <c r="H89" s="36" t="e">
        <f t="shared" si="87"/>
        <v>#DIV/0!</v>
      </c>
      <c r="I89" s="83"/>
      <c r="J89" s="74"/>
      <c r="K89" s="66"/>
      <c r="L89" s="66"/>
      <c r="M89" s="201"/>
      <c r="N89" s="78"/>
      <c r="O89" s="80"/>
      <c r="P89" s="103"/>
      <c r="Q89" s="82"/>
      <c r="R89" s="80"/>
      <c r="S89" s="105"/>
      <c r="T89" s="78"/>
      <c r="U89" s="80"/>
      <c r="V89" s="103"/>
      <c r="W89" s="82"/>
      <c r="X89" s="80"/>
      <c r="Y89" s="105"/>
      <c r="Z89" s="78"/>
      <c r="AA89" s="80"/>
      <c r="AB89" s="103"/>
      <c r="AC89" s="78"/>
      <c r="AD89" s="80"/>
      <c r="AE89" s="103"/>
      <c r="AF89" s="78"/>
      <c r="AG89" s="80"/>
      <c r="AH89" s="103"/>
      <c r="AI89" s="78"/>
      <c r="AJ89" s="380"/>
      <c r="AK89" s="382"/>
      <c r="AL89" s="452"/>
      <c r="AM89" s="380"/>
      <c r="AN89" s="382"/>
      <c r="AO89" s="399"/>
      <c r="AP89" s="380"/>
      <c r="AQ89" s="450"/>
      <c r="AR89" s="452"/>
      <c r="AS89" s="380"/>
      <c r="AT89" s="382"/>
      <c r="AU89" s="383"/>
      <c r="AV89" s="380"/>
      <c r="AW89" s="382"/>
      <c r="AX89" s="383"/>
      <c r="AY89" s="380"/>
      <c r="AZ89" s="382"/>
      <c r="BA89" s="383"/>
      <c r="BB89" s="380"/>
      <c r="BC89" s="450"/>
      <c r="BD89" s="452"/>
      <c r="BE89" s="380"/>
      <c r="BF89" s="382"/>
      <c r="BG89" s="383"/>
      <c r="BH89" s="380"/>
      <c r="BI89" s="382"/>
      <c r="BJ89" s="383"/>
      <c r="BK89" s="380"/>
      <c r="BL89" s="382"/>
      <c r="BM89" s="383"/>
      <c r="BN89" s="380"/>
      <c r="BO89" s="382"/>
      <c r="BP89" s="383"/>
      <c r="BQ89" s="380"/>
      <c r="BR89" s="382"/>
      <c r="BS89" s="383"/>
      <c r="BT89" s="380"/>
      <c r="BU89" s="382"/>
      <c r="BV89" s="383"/>
      <c r="BW89" s="380"/>
      <c r="BX89" s="382"/>
      <c r="BY89" s="383"/>
      <c r="BZ89" s="380"/>
      <c r="CA89" s="382"/>
      <c r="CB89" s="383"/>
      <c r="CC89" s="380"/>
      <c r="CD89" s="382"/>
      <c r="CE89" s="383"/>
      <c r="CF89" s="380"/>
      <c r="CG89" s="382"/>
      <c r="CH89" s="383"/>
      <c r="CI89" s="380"/>
      <c r="CJ89" s="382"/>
      <c r="CK89" s="383"/>
      <c r="CL89" s="380"/>
      <c r="CM89" s="382"/>
      <c r="CN89" s="383"/>
      <c r="CO89" s="380"/>
      <c r="CP89" s="382"/>
      <c r="CQ89" s="383"/>
      <c r="CR89" s="380"/>
      <c r="CS89" s="382"/>
      <c r="CT89" s="383"/>
      <c r="CU89" s="380"/>
      <c r="CV89" s="382"/>
      <c r="CW89" s="451"/>
    </row>
    <row r="90" spans="1:101" ht="15.75" hidden="1" customHeight="1" x14ac:dyDescent="0.25">
      <c r="A90" s="503"/>
      <c r="B90" s="65" t="s">
        <v>40</v>
      </c>
      <c r="C90" s="66" t="s">
        <v>41</v>
      </c>
      <c r="D90" s="66">
        <v>0</v>
      </c>
      <c r="E90" s="108">
        <f t="shared" si="88"/>
        <v>0</v>
      </c>
      <c r="F90" s="108">
        <f t="shared" si="17"/>
        <v>0</v>
      </c>
      <c r="G90" s="36">
        <v>0</v>
      </c>
      <c r="H90" s="36" t="e">
        <f t="shared" si="87"/>
        <v>#DIV/0!</v>
      </c>
      <c r="I90" s="83"/>
      <c r="J90" s="74"/>
      <c r="K90" s="66"/>
      <c r="L90" s="66"/>
      <c r="M90" s="201"/>
      <c r="N90" s="78"/>
      <c r="O90" s="80"/>
      <c r="P90" s="103"/>
      <c r="Q90" s="82"/>
      <c r="R90" s="80"/>
      <c r="S90" s="105"/>
      <c r="T90" s="78"/>
      <c r="U90" s="80"/>
      <c r="V90" s="103"/>
      <c r="W90" s="82"/>
      <c r="X90" s="80"/>
      <c r="Y90" s="105"/>
      <c r="Z90" s="78"/>
      <c r="AA90" s="80"/>
      <c r="AB90" s="103"/>
      <c r="AC90" s="78"/>
      <c r="AD90" s="80"/>
      <c r="AE90" s="103"/>
      <c r="AF90" s="78"/>
      <c r="AG90" s="80"/>
      <c r="AH90" s="103"/>
      <c r="AI90" s="78"/>
      <c r="AJ90" s="380"/>
      <c r="AK90" s="382"/>
      <c r="AL90" s="452"/>
      <c r="AM90" s="380"/>
      <c r="AN90" s="382"/>
      <c r="AO90" s="399"/>
      <c r="AP90" s="380"/>
      <c r="AQ90" s="450"/>
      <c r="AR90" s="452"/>
      <c r="AS90" s="380"/>
      <c r="AT90" s="382"/>
      <c r="AU90" s="383"/>
      <c r="AV90" s="380"/>
      <c r="AW90" s="382"/>
      <c r="AX90" s="383"/>
      <c r="AY90" s="380"/>
      <c r="AZ90" s="382"/>
      <c r="BA90" s="383"/>
      <c r="BB90" s="380"/>
      <c r="BC90" s="450"/>
      <c r="BD90" s="452"/>
      <c r="BE90" s="380"/>
      <c r="BF90" s="382"/>
      <c r="BG90" s="383"/>
      <c r="BH90" s="380"/>
      <c r="BI90" s="382"/>
      <c r="BJ90" s="383"/>
      <c r="BK90" s="380"/>
      <c r="BL90" s="382"/>
      <c r="BM90" s="383"/>
      <c r="BN90" s="380"/>
      <c r="BO90" s="382"/>
      <c r="BP90" s="383"/>
      <c r="BQ90" s="380"/>
      <c r="BR90" s="382"/>
      <c r="BS90" s="383"/>
      <c r="BT90" s="380"/>
      <c r="BU90" s="382"/>
      <c r="BV90" s="383"/>
      <c r="BW90" s="380"/>
      <c r="BX90" s="382"/>
      <c r="BY90" s="383"/>
      <c r="BZ90" s="380"/>
      <c r="CA90" s="382"/>
      <c r="CB90" s="383"/>
      <c r="CC90" s="380"/>
      <c r="CD90" s="382"/>
      <c r="CE90" s="383"/>
      <c r="CF90" s="380"/>
      <c r="CG90" s="382"/>
      <c r="CH90" s="383"/>
      <c r="CI90" s="380"/>
      <c r="CJ90" s="382"/>
      <c r="CK90" s="383"/>
      <c r="CL90" s="380"/>
      <c r="CM90" s="382"/>
      <c r="CN90" s="383"/>
      <c r="CO90" s="380"/>
      <c r="CP90" s="382"/>
      <c r="CQ90" s="383"/>
      <c r="CR90" s="380"/>
      <c r="CS90" s="382"/>
      <c r="CT90" s="383"/>
      <c r="CU90" s="380"/>
      <c r="CV90" s="382"/>
      <c r="CW90" s="451"/>
    </row>
    <row r="91" spans="1:101" ht="15.75" customHeight="1" x14ac:dyDescent="0.25">
      <c r="A91" s="501" t="s">
        <v>87</v>
      </c>
      <c r="B91" s="204" t="s">
        <v>45</v>
      </c>
      <c r="C91" s="51" t="s">
        <v>18</v>
      </c>
      <c r="D91" s="52">
        <v>1</v>
      </c>
      <c r="E91" s="53">
        <f>(H92+H93)/2</f>
        <v>0.64390921279448377</v>
      </c>
      <c r="F91" s="53">
        <f t="shared" si="17"/>
        <v>0.35609078720551623</v>
      </c>
      <c r="G91" s="186">
        <v>0.5</v>
      </c>
      <c r="H91" s="52">
        <f>E91</f>
        <v>0.64390921279448377</v>
      </c>
      <c r="I91" s="454"/>
      <c r="J91" s="56">
        <v>42727</v>
      </c>
      <c r="K91" s="247" t="s">
        <v>46</v>
      </c>
      <c r="L91" s="51"/>
      <c r="M91" s="286"/>
      <c r="N91" s="319"/>
      <c r="O91" s="138"/>
      <c r="P91" s="324"/>
      <c r="Q91" s="319"/>
      <c r="R91" s="319"/>
      <c r="S91" s="324"/>
      <c r="T91" s="319"/>
      <c r="U91" s="138"/>
      <c r="V91" s="324"/>
      <c r="W91" s="325"/>
      <c r="X91" s="138"/>
      <c r="Y91" s="324"/>
      <c r="Z91" s="325"/>
      <c r="AA91" s="138"/>
      <c r="AB91" s="324"/>
      <c r="AC91" s="325"/>
      <c r="AD91" s="138"/>
      <c r="AE91" s="324"/>
      <c r="AF91" s="325"/>
      <c r="AG91" s="138"/>
      <c r="AH91" s="324"/>
      <c r="AI91" s="455"/>
      <c r="AJ91" s="456"/>
      <c r="AK91" s="457"/>
      <c r="AL91" s="455"/>
      <c r="AM91" s="456"/>
      <c r="AN91" s="457"/>
      <c r="AO91" s="455"/>
      <c r="AP91" s="456"/>
      <c r="AQ91" s="457"/>
      <c r="AR91" s="455"/>
      <c r="AS91" s="456"/>
      <c r="AT91" s="457"/>
      <c r="AU91" s="455"/>
      <c r="AV91" s="456"/>
      <c r="AW91" s="457"/>
      <c r="AX91" s="455"/>
      <c r="AY91" s="456"/>
      <c r="AZ91" s="457"/>
      <c r="BA91" s="455"/>
      <c r="BB91" s="456"/>
      <c r="BC91" s="457"/>
      <c r="BD91" s="455"/>
      <c r="BE91" s="456"/>
      <c r="BF91" s="457"/>
      <c r="BG91" s="455"/>
      <c r="BH91" s="456"/>
      <c r="BI91" s="457"/>
      <c r="BJ91" s="455"/>
      <c r="BK91" s="456"/>
      <c r="BL91" s="457"/>
      <c r="BM91" s="455"/>
      <c r="BN91" s="456"/>
      <c r="BO91" s="457"/>
      <c r="BP91" s="455"/>
      <c r="BQ91" s="456"/>
      <c r="BR91" s="457"/>
      <c r="BS91" s="455"/>
      <c r="BT91" s="456"/>
      <c r="BU91" s="457"/>
      <c r="BV91" s="455"/>
      <c r="BW91" s="456"/>
      <c r="BX91" s="457"/>
      <c r="BY91" s="455"/>
      <c r="BZ91" s="456"/>
      <c r="CA91" s="457"/>
      <c r="CB91" s="455"/>
      <c r="CC91" s="456"/>
      <c r="CD91" s="457"/>
      <c r="CE91" s="455"/>
      <c r="CF91" s="456"/>
      <c r="CG91" s="457"/>
      <c r="CH91" s="455"/>
      <c r="CI91" s="456"/>
      <c r="CJ91" s="457"/>
      <c r="CK91" s="455"/>
      <c r="CL91" s="456"/>
      <c r="CM91" s="457"/>
      <c r="CN91" s="455"/>
      <c r="CO91" s="456"/>
      <c r="CP91" s="457"/>
      <c r="CQ91" s="455"/>
      <c r="CR91" s="456"/>
      <c r="CS91" s="457"/>
      <c r="CT91" s="455"/>
      <c r="CU91" s="456"/>
      <c r="CV91" s="457"/>
      <c r="CW91" s="325"/>
    </row>
    <row r="92" spans="1:101" ht="15.75" customHeight="1" x14ac:dyDescent="0.25">
      <c r="A92" s="502"/>
      <c r="B92" s="134" t="s">
        <v>48</v>
      </c>
      <c r="C92" s="66" t="s">
        <v>38</v>
      </c>
      <c r="D92" s="70">
        <v>22.7</v>
      </c>
      <c r="E92" s="70">
        <f>13.62+O92+R92+U92+X92+AA92+AD92+AG92+AJ92+AM92+AP92+AS92+AV92+AY92+BB92+BE92+BH92+BK92+BN92+BQ92+BT92+BW92+BZ92+CC92+CF92+CI92+CL92+CO92+CR92+CU92</f>
        <v>15.119999999999997</v>
      </c>
      <c r="F92" s="70">
        <f t="shared" si="17"/>
        <v>7.5800000000000018</v>
      </c>
      <c r="G92" s="458"/>
      <c r="H92" s="46">
        <f t="shared" ref="H92:H93" si="89">E92/D92</f>
        <v>0.66607929515418496</v>
      </c>
      <c r="I92" s="83"/>
      <c r="J92" s="74"/>
      <c r="K92" s="66"/>
      <c r="L92" s="141">
        <v>1</v>
      </c>
      <c r="M92" s="142">
        <v>1</v>
      </c>
      <c r="N92" s="144">
        <v>0.85</v>
      </c>
      <c r="O92" s="144">
        <v>0.85</v>
      </c>
      <c r="P92" s="97">
        <f>O92/N92</f>
        <v>1</v>
      </c>
      <c r="Q92" s="144">
        <v>0.35</v>
      </c>
      <c r="R92" s="144">
        <v>0.35</v>
      </c>
      <c r="S92" s="459">
        <v>1</v>
      </c>
      <c r="T92" s="144"/>
      <c r="U92" s="460"/>
      <c r="V92" s="459"/>
      <c r="W92" s="461"/>
      <c r="X92" s="460"/>
      <c r="Y92" s="462"/>
      <c r="Z92" s="461"/>
      <c r="AA92" s="460"/>
      <c r="AB92" s="462"/>
      <c r="AC92" s="461"/>
      <c r="AD92" s="460"/>
      <c r="AE92" s="462"/>
      <c r="AF92" s="461"/>
      <c r="AG92" s="153">
        <v>0.1</v>
      </c>
      <c r="AH92" s="462"/>
      <c r="AI92" s="164">
        <v>0.2</v>
      </c>
      <c r="AJ92" s="431">
        <v>0.2</v>
      </c>
      <c r="AK92" s="97">
        <f t="shared" ref="AK92:AK93" si="90">AJ92/AI92</f>
        <v>1</v>
      </c>
      <c r="AL92" s="463"/>
      <c r="AM92" s="464"/>
      <c r="AN92" s="465"/>
      <c r="AO92" s="463"/>
      <c r="AP92" s="464"/>
      <c r="AQ92" s="465"/>
      <c r="AR92" s="463"/>
      <c r="AS92" s="464"/>
      <c r="AT92" s="465"/>
      <c r="AU92" s="463"/>
      <c r="AV92" s="464"/>
      <c r="AW92" s="465"/>
      <c r="AX92" s="463"/>
      <c r="AY92" s="464"/>
      <c r="AZ92" s="465"/>
      <c r="BA92" s="463"/>
      <c r="BB92" s="464"/>
      <c r="BC92" s="465"/>
      <c r="BD92" s="463"/>
      <c r="BE92" s="464"/>
      <c r="BF92" s="465"/>
      <c r="BG92" s="463"/>
      <c r="BH92" s="464"/>
      <c r="BI92" s="465"/>
      <c r="BJ92" s="463"/>
      <c r="BK92" s="464"/>
      <c r="BL92" s="465"/>
      <c r="BM92" s="463"/>
      <c r="BN92" s="464"/>
      <c r="BO92" s="465"/>
      <c r="BP92" s="463"/>
      <c r="BQ92" s="464"/>
      <c r="BR92" s="465"/>
      <c r="BS92" s="463"/>
      <c r="BT92" s="464"/>
      <c r="BU92" s="465"/>
      <c r="BV92" s="463"/>
      <c r="BW92" s="464"/>
      <c r="BX92" s="465"/>
      <c r="BY92" s="463"/>
      <c r="BZ92" s="464"/>
      <c r="CA92" s="465"/>
      <c r="CB92" s="463"/>
      <c r="CC92" s="464"/>
      <c r="CD92" s="465"/>
      <c r="CE92" s="463"/>
      <c r="CF92" s="464"/>
      <c r="CG92" s="465"/>
      <c r="CH92" s="463"/>
      <c r="CI92" s="464"/>
      <c r="CJ92" s="465"/>
      <c r="CK92" s="463"/>
      <c r="CL92" s="464"/>
      <c r="CM92" s="465"/>
      <c r="CN92" s="463"/>
      <c r="CO92" s="464"/>
      <c r="CP92" s="465"/>
      <c r="CQ92" s="463"/>
      <c r="CR92" s="464"/>
      <c r="CS92" s="465"/>
      <c r="CT92" s="463"/>
      <c r="CU92" s="464"/>
      <c r="CV92" s="465"/>
      <c r="CW92" s="314"/>
    </row>
    <row r="93" spans="1:101" ht="15.75" customHeight="1" x14ac:dyDescent="0.25">
      <c r="A93" s="503"/>
      <c r="B93" s="134" t="s">
        <v>50</v>
      </c>
      <c r="C93" s="66" t="s">
        <v>41</v>
      </c>
      <c r="D93" s="66">
        <v>460</v>
      </c>
      <c r="E93" s="108">
        <f>220+O93+R93+U93+X93+AA93+AD93+AG93+AJ93+AM93+AP93+AS93+AV93+AY93+BB93+BE93+BH93+BK93+BN93+BQ93+BT93+BW93+BZ93+CC93+CF93+CI93+CL93+CO93+CR93+CU93</f>
        <v>286</v>
      </c>
      <c r="F93" s="108">
        <f t="shared" si="17"/>
        <v>174</v>
      </c>
      <c r="G93" s="458"/>
      <c r="H93" s="46">
        <f t="shared" si="89"/>
        <v>0.62173913043478257</v>
      </c>
      <c r="I93" s="83"/>
      <c r="J93" s="74"/>
      <c r="K93" s="66"/>
      <c r="L93" s="141">
        <v>1</v>
      </c>
      <c r="M93" s="142">
        <v>1</v>
      </c>
      <c r="N93" s="144"/>
      <c r="O93" s="144"/>
      <c r="P93" s="462"/>
      <c r="Q93" s="144"/>
      <c r="R93" s="144"/>
      <c r="S93" s="221"/>
      <c r="T93" s="144"/>
      <c r="U93" s="460"/>
      <c r="V93" s="462"/>
      <c r="W93" s="461">
        <v>15</v>
      </c>
      <c r="X93" s="153">
        <v>15</v>
      </c>
      <c r="Y93" s="462"/>
      <c r="Z93" s="461">
        <v>15</v>
      </c>
      <c r="AA93" s="153">
        <v>15</v>
      </c>
      <c r="AB93" s="462"/>
      <c r="AC93" s="461">
        <v>15</v>
      </c>
      <c r="AD93" s="153">
        <v>15</v>
      </c>
      <c r="AE93" s="462"/>
      <c r="AF93" s="151">
        <v>15</v>
      </c>
      <c r="AG93" s="466">
        <v>15</v>
      </c>
      <c r="AH93" s="97">
        <f>AG93/AF93</f>
        <v>1</v>
      </c>
      <c r="AI93" s="268">
        <v>6</v>
      </c>
      <c r="AJ93" s="467">
        <v>6</v>
      </c>
      <c r="AK93" s="97">
        <f t="shared" si="90"/>
        <v>1</v>
      </c>
      <c r="AL93" s="463"/>
      <c r="AM93" s="464"/>
      <c r="AN93" s="465"/>
      <c r="AO93" s="463"/>
      <c r="AP93" s="464"/>
      <c r="AQ93" s="465"/>
      <c r="AR93" s="463"/>
      <c r="AS93" s="464"/>
      <c r="AT93" s="465"/>
      <c r="AU93" s="463"/>
      <c r="AV93" s="464"/>
      <c r="AW93" s="465"/>
      <c r="AX93" s="463"/>
      <c r="AY93" s="464"/>
      <c r="AZ93" s="465"/>
      <c r="BA93" s="463"/>
      <c r="BB93" s="464"/>
      <c r="BC93" s="465"/>
      <c r="BD93" s="463"/>
      <c r="BE93" s="464"/>
      <c r="BF93" s="465"/>
      <c r="BG93" s="463"/>
      <c r="BH93" s="464"/>
      <c r="BI93" s="465"/>
      <c r="BJ93" s="463"/>
      <c r="BK93" s="464"/>
      <c r="BL93" s="465"/>
      <c r="BM93" s="463"/>
      <c r="BN93" s="464"/>
      <c r="BO93" s="465"/>
      <c r="BP93" s="463"/>
      <c r="BQ93" s="464"/>
      <c r="BR93" s="465"/>
      <c r="BS93" s="463"/>
      <c r="BT93" s="464"/>
      <c r="BU93" s="465"/>
      <c r="BV93" s="463"/>
      <c r="BW93" s="464"/>
      <c r="BX93" s="465"/>
      <c r="BY93" s="463"/>
      <c r="BZ93" s="464"/>
      <c r="CA93" s="465"/>
      <c r="CB93" s="463"/>
      <c r="CC93" s="464"/>
      <c r="CD93" s="465"/>
      <c r="CE93" s="463"/>
      <c r="CF93" s="464"/>
      <c r="CG93" s="465"/>
      <c r="CH93" s="463"/>
      <c r="CI93" s="464"/>
      <c r="CJ93" s="465"/>
      <c r="CK93" s="463"/>
      <c r="CL93" s="464"/>
      <c r="CM93" s="465"/>
      <c r="CN93" s="463"/>
      <c r="CO93" s="464"/>
      <c r="CP93" s="465"/>
      <c r="CQ93" s="463"/>
      <c r="CR93" s="464"/>
      <c r="CS93" s="465"/>
      <c r="CT93" s="463"/>
      <c r="CU93" s="464"/>
      <c r="CV93" s="465"/>
      <c r="CW93" s="314"/>
    </row>
    <row r="94" spans="1:101" ht="31.5" customHeight="1" x14ac:dyDescent="0.25">
      <c r="A94" s="501" t="s">
        <v>89</v>
      </c>
      <c r="B94" s="204" t="s">
        <v>117</v>
      </c>
      <c r="C94" s="51" t="s">
        <v>18</v>
      </c>
      <c r="D94" s="52">
        <v>1</v>
      </c>
      <c r="E94" s="53">
        <f>(H95+H96)/2</f>
        <v>1.7519179894179893</v>
      </c>
      <c r="F94" s="53">
        <f t="shared" si="17"/>
        <v>-0.75191798941798926</v>
      </c>
      <c r="G94" s="186">
        <v>0.5</v>
      </c>
      <c r="H94" s="52">
        <f>E94</f>
        <v>1.7519179894179893</v>
      </c>
      <c r="I94" s="454"/>
      <c r="J94" s="56">
        <v>42727</v>
      </c>
      <c r="K94" s="247" t="s">
        <v>46</v>
      </c>
      <c r="L94" s="51"/>
      <c r="M94" s="286"/>
      <c r="N94" s="319"/>
      <c r="O94" s="319"/>
      <c r="P94" s="324"/>
      <c r="Q94" s="319"/>
      <c r="R94" s="319"/>
      <c r="S94" s="324"/>
      <c r="T94" s="319"/>
      <c r="U94" s="138"/>
      <c r="V94" s="324"/>
      <c r="W94" s="325"/>
      <c r="X94" s="138"/>
      <c r="Y94" s="324"/>
      <c r="Z94" s="325"/>
      <c r="AA94" s="138"/>
      <c r="AB94" s="324"/>
      <c r="AC94" s="325"/>
      <c r="AD94" s="138"/>
      <c r="AE94" s="324"/>
      <c r="AF94" s="325"/>
      <c r="AG94" s="138"/>
      <c r="AH94" s="324"/>
      <c r="AI94" s="455"/>
      <c r="AJ94" s="456"/>
      <c r="AK94" s="457"/>
      <c r="AL94" s="455"/>
      <c r="AM94" s="456"/>
      <c r="AN94" s="457"/>
      <c r="AO94" s="455"/>
      <c r="AP94" s="456"/>
      <c r="AQ94" s="457"/>
      <c r="AR94" s="455"/>
      <c r="AS94" s="456"/>
      <c r="AT94" s="457"/>
      <c r="AU94" s="455"/>
      <c r="AV94" s="456"/>
      <c r="AW94" s="457"/>
      <c r="AX94" s="455"/>
      <c r="AY94" s="456"/>
      <c r="AZ94" s="457"/>
      <c r="BA94" s="455"/>
      <c r="BB94" s="456"/>
      <c r="BC94" s="457"/>
      <c r="BD94" s="455"/>
      <c r="BE94" s="456"/>
      <c r="BF94" s="457"/>
      <c r="BG94" s="455"/>
      <c r="BH94" s="456"/>
      <c r="BI94" s="457"/>
      <c r="BJ94" s="455"/>
      <c r="BK94" s="456"/>
      <c r="BL94" s="457"/>
      <c r="BM94" s="455"/>
      <c r="BN94" s="456"/>
      <c r="BO94" s="457"/>
      <c r="BP94" s="455"/>
      <c r="BQ94" s="456"/>
      <c r="BR94" s="457"/>
      <c r="BS94" s="455"/>
      <c r="BT94" s="456"/>
      <c r="BU94" s="457"/>
      <c r="BV94" s="455"/>
      <c r="BW94" s="456"/>
      <c r="BX94" s="457"/>
      <c r="BY94" s="455"/>
      <c r="BZ94" s="456"/>
      <c r="CA94" s="457"/>
      <c r="CB94" s="455"/>
      <c r="CC94" s="456"/>
      <c r="CD94" s="457"/>
      <c r="CE94" s="455"/>
      <c r="CF94" s="456"/>
      <c r="CG94" s="457"/>
      <c r="CH94" s="455"/>
      <c r="CI94" s="456"/>
      <c r="CJ94" s="457"/>
      <c r="CK94" s="455"/>
      <c r="CL94" s="456"/>
      <c r="CM94" s="457"/>
      <c r="CN94" s="455"/>
      <c r="CO94" s="456"/>
      <c r="CP94" s="457"/>
      <c r="CQ94" s="455"/>
      <c r="CR94" s="456"/>
      <c r="CS94" s="457"/>
      <c r="CT94" s="455"/>
      <c r="CU94" s="456"/>
      <c r="CV94" s="457"/>
      <c r="CW94" s="325"/>
    </row>
    <row r="95" spans="1:101" ht="15.75" customHeight="1" x14ac:dyDescent="0.25">
      <c r="A95" s="502"/>
      <c r="B95" s="134" t="s">
        <v>48</v>
      </c>
      <c r="C95" s="66" t="s">
        <v>38</v>
      </c>
      <c r="D95" s="70">
        <v>84</v>
      </c>
      <c r="E95" s="70">
        <f>76+O95+R95+U95+X95+AA95+AD95+AG95+AJ95+AM95+AP95+AS95+AV95+AY95+BB95+BE95+BH95+BK95+BN95+BQ95+BT95+BW95+BZ95+CC95+CF95+CI95+CL95+CO95+CR95+CU95</f>
        <v>78.099999999999994</v>
      </c>
      <c r="F95" s="70">
        <f t="shared" si="17"/>
        <v>5.9000000000000057</v>
      </c>
      <c r="G95" s="458"/>
      <c r="H95" s="46">
        <f t="shared" ref="H95:H96" si="91">E95/D95</f>
        <v>0.92976190476190468</v>
      </c>
      <c r="I95" s="83"/>
      <c r="J95" s="74"/>
      <c r="K95" s="66"/>
      <c r="L95" s="126">
        <v>1</v>
      </c>
      <c r="M95" s="238">
        <v>1</v>
      </c>
      <c r="N95" s="307"/>
      <c r="O95" s="307"/>
      <c r="P95" s="292"/>
      <c r="Q95" s="307"/>
      <c r="R95" s="307"/>
      <c r="S95" s="221"/>
      <c r="T95" s="307">
        <v>0.5</v>
      </c>
      <c r="U95" s="282">
        <v>0.5</v>
      </c>
      <c r="V95" s="468">
        <f t="shared" ref="V95:V96" si="92">U95/T95</f>
        <v>1</v>
      </c>
      <c r="W95" s="314"/>
      <c r="X95" s="290"/>
      <c r="Y95" s="292"/>
      <c r="Z95" s="314">
        <v>0.5</v>
      </c>
      <c r="AA95" s="282">
        <v>0.5</v>
      </c>
      <c r="AB95" s="468">
        <f t="shared" ref="AB95:AB96" si="93">AA95/Z95</f>
        <v>1</v>
      </c>
      <c r="AC95" s="314"/>
      <c r="AD95" s="290"/>
      <c r="AE95" s="292"/>
      <c r="AF95" s="314">
        <v>0.5</v>
      </c>
      <c r="AG95" s="282">
        <v>0.5</v>
      </c>
      <c r="AH95" s="97">
        <f t="shared" ref="AH95:AH96" si="94">AG95/AF95</f>
        <v>1</v>
      </c>
      <c r="AI95" s="164">
        <v>0.6</v>
      </c>
      <c r="AJ95" s="431">
        <v>0.6</v>
      </c>
      <c r="AK95" s="97">
        <f t="shared" ref="AK95:AK96" si="95">AJ95/AI95</f>
        <v>1</v>
      </c>
      <c r="AL95" s="463"/>
      <c r="AM95" s="464"/>
      <c r="AN95" s="465"/>
      <c r="AO95" s="463"/>
      <c r="AP95" s="464"/>
      <c r="AQ95" s="465"/>
      <c r="AR95" s="463"/>
      <c r="AS95" s="464"/>
      <c r="AT95" s="465"/>
      <c r="AU95" s="463"/>
      <c r="AV95" s="464"/>
      <c r="AW95" s="465"/>
      <c r="AX95" s="469">
        <v>0.6</v>
      </c>
      <c r="AY95" s="464"/>
      <c r="AZ95" s="465"/>
      <c r="BA95" s="469">
        <v>0.6</v>
      </c>
      <c r="BB95" s="464"/>
      <c r="BC95" s="465"/>
      <c r="BD95" s="469">
        <v>0.6</v>
      </c>
      <c r="BE95" s="464"/>
      <c r="BF95" s="465"/>
      <c r="BG95" s="463"/>
      <c r="BH95" s="464"/>
      <c r="BI95" s="465"/>
      <c r="BJ95" s="463"/>
      <c r="BK95" s="464"/>
      <c r="BL95" s="465"/>
      <c r="BM95" s="463"/>
      <c r="BN95" s="464"/>
      <c r="BO95" s="465"/>
      <c r="BP95" s="463"/>
      <c r="BQ95" s="464"/>
      <c r="BR95" s="465"/>
      <c r="BS95" s="463"/>
      <c r="BT95" s="464"/>
      <c r="BU95" s="465"/>
      <c r="BV95" s="463"/>
      <c r="BW95" s="464"/>
      <c r="BX95" s="465"/>
      <c r="BY95" s="463"/>
      <c r="BZ95" s="464"/>
      <c r="CA95" s="465"/>
      <c r="CB95" s="463"/>
      <c r="CC95" s="464"/>
      <c r="CD95" s="465"/>
      <c r="CE95" s="463"/>
      <c r="CF95" s="464"/>
      <c r="CG95" s="465"/>
      <c r="CH95" s="463"/>
      <c r="CI95" s="464"/>
      <c r="CJ95" s="465"/>
      <c r="CK95" s="463"/>
      <c r="CL95" s="464"/>
      <c r="CM95" s="465"/>
      <c r="CN95" s="463"/>
      <c r="CO95" s="464"/>
      <c r="CP95" s="465"/>
      <c r="CQ95" s="463"/>
      <c r="CR95" s="464"/>
      <c r="CS95" s="465"/>
      <c r="CT95" s="463"/>
      <c r="CU95" s="464"/>
      <c r="CV95" s="465"/>
      <c r="CW95" s="314"/>
    </row>
    <row r="96" spans="1:101" ht="15.75" customHeight="1" x14ac:dyDescent="0.25">
      <c r="A96" s="503"/>
      <c r="B96" s="134" t="s">
        <v>50</v>
      </c>
      <c r="C96" s="66" t="s">
        <v>41</v>
      </c>
      <c r="D96" s="66">
        <v>54</v>
      </c>
      <c r="E96" s="108">
        <f>5+O96+R96+U96+X96+AA96+AD96+AG96+AJ96+AM96+AP96+AS96+AV96+AY96+BB96+BE96+BH96+BK96+BN96+BQ96+BT96+BW96+BZ96+CC96+CF96+CI96+CL96+CO96+CR96+CU96</f>
        <v>139</v>
      </c>
      <c r="F96" s="108">
        <f t="shared" si="17"/>
        <v>-85</v>
      </c>
      <c r="G96" s="458"/>
      <c r="H96" s="46">
        <f t="shared" si="91"/>
        <v>2.574074074074074</v>
      </c>
      <c r="I96" s="83"/>
      <c r="J96" s="74"/>
      <c r="K96" s="66"/>
      <c r="L96" s="141">
        <v>1</v>
      </c>
      <c r="M96" s="142">
        <v>1</v>
      </c>
      <c r="N96" s="144">
        <v>2</v>
      </c>
      <c r="O96" s="144">
        <v>2</v>
      </c>
      <c r="P96" s="97">
        <f>O96/N96</f>
        <v>1</v>
      </c>
      <c r="Q96" s="144">
        <v>2</v>
      </c>
      <c r="R96" s="144">
        <v>2</v>
      </c>
      <c r="S96" s="468">
        <f>R96/Q96</f>
        <v>1</v>
      </c>
      <c r="T96" s="144">
        <v>2</v>
      </c>
      <c r="U96" s="153">
        <v>2</v>
      </c>
      <c r="V96" s="468">
        <f t="shared" si="92"/>
        <v>1</v>
      </c>
      <c r="W96" s="461"/>
      <c r="X96" s="460"/>
      <c r="Y96" s="462"/>
      <c r="Z96" s="144">
        <v>2</v>
      </c>
      <c r="AA96" s="153">
        <v>2</v>
      </c>
      <c r="AB96" s="468">
        <f t="shared" si="93"/>
        <v>1</v>
      </c>
      <c r="AC96" s="144">
        <v>2</v>
      </c>
      <c r="AD96" s="153">
        <v>2</v>
      </c>
      <c r="AE96" s="468">
        <f>AD96/AC96</f>
        <v>1</v>
      </c>
      <c r="AF96" s="144">
        <v>2</v>
      </c>
      <c r="AG96" s="153">
        <v>2</v>
      </c>
      <c r="AH96" s="97">
        <f t="shared" si="94"/>
        <v>1</v>
      </c>
      <c r="AI96" s="268">
        <v>4</v>
      </c>
      <c r="AJ96" s="467">
        <v>4</v>
      </c>
      <c r="AK96" s="97">
        <f t="shared" si="95"/>
        <v>1</v>
      </c>
      <c r="AL96" s="470">
        <v>4</v>
      </c>
      <c r="AM96" s="471">
        <v>118</v>
      </c>
      <c r="AN96" s="97">
        <f>AM96/AL96</f>
        <v>29.5</v>
      </c>
      <c r="AO96" s="463"/>
      <c r="AP96" s="464"/>
      <c r="AQ96" s="465"/>
      <c r="AR96" s="463"/>
      <c r="AS96" s="464"/>
      <c r="AT96" s="465"/>
      <c r="AU96" s="463"/>
      <c r="AV96" s="464"/>
      <c r="AW96" s="465"/>
      <c r="AX96" s="463"/>
      <c r="AY96" s="464"/>
      <c r="AZ96" s="465"/>
      <c r="BA96" s="463"/>
      <c r="BB96" s="464"/>
      <c r="BC96" s="465"/>
      <c r="BD96" s="463"/>
      <c r="BE96" s="464"/>
      <c r="BF96" s="465"/>
      <c r="BG96" s="463"/>
      <c r="BH96" s="464"/>
      <c r="BI96" s="465"/>
      <c r="BJ96" s="463"/>
      <c r="BK96" s="464"/>
      <c r="BL96" s="465"/>
      <c r="BM96" s="463"/>
      <c r="BN96" s="464"/>
      <c r="BO96" s="465"/>
      <c r="BP96" s="463"/>
      <c r="BQ96" s="464"/>
      <c r="BR96" s="465"/>
      <c r="BS96" s="463"/>
      <c r="BT96" s="464"/>
      <c r="BU96" s="465"/>
      <c r="BV96" s="463"/>
      <c r="BW96" s="464"/>
      <c r="BX96" s="465"/>
      <c r="BY96" s="463"/>
      <c r="BZ96" s="464"/>
      <c r="CA96" s="465"/>
      <c r="CB96" s="463"/>
      <c r="CC96" s="464"/>
      <c r="CD96" s="465"/>
      <c r="CE96" s="463"/>
      <c r="CF96" s="464"/>
      <c r="CG96" s="465"/>
      <c r="CH96" s="463"/>
      <c r="CI96" s="464"/>
      <c r="CJ96" s="465"/>
      <c r="CK96" s="463"/>
      <c r="CL96" s="464"/>
      <c r="CM96" s="465"/>
      <c r="CN96" s="463"/>
      <c r="CO96" s="464"/>
      <c r="CP96" s="465"/>
      <c r="CQ96" s="463"/>
      <c r="CR96" s="464"/>
      <c r="CS96" s="465"/>
      <c r="CT96" s="463"/>
      <c r="CU96" s="464"/>
      <c r="CV96" s="465"/>
      <c r="CW96" s="314"/>
    </row>
    <row r="97" spans="1:101" ht="15.75" customHeight="1" x14ac:dyDescent="0.25">
      <c r="A97" s="501" t="s">
        <v>97</v>
      </c>
      <c r="B97" s="204" t="s">
        <v>52</v>
      </c>
      <c r="C97" s="51" t="s">
        <v>18</v>
      </c>
      <c r="D97" s="52">
        <v>1</v>
      </c>
      <c r="E97" s="53">
        <f>(H98+H99)/2</f>
        <v>9.5716811314689815E-2</v>
      </c>
      <c r="F97" s="53">
        <f t="shared" si="17"/>
        <v>0.90428318868531021</v>
      </c>
      <c r="G97" s="186">
        <v>0.45</v>
      </c>
      <c r="H97" s="52">
        <f>E97</f>
        <v>9.5716811314689815E-2</v>
      </c>
      <c r="I97" s="454"/>
      <c r="J97" s="56">
        <v>42727</v>
      </c>
      <c r="K97" s="247" t="s">
        <v>46</v>
      </c>
      <c r="L97" s="51"/>
      <c r="M97" s="286"/>
      <c r="N97" s="319"/>
      <c r="O97" s="319"/>
      <c r="P97" s="324"/>
      <c r="Q97" s="319"/>
      <c r="R97" s="319"/>
      <c r="S97" s="324"/>
      <c r="T97" s="319"/>
      <c r="U97" s="138"/>
      <c r="V97" s="324"/>
      <c r="W97" s="325"/>
      <c r="X97" s="138"/>
      <c r="Y97" s="324"/>
      <c r="Z97" s="319"/>
      <c r="AA97" s="138"/>
      <c r="AB97" s="324"/>
      <c r="AC97" s="319"/>
      <c r="AD97" s="138"/>
      <c r="AE97" s="324"/>
      <c r="AF97" s="319"/>
      <c r="AG97" s="138"/>
      <c r="AH97" s="324"/>
      <c r="AI97" s="455"/>
      <c r="AJ97" s="456"/>
      <c r="AK97" s="457"/>
      <c r="AL97" s="455"/>
      <c r="AM97" s="456"/>
      <c r="AN97" s="457"/>
      <c r="AO97" s="455"/>
      <c r="AP97" s="456"/>
      <c r="AQ97" s="457"/>
      <c r="AR97" s="455"/>
      <c r="AS97" s="456"/>
      <c r="AT97" s="457"/>
      <c r="AU97" s="455"/>
      <c r="AV97" s="456"/>
      <c r="AW97" s="457"/>
      <c r="AX97" s="455"/>
      <c r="AY97" s="456"/>
      <c r="AZ97" s="457"/>
      <c r="BA97" s="455"/>
      <c r="BB97" s="456"/>
      <c r="BC97" s="457"/>
      <c r="BD97" s="455"/>
      <c r="BE97" s="456"/>
      <c r="BF97" s="457"/>
      <c r="BG97" s="455"/>
      <c r="BH97" s="456"/>
      <c r="BI97" s="457"/>
      <c r="BJ97" s="455"/>
      <c r="BK97" s="456"/>
      <c r="BL97" s="457"/>
      <c r="BM97" s="455"/>
      <c r="BN97" s="456"/>
      <c r="BO97" s="457"/>
      <c r="BP97" s="455"/>
      <c r="BQ97" s="456"/>
      <c r="BR97" s="457"/>
      <c r="BS97" s="455"/>
      <c r="BT97" s="456"/>
      <c r="BU97" s="457"/>
      <c r="BV97" s="455"/>
      <c r="BW97" s="456"/>
      <c r="BX97" s="457"/>
      <c r="BY97" s="455"/>
      <c r="BZ97" s="456"/>
      <c r="CA97" s="457"/>
      <c r="CB97" s="455"/>
      <c r="CC97" s="456"/>
      <c r="CD97" s="457"/>
      <c r="CE97" s="455"/>
      <c r="CF97" s="456"/>
      <c r="CG97" s="457"/>
      <c r="CH97" s="455"/>
      <c r="CI97" s="456"/>
      <c r="CJ97" s="457"/>
      <c r="CK97" s="455"/>
      <c r="CL97" s="456"/>
      <c r="CM97" s="457"/>
      <c r="CN97" s="455"/>
      <c r="CO97" s="456"/>
      <c r="CP97" s="457"/>
      <c r="CQ97" s="455"/>
      <c r="CR97" s="456"/>
      <c r="CS97" s="457"/>
      <c r="CT97" s="455"/>
      <c r="CU97" s="456"/>
      <c r="CV97" s="457"/>
      <c r="CW97" s="325"/>
    </row>
    <row r="98" spans="1:101" ht="16.5" customHeight="1" x14ac:dyDescent="0.25">
      <c r="A98" s="502"/>
      <c r="B98" s="134" t="s">
        <v>48</v>
      </c>
      <c r="C98" s="66" t="s">
        <v>38</v>
      </c>
      <c r="D98" s="70">
        <v>10.199999999999999</v>
      </c>
      <c r="E98" s="70">
        <f>0.6+O98+R98+U98+X98+AA98+AD98+AG98+AJ98+AM98+AP98+AS98+AV98+AY98+BB98+BE98+BH98+BK98+BN98+BQ98+BT98+BW98+BZ98+CC98+CF98+CI98+CL98+CO98+CR98+CU98</f>
        <v>1.1499999999999999</v>
      </c>
      <c r="F98" s="70">
        <f t="shared" si="17"/>
        <v>9.0499999999999989</v>
      </c>
      <c r="G98" s="458"/>
      <c r="H98" s="46">
        <f t="shared" ref="H98:H99" si="96">E98/D98</f>
        <v>0.11274509803921569</v>
      </c>
      <c r="I98" s="83">
        <f t="shared" ref="I98:I99" si="97">AP98/D98</f>
        <v>1.9607843137254905E-2</v>
      </c>
      <c r="J98" s="74"/>
      <c r="K98" s="66"/>
      <c r="L98" s="141">
        <v>1</v>
      </c>
      <c r="M98" s="142">
        <v>1</v>
      </c>
      <c r="N98" s="144"/>
      <c r="O98" s="144"/>
      <c r="P98" s="462"/>
      <c r="Q98" s="144"/>
      <c r="R98" s="144"/>
      <c r="S98" s="462"/>
      <c r="T98" s="144"/>
      <c r="U98" s="460"/>
      <c r="V98" s="462"/>
      <c r="W98" s="461"/>
      <c r="X98" s="460"/>
      <c r="Y98" s="462"/>
      <c r="Z98" s="461"/>
      <c r="AA98" s="460"/>
      <c r="AB98" s="462"/>
      <c r="AC98" s="461">
        <v>0.1</v>
      </c>
      <c r="AD98" s="153">
        <v>0.1</v>
      </c>
      <c r="AE98" s="468">
        <f>AD98/AC98</f>
        <v>1</v>
      </c>
      <c r="AF98" s="461">
        <v>0.1</v>
      </c>
      <c r="AG98" s="153">
        <v>0.1</v>
      </c>
      <c r="AH98" s="97">
        <f>AG98/AF98</f>
        <v>1</v>
      </c>
      <c r="AI98" s="164">
        <v>0.05</v>
      </c>
      <c r="AJ98" s="431">
        <v>0.05</v>
      </c>
      <c r="AK98" s="97">
        <f t="shared" ref="AK98:AK99" si="98">AJ98/AI98</f>
        <v>1</v>
      </c>
      <c r="AL98" s="469">
        <v>0.1</v>
      </c>
      <c r="AM98" s="472">
        <v>0.1</v>
      </c>
      <c r="AN98" s="97">
        <f t="shared" ref="AN98:AN99" si="99">AM98/AL98</f>
        <v>1</v>
      </c>
      <c r="AO98" s="308">
        <v>0.2</v>
      </c>
      <c r="AP98" s="397">
        <v>0.2</v>
      </c>
      <c r="AQ98" s="97">
        <f t="shared" ref="AQ98:AQ99" si="100">AP98/AO98</f>
        <v>1</v>
      </c>
      <c r="AR98" s="469">
        <v>0.2</v>
      </c>
      <c r="AS98" s="464"/>
      <c r="AT98" s="465"/>
      <c r="AU98" s="469"/>
      <c r="AV98" s="464"/>
      <c r="AW98" s="465"/>
      <c r="AX98" s="469">
        <v>0.2</v>
      </c>
      <c r="AY98" s="464"/>
      <c r="AZ98" s="465"/>
      <c r="BA98" s="469">
        <v>0.2</v>
      </c>
      <c r="BB98" s="464"/>
      <c r="BC98" s="465"/>
      <c r="BD98" s="469">
        <v>0.2</v>
      </c>
      <c r="BE98" s="464"/>
      <c r="BF98" s="465"/>
      <c r="BG98" s="463"/>
      <c r="BH98" s="464"/>
      <c r="BI98" s="465"/>
      <c r="BJ98" s="463"/>
      <c r="BK98" s="464"/>
      <c r="BL98" s="465"/>
      <c r="BM98" s="463"/>
      <c r="BN98" s="464"/>
      <c r="BO98" s="465"/>
      <c r="BP98" s="463"/>
      <c r="BQ98" s="464"/>
      <c r="BR98" s="465"/>
      <c r="BS98" s="463"/>
      <c r="BT98" s="464"/>
      <c r="BU98" s="465"/>
      <c r="BV98" s="463"/>
      <c r="BW98" s="464"/>
      <c r="BX98" s="465"/>
      <c r="BY98" s="463"/>
      <c r="BZ98" s="464"/>
      <c r="CA98" s="465"/>
      <c r="CB98" s="463"/>
      <c r="CC98" s="464"/>
      <c r="CD98" s="465"/>
      <c r="CE98" s="463"/>
      <c r="CF98" s="464"/>
      <c r="CG98" s="465"/>
      <c r="CH98" s="463"/>
      <c r="CI98" s="464"/>
      <c r="CJ98" s="465"/>
      <c r="CK98" s="463"/>
      <c r="CL98" s="464"/>
      <c r="CM98" s="465"/>
      <c r="CN98" s="463"/>
      <c r="CO98" s="464"/>
      <c r="CP98" s="465"/>
      <c r="CQ98" s="463"/>
      <c r="CR98" s="464"/>
      <c r="CS98" s="465"/>
      <c r="CT98" s="463"/>
      <c r="CU98" s="464"/>
      <c r="CV98" s="465"/>
      <c r="CW98" s="314"/>
    </row>
    <row r="99" spans="1:101" ht="15.75" customHeight="1" x14ac:dyDescent="0.25">
      <c r="A99" s="503"/>
      <c r="B99" s="134" t="s">
        <v>50</v>
      </c>
      <c r="C99" s="66" t="s">
        <v>41</v>
      </c>
      <c r="D99" s="66">
        <v>610</v>
      </c>
      <c r="E99" s="108">
        <f>36+O99+R99+U99+X99+AA99+AD99+AG99+AJ99+AM99+AP99+AS99+AV99+AY99+BB99+BE99+BH99+BK99+BN99+BQ99+BT99+BW99+BZ99+CC99+CF99+CI99+CL99+CO99+CR99+CU99</f>
        <v>48</v>
      </c>
      <c r="F99" s="108">
        <f t="shared" si="17"/>
        <v>562</v>
      </c>
      <c r="G99" s="458"/>
      <c r="H99" s="46">
        <f t="shared" si="96"/>
        <v>7.8688524590163941E-2</v>
      </c>
      <c r="I99" s="83">
        <f t="shared" si="97"/>
        <v>6.5573770491803279E-3</v>
      </c>
      <c r="J99" s="74"/>
      <c r="K99" s="66"/>
      <c r="L99" s="141">
        <v>1</v>
      </c>
      <c r="M99" s="142">
        <v>1</v>
      </c>
      <c r="N99" s="144"/>
      <c r="O99" s="144"/>
      <c r="P99" s="462"/>
      <c r="Q99" s="144"/>
      <c r="R99" s="144"/>
      <c r="S99" s="462"/>
      <c r="T99" s="144"/>
      <c r="U99" s="460"/>
      <c r="V99" s="462"/>
      <c r="W99" s="461"/>
      <c r="X99" s="460"/>
      <c r="Y99" s="462"/>
      <c r="Z99" s="461"/>
      <c r="AA99" s="460"/>
      <c r="AB99" s="462"/>
      <c r="AC99" s="461"/>
      <c r="AD99" s="460"/>
      <c r="AE99" s="462"/>
      <c r="AF99" s="461"/>
      <c r="AG99" s="460"/>
      <c r="AH99" s="462"/>
      <c r="AI99" s="469">
        <v>4</v>
      </c>
      <c r="AJ99" s="473">
        <v>4</v>
      </c>
      <c r="AK99" s="97">
        <f t="shared" si="98"/>
        <v>1</v>
      </c>
      <c r="AL99" s="470">
        <v>4</v>
      </c>
      <c r="AM99" s="471">
        <v>4</v>
      </c>
      <c r="AN99" s="97">
        <f t="shared" si="99"/>
        <v>1</v>
      </c>
      <c r="AO99" s="316">
        <v>4</v>
      </c>
      <c r="AP99" s="337">
        <v>4</v>
      </c>
      <c r="AQ99" s="97">
        <f t="shared" si="100"/>
        <v>1</v>
      </c>
      <c r="AR99" s="470">
        <v>7</v>
      </c>
      <c r="AS99" s="474"/>
      <c r="AT99" s="475"/>
      <c r="AU99" s="476"/>
      <c r="AV99" s="474"/>
      <c r="AW99" s="475"/>
      <c r="AX99" s="470">
        <v>7</v>
      </c>
      <c r="AY99" s="464"/>
      <c r="AZ99" s="465"/>
      <c r="BA99" s="470">
        <v>7</v>
      </c>
      <c r="BB99" s="464"/>
      <c r="BC99" s="465"/>
      <c r="BD99" s="470">
        <v>7</v>
      </c>
      <c r="BE99" s="464"/>
      <c r="BF99" s="465"/>
      <c r="BG99" s="470">
        <v>7</v>
      </c>
      <c r="BH99" s="474"/>
      <c r="BI99" s="475"/>
      <c r="BJ99" s="470">
        <v>7</v>
      </c>
      <c r="BK99" s="474"/>
      <c r="BL99" s="475"/>
      <c r="BM99" s="470">
        <v>7</v>
      </c>
      <c r="BN99" s="474"/>
      <c r="BO99" s="475"/>
      <c r="BP99" s="470">
        <v>7</v>
      </c>
      <c r="BQ99" s="474"/>
      <c r="BR99" s="475"/>
      <c r="BS99" s="470">
        <v>7</v>
      </c>
      <c r="BT99" s="464"/>
      <c r="BU99" s="465"/>
      <c r="BV99" s="470">
        <v>7</v>
      </c>
      <c r="BW99" s="474"/>
      <c r="BX99" s="475"/>
      <c r="BY99" s="470">
        <v>7</v>
      </c>
      <c r="BZ99" s="474"/>
      <c r="CA99" s="475"/>
      <c r="CB99" s="470">
        <v>7</v>
      </c>
      <c r="CC99" s="474"/>
      <c r="CD99" s="475"/>
      <c r="CE99" s="470">
        <v>7</v>
      </c>
      <c r="CF99" s="474"/>
      <c r="CG99" s="475"/>
      <c r="CH99" s="470">
        <v>7</v>
      </c>
      <c r="CI99" s="464"/>
      <c r="CJ99" s="465"/>
      <c r="CK99" s="470">
        <v>7</v>
      </c>
      <c r="CL99" s="474"/>
      <c r="CM99" s="475"/>
      <c r="CN99" s="470">
        <v>7</v>
      </c>
      <c r="CO99" s="474"/>
      <c r="CP99" s="475"/>
      <c r="CQ99" s="470">
        <v>7</v>
      </c>
      <c r="CR99" s="474"/>
      <c r="CS99" s="475"/>
      <c r="CT99" s="470">
        <v>7</v>
      </c>
      <c r="CU99" s="474"/>
      <c r="CV99" s="475"/>
      <c r="CW99" s="470"/>
    </row>
    <row r="100" spans="1:101" ht="15.75" customHeight="1" x14ac:dyDescent="0.25">
      <c r="A100" s="501" t="s">
        <v>99</v>
      </c>
      <c r="B100" s="204" t="s">
        <v>120</v>
      </c>
      <c r="C100" s="51" t="s">
        <v>18</v>
      </c>
      <c r="D100" s="52">
        <v>1</v>
      </c>
      <c r="E100" s="53">
        <f>(H101+H102)/2</f>
        <v>0.4320987654320988</v>
      </c>
      <c r="F100" s="53">
        <f t="shared" si="17"/>
        <v>0.5679012345679012</v>
      </c>
      <c r="G100" s="186">
        <v>0.98</v>
      </c>
      <c r="H100" s="52">
        <f>E100</f>
        <v>0.4320987654320988</v>
      </c>
      <c r="I100" s="454"/>
      <c r="J100" s="56">
        <v>42727</v>
      </c>
      <c r="K100" s="247" t="s">
        <v>46</v>
      </c>
      <c r="L100" s="51"/>
      <c r="M100" s="286"/>
      <c r="N100" s="319"/>
      <c r="O100" s="319"/>
      <c r="P100" s="324"/>
      <c r="Q100" s="319"/>
      <c r="R100" s="319"/>
      <c r="S100" s="324"/>
      <c r="T100" s="319"/>
      <c r="U100" s="138"/>
      <c r="V100" s="324"/>
      <c r="W100" s="325"/>
      <c r="X100" s="138"/>
      <c r="Y100" s="324"/>
      <c r="Z100" s="325"/>
      <c r="AA100" s="138"/>
      <c r="AB100" s="324"/>
      <c r="AC100" s="325"/>
      <c r="AD100" s="138"/>
      <c r="AE100" s="324"/>
      <c r="AF100" s="325"/>
      <c r="AG100" s="138"/>
      <c r="AH100" s="324"/>
      <c r="AI100" s="455"/>
      <c r="AJ100" s="456"/>
      <c r="AK100" s="457"/>
      <c r="AL100" s="455"/>
      <c r="AM100" s="456"/>
      <c r="AN100" s="457"/>
      <c r="AO100" s="455"/>
      <c r="AP100" s="456"/>
      <c r="AQ100" s="457"/>
      <c r="AR100" s="455"/>
      <c r="AS100" s="456"/>
      <c r="AT100" s="457"/>
      <c r="AU100" s="455"/>
      <c r="AV100" s="456"/>
      <c r="AW100" s="457"/>
      <c r="AX100" s="455"/>
      <c r="AY100" s="456"/>
      <c r="AZ100" s="457"/>
      <c r="BA100" s="455"/>
      <c r="BB100" s="456"/>
      <c r="BC100" s="457"/>
      <c r="BD100" s="455"/>
      <c r="BE100" s="456"/>
      <c r="BF100" s="457"/>
      <c r="BG100" s="455"/>
      <c r="BH100" s="456"/>
      <c r="BI100" s="457"/>
      <c r="BJ100" s="455"/>
      <c r="BK100" s="456"/>
      <c r="BL100" s="457"/>
      <c r="BM100" s="455"/>
      <c r="BN100" s="456"/>
      <c r="BO100" s="457"/>
      <c r="BP100" s="455"/>
      <c r="BQ100" s="456"/>
      <c r="BR100" s="457"/>
      <c r="BS100" s="455"/>
      <c r="BT100" s="456"/>
      <c r="BU100" s="457"/>
      <c r="BV100" s="455"/>
      <c r="BW100" s="456"/>
      <c r="BX100" s="457"/>
      <c r="BY100" s="455"/>
      <c r="BZ100" s="456"/>
      <c r="CA100" s="457"/>
      <c r="CB100" s="455"/>
      <c r="CC100" s="456"/>
      <c r="CD100" s="457"/>
      <c r="CE100" s="455"/>
      <c r="CF100" s="456"/>
      <c r="CG100" s="457"/>
      <c r="CH100" s="455"/>
      <c r="CI100" s="456"/>
      <c r="CJ100" s="457"/>
      <c r="CK100" s="455"/>
      <c r="CL100" s="456"/>
      <c r="CM100" s="457"/>
      <c r="CN100" s="455"/>
      <c r="CO100" s="456"/>
      <c r="CP100" s="457"/>
      <c r="CQ100" s="455"/>
      <c r="CR100" s="456"/>
      <c r="CS100" s="457"/>
      <c r="CT100" s="455"/>
      <c r="CU100" s="456"/>
      <c r="CV100" s="457"/>
      <c r="CW100" s="325"/>
    </row>
    <row r="101" spans="1:101" ht="15.75" customHeight="1" x14ac:dyDescent="0.25">
      <c r="A101" s="502"/>
      <c r="B101" s="134" t="s">
        <v>48</v>
      </c>
      <c r="C101" s="66" t="s">
        <v>38</v>
      </c>
      <c r="D101" s="70">
        <v>8.1</v>
      </c>
      <c r="E101" s="70">
        <f>7+O101+R101+U101+X101+AA101+AD101+AG101+AJ101+AM101+AP101+AS101+AV101+AY101+BB101+BE101+BH101+BK101+BN101+BQ101+BT101+BW101+BZ101+CC101+CF101+CI101+CL101+CO101+CR101+CU101</f>
        <v>7</v>
      </c>
      <c r="F101" s="70">
        <f t="shared" si="17"/>
        <v>1.0999999999999996</v>
      </c>
      <c r="G101" s="458"/>
      <c r="H101" s="46">
        <f t="shared" ref="H101:H102" si="101">E101/D101</f>
        <v>0.86419753086419759</v>
      </c>
      <c r="I101" s="83"/>
      <c r="J101" s="74"/>
      <c r="K101" s="66"/>
      <c r="L101" s="141">
        <v>1</v>
      </c>
      <c r="M101" s="142">
        <v>1</v>
      </c>
      <c r="N101" s="144"/>
      <c r="O101" s="144"/>
      <c r="P101" s="462"/>
      <c r="Q101" s="144"/>
      <c r="R101" s="144"/>
      <c r="S101" s="462"/>
      <c r="T101" s="144"/>
      <c r="U101" s="460"/>
      <c r="V101" s="462"/>
      <c r="W101" s="461"/>
      <c r="X101" s="460"/>
      <c r="Y101" s="462"/>
      <c r="Z101" s="461"/>
      <c r="AA101" s="460"/>
      <c r="AB101" s="462"/>
      <c r="AC101" s="461"/>
      <c r="AD101" s="460"/>
      <c r="AE101" s="462"/>
      <c r="AF101" s="461"/>
      <c r="AG101" s="460"/>
      <c r="AH101" s="462"/>
      <c r="AI101" s="463"/>
      <c r="AJ101" s="464"/>
      <c r="AK101" s="465"/>
      <c r="AL101" s="463"/>
      <c r="AM101" s="464"/>
      <c r="AN101" s="465"/>
      <c r="AO101" s="463"/>
      <c r="AP101" s="464"/>
      <c r="AQ101" s="465"/>
      <c r="AR101" s="463"/>
      <c r="AS101" s="464"/>
      <c r="AT101" s="465"/>
      <c r="AU101" s="463"/>
      <c r="AV101" s="464"/>
      <c r="AW101" s="465"/>
      <c r="AX101" s="463"/>
      <c r="AY101" s="464"/>
      <c r="AZ101" s="465"/>
      <c r="BA101" s="463"/>
      <c r="BB101" s="464"/>
      <c r="BC101" s="465"/>
      <c r="BD101" s="463"/>
      <c r="BE101" s="464"/>
      <c r="BF101" s="465"/>
      <c r="BG101" s="463"/>
      <c r="BH101" s="464"/>
      <c r="BI101" s="465"/>
      <c r="BJ101" s="463"/>
      <c r="BK101" s="464"/>
      <c r="BL101" s="465"/>
      <c r="BM101" s="463"/>
      <c r="BN101" s="464"/>
      <c r="BO101" s="465"/>
      <c r="BP101" s="463"/>
      <c r="BQ101" s="464"/>
      <c r="BR101" s="465"/>
      <c r="BS101" s="469">
        <v>0.5</v>
      </c>
      <c r="BT101" s="464"/>
      <c r="BU101" s="465"/>
      <c r="BV101" s="469">
        <v>0.5</v>
      </c>
      <c r="BW101" s="464"/>
      <c r="BX101" s="465"/>
      <c r="BY101" s="469">
        <v>0.1</v>
      </c>
      <c r="BZ101" s="464"/>
      <c r="CA101" s="465"/>
      <c r="CB101" s="463"/>
      <c r="CC101" s="464"/>
      <c r="CD101" s="465"/>
      <c r="CE101" s="463"/>
      <c r="CF101" s="464"/>
      <c r="CG101" s="465"/>
      <c r="CH101" s="463"/>
      <c r="CI101" s="464"/>
      <c r="CJ101" s="465"/>
      <c r="CK101" s="463"/>
      <c r="CL101" s="464"/>
      <c r="CM101" s="465"/>
      <c r="CN101" s="463"/>
      <c r="CO101" s="464"/>
      <c r="CP101" s="465"/>
      <c r="CQ101" s="463"/>
      <c r="CR101" s="464"/>
      <c r="CS101" s="465"/>
      <c r="CT101" s="463"/>
      <c r="CU101" s="464"/>
      <c r="CV101" s="465"/>
      <c r="CW101" s="314"/>
    </row>
    <row r="102" spans="1:101" ht="15.75" customHeight="1" x14ac:dyDescent="0.25">
      <c r="A102" s="503"/>
      <c r="B102" s="134" t="s">
        <v>50</v>
      </c>
      <c r="C102" s="66" t="s">
        <v>41</v>
      </c>
      <c r="D102" s="66">
        <v>26</v>
      </c>
      <c r="E102" s="108">
        <f>O102+R102+U102+X102+AA102+AD102+AG102+AJ102+AM102+AP102+AS102+AV102+AY102+BB102+BE102+BH102+BK102+BN102+BQ102+BT102+BW102+BZ102+CC102+CF102+CI102+CL102+CO102+CR102+CU102</f>
        <v>0</v>
      </c>
      <c r="F102" s="108">
        <f t="shared" si="17"/>
        <v>26</v>
      </c>
      <c r="G102" s="458"/>
      <c r="H102" s="46">
        <f t="shared" si="101"/>
        <v>0</v>
      </c>
      <c r="I102" s="83"/>
      <c r="J102" s="74"/>
      <c r="K102" s="66"/>
      <c r="L102" s="141">
        <v>1</v>
      </c>
      <c r="M102" s="142">
        <v>1</v>
      </c>
      <c r="N102" s="144"/>
      <c r="O102" s="144"/>
      <c r="P102" s="462"/>
      <c r="Q102" s="144"/>
      <c r="R102" s="144"/>
      <c r="S102" s="462"/>
      <c r="T102" s="144"/>
      <c r="U102" s="460"/>
      <c r="V102" s="462"/>
      <c r="W102" s="461"/>
      <c r="X102" s="460"/>
      <c r="Y102" s="462"/>
      <c r="Z102" s="461"/>
      <c r="AA102" s="460"/>
      <c r="AB102" s="462"/>
      <c r="AC102" s="461"/>
      <c r="AD102" s="460"/>
      <c r="AE102" s="462"/>
      <c r="AF102" s="461"/>
      <c r="AG102" s="460"/>
      <c r="AH102" s="462"/>
      <c r="AI102" s="463"/>
      <c r="AJ102" s="464"/>
      <c r="AK102" s="465"/>
      <c r="AL102" s="463"/>
      <c r="AM102" s="464"/>
      <c r="AN102" s="465"/>
      <c r="AO102" s="463"/>
      <c r="AP102" s="464"/>
      <c r="AQ102" s="465"/>
      <c r="AR102" s="463"/>
      <c r="AS102" s="464"/>
      <c r="AT102" s="465"/>
      <c r="AU102" s="463"/>
      <c r="AV102" s="464"/>
      <c r="AW102" s="465"/>
      <c r="AX102" s="463"/>
      <c r="AY102" s="464"/>
      <c r="AZ102" s="465"/>
      <c r="BA102" s="463"/>
      <c r="BB102" s="464"/>
      <c r="BC102" s="465"/>
      <c r="BD102" s="463"/>
      <c r="BE102" s="464"/>
      <c r="BF102" s="465"/>
      <c r="BG102" s="463"/>
      <c r="BH102" s="464"/>
      <c r="BI102" s="465"/>
      <c r="BJ102" s="463"/>
      <c r="BK102" s="464"/>
      <c r="BL102" s="465"/>
      <c r="BM102" s="463"/>
      <c r="BN102" s="464"/>
      <c r="BO102" s="465"/>
      <c r="BP102" s="463"/>
      <c r="BQ102" s="464"/>
      <c r="BR102" s="465"/>
      <c r="BS102" s="470">
        <v>4</v>
      </c>
      <c r="BT102" s="464"/>
      <c r="BU102" s="465"/>
      <c r="BV102" s="470">
        <v>4</v>
      </c>
      <c r="BW102" s="464"/>
      <c r="BX102" s="465"/>
      <c r="BY102" s="470">
        <v>4</v>
      </c>
      <c r="BZ102" s="464"/>
      <c r="CA102" s="465"/>
      <c r="CB102" s="470">
        <v>4</v>
      </c>
      <c r="CC102" s="464"/>
      <c r="CD102" s="465"/>
      <c r="CE102" s="470">
        <v>4</v>
      </c>
      <c r="CF102" s="464"/>
      <c r="CG102" s="465"/>
      <c r="CH102" s="470">
        <v>4</v>
      </c>
      <c r="CI102" s="464"/>
      <c r="CJ102" s="465"/>
      <c r="CK102" s="470">
        <v>4</v>
      </c>
      <c r="CL102" s="464"/>
      <c r="CM102" s="465"/>
      <c r="CN102" s="470">
        <v>4</v>
      </c>
      <c r="CO102" s="464"/>
      <c r="CP102" s="465"/>
      <c r="CQ102" s="470">
        <v>4</v>
      </c>
      <c r="CR102" s="464"/>
      <c r="CS102" s="465"/>
      <c r="CT102" s="470">
        <v>4</v>
      </c>
      <c r="CU102" s="464"/>
      <c r="CV102" s="465"/>
      <c r="CW102" s="314"/>
    </row>
    <row r="103" spans="1:101" ht="15.75" customHeight="1" x14ac:dyDescent="0.25">
      <c r="A103" s="501" t="s">
        <v>103</v>
      </c>
      <c r="B103" s="204" t="s">
        <v>122</v>
      </c>
      <c r="C103" s="51" t="s">
        <v>18</v>
      </c>
      <c r="D103" s="52">
        <v>1</v>
      </c>
      <c r="E103" s="477">
        <f>(H104+H105)/2</f>
        <v>0.48333333333333328</v>
      </c>
      <c r="F103" s="53">
        <f t="shared" si="17"/>
        <v>0.51666666666666672</v>
      </c>
      <c r="G103" s="186">
        <v>0.8</v>
      </c>
      <c r="H103" s="52">
        <f>E103</f>
        <v>0.48333333333333328</v>
      </c>
      <c r="I103" s="454"/>
      <c r="J103" s="56">
        <v>42727</v>
      </c>
      <c r="K103" s="247" t="s">
        <v>46</v>
      </c>
      <c r="L103" s="51"/>
      <c r="M103" s="286"/>
      <c r="N103" s="319"/>
      <c r="O103" s="319"/>
      <c r="P103" s="324"/>
      <c r="Q103" s="319"/>
      <c r="R103" s="319"/>
      <c r="S103" s="324"/>
      <c r="T103" s="319"/>
      <c r="U103" s="138"/>
      <c r="V103" s="324"/>
      <c r="W103" s="325"/>
      <c r="X103" s="138"/>
      <c r="Y103" s="324"/>
      <c r="Z103" s="325"/>
      <c r="AA103" s="138"/>
      <c r="AB103" s="324"/>
      <c r="AC103" s="325"/>
      <c r="AD103" s="138"/>
      <c r="AE103" s="324"/>
      <c r="AF103" s="325"/>
      <c r="AG103" s="138"/>
      <c r="AH103" s="324"/>
      <c r="AI103" s="455"/>
      <c r="AJ103" s="456"/>
      <c r="AK103" s="457"/>
      <c r="AL103" s="455"/>
      <c r="AM103" s="456"/>
      <c r="AN103" s="457"/>
      <c r="AO103" s="455"/>
      <c r="AP103" s="456"/>
      <c r="AQ103" s="457"/>
      <c r="AR103" s="455"/>
      <c r="AS103" s="456"/>
      <c r="AT103" s="457"/>
      <c r="AU103" s="455"/>
      <c r="AV103" s="456"/>
      <c r="AW103" s="457"/>
      <c r="AX103" s="455"/>
      <c r="AY103" s="456"/>
      <c r="AZ103" s="457"/>
      <c r="BA103" s="455"/>
      <c r="BB103" s="456"/>
      <c r="BC103" s="457"/>
      <c r="BD103" s="455"/>
      <c r="BE103" s="456"/>
      <c r="BF103" s="457"/>
      <c r="BG103" s="455"/>
      <c r="BH103" s="456"/>
      <c r="BI103" s="457"/>
      <c r="BJ103" s="455"/>
      <c r="BK103" s="456"/>
      <c r="BL103" s="457"/>
      <c r="BM103" s="455"/>
      <c r="BN103" s="456"/>
      <c r="BO103" s="457"/>
      <c r="BP103" s="455"/>
      <c r="BQ103" s="456"/>
      <c r="BR103" s="457"/>
      <c r="BS103" s="455"/>
      <c r="BT103" s="456"/>
      <c r="BU103" s="457"/>
      <c r="BV103" s="455"/>
      <c r="BW103" s="456"/>
      <c r="BX103" s="457"/>
      <c r="BY103" s="455"/>
      <c r="BZ103" s="456"/>
      <c r="CA103" s="457"/>
      <c r="CB103" s="455"/>
      <c r="CC103" s="456"/>
      <c r="CD103" s="457"/>
      <c r="CE103" s="455"/>
      <c r="CF103" s="456"/>
      <c r="CG103" s="457"/>
      <c r="CH103" s="455"/>
      <c r="CI103" s="456"/>
      <c r="CJ103" s="457"/>
      <c r="CK103" s="455"/>
      <c r="CL103" s="456"/>
      <c r="CM103" s="457"/>
      <c r="CN103" s="455"/>
      <c r="CO103" s="456"/>
      <c r="CP103" s="457"/>
      <c r="CQ103" s="455"/>
      <c r="CR103" s="456"/>
      <c r="CS103" s="457"/>
      <c r="CT103" s="455"/>
      <c r="CU103" s="456"/>
      <c r="CV103" s="457"/>
      <c r="CW103" s="325"/>
    </row>
    <row r="104" spans="1:101" ht="15.75" customHeight="1" x14ac:dyDescent="0.25">
      <c r="A104" s="502"/>
      <c r="B104" s="134" t="s">
        <v>48</v>
      </c>
      <c r="C104" s="66" t="s">
        <v>38</v>
      </c>
      <c r="D104" s="70">
        <v>9</v>
      </c>
      <c r="E104" s="70">
        <f>8.5+O104+R104+U104+X104+AA104+AD104+AG104+AJ104+AM104+AP104+AS104+AV104+AY104+BB104+BE104+BH104+BK104+BN104+BQ104+BT104+BW104+BZ104+CC104+CF104+CI104+CL104+CO104+CR104+CU104</f>
        <v>8.6999999999999993</v>
      </c>
      <c r="F104" s="70">
        <f t="shared" si="17"/>
        <v>0.30000000000000071</v>
      </c>
      <c r="G104" s="458"/>
      <c r="H104" s="46">
        <f t="shared" ref="H104:H105" si="102">E104/D104</f>
        <v>0.96666666666666656</v>
      </c>
      <c r="I104" s="83"/>
      <c r="J104" s="74"/>
      <c r="K104" s="66"/>
      <c r="L104" s="141">
        <v>1</v>
      </c>
      <c r="M104" s="142">
        <v>1</v>
      </c>
      <c r="N104" s="144"/>
      <c r="O104" s="478"/>
      <c r="P104" s="292"/>
      <c r="Q104" s="144"/>
      <c r="R104" s="144"/>
      <c r="S104" s="462"/>
      <c r="T104" s="144"/>
      <c r="U104" s="460"/>
      <c r="V104" s="462"/>
      <c r="W104" s="461"/>
      <c r="X104" s="460"/>
      <c r="Y104" s="462"/>
      <c r="Z104" s="461"/>
      <c r="AA104" s="460"/>
      <c r="AB104" s="462"/>
      <c r="AC104" s="461"/>
      <c r="AD104" s="460"/>
      <c r="AE104" s="462"/>
      <c r="AF104" s="461">
        <v>0.1</v>
      </c>
      <c r="AG104" s="153">
        <v>0.1</v>
      </c>
      <c r="AH104" s="97">
        <f>AG104/AF104</f>
        <v>1</v>
      </c>
      <c r="AI104" s="164">
        <v>0.1</v>
      </c>
      <c r="AJ104" s="155">
        <v>0.1</v>
      </c>
      <c r="AK104" s="97">
        <f>AJ104/AI104</f>
        <v>1</v>
      </c>
      <c r="AL104" s="463"/>
      <c r="AM104" s="479"/>
      <c r="AN104" s="465"/>
      <c r="AO104" s="463"/>
      <c r="AP104" s="464"/>
      <c r="AQ104" s="465"/>
      <c r="AR104" s="463"/>
      <c r="AS104" s="464"/>
      <c r="AT104" s="465"/>
      <c r="AU104" s="463"/>
      <c r="AV104" s="464"/>
      <c r="AW104" s="465"/>
      <c r="AX104" s="463"/>
      <c r="AY104" s="464"/>
      <c r="AZ104" s="465"/>
      <c r="BA104" s="463"/>
      <c r="BB104" s="464"/>
      <c r="BC104" s="465"/>
      <c r="BD104" s="469">
        <v>0.1</v>
      </c>
      <c r="BE104" s="464"/>
      <c r="BF104" s="465"/>
      <c r="BG104" s="469">
        <v>0.1</v>
      </c>
      <c r="BH104" s="464"/>
      <c r="BI104" s="465"/>
      <c r="BJ104" s="469">
        <v>0.1</v>
      </c>
      <c r="BK104" s="464"/>
      <c r="BL104" s="465"/>
      <c r="BM104" s="463"/>
      <c r="BN104" s="464"/>
      <c r="BO104" s="465"/>
      <c r="BP104" s="463"/>
      <c r="BQ104" s="464"/>
      <c r="BR104" s="465"/>
      <c r="BS104" s="463"/>
      <c r="BT104" s="464"/>
      <c r="BU104" s="465"/>
      <c r="BV104" s="463"/>
      <c r="BW104" s="464"/>
      <c r="BX104" s="465"/>
      <c r="BY104" s="463"/>
      <c r="BZ104" s="464"/>
      <c r="CA104" s="465"/>
      <c r="CB104" s="463"/>
      <c r="CC104" s="464"/>
      <c r="CD104" s="465"/>
      <c r="CE104" s="463"/>
      <c r="CF104" s="464"/>
      <c r="CG104" s="465"/>
      <c r="CH104" s="463"/>
      <c r="CI104" s="464"/>
      <c r="CJ104" s="465"/>
      <c r="CK104" s="463"/>
      <c r="CL104" s="464"/>
      <c r="CM104" s="465"/>
      <c r="CN104" s="463"/>
      <c r="CO104" s="464"/>
      <c r="CP104" s="465"/>
      <c r="CQ104" s="463"/>
      <c r="CR104" s="464"/>
      <c r="CS104" s="465"/>
      <c r="CT104" s="463"/>
      <c r="CU104" s="464"/>
      <c r="CV104" s="465"/>
      <c r="CW104" s="314"/>
    </row>
    <row r="105" spans="1:101" ht="15.75" customHeight="1" x14ac:dyDescent="0.25">
      <c r="A105" s="502"/>
      <c r="B105" s="134" t="s">
        <v>50</v>
      </c>
      <c r="C105" s="66" t="s">
        <v>41</v>
      </c>
      <c r="D105" s="66">
        <v>70</v>
      </c>
      <c r="E105" s="108">
        <f>O105+R105+U105+X105+AA105+AD105+AG105+AJ105+AM105+AP105+AS105+AV105+AY105+BB105+BE105+BH105+BK105+BN105+BQ105+BT105+BW105+BZ105+CC105+CF105+CI105+CL105+CO105+CR105+CU105</f>
        <v>0</v>
      </c>
      <c r="F105" s="108">
        <f t="shared" si="17"/>
        <v>70</v>
      </c>
      <c r="G105" s="458"/>
      <c r="H105" s="46">
        <f t="shared" si="102"/>
        <v>0</v>
      </c>
      <c r="I105" s="83"/>
      <c r="J105" s="74"/>
      <c r="K105" s="66"/>
      <c r="L105" s="141">
        <v>1</v>
      </c>
      <c r="M105" s="142">
        <v>1</v>
      </c>
      <c r="N105" s="144"/>
      <c r="O105" s="144"/>
      <c r="P105" s="480"/>
      <c r="Q105" s="144"/>
      <c r="R105" s="144"/>
      <c r="S105" s="462"/>
      <c r="T105" s="144"/>
      <c r="U105" s="460"/>
      <c r="V105" s="462"/>
      <c r="W105" s="461"/>
      <c r="X105" s="460"/>
      <c r="Y105" s="462"/>
      <c r="Z105" s="461"/>
      <c r="AA105" s="460"/>
      <c r="AB105" s="462"/>
      <c r="AC105" s="461"/>
      <c r="AD105" s="460"/>
      <c r="AE105" s="462"/>
      <c r="AF105" s="461"/>
      <c r="AG105" s="460"/>
      <c r="AH105" s="462"/>
      <c r="AI105" s="463"/>
      <c r="AJ105" s="464"/>
      <c r="AK105" s="465"/>
      <c r="AL105" s="463"/>
      <c r="AM105" s="464"/>
      <c r="AN105" s="465"/>
      <c r="AO105" s="463"/>
      <c r="AP105" s="464"/>
      <c r="AQ105" s="465"/>
      <c r="AR105" s="463"/>
      <c r="AS105" s="464"/>
      <c r="AT105" s="465"/>
      <c r="AU105" s="463"/>
      <c r="AV105" s="464"/>
      <c r="AW105" s="465"/>
      <c r="AX105" s="463"/>
      <c r="AY105" s="464"/>
      <c r="AZ105" s="465"/>
      <c r="BA105" s="463"/>
      <c r="BB105" s="464"/>
      <c r="BC105" s="465"/>
      <c r="BD105" s="470">
        <v>3</v>
      </c>
      <c r="BE105" s="464"/>
      <c r="BF105" s="465"/>
      <c r="BG105" s="470">
        <v>3</v>
      </c>
      <c r="BH105" s="464"/>
      <c r="BI105" s="465"/>
      <c r="BJ105" s="470">
        <v>3</v>
      </c>
      <c r="BK105" s="464"/>
      <c r="BL105" s="465"/>
      <c r="BM105" s="470">
        <v>4</v>
      </c>
      <c r="BN105" s="464"/>
      <c r="BO105" s="465"/>
      <c r="BP105" s="470">
        <v>4</v>
      </c>
      <c r="BQ105" s="464"/>
      <c r="BR105" s="465"/>
      <c r="BS105" s="470">
        <v>4</v>
      </c>
      <c r="BT105" s="464"/>
      <c r="BU105" s="465"/>
      <c r="BV105" s="470">
        <v>7</v>
      </c>
      <c r="BW105" s="464"/>
      <c r="BX105" s="465"/>
      <c r="BY105" s="470">
        <v>7</v>
      </c>
      <c r="BZ105" s="464"/>
      <c r="CA105" s="465"/>
      <c r="CB105" s="470">
        <v>7</v>
      </c>
      <c r="CC105" s="464"/>
      <c r="CD105" s="465"/>
      <c r="CE105" s="470">
        <v>7</v>
      </c>
      <c r="CF105" s="464"/>
      <c r="CG105" s="465"/>
      <c r="CH105" s="470">
        <v>7</v>
      </c>
      <c r="CI105" s="464"/>
      <c r="CJ105" s="465"/>
      <c r="CK105" s="470">
        <v>7</v>
      </c>
      <c r="CL105" s="464"/>
      <c r="CM105" s="465"/>
      <c r="CN105" s="470">
        <v>2</v>
      </c>
      <c r="CO105" s="464"/>
      <c r="CP105" s="465"/>
      <c r="CQ105" s="470">
        <v>2</v>
      </c>
      <c r="CR105" s="464"/>
      <c r="CS105" s="465"/>
      <c r="CT105" s="470">
        <v>2</v>
      </c>
      <c r="CU105" s="464"/>
      <c r="CV105" s="465"/>
      <c r="CW105" s="314"/>
    </row>
    <row r="106" spans="1:101" ht="15.75" customHeight="1" x14ac:dyDescent="0.25">
      <c r="A106" s="501" t="s">
        <v>106</v>
      </c>
      <c r="B106" s="204" t="s">
        <v>123</v>
      </c>
      <c r="C106" s="51" t="s">
        <v>18</v>
      </c>
      <c r="D106" s="52">
        <v>1</v>
      </c>
      <c r="E106" s="477">
        <f>(H107+H108)/2</f>
        <v>0.27777777777777779</v>
      </c>
      <c r="F106" s="53">
        <f t="shared" si="17"/>
        <v>0.72222222222222221</v>
      </c>
      <c r="G106" s="186">
        <v>0.3</v>
      </c>
      <c r="H106" s="52">
        <f>E106</f>
        <v>0.27777777777777779</v>
      </c>
      <c r="I106" s="454"/>
      <c r="J106" s="56">
        <v>42727</v>
      </c>
      <c r="K106" s="247" t="s">
        <v>46</v>
      </c>
      <c r="L106" s="51"/>
      <c r="M106" s="286"/>
      <c r="N106" s="319"/>
      <c r="O106" s="319"/>
      <c r="P106" s="324"/>
      <c r="Q106" s="319"/>
      <c r="R106" s="319"/>
      <c r="S106" s="324"/>
      <c r="T106" s="319"/>
      <c r="U106" s="138"/>
      <c r="V106" s="324"/>
      <c r="W106" s="325"/>
      <c r="X106" s="138"/>
      <c r="Y106" s="324"/>
      <c r="Z106" s="325"/>
      <c r="AA106" s="138"/>
      <c r="AB106" s="324"/>
      <c r="AC106" s="325"/>
      <c r="AD106" s="138"/>
      <c r="AE106" s="324"/>
      <c r="AF106" s="325"/>
      <c r="AG106" s="138"/>
      <c r="AH106" s="324"/>
      <c r="AI106" s="325"/>
      <c r="AJ106" s="138"/>
      <c r="AK106" s="324"/>
      <c r="AL106" s="325"/>
      <c r="AM106" s="138"/>
      <c r="AN106" s="324"/>
      <c r="AO106" s="325"/>
      <c r="AP106" s="138"/>
      <c r="AQ106" s="324"/>
      <c r="AR106" s="325"/>
      <c r="AS106" s="138"/>
      <c r="AT106" s="324"/>
      <c r="AU106" s="325"/>
      <c r="AV106" s="138"/>
      <c r="AW106" s="324"/>
      <c r="AX106" s="325"/>
      <c r="AY106" s="138"/>
      <c r="AZ106" s="324"/>
      <c r="BA106" s="325"/>
      <c r="BB106" s="138"/>
      <c r="BC106" s="324"/>
      <c r="BD106" s="325"/>
      <c r="BE106" s="138"/>
      <c r="BF106" s="324"/>
      <c r="BG106" s="325"/>
      <c r="BH106" s="138"/>
      <c r="BI106" s="324"/>
      <c r="BJ106" s="325"/>
      <c r="BK106" s="138"/>
      <c r="BL106" s="324"/>
      <c r="BM106" s="325"/>
      <c r="BN106" s="138"/>
      <c r="BO106" s="324"/>
      <c r="BP106" s="325"/>
      <c r="BQ106" s="138"/>
      <c r="BR106" s="324"/>
      <c r="BS106" s="325"/>
      <c r="BT106" s="138"/>
      <c r="BU106" s="324"/>
      <c r="BV106" s="325"/>
      <c r="BW106" s="138"/>
      <c r="BX106" s="324"/>
      <c r="BY106" s="325"/>
      <c r="BZ106" s="138"/>
      <c r="CA106" s="324"/>
      <c r="CB106" s="325"/>
      <c r="CC106" s="138"/>
      <c r="CD106" s="324"/>
      <c r="CE106" s="325"/>
      <c r="CF106" s="138"/>
      <c r="CG106" s="324"/>
      <c r="CH106" s="325"/>
      <c r="CI106" s="138"/>
      <c r="CJ106" s="324"/>
      <c r="CK106" s="325"/>
      <c r="CL106" s="138"/>
      <c r="CM106" s="324"/>
      <c r="CN106" s="325"/>
      <c r="CO106" s="138"/>
      <c r="CP106" s="324"/>
      <c r="CQ106" s="325"/>
      <c r="CR106" s="138"/>
      <c r="CS106" s="324"/>
      <c r="CT106" s="325"/>
      <c r="CU106" s="138"/>
      <c r="CV106" s="324"/>
      <c r="CW106" s="325"/>
    </row>
    <row r="107" spans="1:101" ht="15.75" customHeight="1" x14ac:dyDescent="0.25">
      <c r="A107" s="502"/>
      <c r="B107" s="134" t="s">
        <v>48</v>
      </c>
      <c r="C107" s="66" t="s">
        <v>38</v>
      </c>
      <c r="D107" s="70">
        <v>7.2</v>
      </c>
      <c r="E107" s="164">
        <v>4</v>
      </c>
      <c r="F107" s="70">
        <f t="shared" si="17"/>
        <v>3.2</v>
      </c>
      <c r="G107" s="458"/>
      <c r="H107" s="46">
        <f t="shared" ref="H107:H108" si="103">E107/D107</f>
        <v>0.55555555555555558</v>
      </c>
      <c r="I107" s="83">
        <f>AP107/D107</f>
        <v>1.388888888888889E-2</v>
      </c>
      <c r="J107" s="481"/>
      <c r="K107" s="66"/>
      <c r="L107" s="141">
        <v>1</v>
      </c>
      <c r="M107" s="142">
        <v>1</v>
      </c>
      <c r="N107" s="144"/>
      <c r="O107" s="144"/>
      <c r="P107" s="462"/>
      <c r="Q107" s="144"/>
      <c r="R107" s="144"/>
      <c r="S107" s="462"/>
      <c r="T107" s="144"/>
      <c r="U107" s="460"/>
      <c r="V107" s="462"/>
      <c r="W107" s="461"/>
      <c r="X107" s="460"/>
      <c r="Y107" s="462"/>
      <c r="Z107" s="461"/>
      <c r="AA107" s="460"/>
      <c r="AB107" s="462"/>
      <c r="AC107" s="461"/>
      <c r="AD107" s="460"/>
      <c r="AE107" s="462"/>
      <c r="AF107" s="461">
        <v>0.1</v>
      </c>
      <c r="AG107" s="153">
        <v>0.1</v>
      </c>
      <c r="AH107" s="97">
        <f>AG107/AF107</f>
        <v>1</v>
      </c>
      <c r="AI107" s="164">
        <v>0.1</v>
      </c>
      <c r="AJ107" s="155">
        <v>0.1</v>
      </c>
      <c r="AK107" s="97">
        <f>AJ107/AI107</f>
        <v>1</v>
      </c>
      <c r="AL107" s="482">
        <v>0.2</v>
      </c>
      <c r="AM107" s="155">
        <v>0.2</v>
      </c>
      <c r="AN107" s="97">
        <f>AM107/AL107</f>
        <v>1</v>
      </c>
      <c r="AO107" s="482">
        <v>0.1</v>
      </c>
      <c r="AP107" s="397">
        <v>0.1</v>
      </c>
      <c r="AQ107" s="97">
        <f>AP107/AO107</f>
        <v>1</v>
      </c>
      <c r="AR107" s="482">
        <v>0.1</v>
      </c>
      <c r="AS107" s="460"/>
      <c r="AT107" s="462"/>
      <c r="AU107" s="482">
        <v>0.1</v>
      </c>
      <c r="AV107" s="460"/>
      <c r="AW107" s="462"/>
      <c r="AX107" s="482">
        <v>0.1</v>
      </c>
      <c r="AY107" s="460"/>
      <c r="AZ107" s="462"/>
      <c r="BA107" s="482">
        <v>0.1</v>
      </c>
      <c r="BB107" s="460"/>
      <c r="BC107" s="462"/>
      <c r="BD107" s="482">
        <v>0.1</v>
      </c>
      <c r="BE107" s="460"/>
      <c r="BF107" s="462"/>
      <c r="BG107" s="482">
        <v>0.1</v>
      </c>
      <c r="BH107" s="460"/>
      <c r="BI107" s="462"/>
      <c r="BJ107" s="482">
        <v>0.1</v>
      </c>
      <c r="BK107" s="460"/>
      <c r="BL107" s="462"/>
      <c r="BM107" s="482">
        <v>0.1</v>
      </c>
      <c r="BN107" s="460"/>
      <c r="BO107" s="462"/>
      <c r="BP107" s="482">
        <v>0.1</v>
      </c>
      <c r="BQ107" s="460"/>
      <c r="BR107" s="462"/>
      <c r="BS107" s="482">
        <v>0.1</v>
      </c>
      <c r="BT107" s="460"/>
      <c r="BU107" s="462"/>
      <c r="BV107" s="482">
        <v>0.1</v>
      </c>
      <c r="BW107" s="460"/>
      <c r="BX107" s="462"/>
      <c r="BY107" s="482">
        <v>0.1</v>
      </c>
      <c r="BZ107" s="460"/>
      <c r="CA107" s="462"/>
      <c r="CB107" s="482">
        <v>0.1</v>
      </c>
      <c r="CC107" s="460"/>
      <c r="CD107" s="462"/>
      <c r="CE107" s="482">
        <v>0.1</v>
      </c>
      <c r="CF107" s="460"/>
      <c r="CG107" s="462"/>
      <c r="CH107" s="482">
        <v>0.1</v>
      </c>
      <c r="CI107" s="460"/>
      <c r="CJ107" s="462"/>
      <c r="CK107" s="482">
        <v>0.1</v>
      </c>
      <c r="CL107" s="460"/>
      <c r="CM107" s="462"/>
      <c r="CN107" s="482">
        <v>0.1</v>
      </c>
      <c r="CO107" s="460"/>
      <c r="CP107" s="462"/>
      <c r="CQ107" s="482">
        <v>0.1</v>
      </c>
      <c r="CR107" s="460"/>
      <c r="CS107" s="462"/>
      <c r="CT107" s="482">
        <v>0.1</v>
      </c>
      <c r="CU107" s="460"/>
      <c r="CV107" s="462"/>
      <c r="CW107" s="461"/>
    </row>
    <row r="108" spans="1:101" ht="15.75" customHeight="1" x14ac:dyDescent="0.25">
      <c r="A108" s="503"/>
      <c r="B108" s="134" t="s">
        <v>50</v>
      </c>
      <c r="C108" s="66" t="s">
        <v>41</v>
      </c>
      <c r="D108" s="66">
        <v>608</v>
      </c>
      <c r="E108" s="108">
        <f>+O108+R108+U108+X108+AA108+AD108+AG108+AJ108+AM108+AP108+AS108+AV108+AY108+BB108+BE108+BH108+BK108+BN108+BQ108+BT108+BW108+BZ108+CC108+CF108+CI108+CL108+CO108+CR108+CU108</f>
        <v>0</v>
      </c>
      <c r="F108" s="108">
        <f t="shared" si="17"/>
        <v>608</v>
      </c>
      <c r="G108" s="458"/>
      <c r="H108" s="46">
        <f t="shared" si="103"/>
        <v>0</v>
      </c>
      <c r="I108" s="83"/>
      <c r="J108" s="481"/>
      <c r="K108" s="66"/>
      <c r="L108" s="141">
        <v>1</v>
      </c>
      <c r="M108" s="142">
        <v>1</v>
      </c>
      <c r="N108" s="144"/>
      <c r="O108" s="144"/>
      <c r="P108" s="462"/>
      <c r="Q108" s="144"/>
      <c r="R108" s="144"/>
      <c r="S108" s="462"/>
      <c r="T108" s="144"/>
      <c r="U108" s="460"/>
      <c r="V108" s="462"/>
      <c r="W108" s="461"/>
      <c r="X108" s="460"/>
      <c r="Y108" s="462"/>
      <c r="Z108" s="461"/>
      <c r="AA108" s="460"/>
      <c r="AB108" s="462"/>
      <c r="AC108" s="461"/>
      <c r="AD108" s="460"/>
      <c r="AE108" s="462"/>
      <c r="AF108" s="461"/>
      <c r="AG108" s="153"/>
      <c r="AH108" s="97"/>
      <c r="AI108" s="461"/>
      <c r="AJ108" s="460"/>
      <c r="AK108" s="462"/>
      <c r="AL108" s="461"/>
      <c r="AM108" s="460"/>
      <c r="AN108" s="462"/>
      <c r="AO108" s="461"/>
      <c r="AP108" s="460"/>
      <c r="AQ108" s="462"/>
      <c r="AR108" s="461"/>
      <c r="AS108" s="460"/>
      <c r="AT108" s="462"/>
      <c r="AU108" s="461"/>
      <c r="AV108" s="460"/>
      <c r="AW108" s="462"/>
      <c r="AX108" s="461"/>
      <c r="AY108" s="460"/>
      <c r="AZ108" s="462"/>
      <c r="BA108" s="461"/>
      <c r="BB108" s="460"/>
      <c r="BC108" s="462"/>
      <c r="BD108" s="461"/>
      <c r="BE108" s="460"/>
      <c r="BF108" s="462"/>
      <c r="BG108" s="461"/>
      <c r="BH108" s="460"/>
      <c r="BI108" s="462"/>
      <c r="BJ108" s="461"/>
      <c r="BK108" s="460"/>
      <c r="BL108" s="462"/>
      <c r="BM108" s="461"/>
      <c r="BN108" s="460"/>
      <c r="BO108" s="462"/>
      <c r="BP108" s="461"/>
      <c r="BQ108" s="460"/>
      <c r="BR108" s="462"/>
      <c r="BS108" s="483">
        <v>8</v>
      </c>
      <c r="BT108" s="460"/>
      <c r="BU108" s="462"/>
      <c r="BV108" s="483">
        <v>8</v>
      </c>
      <c r="BW108" s="460"/>
      <c r="BX108" s="462"/>
      <c r="BY108" s="483">
        <v>8</v>
      </c>
      <c r="BZ108" s="460"/>
      <c r="CA108" s="462"/>
      <c r="CB108" s="483">
        <v>12</v>
      </c>
      <c r="CC108" s="460"/>
      <c r="CD108" s="462"/>
      <c r="CE108" s="483">
        <v>12</v>
      </c>
      <c r="CF108" s="460"/>
      <c r="CG108" s="462"/>
      <c r="CH108" s="483">
        <v>12</v>
      </c>
      <c r="CI108" s="460"/>
      <c r="CJ108" s="462"/>
      <c r="CK108" s="483">
        <v>12</v>
      </c>
      <c r="CL108" s="460"/>
      <c r="CM108" s="462"/>
      <c r="CN108" s="483">
        <v>12</v>
      </c>
      <c r="CO108" s="460"/>
      <c r="CP108" s="462"/>
      <c r="CQ108" s="483">
        <v>12</v>
      </c>
      <c r="CR108" s="460"/>
      <c r="CS108" s="462"/>
      <c r="CT108" s="483">
        <v>12</v>
      </c>
      <c r="CU108" s="460"/>
      <c r="CV108" s="462"/>
      <c r="CW108" s="461"/>
    </row>
    <row r="109" spans="1:101" ht="15.75" customHeight="1" x14ac:dyDescent="0.25">
      <c r="A109" s="501" t="s">
        <v>109</v>
      </c>
      <c r="B109" s="135" t="s">
        <v>60</v>
      </c>
      <c r="C109" s="51" t="s">
        <v>18</v>
      </c>
      <c r="D109" s="52">
        <v>1</v>
      </c>
      <c r="E109" s="477">
        <f>(H110+H111)/2</f>
        <v>0.56198355907658237</v>
      </c>
      <c r="F109" s="53">
        <f t="shared" si="17"/>
        <v>0.43801644092341763</v>
      </c>
      <c r="G109" s="186">
        <v>0.95</v>
      </c>
      <c r="H109" s="52">
        <f>E109</f>
        <v>0.56198355907658237</v>
      </c>
      <c r="I109" s="55"/>
      <c r="J109" s="56">
        <v>42727</v>
      </c>
      <c r="K109" s="247" t="s">
        <v>61</v>
      </c>
      <c r="L109" s="51"/>
      <c r="M109" s="286"/>
      <c r="N109" s="319"/>
      <c r="O109" s="319"/>
      <c r="P109" s="324"/>
      <c r="Q109" s="319"/>
      <c r="R109" s="319"/>
      <c r="S109" s="324"/>
      <c r="T109" s="319"/>
      <c r="U109" s="138"/>
      <c r="V109" s="324"/>
      <c r="W109" s="325"/>
      <c r="X109" s="138"/>
      <c r="Y109" s="324"/>
      <c r="Z109" s="325"/>
      <c r="AA109" s="138"/>
      <c r="AB109" s="324"/>
      <c r="AC109" s="325"/>
      <c r="AD109" s="138"/>
      <c r="AE109" s="324"/>
      <c r="AF109" s="325"/>
      <c r="AG109" s="138"/>
      <c r="AH109" s="324"/>
      <c r="AI109" s="325"/>
      <c r="AJ109" s="138"/>
      <c r="AK109" s="324"/>
      <c r="AL109" s="325"/>
      <c r="AM109" s="138"/>
      <c r="AN109" s="324"/>
      <c r="AO109" s="325"/>
      <c r="AP109" s="138"/>
      <c r="AQ109" s="324"/>
      <c r="AR109" s="325"/>
      <c r="AS109" s="138"/>
      <c r="AT109" s="324"/>
      <c r="AU109" s="325"/>
      <c r="AV109" s="138"/>
      <c r="AW109" s="324"/>
      <c r="AX109" s="325"/>
      <c r="AY109" s="138"/>
      <c r="AZ109" s="324"/>
      <c r="BA109" s="325"/>
      <c r="BB109" s="138"/>
      <c r="BC109" s="324"/>
      <c r="BD109" s="325"/>
      <c r="BE109" s="138"/>
      <c r="BF109" s="324"/>
      <c r="BG109" s="325"/>
      <c r="BH109" s="138"/>
      <c r="BI109" s="324"/>
      <c r="BJ109" s="325"/>
      <c r="BK109" s="138"/>
      <c r="BL109" s="324"/>
      <c r="BM109" s="325"/>
      <c r="BN109" s="138"/>
      <c r="BO109" s="324"/>
      <c r="BP109" s="325"/>
      <c r="BQ109" s="138"/>
      <c r="BR109" s="324"/>
      <c r="BS109" s="484"/>
      <c r="BT109" s="138"/>
      <c r="BU109" s="324"/>
      <c r="BV109" s="484"/>
      <c r="BW109" s="138"/>
      <c r="BX109" s="324"/>
      <c r="BY109" s="484"/>
      <c r="BZ109" s="138"/>
      <c r="CA109" s="324"/>
      <c r="CB109" s="484"/>
      <c r="CC109" s="138"/>
      <c r="CD109" s="324"/>
      <c r="CE109" s="484"/>
      <c r="CF109" s="138"/>
      <c r="CG109" s="324"/>
      <c r="CH109" s="325"/>
      <c r="CI109" s="138"/>
      <c r="CJ109" s="324"/>
      <c r="CK109" s="484"/>
      <c r="CL109" s="138"/>
      <c r="CM109" s="324"/>
      <c r="CN109" s="484"/>
      <c r="CO109" s="138"/>
      <c r="CP109" s="324"/>
      <c r="CQ109" s="325"/>
      <c r="CR109" s="138"/>
      <c r="CS109" s="324"/>
      <c r="CT109" s="325"/>
      <c r="CU109" s="138"/>
      <c r="CV109" s="324"/>
      <c r="CW109" s="325"/>
    </row>
    <row r="110" spans="1:101" ht="15.75" customHeight="1" x14ac:dyDescent="0.25">
      <c r="A110" s="502"/>
      <c r="B110" s="134" t="s">
        <v>48</v>
      </c>
      <c r="C110" s="66" t="s">
        <v>38</v>
      </c>
      <c r="D110" s="164">
        <v>1.365</v>
      </c>
      <c r="E110" s="70">
        <f>O110+R110+U110+X110+AA110+AD110+AG110+AJ110+AM110+AP110+AS110+AV110+AY110+BB110+BE110+BH110+BK110+BN110+BQ110+BT110+BW110+BZ110+CC110+CF110+CI110+CL110+CO110+CR110+CU110</f>
        <v>0.32</v>
      </c>
      <c r="F110" s="70">
        <f t="shared" si="17"/>
        <v>1.0449999999999999</v>
      </c>
      <c r="G110" s="458"/>
      <c r="H110" s="46">
        <f t="shared" ref="H110:H111" si="104">E110/D110</f>
        <v>0.23443223443223443</v>
      </c>
      <c r="I110" s="83"/>
      <c r="J110" s="74"/>
      <c r="K110" s="80"/>
      <c r="L110" s="141">
        <v>7</v>
      </c>
      <c r="M110" s="142">
        <v>7</v>
      </c>
      <c r="N110" s="144">
        <v>0.1</v>
      </c>
      <c r="O110" s="144">
        <v>0.1</v>
      </c>
      <c r="P110" s="97">
        <f t="shared" ref="P110:P111" si="105">O110/N110</f>
        <v>1</v>
      </c>
      <c r="Q110" s="144">
        <v>0.1</v>
      </c>
      <c r="R110" s="144">
        <v>0.1</v>
      </c>
      <c r="S110" s="221">
        <f t="shared" ref="S110:S111" si="106">R110*100/Q110</f>
        <v>100</v>
      </c>
      <c r="T110" s="144">
        <v>0.12</v>
      </c>
      <c r="U110" s="153">
        <v>0.12</v>
      </c>
      <c r="V110" s="462"/>
      <c r="W110" s="461"/>
      <c r="X110" s="460"/>
      <c r="Y110" s="462"/>
      <c r="Z110" s="461"/>
      <c r="AA110" s="460"/>
      <c r="AB110" s="462"/>
      <c r="AC110" s="461"/>
      <c r="AD110" s="460"/>
      <c r="AE110" s="462"/>
      <c r="AF110" s="461"/>
      <c r="AG110" s="460"/>
      <c r="AH110" s="462"/>
      <c r="AI110" s="461"/>
      <c r="AJ110" s="460"/>
      <c r="AK110" s="462"/>
      <c r="AL110" s="461"/>
      <c r="AM110" s="460"/>
      <c r="AN110" s="462"/>
      <c r="AO110" s="461"/>
      <c r="AP110" s="460"/>
      <c r="AQ110" s="462"/>
      <c r="AR110" s="461"/>
      <c r="AS110" s="460"/>
      <c r="AT110" s="462"/>
      <c r="AU110" s="461"/>
      <c r="AV110" s="460"/>
      <c r="AW110" s="462"/>
      <c r="AX110" s="461"/>
      <c r="AY110" s="460"/>
      <c r="AZ110" s="462"/>
      <c r="BA110" s="461"/>
      <c r="BB110" s="460"/>
      <c r="BC110" s="462"/>
      <c r="BD110" s="461"/>
      <c r="BE110" s="460"/>
      <c r="BF110" s="462"/>
      <c r="BG110" s="461"/>
      <c r="BH110" s="460"/>
      <c r="BI110" s="462"/>
      <c r="BJ110" s="461"/>
      <c r="BK110" s="460"/>
      <c r="BL110" s="462"/>
      <c r="BM110" s="461"/>
      <c r="BN110" s="460"/>
      <c r="BO110" s="462"/>
      <c r="BP110" s="461"/>
      <c r="BQ110" s="460"/>
      <c r="BR110" s="462"/>
      <c r="BS110" s="482">
        <v>0.20899999999999999</v>
      </c>
      <c r="BT110" s="460"/>
      <c r="BU110" s="462"/>
      <c r="BV110" s="482">
        <v>0.20899999999999999</v>
      </c>
      <c r="BW110" s="460"/>
      <c r="BX110" s="462"/>
      <c r="BY110" s="482">
        <v>0.20899999999999999</v>
      </c>
      <c r="BZ110" s="460"/>
      <c r="CA110" s="462"/>
      <c r="CB110" s="482">
        <v>0.20899999999999999</v>
      </c>
      <c r="CC110" s="460"/>
      <c r="CD110" s="462"/>
      <c r="CE110" s="482">
        <v>0.20899999999999999</v>
      </c>
      <c r="CF110" s="460"/>
      <c r="CG110" s="462"/>
      <c r="CH110" s="461"/>
      <c r="CI110" s="460"/>
      <c r="CJ110" s="462"/>
      <c r="CK110" s="482"/>
      <c r="CL110" s="460"/>
      <c r="CM110" s="462"/>
      <c r="CN110" s="482"/>
      <c r="CO110" s="460"/>
      <c r="CP110" s="462"/>
      <c r="CQ110" s="461"/>
      <c r="CR110" s="460"/>
      <c r="CS110" s="462"/>
      <c r="CT110" s="461"/>
      <c r="CU110" s="460"/>
      <c r="CV110" s="462"/>
      <c r="CW110" s="461"/>
    </row>
    <row r="111" spans="1:101" ht="15.75" customHeight="1" x14ac:dyDescent="0.25">
      <c r="A111" s="503"/>
      <c r="B111" s="134" t="s">
        <v>50</v>
      </c>
      <c r="C111" s="66" t="s">
        <v>41</v>
      </c>
      <c r="D111" s="66">
        <v>516</v>
      </c>
      <c r="E111" s="108">
        <f>434+O111+R111+U111+X111+AA111+AD111+AG111+AJ111+AM111+AP111+AS111+AV111+AY111+BB111+BE111+BH111+BK111+BN111+BQ111+BT111+BW111+BZ111+CC111+CF111+CI111+CL111+CO111+CR111+CU111</f>
        <v>459</v>
      </c>
      <c r="F111" s="108">
        <f t="shared" si="17"/>
        <v>57</v>
      </c>
      <c r="G111" s="458"/>
      <c r="H111" s="36">
        <f t="shared" si="104"/>
        <v>0.88953488372093026</v>
      </c>
      <c r="I111" s="83"/>
      <c r="J111" s="74"/>
      <c r="K111" s="80"/>
      <c r="L111" s="141">
        <v>3</v>
      </c>
      <c r="M111" s="142">
        <v>3</v>
      </c>
      <c r="N111" s="144">
        <v>5</v>
      </c>
      <c r="O111" s="144">
        <v>5</v>
      </c>
      <c r="P111" s="97">
        <f t="shared" si="105"/>
        <v>1</v>
      </c>
      <c r="Q111" s="144">
        <v>5</v>
      </c>
      <c r="R111" s="144">
        <v>5</v>
      </c>
      <c r="S111" s="221">
        <f t="shared" si="106"/>
        <v>100</v>
      </c>
      <c r="T111" s="144">
        <v>5</v>
      </c>
      <c r="U111" s="153">
        <v>5</v>
      </c>
      <c r="V111" s="462"/>
      <c r="W111" s="461"/>
      <c r="X111" s="460"/>
      <c r="Y111" s="462"/>
      <c r="Z111" s="461"/>
      <c r="AA111" s="460"/>
      <c r="AB111" s="462"/>
      <c r="AC111" s="461">
        <v>5</v>
      </c>
      <c r="AD111" s="153">
        <v>5</v>
      </c>
      <c r="AE111" s="462"/>
      <c r="AF111" s="461">
        <v>5</v>
      </c>
      <c r="AG111" s="153">
        <v>5</v>
      </c>
      <c r="AH111" s="462"/>
      <c r="AI111" s="461"/>
      <c r="AJ111" s="460"/>
      <c r="AK111" s="462"/>
      <c r="AL111" s="461"/>
      <c r="AM111" s="460"/>
      <c r="AN111" s="462"/>
      <c r="AO111" s="461"/>
      <c r="AP111" s="460"/>
      <c r="AQ111" s="462"/>
      <c r="AR111" s="461"/>
      <c r="AS111" s="460"/>
      <c r="AT111" s="462"/>
      <c r="AU111" s="461"/>
      <c r="AV111" s="460"/>
      <c r="AW111" s="462"/>
      <c r="AX111" s="461"/>
      <c r="AY111" s="460"/>
      <c r="AZ111" s="462"/>
      <c r="BA111" s="461"/>
      <c r="BB111" s="460"/>
      <c r="BC111" s="462"/>
      <c r="BD111" s="461"/>
      <c r="BE111" s="460"/>
      <c r="BF111" s="462"/>
      <c r="BG111" s="461"/>
      <c r="BH111" s="460"/>
      <c r="BI111" s="462"/>
      <c r="BJ111" s="461"/>
      <c r="BK111" s="460"/>
      <c r="BL111" s="462"/>
      <c r="BM111" s="461"/>
      <c r="BN111" s="460"/>
      <c r="BO111" s="462"/>
      <c r="BP111" s="461"/>
      <c r="BQ111" s="460"/>
      <c r="BR111" s="462"/>
      <c r="BS111" s="482">
        <v>10</v>
      </c>
      <c r="BT111" s="460"/>
      <c r="BU111" s="462"/>
      <c r="BV111" s="482">
        <v>17</v>
      </c>
      <c r="BW111" s="460"/>
      <c r="BX111" s="462"/>
      <c r="BY111" s="482">
        <v>10</v>
      </c>
      <c r="BZ111" s="460"/>
      <c r="CA111" s="462"/>
      <c r="CB111" s="482">
        <v>10</v>
      </c>
      <c r="CC111" s="460"/>
      <c r="CD111" s="462"/>
      <c r="CE111" s="482">
        <v>10</v>
      </c>
      <c r="CF111" s="460"/>
      <c r="CG111" s="462"/>
      <c r="CH111" s="461"/>
      <c r="CI111" s="460"/>
      <c r="CJ111" s="462"/>
      <c r="CK111" s="461"/>
      <c r="CL111" s="460"/>
      <c r="CM111" s="462"/>
      <c r="CN111" s="461"/>
      <c r="CO111" s="460"/>
      <c r="CP111" s="462"/>
      <c r="CQ111" s="461"/>
      <c r="CR111" s="460"/>
      <c r="CS111" s="462"/>
      <c r="CT111" s="461"/>
      <c r="CU111" s="460"/>
      <c r="CV111" s="462"/>
      <c r="CW111" s="461"/>
    </row>
    <row r="112" spans="1:101" ht="15.75" customHeight="1" x14ac:dyDescent="0.25">
      <c r="A112" s="501" t="s">
        <v>111</v>
      </c>
      <c r="B112" s="204" t="s">
        <v>124</v>
      </c>
      <c r="C112" s="51" t="s">
        <v>18</v>
      </c>
      <c r="D112" s="52">
        <v>1</v>
      </c>
      <c r="E112" s="477">
        <f>H113</f>
        <v>0</v>
      </c>
      <c r="F112" s="53">
        <f t="shared" si="17"/>
        <v>1</v>
      </c>
      <c r="G112" s="186">
        <v>1</v>
      </c>
      <c r="H112" s="52">
        <f>E112</f>
        <v>0</v>
      </c>
      <c r="I112" s="55"/>
      <c r="J112" s="56">
        <v>42727</v>
      </c>
      <c r="K112" s="247" t="s">
        <v>61</v>
      </c>
      <c r="L112" s="247"/>
      <c r="M112" s="366"/>
      <c r="N112" s="319"/>
      <c r="O112" s="319"/>
      <c r="P112" s="324"/>
      <c r="Q112" s="319"/>
      <c r="R112" s="319"/>
      <c r="S112" s="324"/>
      <c r="T112" s="319"/>
      <c r="U112" s="138"/>
      <c r="V112" s="324"/>
      <c r="W112" s="325"/>
      <c r="X112" s="138"/>
      <c r="Y112" s="324"/>
      <c r="Z112" s="325"/>
      <c r="AA112" s="138"/>
      <c r="AB112" s="324"/>
      <c r="AC112" s="325"/>
      <c r="AD112" s="138"/>
      <c r="AE112" s="324"/>
      <c r="AF112" s="325"/>
      <c r="AG112" s="138"/>
      <c r="AH112" s="324"/>
      <c r="AI112" s="325"/>
      <c r="AJ112" s="138"/>
      <c r="AK112" s="324"/>
      <c r="AL112" s="325"/>
      <c r="AM112" s="138"/>
      <c r="AN112" s="324"/>
      <c r="AO112" s="325"/>
      <c r="AP112" s="138"/>
      <c r="AQ112" s="324"/>
      <c r="AR112" s="325"/>
      <c r="AS112" s="138"/>
      <c r="AT112" s="324"/>
      <c r="AU112" s="325"/>
      <c r="AV112" s="138"/>
      <c r="AW112" s="324"/>
      <c r="AX112" s="325"/>
      <c r="AY112" s="138"/>
      <c r="AZ112" s="324"/>
      <c r="BA112" s="325"/>
      <c r="BB112" s="138"/>
      <c r="BC112" s="324"/>
      <c r="BD112" s="325"/>
      <c r="BE112" s="138"/>
      <c r="BF112" s="324"/>
      <c r="BG112" s="325"/>
      <c r="BH112" s="138"/>
      <c r="BI112" s="324"/>
      <c r="BJ112" s="325"/>
      <c r="BK112" s="138"/>
      <c r="BL112" s="324"/>
      <c r="BM112" s="325"/>
      <c r="BN112" s="138"/>
      <c r="BO112" s="324"/>
      <c r="BP112" s="325"/>
      <c r="BQ112" s="138"/>
      <c r="BR112" s="324"/>
      <c r="BS112" s="325"/>
      <c r="BT112" s="138"/>
      <c r="BU112" s="324"/>
      <c r="BV112" s="325"/>
      <c r="BW112" s="138"/>
      <c r="BX112" s="324"/>
      <c r="BY112" s="325"/>
      <c r="BZ112" s="138"/>
      <c r="CA112" s="324"/>
      <c r="CB112" s="325"/>
      <c r="CC112" s="138"/>
      <c r="CD112" s="324"/>
      <c r="CE112" s="325"/>
      <c r="CF112" s="138"/>
      <c r="CG112" s="324"/>
      <c r="CH112" s="325"/>
      <c r="CI112" s="138"/>
      <c r="CJ112" s="324"/>
      <c r="CK112" s="325"/>
      <c r="CL112" s="138"/>
      <c r="CM112" s="324"/>
      <c r="CN112" s="325"/>
      <c r="CO112" s="138"/>
      <c r="CP112" s="324"/>
      <c r="CQ112" s="325"/>
      <c r="CR112" s="138"/>
      <c r="CS112" s="324"/>
      <c r="CT112" s="325"/>
      <c r="CU112" s="138"/>
      <c r="CV112" s="324"/>
      <c r="CW112" s="325"/>
    </row>
    <row r="113" spans="1:101" ht="15.75" customHeight="1" x14ac:dyDescent="0.25">
      <c r="A113" s="503"/>
      <c r="B113" s="134" t="s">
        <v>72</v>
      </c>
      <c r="C113" s="66" t="s">
        <v>41</v>
      </c>
      <c r="D113" s="108">
        <v>13</v>
      </c>
      <c r="E113" s="268">
        <f>0+AM113+AP113+AS113+AV113+AY113+BB113+BE113+BH113+BK113+BN113+BQ113+BT113+BW113+BZ113+CC113+CF113+CI113+CL113+CO113+CR113+CU113</f>
        <v>0</v>
      </c>
      <c r="F113" s="108">
        <f t="shared" si="17"/>
        <v>13</v>
      </c>
      <c r="G113" s="458"/>
      <c r="H113" s="46">
        <f>E113/D113</f>
        <v>0</v>
      </c>
      <c r="I113" s="83"/>
      <c r="J113" s="74"/>
      <c r="K113" s="80"/>
      <c r="L113" s="141">
        <v>7</v>
      </c>
      <c r="M113" s="142">
        <v>7</v>
      </c>
      <c r="N113" s="144">
        <v>1</v>
      </c>
      <c r="O113" s="144">
        <v>1</v>
      </c>
      <c r="P113" s="97">
        <f>O113/N113</f>
        <v>1</v>
      </c>
      <c r="Q113" s="144">
        <v>1</v>
      </c>
      <c r="R113" s="144">
        <v>1</v>
      </c>
      <c r="S113" s="221">
        <f>R113*100/Q113</f>
        <v>100</v>
      </c>
      <c r="T113" s="144">
        <v>1</v>
      </c>
      <c r="U113" s="153">
        <v>1</v>
      </c>
      <c r="V113" s="462"/>
      <c r="W113" s="461"/>
      <c r="X113" s="460"/>
      <c r="Y113" s="462"/>
      <c r="Z113" s="461"/>
      <c r="AA113" s="460"/>
      <c r="AB113" s="462"/>
      <c r="AC113" s="461"/>
      <c r="AD113" s="460"/>
      <c r="AE113" s="462"/>
      <c r="AF113" s="461"/>
      <c r="AG113" s="460"/>
      <c r="AH113" s="462"/>
      <c r="AI113" s="461"/>
      <c r="AJ113" s="460"/>
      <c r="AK113" s="462"/>
      <c r="AL113" s="461"/>
      <c r="AM113" s="460"/>
      <c r="AN113" s="462"/>
      <c r="AO113" s="461"/>
      <c r="AP113" s="460"/>
      <c r="AQ113" s="462"/>
      <c r="AR113" s="461"/>
      <c r="AS113" s="460"/>
      <c r="AT113" s="462"/>
      <c r="AU113" s="461"/>
      <c r="AV113" s="460"/>
      <c r="AW113" s="462"/>
      <c r="AX113" s="482"/>
      <c r="AY113" s="460"/>
      <c r="AZ113" s="462"/>
      <c r="BA113" s="482"/>
      <c r="BB113" s="153"/>
      <c r="BC113" s="462"/>
      <c r="BD113" s="482"/>
      <c r="BE113" s="460"/>
      <c r="BF113" s="462"/>
      <c r="BG113" s="482"/>
      <c r="BH113" s="460"/>
      <c r="BI113" s="462"/>
      <c r="BJ113" s="482"/>
      <c r="BK113" s="460"/>
      <c r="BL113" s="462"/>
      <c r="BM113" s="482"/>
      <c r="BN113" s="460"/>
      <c r="BO113" s="462"/>
      <c r="BP113" s="482"/>
      <c r="BQ113" s="460"/>
      <c r="BR113" s="462"/>
      <c r="BS113" s="482">
        <v>2</v>
      </c>
      <c r="BT113" s="460"/>
      <c r="BU113" s="462"/>
      <c r="BV113" s="482">
        <v>2</v>
      </c>
      <c r="BW113" s="460"/>
      <c r="BX113" s="462"/>
      <c r="BY113" s="482">
        <v>2</v>
      </c>
      <c r="BZ113" s="460"/>
      <c r="CA113" s="462"/>
      <c r="CB113" s="482">
        <v>2</v>
      </c>
      <c r="CC113" s="460"/>
      <c r="CD113" s="462"/>
      <c r="CE113" s="482">
        <v>2</v>
      </c>
      <c r="CF113" s="460"/>
      <c r="CG113" s="462"/>
      <c r="CH113" s="461"/>
      <c r="CI113" s="460"/>
      <c r="CJ113" s="462"/>
      <c r="CK113" s="461"/>
      <c r="CL113" s="460"/>
      <c r="CM113" s="462"/>
      <c r="CN113" s="482">
        <v>2</v>
      </c>
      <c r="CO113" s="460"/>
      <c r="CP113" s="462"/>
      <c r="CQ113" s="461"/>
      <c r="CR113" s="460"/>
      <c r="CS113" s="462"/>
      <c r="CT113" s="461"/>
      <c r="CU113" s="460"/>
      <c r="CV113" s="462"/>
      <c r="CW113" s="461"/>
    </row>
    <row r="114" spans="1:101" ht="15.75" customHeight="1" x14ac:dyDescent="0.25">
      <c r="A114" s="501" t="s">
        <v>113</v>
      </c>
      <c r="B114" s="204" t="s">
        <v>67</v>
      </c>
      <c r="C114" s="51" t="s">
        <v>18</v>
      </c>
      <c r="D114" s="52">
        <v>1</v>
      </c>
      <c r="E114" s="477">
        <f>(H115+H116)/2</f>
        <v>0.61967885206696272</v>
      </c>
      <c r="F114" s="53">
        <f t="shared" si="17"/>
        <v>0.38032114793303728</v>
      </c>
      <c r="G114" s="186">
        <v>0.98</v>
      </c>
      <c r="H114" s="52">
        <f>E114</f>
        <v>0.61967885206696272</v>
      </c>
      <c r="I114" s="55"/>
      <c r="J114" s="56">
        <v>42727</v>
      </c>
      <c r="K114" s="247" t="s">
        <v>61</v>
      </c>
      <c r="L114" s="247"/>
      <c r="M114" s="366"/>
      <c r="N114" s="319"/>
      <c r="O114" s="319"/>
      <c r="P114" s="324"/>
      <c r="Q114" s="319"/>
      <c r="R114" s="319"/>
      <c r="S114" s="324"/>
      <c r="T114" s="319"/>
      <c r="U114" s="138"/>
      <c r="V114" s="324"/>
      <c r="W114" s="325"/>
      <c r="X114" s="138"/>
      <c r="Y114" s="324"/>
      <c r="Z114" s="325"/>
      <c r="AA114" s="138"/>
      <c r="AB114" s="324"/>
      <c r="AC114" s="325"/>
      <c r="AD114" s="138"/>
      <c r="AE114" s="324"/>
      <c r="AF114" s="325"/>
      <c r="AG114" s="138"/>
      <c r="AH114" s="324"/>
      <c r="AI114" s="325"/>
      <c r="AJ114" s="138"/>
      <c r="AK114" s="324"/>
      <c r="AL114" s="325"/>
      <c r="AM114" s="138"/>
      <c r="AN114" s="324"/>
      <c r="AO114" s="325"/>
      <c r="AP114" s="138"/>
      <c r="AQ114" s="324"/>
      <c r="AR114" s="325"/>
      <c r="AS114" s="138"/>
      <c r="AT114" s="324"/>
      <c r="AU114" s="325"/>
      <c r="AV114" s="138"/>
      <c r="AW114" s="324"/>
      <c r="AX114" s="325"/>
      <c r="AY114" s="138"/>
      <c r="AZ114" s="324"/>
      <c r="BA114" s="325"/>
      <c r="BB114" s="138"/>
      <c r="BC114" s="324"/>
      <c r="BD114" s="325"/>
      <c r="BE114" s="138"/>
      <c r="BF114" s="324"/>
      <c r="BG114" s="325"/>
      <c r="BH114" s="138"/>
      <c r="BI114" s="324"/>
      <c r="BJ114" s="325"/>
      <c r="BK114" s="138"/>
      <c r="BL114" s="324"/>
      <c r="BM114" s="325"/>
      <c r="BN114" s="138"/>
      <c r="BO114" s="324"/>
      <c r="BP114" s="325"/>
      <c r="BQ114" s="138"/>
      <c r="BR114" s="324"/>
      <c r="BS114" s="325"/>
      <c r="BT114" s="138"/>
      <c r="BU114" s="324"/>
      <c r="BV114" s="325"/>
      <c r="BW114" s="138"/>
      <c r="BX114" s="324"/>
      <c r="BY114" s="325"/>
      <c r="BZ114" s="138"/>
      <c r="CA114" s="324"/>
      <c r="CB114" s="325"/>
      <c r="CC114" s="138"/>
      <c r="CD114" s="324"/>
      <c r="CE114" s="325"/>
      <c r="CF114" s="138"/>
      <c r="CG114" s="324"/>
      <c r="CH114" s="325"/>
      <c r="CI114" s="138"/>
      <c r="CJ114" s="324"/>
      <c r="CK114" s="325"/>
      <c r="CL114" s="138"/>
      <c r="CM114" s="324"/>
      <c r="CN114" s="325"/>
      <c r="CO114" s="138"/>
      <c r="CP114" s="324"/>
      <c r="CQ114" s="325"/>
      <c r="CR114" s="138"/>
      <c r="CS114" s="324"/>
      <c r="CT114" s="325"/>
      <c r="CU114" s="138"/>
      <c r="CV114" s="324"/>
      <c r="CW114" s="325"/>
    </row>
    <row r="115" spans="1:101" ht="15.75" customHeight="1" x14ac:dyDescent="0.25">
      <c r="A115" s="502"/>
      <c r="B115" s="134" t="s">
        <v>48</v>
      </c>
      <c r="C115" s="66" t="s">
        <v>38</v>
      </c>
      <c r="D115" s="164">
        <v>58.54</v>
      </c>
      <c r="E115" s="70">
        <f>3.5+O115+R115+U115+X115+AA115+AD115+AG115+AJ115+AM115+AP115+AS115+AV115+AY115+BB115+BE115+BH115+BK115+BN115+BQ115+BT115+BW115+BZ115+CC115+CF115+CI115+CL115+CO115+CR115+CU115</f>
        <v>14.011999999999999</v>
      </c>
      <c r="F115" s="70">
        <f t="shared" si="17"/>
        <v>44.527999999999999</v>
      </c>
      <c r="G115" s="458"/>
      <c r="H115" s="46">
        <f t="shared" ref="H115:H116" si="107">E115/D115</f>
        <v>0.23935770413392551</v>
      </c>
      <c r="I115" s="83">
        <f>AP115/D115</f>
        <v>5.1417833959685681E-2</v>
      </c>
      <c r="J115" s="74"/>
      <c r="K115" s="80"/>
      <c r="L115" s="141">
        <v>10</v>
      </c>
      <c r="M115" s="142">
        <v>10</v>
      </c>
      <c r="N115" s="144">
        <v>0.5</v>
      </c>
      <c r="O115" s="144">
        <v>0.5</v>
      </c>
      <c r="P115" s="97">
        <f t="shared" ref="P115:P116" si="108">O115/N115</f>
        <v>1</v>
      </c>
      <c r="Q115" s="144">
        <v>0.5</v>
      </c>
      <c r="R115" s="144">
        <v>0.5</v>
      </c>
      <c r="S115" s="97">
        <f t="shared" ref="S115:S116" si="109">R115/Q115</f>
        <v>1</v>
      </c>
      <c r="T115" s="144">
        <v>0.5</v>
      </c>
      <c r="U115" s="153">
        <v>0.5</v>
      </c>
      <c r="V115" s="97">
        <f t="shared" ref="V115:V116" si="110">U115/T115</f>
        <v>1</v>
      </c>
      <c r="W115" s="461"/>
      <c r="X115" s="460"/>
      <c r="Y115" s="462"/>
      <c r="Z115" s="461"/>
      <c r="AA115" s="460"/>
      <c r="AB115" s="462"/>
      <c r="AC115" s="461">
        <v>0.5</v>
      </c>
      <c r="AD115" s="153">
        <v>0.5</v>
      </c>
      <c r="AE115" s="97">
        <f t="shared" ref="AE115:AE116" si="111">AD115/AC115</f>
        <v>1</v>
      </c>
      <c r="AF115" s="461">
        <v>0.5</v>
      </c>
      <c r="AG115" s="461">
        <v>0.5</v>
      </c>
      <c r="AH115" s="97">
        <f t="shared" ref="AH115:AH116" si="112">AG115/AF115</f>
        <v>1</v>
      </c>
      <c r="AI115" s="482">
        <v>2.5009999999999999</v>
      </c>
      <c r="AJ115" s="155">
        <v>2.5009999999999999</v>
      </c>
      <c r="AK115" s="97">
        <f>AJ115/AI115</f>
        <v>1</v>
      </c>
      <c r="AL115" s="482">
        <v>2.5009999999999999</v>
      </c>
      <c r="AM115" s="155">
        <v>2.5009999999999999</v>
      </c>
      <c r="AN115" s="97">
        <f>AM115/AL115</f>
        <v>1</v>
      </c>
      <c r="AO115" s="482">
        <v>2.5009999999999999</v>
      </c>
      <c r="AP115" s="397">
        <v>3.01</v>
      </c>
      <c r="AQ115" s="97">
        <f>AP115/AO115</f>
        <v>1.2035185925629748</v>
      </c>
      <c r="AR115" s="461"/>
      <c r="AS115" s="460"/>
      <c r="AT115" s="462"/>
      <c r="AU115" s="461"/>
      <c r="AV115" s="460"/>
      <c r="AW115" s="462"/>
      <c r="AX115" s="482">
        <v>2.5009999999999999</v>
      </c>
      <c r="AY115" s="460"/>
      <c r="AZ115" s="462"/>
      <c r="BA115" s="482">
        <v>2.5009999999999999</v>
      </c>
      <c r="BB115" s="460"/>
      <c r="BC115" s="462"/>
      <c r="BD115" s="482">
        <v>2.5009999999999999</v>
      </c>
      <c r="BE115" s="460"/>
      <c r="BF115" s="462"/>
      <c r="BG115" s="482">
        <v>2.5009999999999999</v>
      </c>
      <c r="BH115" s="460"/>
      <c r="BI115" s="462"/>
      <c r="BJ115" s="482">
        <v>2.5009999999999999</v>
      </c>
      <c r="BK115" s="460"/>
      <c r="BL115" s="462"/>
      <c r="BM115" s="482"/>
      <c r="BN115" s="460"/>
      <c r="BO115" s="462"/>
      <c r="BP115" s="482"/>
      <c r="BQ115" s="460"/>
      <c r="BR115" s="462"/>
      <c r="BS115" s="482">
        <v>2.5009999999999999</v>
      </c>
      <c r="BT115" s="460"/>
      <c r="BU115" s="462"/>
      <c r="BV115" s="482">
        <v>2.5009999999999999</v>
      </c>
      <c r="BW115" s="460"/>
      <c r="BX115" s="462"/>
      <c r="BY115" s="482">
        <v>2.5009999999999999</v>
      </c>
      <c r="BZ115" s="460"/>
      <c r="CA115" s="462"/>
      <c r="CB115" s="482">
        <v>2.5009999999999999</v>
      </c>
      <c r="CC115" s="460"/>
      <c r="CD115" s="462"/>
      <c r="CE115" s="482">
        <v>2.5009999999999999</v>
      </c>
      <c r="CF115" s="460"/>
      <c r="CG115" s="462"/>
      <c r="CH115" s="461"/>
      <c r="CI115" s="460"/>
      <c r="CJ115" s="462"/>
      <c r="CK115" s="485"/>
      <c r="CL115" s="460"/>
      <c r="CM115" s="462"/>
      <c r="CN115" s="482">
        <v>5</v>
      </c>
      <c r="CO115" s="460"/>
      <c r="CP115" s="462"/>
      <c r="CQ115" s="482">
        <v>5</v>
      </c>
      <c r="CR115" s="460"/>
      <c r="CS115" s="462"/>
      <c r="CT115" s="461"/>
      <c r="CU115" s="460"/>
      <c r="CV115" s="462"/>
      <c r="CW115" s="461"/>
    </row>
    <row r="116" spans="1:101" ht="15.75" customHeight="1" x14ac:dyDescent="0.25">
      <c r="A116" s="503"/>
      <c r="B116" s="134" t="s">
        <v>50</v>
      </c>
      <c r="C116" s="66" t="s">
        <v>41</v>
      </c>
      <c r="D116" s="126">
        <v>18</v>
      </c>
      <c r="E116" s="268">
        <v>18</v>
      </c>
      <c r="F116" s="108">
        <f t="shared" si="17"/>
        <v>0</v>
      </c>
      <c r="G116" s="458"/>
      <c r="H116" s="46">
        <f t="shared" si="107"/>
        <v>1</v>
      </c>
      <c r="I116" s="83"/>
      <c r="J116" s="126" t="s">
        <v>31</v>
      </c>
      <c r="K116" s="80"/>
      <c r="L116" s="141">
        <v>2</v>
      </c>
      <c r="M116" s="142">
        <v>2</v>
      </c>
      <c r="N116" s="177">
        <v>5</v>
      </c>
      <c r="O116" s="177">
        <v>5</v>
      </c>
      <c r="P116" s="97">
        <f t="shared" si="108"/>
        <v>1</v>
      </c>
      <c r="Q116" s="177">
        <v>5</v>
      </c>
      <c r="R116" s="177">
        <v>5</v>
      </c>
      <c r="S116" s="97">
        <f t="shared" si="109"/>
        <v>1</v>
      </c>
      <c r="T116" s="177">
        <v>5</v>
      </c>
      <c r="U116" s="466">
        <v>5</v>
      </c>
      <c r="V116" s="97">
        <f t="shared" si="110"/>
        <v>1</v>
      </c>
      <c r="W116" s="461"/>
      <c r="X116" s="460"/>
      <c r="Y116" s="462"/>
      <c r="Z116" s="461"/>
      <c r="AA116" s="460"/>
      <c r="AB116" s="462"/>
      <c r="AC116" s="177">
        <v>5</v>
      </c>
      <c r="AD116" s="177">
        <v>5</v>
      </c>
      <c r="AE116" s="97">
        <f t="shared" si="111"/>
        <v>1</v>
      </c>
      <c r="AF116" s="177">
        <v>5</v>
      </c>
      <c r="AG116" s="177">
        <v>5</v>
      </c>
      <c r="AH116" s="97">
        <f t="shared" si="112"/>
        <v>1</v>
      </c>
      <c r="AI116" s="461"/>
      <c r="AJ116" s="460"/>
      <c r="AK116" s="462"/>
      <c r="AL116" s="461"/>
      <c r="AM116" s="460"/>
      <c r="AN116" s="462"/>
      <c r="AO116" s="461"/>
      <c r="AP116" s="460"/>
      <c r="AQ116" s="462"/>
      <c r="AR116" s="461"/>
      <c r="AS116" s="460"/>
      <c r="AT116" s="462"/>
      <c r="AU116" s="461"/>
      <c r="AV116" s="460"/>
      <c r="AW116" s="462"/>
      <c r="AX116" s="461"/>
      <c r="AY116" s="460"/>
      <c r="AZ116" s="462"/>
      <c r="BA116" s="461"/>
      <c r="BB116" s="460"/>
      <c r="BC116" s="462"/>
      <c r="BD116" s="461"/>
      <c r="BE116" s="460"/>
      <c r="BF116" s="462"/>
      <c r="BG116" s="461"/>
      <c r="BH116" s="460"/>
      <c r="BI116" s="462"/>
      <c r="BJ116" s="461"/>
      <c r="BK116" s="460"/>
      <c r="BL116" s="462"/>
      <c r="BM116" s="461"/>
      <c r="BN116" s="460"/>
      <c r="BO116" s="462"/>
      <c r="BP116" s="461"/>
      <c r="BQ116" s="460"/>
      <c r="BR116" s="462"/>
      <c r="BS116" s="461"/>
      <c r="BT116" s="460"/>
      <c r="BU116" s="462"/>
      <c r="BV116" s="461"/>
      <c r="BW116" s="460"/>
      <c r="BX116" s="462"/>
      <c r="BY116" s="461"/>
      <c r="BZ116" s="460"/>
      <c r="CA116" s="462"/>
      <c r="CB116" s="461"/>
      <c r="CC116" s="460"/>
      <c r="CD116" s="462"/>
      <c r="CE116" s="461"/>
      <c r="CF116" s="460"/>
      <c r="CG116" s="462"/>
      <c r="CH116" s="461"/>
      <c r="CI116" s="460"/>
      <c r="CJ116" s="462"/>
      <c r="CK116" s="461"/>
      <c r="CL116" s="460"/>
      <c r="CM116" s="462"/>
      <c r="CN116" s="461"/>
      <c r="CO116" s="460"/>
      <c r="CP116" s="462"/>
      <c r="CQ116" s="461"/>
      <c r="CR116" s="460"/>
      <c r="CS116" s="462"/>
      <c r="CT116" s="461"/>
      <c r="CU116" s="460"/>
      <c r="CV116" s="462"/>
      <c r="CW116" s="461"/>
    </row>
    <row r="117" spans="1:101" ht="15.75" customHeight="1" x14ac:dyDescent="0.25">
      <c r="A117" s="501" t="s">
        <v>114</v>
      </c>
      <c r="B117" s="204" t="s">
        <v>125</v>
      </c>
      <c r="C117" s="51" t="s">
        <v>18</v>
      </c>
      <c r="D117" s="52">
        <v>1</v>
      </c>
      <c r="E117" s="477">
        <f>(H118+H119)/2</f>
        <v>0.99800796812749004</v>
      </c>
      <c r="F117" s="53">
        <f t="shared" si="17"/>
        <v>1.9920318725099584E-3</v>
      </c>
      <c r="G117" s="186">
        <v>0.99</v>
      </c>
      <c r="H117" s="52">
        <f>E117</f>
        <v>0.99800796812749004</v>
      </c>
      <c r="I117" s="55"/>
      <c r="J117" s="56">
        <v>42727</v>
      </c>
      <c r="K117" s="247" t="s">
        <v>61</v>
      </c>
      <c r="L117" s="51"/>
      <c r="M117" s="286"/>
      <c r="N117" s="319"/>
      <c r="O117" s="319"/>
      <c r="P117" s="324"/>
      <c r="Q117" s="319"/>
      <c r="R117" s="319"/>
      <c r="S117" s="324"/>
      <c r="T117" s="319"/>
      <c r="U117" s="320"/>
      <c r="V117" s="324"/>
      <c r="W117" s="325"/>
      <c r="X117" s="138"/>
      <c r="Y117" s="324"/>
      <c r="Z117" s="325"/>
      <c r="AA117" s="138"/>
      <c r="AB117" s="324"/>
      <c r="AC117" s="325"/>
      <c r="AD117" s="138"/>
      <c r="AE117" s="324"/>
      <c r="AF117" s="325"/>
      <c r="AG117" s="138"/>
      <c r="AH117" s="324"/>
      <c r="AI117" s="325"/>
      <c r="AJ117" s="138"/>
      <c r="AK117" s="324"/>
      <c r="AL117" s="325"/>
      <c r="AM117" s="138"/>
      <c r="AN117" s="324"/>
      <c r="AO117" s="325"/>
      <c r="AP117" s="138"/>
      <c r="AQ117" s="324"/>
      <c r="AR117" s="325"/>
      <c r="AS117" s="138"/>
      <c r="AT117" s="324"/>
      <c r="AU117" s="325"/>
      <c r="AV117" s="138"/>
      <c r="AW117" s="324"/>
      <c r="AX117" s="325"/>
      <c r="AY117" s="138"/>
      <c r="AZ117" s="324"/>
      <c r="BA117" s="325"/>
      <c r="BB117" s="138"/>
      <c r="BC117" s="324"/>
      <c r="BD117" s="325"/>
      <c r="BE117" s="138"/>
      <c r="BF117" s="324"/>
      <c r="BG117" s="325"/>
      <c r="BH117" s="138"/>
      <c r="BI117" s="324"/>
      <c r="BJ117" s="325"/>
      <c r="BK117" s="138"/>
      <c r="BL117" s="324"/>
      <c r="BM117" s="325"/>
      <c r="BN117" s="138"/>
      <c r="BO117" s="324"/>
      <c r="BP117" s="325"/>
      <c r="BQ117" s="138"/>
      <c r="BR117" s="324"/>
      <c r="BS117" s="325"/>
      <c r="BT117" s="138"/>
      <c r="BU117" s="324"/>
      <c r="BV117" s="325"/>
      <c r="BW117" s="138"/>
      <c r="BX117" s="324"/>
      <c r="BY117" s="325"/>
      <c r="BZ117" s="138"/>
      <c r="CA117" s="324"/>
      <c r="CB117" s="325"/>
      <c r="CC117" s="138"/>
      <c r="CD117" s="324"/>
      <c r="CE117" s="325"/>
      <c r="CF117" s="138"/>
      <c r="CG117" s="324"/>
      <c r="CH117" s="325"/>
      <c r="CI117" s="138"/>
      <c r="CJ117" s="324"/>
      <c r="CK117" s="325"/>
      <c r="CL117" s="138"/>
      <c r="CM117" s="324"/>
      <c r="CN117" s="325"/>
      <c r="CO117" s="138"/>
      <c r="CP117" s="324"/>
      <c r="CQ117" s="325"/>
      <c r="CR117" s="138"/>
      <c r="CS117" s="324"/>
      <c r="CT117" s="325"/>
      <c r="CU117" s="138"/>
      <c r="CV117" s="324"/>
      <c r="CW117" s="325"/>
    </row>
    <row r="118" spans="1:101" ht="15.75" customHeight="1" x14ac:dyDescent="0.25">
      <c r="A118" s="502"/>
      <c r="B118" s="134" t="s">
        <v>48</v>
      </c>
      <c r="C118" s="66" t="s">
        <v>38</v>
      </c>
      <c r="D118" s="70">
        <v>33.75</v>
      </c>
      <c r="E118" s="70">
        <f>33.5+O118+R118+U118+X118+AA118+AD118+AG118+AJ118+AM118+AP118+AS118+AV118+AY118+BB118+BE118+BH118+BK118+BN118+BQ118+BT118+BW118+BZ118+CC118+CF118+CI118+CL118+CO118+CR118+CU118</f>
        <v>33.75</v>
      </c>
      <c r="F118" s="70">
        <f t="shared" si="17"/>
        <v>0</v>
      </c>
      <c r="G118" s="458"/>
      <c r="H118" s="46">
        <f t="shared" ref="H118:H119" si="113">E118/D118</f>
        <v>1</v>
      </c>
      <c r="I118" s="83">
        <f>AP118/D118</f>
        <v>7.4074074074074077E-3</v>
      </c>
      <c r="J118" s="126" t="s">
        <v>31</v>
      </c>
      <c r="K118" s="80"/>
      <c r="L118" s="141">
        <v>10</v>
      </c>
      <c r="M118" s="142">
        <v>10</v>
      </c>
      <c r="N118" s="144"/>
      <c r="O118" s="144"/>
      <c r="P118" s="462"/>
      <c r="Q118" s="144"/>
      <c r="R118" s="144"/>
      <c r="S118" s="462"/>
      <c r="T118" s="144"/>
      <c r="U118" s="460"/>
      <c r="V118" s="462"/>
      <c r="W118" s="461"/>
      <c r="X118" s="460"/>
      <c r="Y118" s="462"/>
      <c r="Z118" s="461"/>
      <c r="AA118" s="460"/>
      <c r="AB118" s="462"/>
      <c r="AC118" s="461"/>
      <c r="AD118" s="460"/>
      <c r="AE118" s="462"/>
      <c r="AF118" s="461"/>
      <c r="AG118" s="460"/>
      <c r="AH118" s="462"/>
      <c r="AI118" s="461"/>
      <c r="AJ118" s="460"/>
      <c r="AK118" s="462"/>
      <c r="AL118" s="461"/>
      <c r="AM118" s="153"/>
      <c r="AN118" s="462"/>
      <c r="AO118" s="482">
        <v>0.25</v>
      </c>
      <c r="AP118" s="397">
        <v>0.25</v>
      </c>
      <c r="AQ118" s="97">
        <f>AP118/AO118</f>
        <v>1</v>
      </c>
      <c r="AR118" s="461"/>
      <c r="AS118" s="460"/>
      <c r="AT118" s="462"/>
      <c r="AU118" s="461"/>
      <c r="AV118" s="460"/>
      <c r="AW118" s="462"/>
      <c r="AX118" s="461"/>
      <c r="AY118" s="460"/>
      <c r="AZ118" s="462"/>
      <c r="BA118" s="461"/>
      <c r="BB118" s="460"/>
      <c r="BC118" s="462"/>
      <c r="BD118" s="461"/>
      <c r="BE118" s="460"/>
      <c r="BF118" s="462"/>
      <c r="BG118" s="461"/>
      <c r="BH118" s="460"/>
      <c r="BI118" s="462"/>
      <c r="BJ118" s="461"/>
      <c r="BK118" s="460"/>
      <c r="BL118" s="462"/>
      <c r="BM118" s="461"/>
      <c r="BN118" s="460"/>
      <c r="BO118" s="462"/>
      <c r="BP118" s="461"/>
      <c r="BQ118" s="460"/>
      <c r="BR118" s="462"/>
      <c r="BS118" s="482">
        <v>0.05</v>
      </c>
      <c r="BT118" s="460"/>
      <c r="BU118" s="462"/>
      <c r="BV118" s="482">
        <v>0.05</v>
      </c>
      <c r="BW118" s="460"/>
      <c r="BX118" s="462"/>
      <c r="BY118" s="482">
        <v>0.05</v>
      </c>
      <c r="BZ118" s="460"/>
      <c r="CA118" s="462"/>
      <c r="CB118" s="482">
        <v>0.05</v>
      </c>
      <c r="CC118" s="460"/>
      <c r="CD118" s="462"/>
      <c r="CE118" s="482">
        <v>0.05</v>
      </c>
      <c r="CF118" s="460"/>
      <c r="CG118" s="462"/>
      <c r="CH118" s="461"/>
      <c r="CI118" s="460"/>
      <c r="CJ118" s="462"/>
      <c r="CK118" s="485"/>
      <c r="CL118" s="460"/>
      <c r="CM118" s="462"/>
      <c r="CN118" s="482"/>
      <c r="CO118" s="460"/>
      <c r="CP118" s="462"/>
      <c r="CQ118" s="482"/>
      <c r="CR118" s="460"/>
      <c r="CS118" s="462"/>
      <c r="CT118" s="482"/>
      <c r="CU118" s="460"/>
      <c r="CV118" s="462"/>
      <c r="CW118" s="461"/>
    </row>
    <row r="119" spans="1:101" ht="15.75" customHeight="1" x14ac:dyDescent="0.25">
      <c r="A119" s="503"/>
      <c r="B119" s="134" t="s">
        <v>50</v>
      </c>
      <c r="C119" s="66" t="s">
        <v>41</v>
      </c>
      <c r="D119" s="66">
        <v>502</v>
      </c>
      <c r="E119" s="268">
        <f>500+AM119+AP119+AS119+AV119+AY119+BB119+BE119+BH119+BK119+BN119+BQ119+BT119+BW119+BZ119+CC119+CF119+CI119+CL119+CO119+CR119+CU119</f>
        <v>500</v>
      </c>
      <c r="F119" s="108">
        <f t="shared" si="17"/>
        <v>2</v>
      </c>
      <c r="G119" s="458"/>
      <c r="H119" s="46">
        <f t="shared" si="113"/>
        <v>0.99601593625498008</v>
      </c>
      <c r="I119" s="83"/>
      <c r="J119" s="74"/>
      <c r="K119" s="80"/>
      <c r="L119" s="141">
        <v>4</v>
      </c>
      <c r="M119" s="142">
        <v>4</v>
      </c>
      <c r="N119" s="177">
        <v>12</v>
      </c>
      <c r="O119" s="177">
        <v>12</v>
      </c>
      <c r="P119" s="97">
        <f>O119/N119</f>
        <v>1</v>
      </c>
      <c r="Q119" s="177">
        <v>12</v>
      </c>
      <c r="R119" s="177">
        <v>12</v>
      </c>
      <c r="S119" s="97">
        <f>R119/Q119</f>
        <v>1</v>
      </c>
      <c r="T119" s="177">
        <v>12</v>
      </c>
      <c r="U119" s="177">
        <v>12</v>
      </c>
      <c r="V119" s="97">
        <f>U119/T119</f>
        <v>1</v>
      </c>
      <c r="W119" s="461"/>
      <c r="X119" s="460"/>
      <c r="Y119" s="462"/>
      <c r="Z119" s="461"/>
      <c r="AA119" s="460"/>
      <c r="AB119" s="462"/>
      <c r="AC119" s="177">
        <v>12</v>
      </c>
      <c r="AD119" s="177">
        <v>12</v>
      </c>
      <c r="AE119" s="97">
        <f>AD119/AC119</f>
        <v>1</v>
      </c>
      <c r="AF119" s="177">
        <v>12</v>
      </c>
      <c r="AG119" s="177">
        <v>12</v>
      </c>
      <c r="AH119" s="97">
        <f>AG119/AF119</f>
        <v>1</v>
      </c>
      <c r="AI119" s="461"/>
      <c r="AJ119" s="460"/>
      <c r="AK119" s="462"/>
      <c r="AL119" s="461"/>
      <c r="AM119" s="460"/>
      <c r="AN119" s="462"/>
      <c r="AO119" s="461"/>
      <c r="AP119" s="460"/>
      <c r="AQ119" s="462"/>
      <c r="AR119" s="461"/>
      <c r="AS119" s="460"/>
      <c r="AT119" s="462"/>
      <c r="AU119" s="461"/>
      <c r="AV119" s="460"/>
      <c r="AW119" s="462"/>
      <c r="AX119" s="461"/>
      <c r="AY119" s="460"/>
      <c r="AZ119" s="462"/>
      <c r="BA119" s="461"/>
      <c r="BB119" s="460"/>
      <c r="BC119" s="462"/>
      <c r="BD119" s="461"/>
      <c r="BE119" s="460"/>
      <c r="BF119" s="462"/>
      <c r="BG119" s="461"/>
      <c r="BH119" s="460"/>
      <c r="BI119" s="462"/>
      <c r="BJ119" s="461"/>
      <c r="BK119" s="460"/>
      <c r="BL119" s="462"/>
      <c r="BM119" s="461"/>
      <c r="BN119" s="460"/>
      <c r="BO119" s="462"/>
      <c r="BP119" s="461"/>
      <c r="BQ119" s="460"/>
      <c r="BR119" s="462"/>
      <c r="BS119" s="461"/>
      <c r="BT119" s="460"/>
      <c r="BU119" s="462"/>
      <c r="BV119" s="482">
        <v>2</v>
      </c>
      <c r="BW119" s="460"/>
      <c r="BX119" s="462"/>
      <c r="BY119" s="461"/>
      <c r="BZ119" s="460"/>
      <c r="CA119" s="462"/>
      <c r="CB119" s="461"/>
      <c r="CC119" s="460"/>
      <c r="CD119" s="462"/>
      <c r="CE119" s="482"/>
      <c r="CF119" s="460"/>
      <c r="CG119" s="462"/>
      <c r="CH119" s="461"/>
      <c r="CI119" s="460"/>
      <c r="CJ119" s="462"/>
      <c r="CK119" s="461"/>
      <c r="CL119" s="460"/>
      <c r="CM119" s="462"/>
      <c r="CN119" s="482"/>
      <c r="CO119" s="460"/>
      <c r="CP119" s="462"/>
      <c r="CQ119" s="482"/>
      <c r="CR119" s="460"/>
      <c r="CS119" s="462"/>
      <c r="CT119" s="482"/>
      <c r="CU119" s="460"/>
      <c r="CV119" s="462"/>
      <c r="CW119" s="461"/>
    </row>
    <row r="120" spans="1:101" ht="47.25" customHeight="1" x14ac:dyDescent="0.25">
      <c r="A120" s="501" t="s">
        <v>116</v>
      </c>
      <c r="B120" s="204" t="s">
        <v>126</v>
      </c>
      <c r="C120" s="51" t="s">
        <v>18</v>
      </c>
      <c r="D120" s="52">
        <v>1</v>
      </c>
      <c r="E120" s="477">
        <f>H121</f>
        <v>1</v>
      </c>
      <c r="F120" s="53">
        <f t="shared" si="17"/>
        <v>0</v>
      </c>
      <c r="G120" s="186">
        <v>1</v>
      </c>
      <c r="H120" s="52">
        <f>E120</f>
        <v>1</v>
      </c>
      <c r="I120" s="55"/>
      <c r="J120" s="247" t="s">
        <v>31</v>
      </c>
      <c r="K120" s="247" t="s">
        <v>61</v>
      </c>
      <c r="L120" s="247"/>
      <c r="M120" s="366"/>
      <c r="N120" s="319"/>
      <c r="O120" s="319"/>
      <c r="P120" s="324"/>
      <c r="Q120" s="319"/>
      <c r="R120" s="319"/>
      <c r="S120" s="324"/>
      <c r="T120" s="319"/>
      <c r="U120" s="138"/>
      <c r="V120" s="324"/>
      <c r="W120" s="325"/>
      <c r="X120" s="138"/>
      <c r="Y120" s="324"/>
      <c r="Z120" s="325"/>
      <c r="AA120" s="138"/>
      <c r="AB120" s="324"/>
      <c r="AC120" s="325"/>
      <c r="AD120" s="138"/>
      <c r="AE120" s="324"/>
      <c r="AF120" s="325"/>
      <c r="AG120" s="138"/>
      <c r="AH120" s="324"/>
      <c r="AI120" s="325"/>
      <c r="AJ120" s="138"/>
      <c r="AK120" s="324"/>
      <c r="AL120" s="325"/>
      <c r="AM120" s="138"/>
      <c r="AN120" s="324"/>
      <c r="AO120" s="325"/>
      <c r="AP120" s="138"/>
      <c r="AQ120" s="324"/>
      <c r="AR120" s="325"/>
      <c r="AS120" s="138"/>
      <c r="AT120" s="324"/>
      <c r="AU120" s="325"/>
      <c r="AV120" s="138"/>
      <c r="AW120" s="324"/>
      <c r="AX120" s="325"/>
      <c r="AY120" s="138"/>
      <c r="AZ120" s="324"/>
      <c r="BA120" s="325"/>
      <c r="BB120" s="138"/>
      <c r="BC120" s="324"/>
      <c r="BD120" s="325"/>
      <c r="BE120" s="138"/>
      <c r="BF120" s="324"/>
      <c r="BG120" s="325"/>
      <c r="BH120" s="138"/>
      <c r="BI120" s="324"/>
      <c r="BJ120" s="325"/>
      <c r="BK120" s="138"/>
      <c r="BL120" s="324"/>
      <c r="BM120" s="325"/>
      <c r="BN120" s="138"/>
      <c r="BO120" s="324"/>
      <c r="BP120" s="325"/>
      <c r="BQ120" s="138"/>
      <c r="BR120" s="324"/>
      <c r="BS120" s="325"/>
      <c r="BT120" s="138"/>
      <c r="BU120" s="324"/>
      <c r="BV120" s="325"/>
      <c r="BW120" s="138"/>
      <c r="BX120" s="324"/>
      <c r="BY120" s="325"/>
      <c r="BZ120" s="138"/>
      <c r="CA120" s="324"/>
      <c r="CB120" s="325"/>
      <c r="CC120" s="138"/>
      <c r="CD120" s="324"/>
      <c r="CE120" s="325"/>
      <c r="CF120" s="138"/>
      <c r="CG120" s="324"/>
      <c r="CH120" s="325"/>
      <c r="CI120" s="138"/>
      <c r="CJ120" s="324"/>
      <c r="CK120" s="325"/>
      <c r="CL120" s="138"/>
      <c r="CM120" s="324"/>
      <c r="CN120" s="325"/>
      <c r="CO120" s="138"/>
      <c r="CP120" s="324"/>
      <c r="CQ120" s="325"/>
      <c r="CR120" s="138"/>
      <c r="CS120" s="324"/>
      <c r="CT120" s="325"/>
      <c r="CU120" s="138"/>
      <c r="CV120" s="324"/>
      <c r="CW120" s="325"/>
    </row>
    <row r="121" spans="1:101" ht="15.75" customHeight="1" x14ac:dyDescent="0.25">
      <c r="A121" s="502"/>
      <c r="B121" s="134" t="s">
        <v>48</v>
      </c>
      <c r="C121" s="66" t="s">
        <v>38</v>
      </c>
      <c r="D121" s="70">
        <v>13.04</v>
      </c>
      <c r="E121" s="164">
        <v>13.04</v>
      </c>
      <c r="F121" s="70">
        <f t="shared" si="17"/>
        <v>0</v>
      </c>
      <c r="G121" s="458"/>
      <c r="H121" s="46">
        <f>E121/D121</f>
        <v>1</v>
      </c>
      <c r="I121" s="83"/>
      <c r="J121" s="74"/>
      <c r="K121" s="80"/>
      <c r="L121" s="141">
        <v>10</v>
      </c>
      <c r="M121" s="142">
        <v>10</v>
      </c>
      <c r="N121" s="144">
        <v>0.5</v>
      </c>
      <c r="O121" s="144">
        <v>0.5</v>
      </c>
      <c r="P121" s="97">
        <f>O121/N121</f>
        <v>1</v>
      </c>
      <c r="Q121" s="144">
        <v>0.5</v>
      </c>
      <c r="R121" s="144">
        <v>0.5</v>
      </c>
      <c r="S121" s="221">
        <f>R121*100/Q121</f>
        <v>100</v>
      </c>
      <c r="T121" s="144">
        <v>0.68</v>
      </c>
      <c r="U121" s="153">
        <v>0.68</v>
      </c>
      <c r="V121" s="462"/>
      <c r="W121" s="461"/>
      <c r="X121" s="460"/>
      <c r="Y121" s="462"/>
      <c r="Z121" s="461"/>
      <c r="AA121" s="460"/>
      <c r="AB121" s="462"/>
      <c r="AC121" s="461"/>
      <c r="AD121" s="460"/>
      <c r="AE121" s="462"/>
      <c r="AF121" s="461"/>
      <c r="AG121" s="460"/>
      <c r="AH121" s="462"/>
      <c r="AI121" s="461"/>
      <c r="AJ121" s="460"/>
      <c r="AK121" s="462"/>
      <c r="AL121" s="461"/>
      <c r="AM121" s="460"/>
      <c r="AN121" s="462"/>
      <c r="AO121" s="461"/>
      <c r="AP121" s="460"/>
      <c r="AQ121" s="462"/>
      <c r="AR121" s="461"/>
      <c r="AS121" s="460"/>
      <c r="AT121" s="462"/>
      <c r="AU121" s="461"/>
      <c r="AV121" s="460"/>
      <c r="AW121" s="462"/>
      <c r="AX121" s="461"/>
      <c r="AY121" s="460"/>
      <c r="AZ121" s="462"/>
      <c r="BA121" s="461"/>
      <c r="BB121" s="460"/>
      <c r="BC121" s="462"/>
      <c r="BD121" s="461"/>
      <c r="BE121" s="460"/>
      <c r="BF121" s="462"/>
      <c r="BG121" s="461"/>
      <c r="BH121" s="460"/>
      <c r="BI121" s="462"/>
      <c r="BJ121" s="461"/>
      <c r="BK121" s="460"/>
      <c r="BL121" s="462"/>
      <c r="BM121" s="461"/>
      <c r="BN121" s="460"/>
      <c r="BO121" s="462"/>
      <c r="BP121" s="461"/>
      <c r="BQ121" s="460"/>
      <c r="BR121" s="462"/>
      <c r="BS121" s="482">
        <v>0.25</v>
      </c>
      <c r="BT121" s="460"/>
      <c r="BU121" s="462"/>
      <c r="BV121" s="482">
        <v>0.25</v>
      </c>
      <c r="BW121" s="460"/>
      <c r="BX121" s="462"/>
      <c r="BY121" s="482">
        <v>0.25</v>
      </c>
      <c r="BZ121" s="460"/>
      <c r="CA121" s="462"/>
      <c r="CB121" s="482">
        <v>0.28999999999999998</v>
      </c>
      <c r="CC121" s="460"/>
      <c r="CD121" s="462"/>
      <c r="CE121" s="461"/>
      <c r="CF121" s="460"/>
      <c r="CG121" s="462"/>
      <c r="CH121" s="461"/>
      <c r="CI121" s="460"/>
      <c r="CJ121" s="462"/>
      <c r="CK121" s="461"/>
      <c r="CL121" s="460"/>
      <c r="CM121" s="462"/>
      <c r="CN121" s="461"/>
      <c r="CO121" s="460"/>
      <c r="CP121" s="462"/>
      <c r="CQ121" s="461"/>
      <c r="CR121" s="460"/>
      <c r="CS121" s="462"/>
      <c r="CT121" s="461"/>
      <c r="CU121" s="460"/>
      <c r="CV121" s="462"/>
      <c r="CW121" s="461"/>
    </row>
    <row r="122" spans="1:101" ht="15.75" customHeight="1" x14ac:dyDescent="0.25">
      <c r="A122" s="501" t="s">
        <v>118</v>
      </c>
      <c r="B122" s="204" t="s">
        <v>70</v>
      </c>
      <c r="C122" s="51" t="s">
        <v>18</v>
      </c>
      <c r="D122" s="52">
        <v>1</v>
      </c>
      <c r="E122" s="477">
        <f>(H123+H124)/2</f>
        <v>0.58701923076923079</v>
      </c>
      <c r="F122" s="53">
        <f t="shared" si="17"/>
        <v>0.41298076923076921</v>
      </c>
      <c r="G122" s="186">
        <v>1</v>
      </c>
      <c r="H122" s="52">
        <f>E122</f>
        <v>0.58701923076923079</v>
      </c>
      <c r="I122" s="55"/>
      <c r="J122" s="56">
        <v>42727</v>
      </c>
      <c r="K122" s="247" t="s">
        <v>61</v>
      </c>
      <c r="L122" s="247"/>
      <c r="M122" s="366"/>
      <c r="N122" s="319"/>
      <c r="O122" s="319"/>
      <c r="P122" s="324"/>
      <c r="Q122" s="319"/>
      <c r="R122" s="319"/>
      <c r="S122" s="324"/>
      <c r="T122" s="319"/>
      <c r="U122" s="138"/>
      <c r="V122" s="324"/>
      <c r="W122" s="325"/>
      <c r="X122" s="138"/>
      <c r="Y122" s="324"/>
      <c r="Z122" s="325"/>
      <c r="AA122" s="138"/>
      <c r="AB122" s="324"/>
      <c r="AC122" s="325"/>
      <c r="AD122" s="138"/>
      <c r="AE122" s="324"/>
      <c r="AF122" s="325"/>
      <c r="AG122" s="138"/>
      <c r="AH122" s="324"/>
      <c r="AI122" s="325"/>
      <c r="AJ122" s="138"/>
      <c r="AK122" s="324"/>
      <c r="AL122" s="325"/>
      <c r="AM122" s="138"/>
      <c r="AN122" s="324"/>
      <c r="AO122" s="325"/>
      <c r="AP122" s="138"/>
      <c r="AQ122" s="324"/>
      <c r="AR122" s="325"/>
      <c r="AS122" s="138"/>
      <c r="AT122" s="324"/>
      <c r="AU122" s="325"/>
      <c r="AV122" s="138"/>
      <c r="AW122" s="324"/>
      <c r="AX122" s="325"/>
      <c r="AY122" s="138"/>
      <c r="AZ122" s="324"/>
      <c r="BA122" s="325"/>
      <c r="BB122" s="138"/>
      <c r="BC122" s="324"/>
      <c r="BD122" s="325"/>
      <c r="BE122" s="138"/>
      <c r="BF122" s="324"/>
      <c r="BG122" s="325"/>
      <c r="BH122" s="138"/>
      <c r="BI122" s="324"/>
      <c r="BJ122" s="325"/>
      <c r="BK122" s="138"/>
      <c r="BL122" s="324"/>
      <c r="BM122" s="325"/>
      <c r="BN122" s="138"/>
      <c r="BO122" s="324"/>
      <c r="BP122" s="325"/>
      <c r="BQ122" s="138"/>
      <c r="BR122" s="324"/>
      <c r="BS122" s="325"/>
      <c r="BT122" s="138"/>
      <c r="BU122" s="324"/>
      <c r="BV122" s="325"/>
      <c r="BW122" s="138"/>
      <c r="BX122" s="324"/>
      <c r="BY122" s="325"/>
      <c r="BZ122" s="138"/>
      <c r="CA122" s="324"/>
      <c r="CB122" s="325"/>
      <c r="CC122" s="138"/>
      <c r="CD122" s="324"/>
      <c r="CE122" s="325"/>
      <c r="CF122" s="138"/>
      <c r="CG122" s="324"/>
      <c r="CH122" s="325"/>
      <c r="CI122" s="138"/>
      <c r="CJ122" s="324"/>
      <c r="CK122" s="325"/>
      <c r="CL122" s="138"/>
      <c r="CM122" s="324"/>
      <c r="CN122" s="325"/>
      <c r="CO122" s="138"/>
      <c r="CP122" s="324"/>
      <c r="CQ122" s="325"/>
      <c r="CR122" s="138"/>
      <c r="CS122" s="324"/>
      <c r="CT122" s="325"/>
      <c r="CU122" s="138"/>
      <c r="CV122" s="324"/>
      <c r="CW122" s="325"/>
    </row>
    <row r="123" spans="1:101" ht="15.75" customHeight="1" x14ac:dyDescent="0.25">
      <c r="A123" s="502"/>
      <c r="B123" s="134" t="s">
        <v>48</v>
      </c>
      <c r="C123" s="66" t="s">
        <v>38</v>
      </c>
      <c r="D123" s="70">
        <v>15.6</v>
      </c>
      <c r="E123" s="164">
        <f>0.6+AM123+AP123+AS123+AV123+AY123+BB123+BE123+BH123+BK123+BN123+BQ123+BT123+BW123+BZ123+CC123+CF123+CI123+CL123+CO123+CR123+CU123</f>
        <v>2.7149999999999999</v>
      </c>
      <c r="F123" s="70">
        <f t="shared" si="17"/>
        <v>12.885</v>
      </c>
      <c r="G123" s="458"/>
      <c r="H123" s="46">
        <f t="shared" ref="H123:H124" si="114">E123/D123</f>
        <v>0.17403846153846153</v>
      </c>
      <c r="I123" s="83">
        <f>AP123/D123</f>
        <v>3.9423076923076922E-2</v>
      </c>
      <c r="J123" s="74"/>
      <c r="K123" s="80"/>
      <c r="L123" s="141">
        <v>15</v>
      </c>
      <c r="M123" s="142">
        <v>15</v>
      </c>
      <c r="N123" s="144">
        <v>0.6</v>
      </c>
      <c r="O123" s="144">
        <v>0.6</v>
      </c>
      <c r="P123" s="97">
        <f t="shared" ref="P123:P124" si="115">O123/N123</f>
        <v>1</v>
      </c>
      <c r="Q123" s="144">
        <v>0.6</v>
      </c>
      <c r="R123" s="144">
        <v>0.6</v>
      </c>
      <c r="S123" s="97">
        <f t="shared" ref="S123:S124" si="116">R123/Q123</f>
        <v>1</v>
      </c>
      <c r="T123" s="144">
        <v>0.6</v>
      </c>
      <c r="U123" s="153">
        <v>0</v>
      </c>
      <c r="V123" s="97">
        <f t="shared" ref="V123:V124" si="117">U123/T123</f>
        <v>0</v>
      </c>
      <c r="W123" s="461"/>
      <c r="X123" s="460"/>
      <c r="Y123" s="462"/>
      <c r="Z123" s="461"/>
      <c r="AA123" s="460"/>
      <c r="AB123" s="462"/>
      <c r="AC123" s="461"/>
      <c r="AD123" s="460"/>
      <c r="AE123" s="462"/>
      <c r="AF123" s="461"/>
      <c r="AG123" s="460"/>
      <c r="AH123" s="462"/>
      <c r="AI123" s="461"/>
      <c r="AJ123" s="460"/>
      <c r="AK123" s="462"/>
      <c r="AL123" s="482">
        <v>0.6</v>
      </c>
      <c r="AM123" s="155">
        <v>1.5</v>
      </c>
      <c r="AN123" s="97">
        <f>AM123/AL123</f>
        <v>2.5</v>
      </c>
      <c r="AO123" s="486">
        <v>0.6</v>
      </c>
      <c r="AP123" s="397">
        <v>0.61499999999999999</v>
      </c>
      <c r="AQ123" s="97">
        <f>AP123/AO123</f>
        <v>1.0250000000000001</v>
      </c>
      <c r="AR123" s="461"/>
      <c r="AS123" s="460"/>
      <c r="AT123" s="462"/>
      <c r="AU123" s="461"/>
      <c r="AV123" s="460"/>
      <c r="AW123" s="462"/>
      <c r="AX123" s="487">
        <v>1.0609999999999999</v>
      </c>
      <c r="AY123" s="460"/>
      <c r="AZ123" s="462"/>
      <c r="BA123" s="487">
        <v>1.0609999999999999</v>
      </c>
      <c r="BB123" s="460"/>
      <c r="BC123" s="462"/>
      <c r="BD123" s="487">
        <v>1.0609999999999999</v>
      </c>
      <c r="BE123" s="460"/>
      <c r="BF123" s="462"/>
      <c r="BG123" s="487">
        <v>1.0609999999999999</v>
      </c>
      <c r="BH123" s="460"/>
      <c r="BI123" s="462"/>
      <c r="BJ123" s="487">
        <v>1.0609999999999999</v>
      </c>
      <c r="BK123" s="460"/>
      <c r="BL123" s="462"/>
      <c r="BM123" s="487">
        <v>1.0609999999999999</v>
      </c>
      <c r="BN123" s="460"/>
      <c r="BO123" s="462"/>
      <c r="BP123" s="487">
        <v>1.0609999999999999</v>
      </c>
      <c r="BQ123" s="460"/>
      <c r="BR123" s="462"/>
      <c r="BS123" s="487">
        <v>1.0609999999999999</v>
      </c>
      <c r="BT123" s="460"/>
      <c r="BU123" s="462"/>
      <c r="BV123" s="487">
        <v>1.0609999999999999</v>
      </c>
      <c r="BW123" s="460"/>
      <c r="BX123" s="462"/>
      <c r="BY123" s="487">
        <v>1.0609999999999999</v>
      </c>
      <c r="BZ123" s="460"/>
      <c r="CA123" s="462"/>
      <c r="CB123" s="487">
        <v>1.0609999999999999</v>
      </c>
      <c r="CC123" s="460"/>
      <c r="CD123" s="462"/>
      <c r="CE123" s="487">
        <v>1.0609999999999999</v>
      </c>
      <c r="CF123" s="460"/>
      <c r="CG123" s="462"/>
      <c r="CH123" s="487">
        <v>1.0609999999999999</v>
      </c>
      <c r="CI123" s="460"/>
      <c r="CJ123" s="462"/>
      <c r="CK123" s="487">
        <v>1.0609999999999999</v>
      </c>
      <c r="CL123" s="460"/>
      <c r="CM123" s="462"/>
      <c r="CN123" s="487">
        <v>1.0609999999999999</v>
      </c>
      <c r="CO123" s="460"/>
      <c r="CP123" s="462"/>
      <c r="CQ123" s="487">
        <v>1.0609999999999999</v>
      </c>
      <c r="CR123" s="460"/>
      <c r="CS123" s="462"/>
      <c r="CT123" s="487">
        <v>1.0609999999999999</v>
      </c>
      <c r="CU123" s="460"/>
      <c r="CV123" s="462"/>
      <c r="CW123" s="461"/>
    </row>
    <row r="124" spans="1:101" ht="15.75" customHeight="1" x14ac:dyDescent="0.25">
      <c r="A124" s="503"/>
      <c r="B124" s="134" t="s">
        <v>50</v>
      </c>
      <c r="C124" s="66" t="s">
        <v>41</v>
      </c>
      <c r="D124" s="126">
        <v>14</v>
      </c>
      <c r="E124" s="268">
        <v>14</v>
      </c>
      <c r="F124" s="108">
        <f t="shared" si="17"/>
        <v>0</v>
      </c>
      <c r="G124" s="458"/>
      <c r="H124" s="46">
        <f t="shared" si="114"/>
        <v>1</v>
      </c>
      <c r="I124" s="83"/>
      <c r="J124" s="126" t="s">
        <v>31</v>
      </c>
      <c r="K124" s="80"/>
      <c r="L124" s="241"/>
      <c r="M124" s="243"/>
      <c r="N124" s="144">
        <v>4</v>
      </c>
      <c r="O124" s="144">
        <v>4</v>
      </c>
      <c r="P124" s="97">
        <f t="shared" si="115"/>
        <v>1</v>
      </c>
      <c r="Q124" s="144">
        <v>4</v>
      </c>
      <c r="R124" s="144">
        <v>4</v>
      </c>
      <c r="S124" s="97">
        <f t="shared" si="116"/>
        <v>1</v>
      </c>
      <c r="T124" s="144">
        <v>5</v>
      </c>
      <c r="U124" s="153">
        <v>5</v>
      </c>
      <c r="V124" s="97">
        <f t="shared" si="117"/>
        <v>1</v>
      </c>
      <c r="W124" s="461"/>
      <c r="X124" s="460"/>
      <c r="Y124" s="462"/>
      <c r="Z124" s="461"/>
      <c r="AA124" s="460"/>
      <c r="AB124" s="462"/>
      <c r="AC124" s="461"/>
      <c r="AD124" s="460"/>
      <c r="AE124" s="462"/>
      <c r="AF124" s="461"/>
      <c r="AG124" s="460"/>
      <c r="AH124" s="462"/>
      <c r="AI124" s="461"/>
      <c r="AJ124" s="460"/>
      <c r="AK124" s="462"/>
      <c r="AL124" s="482"/>
      <c r="AM124" s="460"/>
      <c r="AN124" s="462"/>
      <c r="AO124" s="482"/>
      <c r="AP124" s="460"/>
      <c r="AQ124" s="462"/>
      <c r="AR124" s="461"/>
      <c r="AS124" s="460"/>
      <c r="AT124" s="462"/>
      <c r="AU124" s="461"/>
      <c r="AV124" s="460"/>
      <c r="AW124" s="462"/>
      <c r="AX124" s="461"/>
      <c r="AY124" s="460"/>
      <c r="AZ124" s="462"/>
      <c r="BA124" s="461"/>
      <c r="BB124" s="460"/>
      <c r="BC124" s="462"/>
      <c r="BD124" s="461"/>
      <c r="BE124" s="460"/>
      <c r="BF124" s="462"/>
      <c r="BG124" s="461"/>
      <c r="BH124" s="460"/>
      <c r="BI124" s="462"/>
      <c r="BJ124" s="461"/>
      <c r="BK124" s="460"/>
      <c r="BL124" s="462"/>
      <c r="BM124" s="461"/>
      <c r="BN124" s="460"/>
      <c r="BO124" s="462"/>
      <c r="BP124" s="461"/>
      <c r="BQ124" s="460"/>
      <c r="BR124" s="462"/>
      <c r="BS124" s="461"/>
      <c r="BT124" s="460"/>
      <c r="BU124" s="462"/>
      <c r="BV124" s="461"/>
      <c r="BW124" s="460"/>
      <c r="BX124" s="462"/>
      <c r="BY124" s="461"/>
      <c r="BZ124" s="460"/>
      <c r="CA124" s="462"/>
      <c r="CB124" s="461"/>
      <c r="CC124" s="460"/>
      <c r="CD124" s="462"/>
      <c r="CE124" s="461"/>
      <c r="CF124" s="460"/>
      <c r="CG124" s="462"/>
      <c r="CH124" s="461"/>
      <c r="CI124" s="460"/>
      <c r="CJ124" s="462"/>
      <c r="CK124" s="461"/>
      <c r="CL124" s="460"/>
      <c r="CM124" s="462"/>
      <c r="CN124" s="461"/>
      <c r="CO124" s="460"/>
      <c r="CP124" s="462"/>
      <c r="CQ124" s="461"/>
      <c r="CR124" s="460"/>
      <c r="CS124" s="462"/>
      <c r="CT124" s="461"/>
      <c r="CU124" s="460"/>
      <c r="CV124" s="462"/>
      <c r="CW124" s="461"/>
    </row>
    <row r="125" spans="1:101" ht="15.75" customHeight="1" x14ac:dyDescent="0.25">
      <c r="A125" s="501" t="s">
        <v>119</v>
      </c>
      <c r="B125" s="488" t="s">
        <v>127</v>
      </c>
      <c r="C125" s="51" t="s">
        <v>18</v>
      </c>
      <c r="D125" s="52">
        <v>1</v>
      </c>
      <c r="E125" s="477">
        <f>(H126+H127)/2</f>
        <v>0.9375</v>
      </c>
      <c r="F125" s="53">
        <f t="shared" si="17"/>
        <v>6.25E-2</v>
      </c>
      <c r="G125" s="186">
        <v>0.9</v>
      </c>
      <c r="H125" s="52">
        <f>E125</f>
        <v>0.9375</v>
      </c>
      <c r="I125" s="55"/>
      <c r="J125" s="56">
        <v>42727</v>
      </c>
      <c r="K125" s="247" t="s">
        <v>61</v>
      </c>
      <c r="L125" s="247"/>
      <c r="M125" s="366"/>
      <c r="N125" s="319"/>
      <c r="O125" s="319"/>
      <c r="P125" s="324"/>
      <c r="Q125" s="319"/>
      <c r="R125" s="319"/>
      <c r="S125" s="324"/>
      <c r="T125" s="319"/>
      <c r="U125" s="138"/>
      <c r="V125" s="324"/>
      <c r="W125" s="325"/>
      <c r="X125" s="138"/>
      <c r="Y125" s="324"/>
      <c r="Z125" s="325"/>
      <c r="AA125" s="138"/>
      <c r="AB125" s="324"/>
      <c r="AC125" s="325"/>
      <c r="AD125" s="138"/>
      <c r="AE125" s="324"/>
      <c r="AF125" s="325"/>
      <c r="AG125" s="138"/>
      <c r="AH125" s="324"/>
      <c r="AI125" s="325"/>
      <c r="AJ125" s="138"/>
      <c r="AK125" s="324"/>
      <c r="AL125" s="325"/>
      <c r="AM125" s="138"/>
      <c r="AN125" s="324"/>
      <c r="AO125" s="325"/>
      <c r="AP125" s="138"/>
      <c r="AQ125" s="324"/>
      <c r="AR125" s="325"/>
      <c r="AS125" s="138"/>
      <c r="AT125" s="324"/>
      <c r="AU125" s="325"/>
      <c r="AV125" s="138"/>
      <c r="AW125" s="324"/>
      <c r="AX125" s="325"/>
      <c r="AY125" s="138"/>
      <c r="AZ125" s="324"/>
      <c r="BA125" s="325"/>
      <c r="BB125" s="138"/>
      <c r="BC125" s="324"/>
      <c r="BD125" s="325"/>
      <c r="BE125" s="138"/>
      <c r="BF125" s="324"/>
      <c r="BG125" s="325"/>
      <c r="BH125" s="138"/>
      <c r="BI125" s="324"/>
      <c r="BJ125" s="325"/>
      <c r="BK125" s="138"/>
      <c r="BL125" s="324"/>
      <c r="BM125" s="325"/>
      <c r="BN125" s="138"/>
      <c r="BO125" s="324"/>
      <c r="BP125" s="325"/>
      <c r="BQ125" s="138"/>
      <c r="BR125" s="324"/>
      <c r="BS125" s="325"/>
      <c r="BT125" s="138"/>
      <c r="BU125" s="324"/>
      <c r="BV125" s="325"/>
      <c r="BW125" s="138"/>
      <c r="BX125" s="324"/>
      <c r="BY125" s="325"/>
      <c r="BZ125" s="138"/>
      <c r="CA125" s="324"/>
      <c r="CB125" s="325"/>
      <c r="CC125" s="138"/>
      <c r="CD125" s="324"/>
      <c r="CE125" s="325"/>
      <c r="CF125" s="138"/>
      <c r="CG125" s="324"/>
      <c r="CH125" s="325"/>
      <c r="CI125" s="138"/>
      <c r="CJ125" s="324"/>
      <c r="CK125" s="325"/>
      <c r="CL125" s="138"/>
      <c r="CM125" s="324"/>
      <c r="CN125" s="325"/>
      <c r="CO125" s="138"/>
      <c r="CP125" s="324"/>
      <c r="CQ125" s="325"/>
      <c r="CR125" s="138"/>
      <c r="CS125" s="324"/>
      <c r="CT125" s="325"/>
      <c r="CU125" s="138"/>
      <c r="CV125" s="324"/>
      <c r="CW125" s="325"/>
    </row>
    <row r="126" spans="1:101" ht="15.75" customHeight="1" x14ac:dyDescent="0.25">
      <c r="A126" s="502"/>
      <c r="B126" s="134" t="s">
        <v>48</v>
      </c>
      <c r="C126" s="66" t="s">
        <v>38</v>
      </c>
      <c r="D126" s="164">
        <v>5.95</v>
      </c>
      <c r="E126" s="164">
        <f>4.51+AM126+AP126+AS126+AV126+AY126+BB126+BE126+BH126+BK126+BN126+BQ126+BT126+BW126+BZ126+CC126+CF126+CI126+CL126+CO126+CR126+CU126</f>
        <v>5.9499999999999993</v>
      </c>
      <c r="F126" s="70">
        <f t="shared" si="17"/>
        <v>0</v>
      </c>
      <c r="G126" s="458"/>
      <c r="H126" s="46">
        <f t="shared" ref="H126:H127" si="118">E126/D126</f>
        <v>0.99999999999999989</v>
      </c>
      <c r="I126" s="83">
        <f t="shared" ref="I126:I127" si="119">AP126/D126</f>
        <v>0</v>
      </c>
      <c r="J126" s="126" t="s">
        <v>31</v>
      </c>
      <c r="K126" s="80"/>
      <c r="L126" s="141">
        <v>11</v>
      </c>
      <c r="M126" s="142">
        <v>11</v>
      </c>
      <c r="N126" s="144">
        <v>0.5</v>
      </c>
      <c r="O126" s="144">
        <v>0.5</v>
      </c>
      <c r="P126" s="221">
        <f t="shared" ref="P126:P127" si="120">O126*100/N126</f>
        <v>100</v>
      </c>
      <c r="Q126" s="144">
        <v>0.5</v>
      </c>
      <c r="R126" s="144">
        <v>0.5</v>
      </c>
      <c r="S126" s="221">
        <f t="shared" ref="S126:S127" si="121">R126*100/Q126</f>
        <v>100</v>
      </c>
      <c r="T126" s="144">
        <v>0.5</v>
      </c>
      <c r="U126" s="153">
        <v>0.5</v>
      </c>
      <c r="V126" s="97">
        <f t="shared" ref="V126:V127" si="122">U126/T126</f>
        <v>1</v>
      </c>
      <c r="W126" s="461"/>
      <c r="X126" s="460"/>
      <c r="Y126" s="462"/>
      <c r="Z126" s="461"/>
      <c r="AA126" s="460"/>
      <c r="AB126" s="462"/>
      <c r="AC126" s="461">
        <v>0.5</v>
      </c>
      <c r="AD126" s="461">
        <v>0.5</v>
      </c>
      <c r="AE126" s="97">
        <f t="shared" ref="AE126:AE127" si="123">AD126/AC126</f>
        <v>1</v>
      </c>
      <c r="AF126" s="461">
        <v>1</v>
      </c>
      <c r="AG126" s="153">
        <v>1</v>
      </c>
      <c r="AH126" s="97">
        <f t="shared" ref="AH126:AH127" si="124">AG126/AF126</f>
        <v>1</v>
      </c>
      <c r="AI126" s="482">
        <v>0.59</v>
      </c>
      <c r="AJ126" s="155">
        <v>0.59</v>
      </c>
      <c r="AK126" s="97">
        <f>AJ126/AI126</f>
        <v>1</v>
      </c>
      <c r="AL126" s="482">
        <v>0.59</v>
      </c>
      <c r="AM126" s="155">
        <v>1.44</v>
      </c>
      <c r="AN126" s="97">
        <f>AM126/AL126</f>
        <v>2.4406779661016951</v>
      </c>
      <c r="AO126" s="482">
        <v>0.59</v>
      </c>
      <c r="AP126" s="285"/>
      <c r="AQ126" s="97">
        <f t="shared" ref="AQ126:AQ127" si="125">AP126/AO126</f>
        <v>0</v>
      </c>
      <c r="AR126" s="461"/>
      <c r="AS126" s="460"/>
      <c r="AT126" s="462"/>
      <c r="AU126" s="461"/>
      <c r="AV126" s="460"/>
      <c r="AW126" s="462"/>
      <c r="AX126" s="482"/>
      <c r="AY126" s="460"/>
      <c r="AZ126" s="462"/>
      <c r="BA126" s="482"/>
      <c r="BB126" s="460"/>
      <c r="BC126" s="462"/>
      <c r="BD126" s="461"/>
      <c r="BE126" s="460"/>
      <c r="BF126" s="462"/>
      <c r="BG126" s="461"/>
      <c r="BH126" s="460"/>
      <c r="BI126" s="462"/>
      <c r="BJ126" s="461"/>
      <c r="BK126" s="460"/>
      <c r="BL126" s="462"/>
      <c r="BM126" s="461"/>
      <c r="BN126" s="460"/>
      <c r="BO126" s="462"/>
      <c r="BP126" s="461"/>
      <c r="BQ126" s="460"/>
      <c r="BR126" s="462"/>
      <c r="BS126" s="461"/>
      <c r="BT126" s="460"/>
      <c r="BU126" s="462"/>
      <c r="BV126" s="461"/>
      <c r="BW126" s="460"/>
      <c r="BX126" s="462"/>
      <c r="BY126" s="461"/>
      <c r="BZ126" s="460"/>
      <c r="CA126" s="462"/>
      <c r="CB126" s="461"/>
      <c r="CC126" s="460"/>
      <c r="CD126" s="462"/>
      <c r="CE126" s="461"/>
      <c r="CF126" s="460"/>
      <c r="CG126" s="462"/>
      <c r="CH126" s="461"/>
      <c r="CI126" s="460"/>
      <c r="CJ126" s="462"/>
      <c r="CK126" s="461"/>
      <c r="CL126" s="460"/>
      <c r="CM126" s="462"/>
      <c r="CN126" s="461"/>
      <c r="CO126" s="460"/>
      <c r="CP126" s="462"/>
      <c r="CQ126" s="461"/>
      <c r="CR126" s="460"/>
      <c r="CS126" s="462"/>
      <c r="CT126" s="461"/>
      <c r="CU126" s="460"/>
      <c r="CV126" s="462"/>
      <c r="CW126" s="461"/>
    </row>
    <row r="127" spans="1:101" ht="15.75" customHeight="1" x14ac:dyDescent="0.25">
      <c r="A127" s="503"/>
      <c r="B127" s="489" t="s">
        <v>50</v>
      </c>
      <c r="C127" s="108" t="s">
        <v>41</v>
      </c>
      <c r="D127" s="268">
        <v>32</v>
      </c>
      <c r="E127" s="268">
        <f>14+AM127+AS127+AP127+AV127+AY127+BB127+BE127+BH127+BK127+BN127+BQ127+BT127+BW127+BZ127+CC127+CF127+CI127+CL127+CO127+CR127+CU127</f>
        <v>28</v>
      </c>
      <c r="F127" s="108">
        <f t="shared" si="17"/>
        <v>4</v>
      </c>
      <c r="G127" s="108"/>
      <c r="H127" s="46">
        <f t="shared" si="118"/>
        <v>0.875</v>
      </c>
      <c r="I127" s="83">
        <f t="shared" si="119"/>
        <v>0.4375</v>
      </c>
      <c r="J127" s="108"/>
      <c r="K127" s="274"/>
      <c r="L127" s="490">
        <v>2</v>
      </c>
      <c r="M127" s="491">
        <v>2</v>
      </c>
      <c r="N127" s="177">
        <v>4</v>
      </c>
      <c r="O127" s="177">
        <v>4</v>
      </c>
      <c r="P127" s="413">
        <f t="shared" si="120"/>
        <v>100</v>
      </c>
      <c r="Q127" s="177">
        <v>4</v>
      </c>
      <c r="R127" s="177">
        <v>4</v>
      </c>
      <c r="S127" s="413">
        <f t="shared" si="121"/>
        <v>100</v>
      </c>
      <c r="T127" s="177">
        <v>4</v>
      </c>
      <c r="U127" s="177">
        <v>4</v>
      </c>
      <c r="V127" s="148">
        <f t="shared" si="122"/>
        <v>1</v>
      </c>
      <c r="W127" s="151"/>
      <c r="X127" s="146"/>
      <c r="Y127" s="148"/>
      <c r="Z127" s="151"/>
      <c r="AA127" s="146"/>
      <c r="AB127" s="148"/>
      <c r="AC127" s="177">
        <v>4</v>
      </c>
      <c r="AD127" s="177">
        <v>4</v>
      </c>
      <c r="AE127" s="148">
        <f t="shared" si="123"/>
        <v>1</v>
      </c>
      <c r="AF127" s="177">
        <v>4</v>
      </c>
      <c r="AG127" s="177">
        <v>4</v>
      </c>
      <c r="AH127" s="148">
        <f t="shared" si="124"/>
        <v>1</v>
      </c>
      <c r="AI127" s="151"/>
      <c r="AJ127" s="146"/>
      <c r="AK127" s="148"/>
      <c r="AL127" s="151"/>
      <c r="AM127" s="466"/>
      <c r="AN127" s="148"/>
      <c r="AO127" s="483">
        <v>14</v>
      </c>
      <c r="AP127" s="337">
        <v>14</v>
      </c>
      <c r="AQ127" s="97">
        <f t="shared" si="125"/>
        <v>1</v>
      </c>
      <c r="AR127" s="151"/>
      <c r="AS127" s="146"/>
      <c r="AT127" s="148"/>
      <c r="AU127" s="151"/>
      <c r="AV127" s="146"/>
      <c r="AW127" s="148"/>
      <c r="AX127" s="483">
        <v>3</v>
      </c>
      <c r="AY127" s="146"/>
      <c r="AZ127" s="148"/>
      <c r="BA127" s="483">
        <v>3</v>
      </c>
      <c r="BB127" s="146"/>
      <c r="BC127" s="148"/>
      <c r="BD127" s="483">
        <v>3</v>
      </c>
      <c r="BE127" s="146"/>
      <c r="BF127" s="148"/>
      <c r="BG127" s="483">
        <v>3</v>
      </c>
      <c r="BH127" s="146"/>
      <c r="BI127" s="148"/>
      <c r="BJ127" s="483">
        <v>3</v>
      </c>
      <c r="BK127" s="146"/>
      <c r="BL127" s="148"/>
      <c r="BM127" s="151"/>
      <c r="BN127" s="146"/>
      <c r="BO127" s="148"/>
      <c r="BP127" s="151"/>
      <c r="BQ127" s="146"/>
      <c r="BR127" s="148"/>
      <c r="BS127" s="151"/>
      <c r="BT127" s="146"/>
      <c r="BU127" s="148"/>
      <c r="BV127" s="151"/>
      <c r="BW127" s="146"/>
      <c r="BX127" s="148"/>
      <c r="BY127" s="151"/>
      <c r="BZ127" s="146"/>
      <c r="CA127" s="148"/>
      <c r="CB127" s="151"/>
      <c r="CC127" s="146"/>
      <c r="CD127" s="148"/>
      <c r="CE127" s="151"/>
      <c r="CF127" s="146"/>
      <c r="CG127" s="148"/>
      <c r="CH127" s="151"/>
      <c r="CI127" s="146"/>
      <c r="CJ127" s="148"/>
      <c r="CK127" s="151"/>
      <c r="CL127" s="146"/>
      <c r="CM127" s="148"/>
      <c r="CN127" s="151"/>
      <c r="CO127" s="146"/>
      <c r="CP127" s="148"/>
      <c r="CQ127" s="151"/>
      <c r="CR127" s="146"/>
      <c r="CS127" s="148"/>
      <c r="CT127" s="151"/>
      <c r="CU127" s="146"/>
      <c r="CV127" s="148"/>
      <c r="CW127" s="151"/>
    </row>
    <row r="128" spans="1:101" ht="15.75" customHeight="1" x14ac:dyDescent="0.25">
      <c r="A128" s="501" t="s">
        <v>121</v>
      </c>
      <c r="B128" s="488" t="s">
        <v>73</v>
      </c>
      <c r="C128" s="51" t="s">
        <v>18</v>
      </c>
      <c r="D128" s="52">
        <v>1</v>
      </c>
      <c r="E128" s="477">
        <f>H129</f>
        <v>0.375</v>
      </c>
      <c r="F128" s="53">
        <f t="shared" si="17"/>
        <v>0.625</v>
      </c>
      <c r="G128" s="186">
        <v>0.95</v>
      </c>
      <c r="H128" s="52">
        <f>E128</f>
        <v>0.375</v>
      </c>
      <c r="I128" s="55"/>
      <c r="J128" s="56">
        <v>42727</v>
      </c>
      <c r="K128" s="247" t="s">
        <v>61</v>
      </c>
      <c r="L128" s="247"/>
      <c r="M128" s="366"/>
      <c r="N128" s="319"/>
      <c r="O128" s="319"/>
      <c r="P128" s="324"/>
      <c r="Q128" s="319"/>
      <c r="R128" s="319"/>
      <c r="S128" s="324"/>
      <c r="T128" s="319"/>
      <c r="U128" s="138"/>
      <c r="V128" s="324"/>
      <c r="W128" s="325"/>
      <c r="X128" s="138"/>
      <c r="Y128" s="324"/>
      <c r="Z128" s="325"/>
      <c r="AA128" s="138"/>
      <c r="AB128" s="324"/>
      <c r="AC128" s="325"/>
      <c r="AD128" s="138"/>
      <c r="AE128" s="324"/>
      <c r="AF128" s="325"/>
      <c r="AG128" s="138"/>
      <c r="AH128" s="324"/>
      <c r="AI128" s="325"/>
      <c r="AJ128" s="138"/>
      <c r="AK128" s="324"/>
      <c r="AL128" s="325"/>
      <c r="AM128" s="138"/>
      <c r="AN128" s="324"/>
      <c r="AO128" s="325"/>
      <c r="AP128" s="138"/>
      <c r="AQ128" s="324"/>
      <c r="AR128" s="325"/>
      <c r="AS128" s="138"/>
      <c r="AT128" s="324"/>
      <c r="AU128" s="325"/>
      <c r="AV128" s="138"/>
      <c r="AW128" s="324"/>
      <c r="AX128" s="325"/>
      <c r="AY128" s="138"/>
      <c r="AZ128" s="324"/>
      <c r="BA128" s="325"/>
      <c r="BB128" s="138"/>
      <c r="BC128" s="324"/>
      <c r="BD128" s="325"/>
      <c r="BE128" s="138"/>
      <c r="BF128" s="324"/>
      <c r="BG128" s="325"/>
      <c r="BH128" s="138"/>
      <c r="BI128" s="324"/>
      <c r="BJ128" s="325"/>
      <c r="BK128" s="138"/>
      <c r="BL128" s="324"/>
      <c r="BM128" s="325"/>
      <c r="BN128" s="138"/>
      <c r="BO128" s="324"/>
      <c r="BP128" s="325"/>
      <c r="BQ128" s="138"/>
      <c r="BR128" s="324"/>
      <c r="BS128" s="325"/>
      <c r="BT128" s="138"/>
      <c r="BU128" s="324"/>
      <c r="BV128" s="325"/>
      <c r="BW128" s="138"/>
      <c r="BX128" s="324"/>
      <c r="BY128" s="325"/>
      <c r="BZ128" s="138"/>
      <c r="CA128" s="324"/>
      <c r="CB128" s="325"/>
      <c r="CC128" s="138"/>
      <c r="CD128" s="324"/>
      <c r="CE128" s="325"/>
      <c r="CF128" s="138"/>
      <c r="CG128" s="324"/>
      <c r="CH128" s="325"/>
      <c r="CI128" s="138"/>
      <c r="CJ128" s="324"/>
      <c r="CK128" s="325"/>
      <c r="CL128" s="138"/>
      <c r="CM128" s="324"/>
      <c r="CN128" s="325"/>
      <c r="CO128" s="138"/>
      <c r="CP128" s="324"/>
      <c r="CQ128" s="325"/>
      <c r="CR128" s="138"/>
      <c r="CS128" s="324"/>
      <c r="CT128" s="325"/>
      <c r="CU128" s="138"/>
      <c r="CV128" s="324"/>
      <c r="CW128" s="325"/>
    </row>
    <row r="129" spans="1:101" ht="15.75" customHeight="1" x14ac:dyDescent="0.25">
      <c r="A129" s="503"/>
      <c r="B129" s="134" t="s">
        <v>74</v>
      </c>
      <c r="C129" s="66" t="s">
        <v>41</v>
      </c>
      <c r="D129" s="66">
        <v>8</v>
      </c>
      <c r="E129" s="108">
        <f>O129+R129+U129+X129+AA129+AD129+AG129+AJ129+AM129+AP129+AS129+AV129+AY129+BB129+BE129+BH129+BK129+BN129+BQ129+BT129+BW129+BZ129+CC129+CF129+CI129+CL129+CO129+CR129+CU129</f>
        <v>3</v>
      </c>
      <c r="F129" s="108">
        <f t="shared" si="17"/>
        <v>5</v>
      </c>
      <c r="G129" s="458"/>
      <c r="H129" s="46">
        <f>E129/D129</f>
        <v>0.375</v>
      </c>
      <c r="I129" s="83"/>
      <c r="J129" s="74"/>
      <c r="K129" s="80"/>
      <c r="L129" s="141">
        <v>5</v>
      </c>
      <c r="M129" s="142">
        <v>5</v>
      </c>
      <c r="N129" s="144">
        <v>1</v>
      </c>
      <c r="O129" s="144">
        <v>1</v>
      </c>
      <c r="P129" s="221">
        <f>O129*100/N129</f>
        <v>100</v>
      </c>
      <c r="Q129" s="144">
        <v>1</v>
      </c>
      <c r="R129" s="144">
        <v>1</v>
      </c>
      <c r="S129" s="221">
        <f>R129*100/Q129</f>
        <v>100</v>
      </c>
      <c r="T129" s="144">
        <v>1</v>
      </c>
      <c r="U129" s="153">
        <v>1</v>
      </c>
      <c r="V129" s="462"/>
      <c r="W129" s="461"/>
      <c r="X129" s="460"/>
      <c r="Y129" s="462"/>
      <c r="Z129" s="461"/>
      <c r="AA129" s="460"/>
      <c r="AB129" s="462"/>
      <c r="AC129" s="461"/>
      <c r="AD129" s="460"/>
      <c r="AE129" s="462"/>
      <c r="AF129" s="461"/>
      <c r="AG129" s="460"/>
      <c r="AH129" s="462"/>
      <c r="AI129" s="461"/>
      <c r="AJ129" s="460"/>
      <c r="AK129" s="462"/>
      <c r="AL129" s="461"/>
      <c r="AM129" s="460"/>
      <c r="AN129" s="462"/>
      <c r="AO129" s="461"/>
      <c r="AP129" s="460"/>
      <c r="AQ129" s="462"/>
      <c r="AR129" s="461"/>
      <c r="AS129" s="460"/>
      <c r="AT129" s="462"/>
      <c r="AU129" s="482"/>
      <c r="AV129" s="460"/>
      <c r="AW129" s="462"/>
      <c r="AX129" s="461"/>
      <c r="AY129" s="460"/>
      <c r="AZ129" s="462"/>
      <c r="BA129" s="482">
        <v>1</v>
      </c>
      <c r="BB129" s="460"/>
      <c r="BC129" s="462"/>
      <c r="BD129" s="482">
        <v>1</v>
      </c>
      <c r="BE129" s="460"/>
      <c r="BF129" s="462"/>
      <c r="BG129" s="482">
        <v>1</v>
      </c>
      <c r="BH129" s="460"/>
      <c r="BI129" s="462"/>
      <c r="BJ129" s="461"/>
      <c r="BK129" s="460"/>
      <c r="BL129" s="462"/>
      <c r="BM129" s="461"/>
      <c r="BN129" s="460"/>
      <c r="BO129" s="462"/>
      <c r="BP129" s="461"/>
      <c r="BQ129" s="460"/>
      <c r="BR129" s="462"/>
      <c r="BS129" s="482"/>
      <c r="BT129" s="460"/>
      <c r="BU129" s="462"/>
      <c r="BV129" s="482">
        <v>2</v>
      </c>
      <c r="BW129" s="460"/>
      <c r="BX129" s="462"/>
      <c r="BY129" s="482">
        <v>3</v>
      </c>
      <c r="BZ129" s="460"/>
      <c r="CA129" s="462"/>
      <c r="CB129" s="461"/>
      <c r="CC129" s="460"/>
      <c r="CD129" s="462"/>
      <c r="CE129" s="461"/>
      <c r="CF129" s="460"/>
      <c r="CG129" s="462"/>
      <c r="CH129" s="461"/>
      <c r="CI129" s="460"/>
      <c r="CJ129" s="462"/>
      <c r="CK129" s="461"/>
      <c r="CL129" s="460"/>
      <c r="CM129" s="462"/>
      <c r="CN129" s="461"/>
      <c r="CO129" s="460"/>
      <c r="CP129" s="462"/>
      <c r="CQ129" s="461"/>
      <c r="CR129" s="460"/>
      <c r="CS129" s="462"/>
      <c r="CT129" s="461"/>
      <c r="CU129" s="460"/>
      <c r="CV129" s="462"/>
      <c r="CW129" s="461"/>
    </row>
    <row r="130" spans="1:101" ht="15.75" customHeight="1" x14ac:dyDescent="0.25">
      <c r="A130" s="1"/>
      <c r="B130" s="2"/>
      <c r="C130" s="3"/>
      <c r="D130" s="3"/>
      <c r="E130" s="3"/>
      <c r="F130" s="3"/>
      <c r="G130" s="3"/>
      <c r="H130" s="3"/>
      <c r="I130" s="4"/>
      <c r="J130" s="8"/>
      <c r="K130" s="3"/>
      <c r="L130" s="485"/>
      <c r="M130" s="485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5"/>
    </row>
    <row r="131" spans="1:101" ht="15.75" customHeight="1" x14ac:dyDescent="0.25">
      <c r="A131" s="1"/>
      <c r="B131" s="2"/>
      <c r="C131" s="3"/>
      <c r="D131" s="3"/>
      <c r="E131" s="3"/>
      <c r="F131" s="3"/>
      <c r="G131" s="3"/>
      <c r="H131" s="3"/>
      <c r="I131" s="4"/>
      <c r="J131" s="8"/>
      <c r="K131" s="3"/>
      <c r="L131" s="5"/>
      <c r="M131" s="5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5"/>
    </row>
  </sheetData>
  <mergeCells count="94">
    <mergeCell ref="BD7:BF7"/>
    <mergeCell ref="W7:Y7"/>
    <mergeCell ref="Z7:AB7"/>
    <mergeCell ref="N6:AK6"/>
    <mergeCell ref="AC7:AE7"/>
    <mergeCell ref="AI7:AK7"/>
    <mergeCell ref="T7:V7"/>
    <mergeCell ref="AF7:AH7"/>
    <mergeCell ref="N7:P7"/>
    <mergeCell ref="Q7:S7"/>
    <mergeCell ref="AL7:AN7"/>
    <mergeCell ref="CT7:CV7"/>
    <mergeCell ref="AL6:CV6"/>
    <mergeCell ref="A12:A14"/>
    <mergeCell ref="AX7:AZ7"/>
    <mergeCell ref="BY7:CA7"/>
    <mergeCell ref="BV7:BX7"/>
    <mergeCell ref="CQ7:CS7"/>
    <mergeCell ref="BG7:BI7"/>
    <mergeCell ref="CN7:CP7"/>
    <mergeCell ref="CE7:CG7"/>
    <mergeCell ref="BS7:BU7"/>
    <mergeCell ref="BP7:BR7"/>
    <mergeCell ref="CB7:CD7"/>
    <mergeCell ref="BJ7:BL7"/>
    <mergeCell ref="BM7:BO7"/>
    <mergeCell ref="E7:E8"/>
    <mergeCell ref="F7:F8"/>
    <mergeCell ref="I6:I8"/>
    <mergeCell ref="L6:M6"/>
    <mergeCell ref="L7:L8"/>
    <mergeCell ref="K6:K8"/>
    <mergeCell ref="J6:J8"/>
    <mergeCell ref="H6:H8"/>
    <mergeCell ref="G6:G8"/>
    <mergeCell ref="M7:M8"/>
    <mergeCell ref="A128:A129"/>
    <mergeCell ref="A120:A121"/>
    <mergeCell ref="A122:A124"/>
    <mergeCell ref="A106:A108"/>
    <mergeCell ref="A97:A99"/>
    <mergeCell ref="A100:A102"/>
    <mergeCell ref="A117:A119"/>
    <mergeCell ref="A114:A116"/>
    <mergeCell ref="A109:A111"/>
    <mergeCell ref="A112:A113"/>
    <mergeCell ref="I2:M2"/>
    <mergeCell ref="I3:L3"/>
    <mergeCell ref="A94:A96"/>
    <mergeCell ref="A103:A105"/>
    <mergeCell ref="A125:A127"/>
    <mergeCell ref="A25:A27"/>
    <mergeCell ref="A21:A24"/>
    <mergeCell ref="A4:C5"/>
    <mergeCell ref="A15:A17"/>
    <mergeCell ref="A6:A8"/>
    <mergeCell ref="B6:B8"/>
    <mergeCell ref="A87:A90"/>
    <mergeCell ref="A91:A93"/>
    <mergeCell ref="A77:A79"/>
    <mergeCell ref="C6:C8"/>
    <mergeCell ref="D6:F6"/>
    <mergeCell ref="CV1:CW1"/>
    <mergeCell ref="CV2:CW2"/>
    <mergeCell ref="CW4:CW5"/>
    <mergeCell ref="CK7:CM7"/>
    <mergeCell ref="A62:A64"/>
    <mergeCell ref="A50:A52"/>
    <mergeCell ref="A53:A55"/>
    <mergeCell ref="A18:A20"/>
    <mergeCell ref="A44:A46"/>
    <mergeCell ref="A47:A49"/>
    <mergeCell ref="A41:A43"/>
    <mergeCell ref="A38:A40"/>
    <mergeCell ref="C37:CW37"/>
    <mergeCell ref="A56:A58"/>
    <mergeCell ref="A59:A61"/>
    <mergeCell ref="A34:A36"/>
    <mergeCell ref="CH7:CJ7"/>
    <mergeCell ref="C11:CW11"/>
    <mergeCell ref="A83:A86"/>
    <mergeCell ref="A80:A82"/>
    <mergeCell ref="A65:A67"/>
    <mergeCell ref="A68:A70"/>
    <mergeCell ref="A74:A76"/>
    <mergeCell ref="A71:A73"/>
    <mergeCell ref="CW6:CW8"/>
    <mergeCell ref="A28:A30"/>
    <mergeCell ref="A31:A33"/>
    <mergeCell ref="BA7:BC7"/>
    <mergeCell ref="AO7:AQ7"/>
    <mergeCell ref="AU7:AW7"/>
    <mergeCell ref="AR7:AT7"/>
    <mergeCell ref="D7:D8"/>
  </mergeCells>
  <conditionalFormatting sqref="B12:B14 D12:H12 J12:K12 E15 E18 B19:B20 E21 E25 E28 E31 E34 E38 E41 E44 E47 E50 B77 D77 G77 I77:K77 I80:K80">
    <cfRule type="expression" dxfId="282" priority="1">
      <formula>$E12="монтаж системы не начат"</formula>
    </cfRule>
  </conditionalFormatting>
  <conditionalFormatting sqref="O38:P38 R38:S38 U38:CV38">
    <cfRule type="expression" dxfId="281" priority="2" stopIfTrue="1">
      <formula>$F38:$F82="монтаж системы не начат"</formula>
    </cfRule>
  </conditionalFormatting>
  <conditionalFormatting sqref="O41:P41 R41:S41 U41:CV41">
    <cfRule type="expression" dxfId="280" priority="3" stopIfTrue="1">
      <formula>$F41:$F82="монтаж системы не начат"</formula>
    </cfRule>
  </conditionalFormatting>
  <conditionalFormatting sqref="B86">
    <cfRule type="expression" dxfId="279" priority="4" stopIfTrue="1">
      <formula>$F86:$F96="монтаж системы не начат"</formula>
    </cfRule>
  </conditionalFormatting>
  <conditionalFormatting sqref="B16">
    <cfRule type="expression" dxfId="278" priority="5" stopIfTrue="1">
      <formula>$F16:$F27="монтаж системы не начат"</formula>
    </cfRule>
  </conditionalFormatting>
  <conditionalFormatting sqref="B25 B41">
    <cfRule type="expression" dxfId="277" priority="6" stopIfTrue="1">
      <formula>$F25:$F33="монтаж системы не начат"</formula>
    </cfRule>
  </conditionalFormatting>
  <conditionalFormatting sqref="B31 B50">
    <cfRule type="expression" dxfId="276" priority="7" stopIfTrue="1">
      <formula>$F31:$F33="монтаж системы не начат"</formula>
    </cfRule>
  </conditionalFormatting>
  <conditionalFormatting sqref="B15 B17:B18">
    <cfRule type="expression" dxfId="275" priority="8" stopIfTrue="1">
      <formula>$F15:$F25="монтаж системы не начат"</formula>
    </cfRule>
  </conditionalFormatting>
  <conditionalFormatting sqref="AK70:AM70 AO70:AP70 AR70:CV70">
    <cfRule type="expression" dxfId="274" priority="9" stopIfTrue="1">
      <formula>$F70:$F82="монтаж системы не начат"</formula>
    </cfRule>
  </conditionalFormatting>
  <conditionalFormatting sqref="AL59:AM59 AO59:CV59 AQ62">
    <cfRule type="expression" dxfId="273" priority="10" stopIfTrue="1">
      <formula>$F59:$F82="монтаж системы не начат"</formula>
    </cfRule>
  </conditionalFormatting>
  <conditionalFormatting sqref="B87 B84:B85">
    <cfRule type="expression" dxfId="272" priority="11" stopIfTrue="1">
      <formula>$F84:$F96="монтаж системы не начат"</formula>
    </cfRule>
  </conditionalFormatting>
  <conditionalFormatting sqref="B45">
    <cfRule type="expression" dxfId="271" priority="12" stopIfTrue="1">
      <formula>$F45:$F52="монтаж системы не начат"</formula>
    </cfRule>
  </conditionalFormatting>
  <conditionalFormatting sqref="AP48:AQ48 AS48:AT48 AV48:AW48 AY48:AZ48 BB48:BC48 BE48:BF48 BH48:BI48 BK48:BL48 BN48:BO48 BQ48:BR48 BT48:BU48 BW48:BX48 BZ48:CV48">
    <cfRule type="expression" dxfId="270" priority="13" stopIfTrue="1">
      <formula>$F48:$F82="монтаж системы не начат"</formula>
    </cfRule>
  </conditionalFormatting>
  <conditionalFormatting sqref="AO49:CV49">
    <cfRule type="expression" dxfId="269" priority="14" stopIfTrue="1">
      <formula>$F49:$F82="монтаж системы не начат"</formula>
    </cfRule>
  </conditionalFormatting>
  <conditionalFormatting sqref="U48:V48 X48:Y48 AA48:AB48 AD48:AE48 AH48 AK48 AN48 AN51:AN52 AN54 AE57">
    <cfRule type="expression" dxfId="268" priority="15" stopIfTrue="1">
      <formula>$F48:$F76="монтаж системы не начат"</formula>
    </cfRule>
  </conditionalFormatting>
  <conditionalFormatting sqref="O47:P47 R47:S47 U47:CV47">
    <cfRule type="expression" dxfId="267" priority="16" stopIfTrue="1">
      <formula>$F47:$F82="монтаж системы не начат"</formula>
    </cfRule>
  </conditionalFormatting>
  <conditionalFormatting sqref="O50:P50 R50:S50 U50:CV50">
    <cfRule type="expression" dxfId="266" priority="17" stopIfTrue="1">
      <formula>$F50:$F82="монтаж системы не начат"</formula>
    </cfRule>
  </conditionalFormatting>
  <conditionalFormatting sqref="R44:S44 U44:CV44">
    <cfRule type="expression" dxfId="265" priority="18" stopIfTrue="1">
      <formula>$F44:$F82="монтаж системы не начат"</formula>
    </cfRule>
  </conditionalFormatting>
  <conditionalFormatting sqref="O44:P44">
    <cfRule type="expression" dxfId="264" priority="19" stopIfTrue="1">
      <formula>$F44:$F82="монтаж системы не начат"</formula>
    </cfRule>
  </conditionalFormatting>
  <conditionalFormatting sqref="R48:S48">
    <cfRule type="expression" dxfId="263" priority="20" stopIfTrue="1">
      <formula>$F48:$F76="монтаж системы не начат"</formula>
    </cfRule>
  </conditionalFormatting>
  <conditionalFormatting sqref="R49:S49 U49:AN49">
    <cfRule type="expression" dxfId="262" priority="21" stopIfTrue="1">
      <formula>$F49:$F76="монтаж системы не начат"</formula>
    </cfRule>
  </conditionalFormatting>
  <conditionalFormatting sqref="B28">
    <cfRule type="expression" dxfId="261" priority="22" stopIfTrue="1">
      <formula>$F28:$F112="монтаж системы не начат"</formula>
    </cfRule>
  </conditionalFormatting>
  <conditionalFormatting sqref="B33:B36 B30">
    <cfRule type="expression" dxfId="260" priority="23" stopIfTrue="1">
      <formula>$F30:$F131="монтаж системы не начат"</formula>
    </cfRule>
  </conditionalFormatting>
  <conditionalFormatting sqref="B27">
    <cfRule type="expression" dxfId="259" priority="24" stopIfTrue="1">
      <formula>$F27:$F131="монтаж системы не начат"</formula>
    </cfRule>
  </conditionalFormatting>
  <conditionalFormatting sqref="B32">
    <cfRule type="expression" dxfId="258" priority="25" stopIfTrue="1">
      <formula>$F32:$F131="монтаж системы не начат"</formula>
    </cfRule>
  </conditionalFormatting>
  <conditionalFormatting sqref="B26">
    <cfRule type="expression" dxfId="257" priority="26" stopIfTrue="1">
      <formula>$F26:$F131="монтаж системы не начат"</formula>
    </cfRule>
  </conditionalFormatting>
  <conditionalFormatting sqref="B83">
    <cfRule type="expression" dxfId="256" priority="27" stopIfTrue="1">
      <formula>$F83:$F93="монтаж системы не начат"</formula>
    </cfRule>
  </conditionalFormatting>
  <conditionalFormatting sqref="B38 B40">
    <cfRule type="expression" dxfId="255" priority="28" stopIfTrue="1">
      <formula>$F38:$F47="монтаж системы не начат"</formula>
    </cfRule>
  </conditionalFormatting>
  <conditionalFormatting sqref="B47 B44">
    <cfRule type="expression" dxfId="254" priority="29" stopIfTrue="1">
      <formula>$F44:$F49="монтаж системы не начат"</formula>
    </cfRule>
  </conditionalFormatting>
  <conditionalFormatting sqref="B21 B46">
    <cfRule type="expression" dxfId="253" priority="30" stopIfTrue="1">
      <formula>$F21:$F27="монтаж системы не начат"</formula>
    </cfRule>
  </conditionalFormatting>
  <conditionalFormatting sqref="B48">
    <cfRule type="expression" dxfId="252" priority="31" stopIfTrue="1">
      <formula>$F48:$F131="монтаж системы не начат"</formula>
    </cfRule>
  </conditionalFormatting>
  <conditionalFormatting sqref="B39">
    <cfRule type="expression" dxfId="251" priority="32" stopIfTrue="1">
      <formula>$F39:$F49="монтаж системы не начат"</formula>
    </cfRule>
  </conditionalFormatting>
  <conditionalFormatting sqref="B52">
    <cfRule type="expression" dxfId="250" priority="33" stopIfTrue="1">
      <formula>$F52:$F131="монтаж системы не начат"</formula>
    </cfRule>
  </conditionalFormatting>
  <conditionalFormatting sqref="B51">
    <cfRule type="expression" dxfId="249" priority="34" stopIfTrue="1">
      <formula>$F51:$F131="монтаж системы не начат"</formula>
    </cfRule>
  </conditionalFormatting>
  <conditionalFormatting sqref="B42">
    <cfRule type="expression" dxfId="248" priority="35" stopIfTrue="1">
      <formula>$F42:$F131="монтаж системы не начат"</formula>
    </cfRule>
  </conditionalFormatting>
  <conditionalFormatting sqref="B49">
    <cfRule type="expression" dxfId="247" priority="36" stopIfTrue="1">
      <formula>$F49:$F131="монтаж системы не начат"</formula>
    </cfRule>
  </conditionalFormatting>
  <conditionalFormatting sqref="B80:B82">
    <cfRule type="expression" dxfId="246" priority="37">
      <formula>$E80="монтаж системы не начат"</formula>
    </cfRule>
  </conditionalFormatting>
  <conditionalFormatting sqref="AZ82:CV82">
    <cfRule type="expression" dxfId="245" priority="38" stopIfTrue="1">
      <formula>$F82="монтаж системы не начат"</formula>
    </cfRule>
  </conditionalFormatting>
  <conditionalFormatting sqref="N28:V28">
    <cfRule type="expression" dxfId="244" priority="39" stopIfTrue="1">
      <formula>$F28:$F31="монтаж системы не начат"</formula>
    </cfRule>
  </conditionalFormatting>
  <conditionalFormatting sqref="AK61:AM61 AO61:AP61 AR61:CV61 AQ98:AQ99 AQ107 AQ115 AQ118 AQ123 AQ126:AQ127">
    <cfRule type="expression" dxfId="243" priority="40" stopIfTrue="1">
      <formula>$F61:$F82="монтаж системы не начат"</formula>
    </cfRule>
  </conditionalFormatting>
  <conditionalFormatting sqref="B11">
    <cfRule type="expression" dxfId="242" priority="41">
      <formula>$E11:$E82="монтаж системы не начат"</formula>
    </cfRule>
  </conditionalFormatting>
  <conditionalFormatting sqref="B90">
    <cfRule type="expression" dxfId="241" priority="42" stopIfTrue="1">
      <formula>$F90:$F113="монтаж системы не начат"</formula>
    </cfRule>
  </conditionalFormatting>
  <conditionalFormatting sqref="B29">
    <cfRule type="expression" dxfId="240" priority="43" stopIfTrue="1">
      <formula>$F29:$F131="монтаж системы не начат"</formula>
    </cfRule>
  </conditionalFormatting>
  <conditionalFormatting sqref="M28 W28:AH28">
    <cfRule type="expression" dxfId="239" priority="44" stopIfTrue="1">
      <formula>$F28:$F30="монтаж системы не начат"</formula>
    </cfRule>
  </conditionalFormatting>
  <conditionalFormatting sqref="AK13 AN13 AQ13 AK19 AN19 AQ19 AK22:AK23 AN22:AN23 AQ22:AQ24 AN29:AN30 AQ29:AQ30 AK39:AK40 AN39:AN40 AQ39:AQ40 AK42:AK43 AQ42:AQ43 P45 AK45:AK46 AN45:AN46 AQ45:AQ46 P48 AK48 AN48 AQ48 AK51:AK52 AN51:AN52 AQ51:AQ52 AK54 AN54 AQ54 AK57:AK58 AN57:AN58 AK60:AK61 AN60:AN61 AK63:AK64 AN63 AK66:AK67 AN66:AN67 AK69:AK70 AN69:AN70 AK72:AK73 AN72 AK78 AN78 AK81:AK82 AN81:AN82 AK84:AK86 P85:P86 AN86 P92:P94 AK92:AK93 U93:AG94 AH93:AH96 S94 AK95:AK96 P96 AN96 AH98 AK98:AK99 AN98:AN99 AH104 AK104 AH107:AH108 AK107 AN107 P110:P111 P113 P115:P116 S115:S116 V115:V116 AE115:AE116 AH115:AH116 AK115 AN115 P119 S119 V119 AE119 AH119 P121 P123:P124 S123:S124 V123:V124 AN123 V126:V127 AE126:AE127 AH126:AH127 AK126 AN126">
    <cfRule type="expression" dxfId="238" priority="45" stopIfTrue="1">
      <formula>$F12:$F24="монтаж системы не начат"</formula>
    </cfRule>
  </conditionalFormatting>
  <conditionalFormatting sqref="P101:P103 S101:S103 U101:AH103">
    <cfRule type="expression" dxfId="237" priority="46" stopIfTrue="1">
      <formula>$F101:$F107="монтаж системы не начат"</formula>
    </cfRule>
  </conditionalFormatting>
  <conditionalFormatting sqref="AK67:AM67 AO67:AP67 AR67:CV67 U92 W92:AH92">
    <cfRule type="expression" dxfId="236" priority="47" stopIfTrue="1">
      <formula>$F42:$F57="монтаж системы не начат"</formula>
    </cfRule>
  </conditionalFormatting>
  <conditionalFormatting sqref="P45 P48 P85:P86 P92 P95:P97 Z95 AA95 AC95 AD95:AE95 AF95 AG95:AG97 AH95:AH98 U96 W96:Y96 AA96 AD96 S97 U97:Y97 AA97:AB97 AD97:AE97 AH104 AH107:AH108 P110:P111 P113 P115:P116 S115:S116 V115:V116 AE115:AE116 AH115:AH116 AK115 P119 S119 V119 AE119 AH119 P121 P123:P124 S123:S124 V123:V124 V126:V127 AE126:AE127 AH126:AH127 AK126">
    <cfRule type="expression" dxfId="235" priority="48" stopIfTrue="1">
      <formula>$F44:$F56="монтаж системы не начат"</formula>
    </cfRule>
  </conditionalFormatting>
  <conditionalFormatting sqref="P45 P48 P85:P86 P92 P96 P98:P100 S98:S100 U98:AD98 AF98:AH98 U99:AH100 AF104 AH104 AF107:AF108 AH107:AH108 P110:P111 P113 P115:P116 S115:S116 V115:V116 AE115:AE116 AH115:AH116 AK115 P119 S119 V119 AE119 AH119 P121 P123:P124 S123:S124 V123:V124 V126:V127 AE126:AE127 AH126:AH127 AK126">
    <cfRule type="expression" dxfId="234" priority="49" stopIfTrue="1">
      <formula>$F45:$F54="монтаж системы не начат"</formula>
    </cfRule>
  </conditionalFormatting>
  <conditionalFormatting sqref="P45 P48 P85:P86 P92 P96 P104:P106 S104:S106 U104:AE106 AG104:AH108 AF105:AF106 P110:P111 P113 P115:P116 S115:S116 V115:V116 AE115:AE116 AH115:AH116 AK115 P119 S119 V119 AE119 AH119 P121 P123:P124 S123:S124 V123:V124 V126:V127 AE126:AE127 AH126:AH127 AK126">
    <cfRule type="expression" dxfId="233" priority="50" stopIfTrue="1">
      <formula>$F45:$F48="монтаж системы не начат"</formula>
    </cfRule>
  </conditionalFormatting>
  <conditionalFormatting sqref="U95 W95:Y95">
    <cfRule type="expression" dxfId="232" priority="51" stopIfTrue="1">
      <formula>$F95:$F109="монтаж системы не начат"</formula>
    </cfRule>
  </conditionalFormatting>
  <conditionalFormatting sqref="P107:P108 S107:S108 U107:AE108">
    <cfRule type="expression" dxfId="231" priority="52" stopIfTrue="1">
      <formula>$F107:$F110="монтаж системы не начат"</formula>
    </cfRule>
  </conditionalFormatting>
  <conditionalFormatting sqref="O91:P91 S91 U91:AH91">
    <cfRule type="expression" dxfId="230" priority="53" stopIfTrue="1">
      <formula>$F91:$F107="монтаж системы не начат"</formula>
    </cfRule>
  </conditionalFormatting>
  <conditionalFormatting sqref="P128 S128 U128:AH128">
    <cfRule type="expression" dxfId="229" priority="54" stopIfTrue="1">
      <formula>$F128:$F129="монтаж системы не начат"</formula>
    </cfRule>
  </conditionalFormatting>
  <conditionalFormatting sqref="U129:AH129">
    <cfRule type="expression" dxfId="228" priority="55" stopIfTrue="1">
      <formula>$F129="монтаж системы не начат"</formula>
    </cfRule>
  </conditionalFormatting>
  <conditionalFormatting sqref="U110:AH110">
    <cfRule type="expression" dxfId="227" priority="56" stopIfTrue="1">
      <formula>$F110:$F129="монтаж системы не начат"</formula>
    </cfRule>
  </conditionalFormatting>
  <conditionalFormatting sqref="P112 S112 U112:AH112">
    <cfRule type="expression" dxfId="226" priority="57" stopIfTrue="1">
      <formula>$F112:$F129="монтаж системы не начат"</formula>
    </cfRule>
  </conditionalFormatting>
  <conditionalFormatting sqref="S125 P125 U125:AH125">
    <cfRule type="expression" dxfId="225" priority="58" stopIfTrue="1">
      <formula>$F125:$F129="монтаж системы не начат"</formula>
    </cfRule>
  </conditionalFormatting>
  <conditionalFormatting sqref="P45 P48 P85:P86 P92 P96 P110:P111 P113 P115:P116 S115:S116 U115 V115:V116 W115:AD115 AE115:AE116 AF115:AG115 AH115:AH116 AK115 P119 S119 V119 AE119 AH119 P121 P123:P124 S123:S124 V123:V124 V126:V127 AE126:AE127 AH126:AH127 AK126">
    <cfRule type="expression" dxfId="224" priority="59" stopIfTrue="1">
      <formula>$F45:$F59="монтаж системы не начат"</formula>
    </cfRule>
  </conditionalFormatting>
  <conditionalFormatting sqref="P118 S118 U118:AH118">
    <cfRule type="expression" dxfId="223" priority="60" stopIfTrue="1">
      <formula>$F118:$F129="монтаж системы не начат"</formula>
    </cfRule>
  </conditionalFormatting>
  <conditionalFormatting sqref="P122 S122 U121:AH121 P125 S125">
    <cfRule type="expression" dxfId="222" priority="61" stopIfTrue="1">
      <formula>$F121:$F129="монтаж системы не начат"</formula>
    </cfRule>
  </conditionalFormatting>
  <conditionalFormatting sqref="AK64:AM64 AO64:AP64 AR64:CV64 U111:AH111">
    <cfRule type="expression" dxfId="221" priority="62" stopIfTrue="1">
      <formula>$F18:$F35="монтаж системы не начат"</formula>
    </cfRule>
  </conditionalFormatting>
  <conditionalFormatting sqref="P45 P48 P85:P86 P92 P96 P110:P111 P113:P116 U113:AB116 AC113:AD115 AE113:AE116 AF113:AG115 AH113:AH116 S114:S116 AK115 P119 S119 V119 AE119 AH119 P121 P123:P124 S123:S124 V123:V124 V126:V127 AE126:AE127 AH126:AH127 AK126">
    <cfRule type="expression" dxfId="220" priority="63" stopIfTrue="1">
      <formula>$F44:$F60="монтаж системы не начат"</formula>
    </cfRule>
  </conditionalFormatting>
  <conditionalFormatting sqref="U126:AH126 AK126">
    <cfRule type="expression" dxfId="219" priority="64" stopIfTrue="1">
      <formula>$F126:$F129="монтаж системы не начат"</formula>
    </cfRule>
  </conditionalFormatting>
  <conditionalFormatting sqref="U123:AH123">
    <cfRule type="expression" dxfId="218" priority="65" stopIfTrue="1">
      <formula>$F123:$F129="монтаж системы не начат"</formula>
    </cfRule>
  </conditionalFormatting>
  <conditionalFormatting sqref="P114 S114 U114:AH114">
    <cfRule type="expression" dxfId="217" priority="66" stopIfTrue="1">
      <formula>$F114:$F129="монтаж системы не начат"</formula>
    </cfRule>
  </conditionalFormatting>
  <conditionalFormatting sqref="U116:AB116 AE116 AH116">
    <cfRule type="expression" dxfId="216" priority="67" stopIfTrue="1">
      <formula>$F116:$F129="монтаж системы не начат"</formula>
    </cfRule>
  </conditionalFormatting>
  <conditionalFormatting sqref="S119 V119 AE119 AH119 P122 S122 U122:U126 V122:AB127 AC122:AD126 AE122:AE127 AF122:AG126 AH122:AH127 P125 S125 AK126">
    <cfRule type="expression" dxfId="215" priority="68" stopIfTrue="1">
      <formula>$F119:$F126="монтаж системы не начат"</formula>
    </cfRule>
  </conditionalFormatting>
  <conditionalFormatting sqref="V119:AB119 AE119 AH119 P120 S120 U120:AH121">
    <cfRule type="expression" dxfId="214" priority="69" stopIfTrue="1">
      <formula>$F118:$F128="монтаж системы не начат"</formula>
    </cfRule>
  </conditionalFormatting>
  <conditionalFormatting sqref="P117:P118 S117:S118 U117:AH118 V119:AB119 AE119 AH119 P120 S120 U120:AH121">
    <cfRule type="expression" dxfId="213" priority="70" stopIfTrue="1">
      <formula>$F117:$F129="монтаж системы не начат"</formula>
    </cfRule>
  </conditionalFormatting>
  <conditionalFormatting sqref="S120 P120 U120:AH120">
    <cfRule type="expression" dxfId="212" priority="71" stopIfTrue="1">
      <formula>$F120:$F129="монтаж системы не начат"</formula>
    </cfRule>
  </conditionalFormatting>
  <conditionalFormatting sqref="P109 S109 U109:AH109">
    <cfRule type="expression" dxfId="211" priority="72" stopIfTrue="1">
      <formula>$F109:$F129="монтаж системы не начат"</formula>
    </cfRule>
  </conditionalFormatting>
  <conditionalFormatting sqref="O49:P49">
    <cfRule type="expression" dxfId="210" priority="73" stopIfTrue="1">
      <formula>$F49:$F76="монтаж системы не начат"</formula>
    </cfRule>
  </conditionalFormatting>
  <conditionalFormatting sqref="J81:K82 F82">
    <cfRule type="expression" dxfId="209" priority="74">
      <formula>$E80="монтаж системы не начат"</formula>
    </cfRule>
  </conditionalFormatting>
  <conditionalFormatting sqref="N82:AB82 AV82:AY82">
    <cfRule type="expression" dxfId="208" priority="75" stopIfTrue="1">
      <formula>$F82="монтаж системы не начат"</formula>
    </cfRule>
  </conditionalFormatting>
  <conditionalFormatting sqref="D13:G14 J13:K14 AI13:AJ13 AM13 F16:F17 J16 F19:F20 J19 AI19:AJ19 AM19 F22:F24 J22:J24 AI22:AJ23 AM22:AM23 J28 J45:J46 J48">
    <cfRule type="expression" dxfId="207" priority="76">
      <formula>$E13="монтаж системы не начат"</formula>
    </cfRule>
  </conditionalFormatting>
  <conditionalFormatting sqref="H41">
    <cfRule type="expression" dxfId="206" priority="77">
      <formula>$E41="монтаж системы не начат"</formula>
    </cfRule>
  </conditionalFormatting>
  <conditionalFormatting sqref="D15">
    <cfRule type="expression" dxfId="205" priority="78">
      <formula>$E15="монтаж системы не начат"</formula>
    </cfRule>
  </conditionalFormatting>
  <conditionalFormatting sqref="D18">
    <cfRule type="expression" dxfId="204" priority="79">
      <formula>$E18="монтаж системы не начат"</formula>
    </cfRule>
  </conditionalFormatting>
  <conditionalFormatting sqref="D25">
    <cfRule type="expression" dxfId="203" priority="80">
      <formula>$E25="монтаж системы не начат"</formula>
    </cfRule>
  </conditionalFormatting>
  <conditionalFormatting sqref="D28">
    <cfRule type="expression" dxfId="202" priority="81">
      <formula>$E28="монтаж системы не начат"</formula>
    </cfRule>
  </conditionalFormatting>
  <conditionalFormatting sqref="D38">
    <cfRule type="expression" dxfId="201" priority="82">
      <formula>$E38="монтаж системы не начат"</formula>
    </cfRule>
  </conditionalFormatting>
  <conditionalFormatting sqref="D41">
    <cfRule type="expression" dxfId="200" priority="83">
      <formula>$E41="монтаж системы не начат"</formula>
    </cfRule>
  </conditionalFormatting>
  <conditionalFormatting sqref="D44">
    <cfRule type="expression" dxfId="199" priority="84">
      <formula>$E44="монтаж системы не начат"</formula>
    </cfRule>
  </conditionalFormatting>
  <conditionalFormatting sqref="D47">
    <cfRule type="expression" dxfId="198" priority="85">
      <formula>$E47="монтаж системы не начат"</formula>
    </cfRule>
  </conditionalFormatting>
  <conditionalFormatting sqref="D50">
    <cfRule type="expression" dxfId="197" priority="86">
      <formula>$E50="монтаж системы не начат"</formula>
    </cfRule>
  </conditionalFormatting>
  <conditionalFormatting sqref="D31 D34">
    <cfRule type="expression" dxfId="196" priority="87">
      <formula>$E31="монтаж системы не начат"</formula>
    </cfRule>
  </conditionalFormatting>
  <conditionalFormatting sqref="H15">
    <cfRule type="expression" dxfId="195" priority="88">
      <formula>$E15="монтаж системы не начат"</formula>
    </cfRule>
  </conditionalFormatting>
  <conditionalFormatting sqref="F44">
    <cfRule type="expression" dxfId="194" priority="89">
      <formula>$E44="монтаж системы не начат"</formula>
    </cfRule>
  </conditionalFormatting>
  <conditionalFormatting sqref="E40">
    <cfRule type="expression" dxfId="193" priority="90">
      <formula>$E40="монтаж системы не начат"</formula>
    </cfRule>
  </conditionalFormatting>
  <conditionalFormatting sqref="F38">
    <cfRule type="expression" dxfId="192" priority="91">
      <formula>$E38="монтаж системы не начат"</formula>
    </cfRule>
  </conditionalFormatting>
  <conditionalFormatting sqref="I26:I27">
    <cfRule type="expression" dxfId="191" priority="92">
      <formula>$E26="монтаж системы не начат"</formula>
    </cfRule>
  </conditionalFormatting>
  <conditionalFormatting sqref="F28">
    <cfRule type="expression" dxfId="190" priority="93">
      <formula>$E28="монтаж системы не начат"</formula>
    </cfRule>
  </conditionalFormatting>
  <conditionalFormatting sqref="E17">
    <cfRule type="expression" dxfId="189" priority="94">
      <formula>$E17="монтаж системы не начат"</formula>
    </cfRule>
  </conditionalFormatting>
  <conditionalFormatting sqref="D51:D52 F51:G51 G52">
    <cfRule type="expression" dxfId="188" priority="95">
      <formula>$E51="монтаж системы не начат"</formula>
    </cfRule>
  </conditionalFormatting>
  <conditionalFormatting sqref="E16 E22:E23 E29">
    <cfRule type="expression" dxfId="187" priority="96">
      <formula>$E16="монтаж системы не начат"</formula>
    </cfRule>
  </conditionalFormatting>
  <conditionalFormatting sqref="E19">
    <cfRule type="expression" dxfId="186" priority="97">
      <formula>$E19="монтаж системы не начат"</formula>
    </cfRule>
  </conditionalFormatting>
  <conditionalFormatting sqref="E29">
    <cfRule type="expression" dxfId="185" priority="98">
      <formula>$E29="монтаж системы не начат"</formula>
    </cfRule>
  </conditionalFormatting>
  <conditionalFormatting sqref="F31 F34">
    <cfRule type="expression" dxfId="184" priority="99">
      <formula>$E31="монтаж системы не начат"</formula>
    </cfRule>
  </conditionalFormatting>
  <conditionalFormatting sqref="E39">
    <cfRule type="expression" dxfId="183" priority="100">
      <formula>$E39="монтаж системы не начат"</formula>
    </cfRule>
  </conditionalFormatting>
  <conditionalFormatting sqref="F41">
    <cfRule type="expression" dxfId="182" priority="101">
      <formula>$E41="монтаж системы не начат"</formula>
    </cfRule>
  </conditionalFormatting>
  <conditionalFormatting sqref="H21">
    <cfRule type="expression" dxfId="181" priority="102">
      <formula>$E21="монтаж системы не начат"</formula>
    </cfRule>
  </conditionalFormatting>
  <conditionalFormatting sqref="H18">
    <cfRule type="expression" dxfId="180" priority="103">
      <formula>$E18="монтаж системы не начат"</formula>
    </cfRule>
  </conditionalFormatting>
  <conditionalFormatting sqref="H28 H34">
    <cfRule type="expression" dxfId="179" priority="104">
      <formula>$E28="монтаж системы не начат"</formula>
    </cfRule>
  </conditionalFormatting>
  <conditionalFormatting sqref="H38">
    <cfRule type="expression" dxfId="178" priority="105">
      <formula>$E38="монтаж системы не начат"</formula>
    </cfRule>
  </conditionalFormatting>
  <conditionalFormatting sqref="H44">
    <cfRule type="expression" dxfId="177" priority="106">
      <formula>$E44="монтаж системы не начат"</formula>
    </cfRule>
  </conditionalFormatting>
  <conditionalFormatting sqref="E42">
    <cfRule type="expression" dxfId="176" priority="107">
      <formula>$E42="монтаж системы не начат"</formula>
    </cfRule>
  </conditionalFormatting>
  <conditionalFormatting sqref="B43">
    <cfRule type="expression" dxfId="175" priority="108" stopIfTrue="1">
      <formula>$F43:$F131="монтаж системы не начат"</formula>
    </cfRule>
  </conditionalFormatting>
  <conditionalFormatting sqref="E45">
    <cfRule type="expression" dxfId="174" priority="109">
      <formula>$E45="монтаж системы не начат"</formula>
    </cfRule>
  </conditionalFormatting>
  <conditionalFormatting sqref="F47">
    <cfRule type="expression" dxfId="173" priority="110">
      <formula>$E47="монтаж системы не начат"</formula>
    </cfRule>
  </conditionalFormatting>
  <conditionalFormatting sqref="E48">
    <cfRule type="expression" dxfId="172" priority="111">
      <formula>$E48="монтаж системы не начат"</formula>
    </cfRule>
  </conditionalFormatting>
  <conditionalFormatting sqref="B24">
    <cfRule type="expression" dxfId="171" priority="112" stopIfTrue="1">
      <formula>$F24:$F112="монтаж системы не начат"</formula>
    </cfRule>
  </conditionalFormatting>
  <conditionalFormatting sqref="F50">
    <cfRule type="expression" dxfId="170" priority="113">
      <formula>$E50="монтаж системы не начат"</formula>
    </cfRule>
  </conditionalFormatting>
  <conditionalFormatting sqref="E51">
    <cfRule type="expression" dxfId="169" priority="114">
      <formula>$E51="монтаж системы не начат"</formula>
    </cfRule>
  </conditionalFormatting>
  <conditionalFormatting sqref="R55:Y55 N55:O55">
    <cfRule type="expression" dxfId="168" priority="115" stopIfTrue="1">
      <formula>$F55:$F70="монтаж системы не начат"</formula>
    </cfRule>
  </conditionalFormatting>
  <conditionalFormatting sqref="O54:P54 R54:S54 U54:CV54">
    <cfRule type="expression" dxfId="167" priority="116" stopIfTrue="1">
      <formula>$F54:$F94="монтаж системы не начат"</formula>
    </cfRule>
  </conditionalFormatting>
  <conditionalFormatting sqref="B53">
    <cfRule type="expression" dxfId="166" priority="117" stopIfTrue="1">
      <formula>$F53:$F131="монтаж системы не начат"</formula>
    </cfRule>
  </conditionalFormatting>
  <conditionalFormatting sqref="E12 E15 E18 E21 E28 E34 E38 E41 E44 E47 E50 E53">
    <cfRule type="expression" dxfId="165" priority="118">
      <formula>$E12="монтаж системы не начат"</formula>
    </cfRule>
  </conditionalFormatting>
  <conditionalFormatting sqref="D53">
    <cfRule type="expression" dxfId="164" priority="119">
      <formula>$E53="монтаж системы не начат"</formula>
    </cfRule>
  </conditionalFormatting>
  <conditionalFormatting sqref="F53">
    <cfRule type="expression" dxfId="163" priority="120">
      <formula>$E53="монтаж системы не начат"</formula>
    </cfRule>
  </conditionalFormatting>
  <conditionalFormatting sqref="E54">
    <cfRule type="expression" dxfId="162" priority="121">
      <formula>$E54="монтаж системы не начат"</formula>
    </cfRule>
  </conditionalFormatting>
  <conditionalFormatting sqref="E84:E85 E89:E90">
    <cfRule type="expression" dxfId="161" priority="122">
      <formula>$E84="монтаж системы не начат"</formula>
    </cfRule>
  </conditionalFormatting>
  <conditionalFormatting sqref="D87 G87">
    <cfRule type="expression" dxfId="160" priority="123">
      <formula>$E87="монтаж системы не начат"</formula>
    </cfRule>
  </conditionalFormatting>
  <conditionalFormatting sqref="E59">
    <cfRule type="expression" dxfId="159" priority="124">
      <formula>$E59="монтаж системы не начат"</formula>
    </cfRule>
  </conditionalFormatting>
  <conditionalFormatting sqref="D59">
    <cfRule type="expression" dxfId="158" priority="125">
      <formula>$E59="монтаж системы не начат"</formula>
    </cfRule>
  </conditionalFormatting>
  <conditionalFormatting sqref="F59">
    <cfRule type="expression" dxfId="157" priority="126">
      <formula>$E59="монтаж системы не начат"</formula>
    </cfRule>
  </conditionalFormatting>
  <conditionalFormatting sqref="E12 E15 E18 E21 E28 E34 E38 E41 E44 E47 E50 E53 E56">
    <cfRule type="expression" dxfId="156" priority="127">
      <formula>$E12="монтаж системы не начат"</formula>
    </cfRule>
  </conditionalFormatting>
  <conditionalFormatting sqref="D56">
    <cfRule type="expression" dxfId="155" priority="128">
      <formula>$E56="монтаж системы не начат"</formula>
    </cfRule>
  </conditionalFormatting>
  <conditionalFormatting sqref="F56">
    <cfRule type="expression" dxfId="154" priority="129">
      <formula>$E56="монтаж системы не начат"</formula>
    </cfRule>
  </conditionalFormatting>
  <conditionalFormatting sqref="E12 E15 E18 E21 E28 E34 E38 E41 E44 E47 E50 E53 E56 E59 E62">
    <cfRule type="expression" dxfId="153" priority="130">
      <formula>$E12="монтаж системы не начат"</formula>
    </cfRule>
  </conditionalFormatting>
  <conditionalFormatting sqref="D62">
    <cfRule type="expression" dxfId="152" priority="131">
      <formula>$E62="монтаж системы не начат"</formula>
    </cfRule>
  </conditionalFormatting>
  <conditionalFormatting sqref="F62">
    <cfRule type="expression" dxfId="151" priority="132">
      <formula>$E62="монтаж системы не начат"</formula>
    </cfRule>
  </conditionalFormatting>
  <conditionalFormatting sqref="E65 E68 E74 E77 E80 E83 E87 E91 E94 E97 E100">
    <cfRule type="expression" dxfId="150" priority="133">
      <formula>$E65="монтаж системы не начат"</formula>
    </cfRule>
  </conditionalFormatting>
  <conditionalFormatting sqref="D65">
    <cfRule type="expression" dxfId="149" priority="134">
      <formula>$E65="монтаж системы не начат"</formula>
    </cfRule>
  </conditionalFormatting>
  <conditionalFormatting sqref="F65">
    <cfRule type="expression" dxfId="148" priority="135">
      <formula>$E65="монтаж системы не начат"</formula>
    </cfRule>
  </conditionalFormatting>
  <conditionalFormatting sqref="E68 E74 E77 E80 E83 E87 E91 E94 E97 E100">
    <cfRule type="expression" dxfId="147" priority="136">
      <formula>$E68="монтаж системы не начат"</formula>
    </cfRule>
  </conditionalFormatting>
  <conditionalFormatting sqref="D68">
    <cfRule type="expression" dxfId="146" priority="137">
      <formula>$E68="монтаж системы не начат"</formula>
    </cfRule>
  </conditionalFormatting>
  <conditionalFormatting sqref="F68">
    <cfRule type="expression" dxfId="145" priority="138">
      <formula>$E68="монтаж системы не начат"</formula>
    </cfRule>
  </conditionalFormatting>
  <conditionalFormatting sqref="E71">
    <cfRule type="expression" dxfId="144" priority="139">
      <formula>$E71="монтаж системы не начат"</formula>
    </cfRule>
  </conditionalFormatting>
  <conditionalFormatting sqref="D71">
    <cfRule type="expression" dxfId="143" priority="140">
      <formula>$E71="монтаж системы не начат"</formula>
    </cfRule>
  </conditionalFormatting>
  <conditionalFormatting sqref="F71">
    <cfRule type="expression" dxfId="142" priority="141">
      <formula>$E71="монтаж системы не начат"</formula>
    </cfRule>
  </conditionalFormatting>
  <conditionalFormatting sqref="E74">
    <cfRule type="expression" dxfId="141" priority="142">
      <formula>$E74="монтаж системы не начат"</formula>
    </cfRule>
  </conditionalFormatting>
  <conditionalFormatting sqref="D74">
    <cfRule type="expression" dxfId="140" priority="143">
      <formula>$E74="монтаж системы не начат"</formula>
    </cfRule>
  </conditionalFormatting>
  <conditionalFormatting sqref="F74">
    <cfRule type="expression" dxfId="139" priority="144">
      <formula>$E74="монтаж системы не начат"</formula>
    </cfRule>
  </conditionalFormatting>
  <conditionalFormatting sqref="D78:D79 F78:G79 J78:K78 E79 K79 E82:F82">
    <cfRule type="expression" dxfId="138" priority="145">
      <formula>$E77="монтаж системы не начат"</formula>
    </cfRule>
  </conditionalFormatting>
  <conditionalFormatting sqref="F77">
    <cfRule type="expression" dxfId="137" priority="146">
      <formula>$E77="монтаж системы не начат"</formula>
    </cfRule>
  </conditionalFormatting>
  <conditionalFormatting sqref="E77">
    <cfRule type="expression" dxfId="136" priority="147">
      <formula>$E77="монтаж системы не начат"</formula>
    </cfRule>
  </conditionalFormatting>
  <conditionalFormatting sqref="E78:E79 E82">
    <cfRule type="expression" dxfId="135" priority="148">
      <formula>$E78="монтаж системы не начат"</formula>
    </cfRule>
  </conditionalFormatting>
  <conditionalFormatting sqref="E91">
    <cfRule type="expression" dxfId="134" priority="149">
      <formula>$E91="монтаж системы не начат"</formula>
    </cfRule>
  </conditionalFormatting>
  <conditionalFormatting sqref="E92">
    <cfRule type="expression" dxfId="133" priority="150">
      <formula>$E92="монтаж системы не начат"</formula>
    </cfRule>
  </conditionalFormatting>
  <conditionalFormatting sqref="D80 G80">
    <cfRule type="expression" dxfId="132" priority="151">
      <formula>$E80="монтаж системы не начат"</formula>
    </cfRule>
  </conditionalFormatting>
  <conditionalFormatting sqref="F80">
    <cfRule type="expression" dxfId="131" priority="152">
      <formula>$E80="монтаж системы не начат"</formula>
    </cfRule>
  </conditionalFormatting>
  <conditionalFormatting sqref="E80 E83 E87 E91 E94 E97 E100">
    <cfRule type="expression" dxfId="130" priority="153">
      <formula>$E80="монтаж системы не начат"</formula>
    </cfRule>
  </conditionalFormatting>
  <conditionalFormatting sqref="D83 G83">
    <cfRule type="expression" dxfId="129" priority="154">
      <formula>$E83="монтаж системы не начат"</formula>
    </cfRule>
  </conditionalFormatting>
  <conditionalFormatting sqref="F83">
    <cfRule type="expression" dxfId="128" priority="155">
      <formula>$E83="монтаж системы не начат"</formula>
    </cfRule>
  </conditionalFormatting>
  <conditionalFormatting sqref="E83 E87">
    <cfRule type="expression" dxfId="127" priority="156">
      <formula>$E83="монтаж системы не начат"</formula>
    </cfRule>
  </conditionalFormatting>
  <conditionalFormatting sqref="E88">
    <cfRule type="expression" dxfId="126" priority="157">
      <formula>$E88="монтаж системы не начат"</formula>
    </cfRule>
  </conditionalFormatting>
  <conditionalFormatting sqref="F87">
    <cfRule type="expression" dxfId="125" priority="158">
      <formula>$E87="монтаж системы не начат"</formula>
    </cfRule>
  </conditionalFormatting>
  <conditionalFormatting sqref="E87">
    <cfRule type="expression" dxfId="124" priority="159">
      <formula>$E87="монтаж системы не начат"</formula>
    </cfRule>
  </conditionalFormatting>
  <conditionalFormatting sqref="B88:B89">
    <cfRule type="expression" dxfId="123" priority="160" stopIfTrue="1">
      <formula>$F88:$F113="монтаж системы не начат"</formula>
    </cfRule>
  </conditionalFormatting>
  <conditionalFormatting sqref="B78:B79">
    <cfRule type="expression" dxfId="122" priority="161" stopIfTrue="1">
      <formula>$F78:$F131="монтаж системы не начат"</formula>
    </cfRule>
  </conditionalFormatting>
  <conditionalFormatting sqref="D94">
    <cfRule type="expression" dxfId="121" priority="162">
      <formula>$E94="монтаж системы не начат"</formula>
    </cfRule>
  </conditionalFormatting>
  <conditionalFormatting sqref="F94">
    <cfRule type="expression" dxfId="120" priority="163">
      <formula>$E94="монтаж системы не начат"</formula>
    </cfRule>
  </conditionalFormatting>
  <conditionalFormatting sqref="E94">
    <cfRule type="expression" dxfId="119" priority="164">
      <formula>$E94="монтаж системы не начат"</formula>
    </cfRule>
  </conditionalFormatting>
  <conditionalFormatting sqref="D91">
    <cfRule type="expression" dxfId="118" priority="165">
      <formula>$E91="монтаж системы не начат"</formula>
    </cfRule>
  </conditionalFormatting>
  <conditionalFormatting sqref="F91">
    <cfRule type="expression" dxfId="117" priority="166">
      <formula>$E91="монтаж системы не начат"</formula>
    </cfRule>
  </conditionalFormatting>
  <conditionalFormatting sqref="E72:E73">
    <cfRule type="expression" dxfId="116" priority="167">
      <formula>$E72="монтаж системы не начат"</formula>
    </cfRule>
  </conditionalFormatting>
  <conditionalFormatting sqref="E95">
    <cfRule type="expression" dxfId="115" priority="168">
      <formula>$E95="монтаж системы не начат"</formula>
    </cfRule>
  </conditionalFormatting>
  <conditionalFormatting sqref="D97">
    <cfRule type="expression" dxfId="114" priority="169">
      <formula>$E97="монтаж системы не начат"</formula>
    </cfRule>
  </conditionalFormatting>
  <conditionalFormatting sqref="F97">
    <cfRule type="expression" dxfId="113" priority="170">
      <formula>$E97="монтаж системы не начат"</formula>
    </cfRule>
  </conditionalFormatting>
  <conditionalFormatting sqref="E97">
    <cfRule type="expression" dxfId="112" priority="171">
      <formula>$E97="монтаж системы не начат"</formula>
    </cfRule>
  </conditionalFormatting>
  <conditionalFormatting sqref="D100">
    <cfRule type="expression" dxfId="111" priority="172">
      <formula>$E100="монтаж системы не начат"</formula>
    </cfRule>
  </conditionalFormatting>
  <conditionalFormatting sqref="F100">
    <cfRule type="expression" dxfId="110" priority="173">
      <formula>$E100="монтаж системы не начат"</formula>
    </cfRule>
  </conditionalFormatting>
  <conditionalFormatting sqref="E100">
    <cfRule type="expression" dxfId="109" priority="174">
      <formula>$E100="монтаж системы не начат"</formula>
    </cfRule>
  </conditionalFormatting>
  <conditionalFormatting sqref="D103">
    <cfRule type="expression" dxfId="108" priority="175">
      <formula>$E103="монтаж системы не начат"</formula>
    </cfRule>
  </conditionalFormatting>
  <conditionalFormatting sqref="F103">
    <cfRule type="expression" dxfId="107" priority="176">
      <formula>$E103="монтаж системы не начат"</formula>
    </cfRule>
  </conditionalFormatting>
  <conditionalFormatting sqref="E100 E103">
    <cfRule type="expression" dxfId="106" priority="177">
      <formula>$E100="монтаж системы не начат"</formula>
    </cfRule>
  </conditionalFormatting>
  <conditionalFormatting sqref="D106">
    <cfRule type="expression" dxfId="105" priority="178">
      <formula>$E106="монтаж системы не начат"</formula>
    </cfRule>
  </conditionalFormatting>
  <conditionalFormatting sqref="F106">
    <cfRule type="expression" dxfId="104" priority="179">
      <formula>$E106="монтаж системы не начат"</formula>
    </cfRule>
  </conditionalFormatting>
  <conditionalFormatting sqref="E100 E103 E106">
    <cfRule type="expression" dxfId="103" priority="180">
      <formula>$E100="монтаж системы не начат"</formula>
    </cfRule>
  </conditionalFormatting>
  <conditionalFormatting sqref="D109">
    <cfRule type="expression" dxfId="102" priority="181">
      <formula>$E109="монтаж системы не начат"</formula>
    </cfRule>
  </conditionalFormatting>
  <conditionalFormatting sqref="F109">
    <cfRule type="expression" dxfId="101" priority="182">
      <formula>$E109="монтаж системы не начат"</formula>
    </cfRule>
  </conditionalFormatting>
  <conditionalFormatting sqref="E100 E103 E106 E109">
    <cfRule type="expression" dxfId="100" priority="183">
      <formula>$E100="монтаж системы не начат"</formula>
    </cfRule>
  </conditionalFormatting>
  <conditionalFormatting sqref="F112">
    <cfRule type="expression" dxfId="99" priority="184">
      <formula>$E112="монтаж системы не начат"</formula>
    </cfRule>
  </conditionalFormatting>
  <conditionalFormatting sqref="E112">
    <cfRule type="expression" dxfId="98" priority="185">
      <formula>$E112="монтаж системы не начат"</formula>
    </cfRule>
  </conditionalFormatting>
  <conditionalFormatting sqref="D120">
    <cfRule type="expression" dxfId="97" priority="186">
      <formula>$E120="монтаж системы не начат"</formula>
    </cfRule>
  </conditionalFormatting>
  <conditionalFormatting sqref="D114">
    <cfRule type="expression" dxfId="96" priority="187">
      <formula>$E114="монтаж системы не начат"</formula>
    </cfRule>
  </conditionalFormatting>
  <conditionalFormatting sqref="F114">
    <cfRule type="expression" dxfId="95" priority="188">
      <formula>$E114="монтаж системы не начат"</formula>
    </cfRule>
  </conditionalFormatting>
  <conditionalFormatting sqref="E100 E103 E106 E109 E112 E114 E117 E120 E122 E125 E128">
    <cfRule type="expression" dxfId="94" priority="189">
      <formula>$E100="монтаж системы не начат"</formula>
    </cfRule>
  </conditionalFormatting>
  <conditionalFormatting sqref="D117">
    <cfRule type="expression" dxfId="93" priority="190">
      <formula>$E117="монтаж системы не начат"</formula>
    </cfRule>
  </conditionalFormatting>
  <conditionalFormatting sqref="F117">
    <cfRule type="expression" dxfId="92" priority="191">
      <formula>$E117="монтаж системы не начат"</formula>
    </cfRule>
  </conditionalFormatting>
  <conditionalFormatting sqref="E117">
    <cfRule type="expression" dxfId="91" priority="192">
      <formula>$E117="монтаж системы не начат"</formula>
    </cfRule>
  </conditionalFormatting>
  <conditionalFormatting sqref="F128">
    <cfRule type="expression" dxfId="90" priority="193">
      <formula>$E128="монтаж системы не начат"</formula>
    </cfRule>
  </conditionalFormatting>
  <conditionalFormatting sqref="E128">
    <cfRule type="expression" dxfId="89" priority="194">
      <formula>$E128="монтаж системы не начат"</formula>
    </cfRule>
  </conditionalFormatting>
  <conditionalFormatting sqref="E107:E108">
    <cfRule type="expression" dxfId="88" priority="195">
      <formula>$E107="монтаж системы не начат"</formula>
    </cfRule>
  </conditionalFormatting>
  <conditionalFormatting sqref="D122">
    <cfRule type="expression" dxfId="87" priority="196">
      <formula>$E122="монтаж системы не начат"</formula>
    </cfRule>
  </conditionalFormatting>
  <conditionalFormatting sqref="F122">
    <cfRule type="expression" dxfId="86" priority="197">
      <formula>$E122="монтаж системы не начат"</formula>
    </cfRule>
  </conditionalFormatting>
  <conditionalFormatting sqref="E122">
    <cfRule type="expression" dxfId="85" priority="198">
      <formula>$E122="монтаж системы не начат"</formula>
    </cfRule>
  </conditionalFormatting>
  <conditionalFormatting sqref="D125">
    <cfRule type="expression" dxfId="84" priority="199">
      <formula>$E125="монтаж системы не начат"</formula>
    </cfRule>
  </conditionalFormatting>
  <conditionalFormatting sqref="F125">
    <cfRule type="expression" dxfId="83" priority="200">
      <formula>$E125="монтаж системы не начат"</formula>
    </cfRule>
  </conditionalFormatting>
  <conditionalFormatting sqref="E125">
    <cfRule type="expression" dxfId="82" priority="201">
      <formula>$E125="монтаж системы не начат"</formula>
    </cfRule>
  </conditionalFormatting>
  <conditionalFormatting sqref="E115">
    <cfRule type="expression" dxfId="81" priority="202">
      <formula>$E115="монтаж системы не начат"</formula>
    </cfRule>
  </conditionalFormatting>
  <conditionalFormatting sqref="E118">
    <cfRule type="expression" dxfId="80" priority="203">
      <formula>$E118="монтаж системы не начат"</formula>
    </cfRule>
  </conditionalFormatting>
  <conditionalFormatting sqref="E98">
    <cfRule type="expression" dxfId="79" priority="204">
      <formula>$E98="монтаж системы не начат"</formula>
    </cfRule>
  </conditionalFormatting>
  <conditionalFormatting sqref="E101">
    <cfRule type="expression" dxfId="78" priority="205">
      <formula>$E101="монтаж системы не начат"</formula>
    </cfRule>
  </conditionalFormatting>
  <conditionalFormatting sqref="E104">
    <cfRule type="expression" dxfId="77" priority="206">
      <formula>$E104="монтаж системы не начат"</formula>
    </cfRule>
  </conditionalFormatting>
  <conditionalFormatting sqref="D112">
    <cfRule type="expression" dxfId="76" priority="207">
      <formula>$E112="монтаж системы не начат"</formula>
    </cfRule>
  </conditionalFormatting>
  <conditionalFormatting sqref="F120">
    <cfRule type="expression" dxfId="75" priority="208">
      <formula>$E120="монтаж системы не начат"</formula>
    </cfRule>
  </conditionalFormatting>
  <conditionalFormatting sqref="E120">
    <cfRule type="expression" dxfId="74" priority="209">
      <formula>$E120="монтаж системы не начат"</formula>
    </cfRule>
  </conditionalFormatting>
  <conditionalFormatting sqref="D128">
    <cfRule type="expression" dxfId="73" priority="210">
      <formula>$E128="монтаж системы не начат"</formula>
    </cfRule>
  </conditionalFormatting>
  <conditionalFormatting sqref="E110">
    <cfRule type="expression" dxfId="72" priority="211">
      <formula>$E110="монтаж системы не начат"</formula>
    </cfRule>
  </conditionalFormatting>
  <conditionalFormatting sqref="E113">
    <cfRule type="expression" dxfId="71" priority="212">
      <formula>$E113="монтаж системы не начат"</formula>
    </cfRule>
  </conditionalFormatting>
  <conditionalFormatting sqref="E121">
    <cfRule type="expression" dxfId="70" priority="213">
      <formula>$E121="монтаж системы не начат"</formula>
    </cfRule>
  </conditionalFormatting>
  <conditionalFormatting sqref="E123">
    <cfRule type="expression" dxfId="69" priority="214">
      <formula>$E123="монтаж системы не начат"</formula>
    </cfRule>
  </conditionalFormatting>
  <conditionalFormatting sqref="E126">
    <cfRule type="expression" dxfId="68" priority="215">
      <formula>$E126="монтаж системы не начат"</formula>
    </cfRule>
  </conditionalFormatting>
  <conditionalFormatting sqref="E57">
    <cfRule type="expression" dxfId="67" priority="216">
      <formula>$E57="монтаж системы не начат"</formula>
    </cfRule>
  </conditionalFormatting>
  <conditionalFormatting sqref="E60:E61">
    <cfRule type="expression" dxfId="66" priority="217">
      <formula>$E60="монтаж системы не начат"</formula>
    </cfRule>
  </conditionalFormatting>
  <conditionalFormatting sqref="E63">
    <cfRule type="expression" dxfId="65" priority="218">
      <formula>$E63="монтаж системы не начат"</formula>
    </cfRule>
  </conditionalFormatting>
  <conditionalFormatting sqref="E66:E67 E70 E73 E76">
    <cfRule type="expression" dxfId="64" priority="219">
      <formula>$E66="монтаж системы не начат"</formula>
    </cfRule>
  </conditionalFormatting>
  <conditionalFormatting sqref="E69:E70 E73 E76">
    <cfRule type="expression" dxfId="63" priority="220">
      <formula>$E69="монтаж системы не начат"</formula>
    </cfRule>
  </conditionalFormatting>
  <conditionalFormatting sqref="B22:B23">
    <cfRule type="expression" dxfId="62" priority="221" stopIfTrue="1">
      <formula>$F22:$F112="монтаж системы не начат"</formula>
    </cfRule>
  </conditionalFormatting>
  <conditionalFormatting sqref="B54:B55">
    <cfRule type="expression" dxfId="61" priority="222" stopIfTrue="1">
      <formula>$F54:$F131="монтаж системы не начат"</formula>
    </cfRule>
  </conditionalFormatting>
  <conditionalFormatting sqref="E75">
    <cfRule type="expression" dxfId="60" priority="223">
      <formula>$E75="монтаж системы не начат"</formula>
    </cfRule>
  </conditionalFormatting>
  <conditionalFormatting sqref="E76">
    <cfRule type="expression" dxfId="59" priority="224">
      <formula>$E76="монтаж системы не начат"</formula>
    </cfRule>
  </conditionalFormatting>
  <conditionalFormatting sqref="N59:O59 R59 T59:U59 X59:Y59 AA59">
    <cfRule type="expression" dxfId="58" priority="225" stopIfTrue="1">
      <formula>$F59:$F76="монтаж системы не начат"</formula>
    </cfRule>
  </conditionalFormatting>
  <conditionalFormatting sqref="N62:O62 R62 T62:U62 X62:Y62 AA62">
    <cfRule type="expression" dxfId="57" priority="226" stopIfTrue="1">
      <formula>$F62:$F76="монтаж системы не начат"</formula>
    </cfRule>
  </conditionalFormatting>
  <conditionalFormatting sqref="N65:O65 R65 T65:U65 X65:Y65 AA65">
    <cfRule type="expression" dxfId="56" priority="227" stopIfTrue="1">
      <formula>$F65:$F76="монтаж системы не начат"</formula>
    </cfRule>
  </conditionalFormatting>
  <conditionalFormatting sqref="N74:O75 R74:Y75">
    <cfRule type="expression" dxfId="55" priority="228" stopIfTrue="1">
      <formula>$F74:$F76="монтаж системы не начат"</formula>
    </cfRule>
  </conditionalFormatting>
  <conditionalFormatting sqref="N68:O68 R68 T68:U68 X68:Y68 AA68">
    <cfRule type="expression" dxfId="54" priority="229" stopIfTrue="1">
      <formula>$F68:$F76="монтаж системы не начат"</formula>
    </cfRule>
  </conditionalFormatting>
  <conditionalFormatting sqref="N56:O56">
    <cfRule type="expression" dxfId="53" priority="230" stopIfTrue="1">
      <formula>$F56:$F74="монтаж системы не начат"</formula>
    </cfRule>
  </conditionalFormatting>
  <conditionalFormatting sqref="R56:Y56">
    <cfRule type="expression" dxfId="52" priority="231" stopIfTrue="1">
      <formula>$F56:$F74="монтаж системы не начат"</formula>
    </cfRule>
  </conditionalFormatting>
  <conditionalFormatting sqref="S59">
    <cfRule type="expression" dxfId="51" priority="232" stopIfTrue="1">
      <formula>$F59:$F76="монтаж системы не начат"</formula>
    </cfRule>
  </conditionalFormatting>
  <conditionalFormatting sqref="S62">
    <cfRule type="expression" dxfId="50" priority="233" stopIfTrue="1">
      <formula>$F62:$F79="монтаж системы не начат"</formula>
    </cfRule>
  </conditionalFormatting>
  <conditionalFormatting sqref="S65">
    <cfRule type="expression" dxfId="49" priority="234" stopIfTrue="1">
      <formula>$F65:$F82="монтаж системы не начат"</formula>
    </cfRule>
  </conditionalFormatting>
  <conditionalFormatting sqref="S68">
    <cfRule type="expression" dxfId="48" priority="235" stopIfTrue="1">
      <formula>$F68:$F85="монтаж системы не начат"</formula>
    </cfRule>
  </conditionalFormatting>
  <conditionalFormatting sqref="I32:I36">
    <cfRule type="expression" dxfId="47" priority="236">
      <formula>$E32="монтаж системы не начат"</formula>
    </cfRule>
  </conditionalFormatting>
  <conditionalFormatting sqref="I49">
    <cfRule type="expression" dxfId="46" priority="237">
      <formula>$E49="монтаж системы не начат"</formula>
    </cfRule>
  </conditionalFormatting>
  <conditionalFormatting sqref="E21">
    <cfRule type="expression" dxfId="45" priority="238">
      <formula>$E21="монтаж системы не начат"</formula>
    </cfRule>
  </conditionalFormatting>
  <conditionalFormatting sqref="D21">
    <cfRule type="expression" dxfId="44" priority="239">
      <formula>$E21="монтаж системы не начат"</formula>
    </cfRule>
  </conditionalFormatting>
  <conditionalFormatting sqref="AI106:CW106">
    <cfRule type="expression" dxfId="43" priority="240" stopIfTrue="1">
      <formula>$F106:$F110="монтаж системы не начат"</formula>
    </cfRule>
  </conditionalFormatting>
  <conditionalFormatting sqref="AK107:CW108 AI108:AJ108 AQ115 AQ118 AQ123 AQ126:AQ127">
    <cfRule type="expression" dxfId="42" priority="241" stopIfTrue="1">
      <formula>$F107:$F110="монтаж системы не начат"</formula>
    </cfRule>
  </conditionalFormatting>
  <conditionalFormatting sqref="AI128:CW128">
    <cfRule type="expression" dxfId="41" priority="242" stopIfTrue="1">
      <formula>$F128:$F129="монтаж системы не начат"</formula>
    </cfRule>
  </conditionalFormatting>
  <conditionalFormatting sqref="AI129:CW129">
    <cfRule type="expression" dxfId="40" priority="243" stopIfTrue="1">
      <formula>$F129="монтаж системы не начат"</formula>
    </cfRule>
  </conditionalFormatting>
  <conditionalFormatting sqref="AI110:CW110">
    <cfRule type="expression" dxfId="39" priority="244" stopIfTrue="1">
      <formula>$F110:$F129="монтаж системы не начат"</formula>
    </cfRule>
  </conditionalFormatting>
  <conditionalFormatting sqref="AI112:CW112">
    <cfRule type="expression" dxfId="38" priority="245" stopIfTrue="1">
      <formula>$F112:$F129="монтаж системы не начат"</formula>
    </cfRule>
  </conditionalFormatting>
  <conditionalFormatting sqref="AI125:CW125">
    <cfRule type="expression" dxfId="37" priority="246" stopIfTrue="1">
      <formula>$F125:$F129="монтаж системы не начат"</formula>
    </cfRule>
  </conditionalFormatting>
  <conditionalFormatting sqref="AJ104 AJ107 AI115:CJ115 CL115:CW115 AJ126">
    <cfRule type="expression" dxfId="36" priority="247" stopIfTrue="1">
      <formula>$F104:$F118="монтаж системы не начат"</formula>
    </cfRule>
  </conditionalFormatting>
  <conditionalFormatting sqref="AI118:CJ118 CL118:CW118">
    <cfRule type="expression" dxfId="35" priority="248" stopIfTrue="1">
      <formula>$F118:$F129="монтаж системы не начат"</formula>
    </cfRule>
  </conditionalFormatting>
  <conditionalFormatting sqref="AI121:CW121">
    <cfRule type="expression" dxfId="34" priority="249" stopIfTrue="1">
      <formula>$F121:$F129="монтаж системы не начат"</formula>
    </cfRule>
  </conditionalFormatting>
  <conditionalFormatting sqref="AI111:CW111">
    <cfRule type="expression" dxfId="33" priority="250" stopIfTrue="1">
      <formula>$F111:$F129="монтаж системы не начат"</formula>
    </cfRule>
  </conditionalFormatting>
  <conditionalFormatting sqref="AJ104 AJ107 AI113:CJ116 CK113:CK114 CL113:CW116 CK116 AJ126">
    <cfRule type="expression" dxfId="32" priority="251" stopIfTrue="1">
      <formula>$F104:$F120="монтаж системы не начат"</formula>
    </cfRule>
  </conditionalFormatting>
  <conditionalFormatting sqref="AI126:CW126">
    <cfRule type="expression" dxfId="31" priority="252" stopIfTrue="1">
      <formula>$F126:$F129="монтаж системы не начат"</formula>
    </cfRule>
  </conditionalFormatting>
  <conditionalFormatting sqref="AI123:CW123 AM126 AQ126:AQ127">
    <cfRule type="expression" dxfId="30" priority="253" stopIfTrue="1">
      <formula>$F123:$F129="монтаж системы не начат"</formula>
    </cfRule>
  </conditionalFormatting>
  <conditionalFormatting sqref="AI114:CW114">
    <cfRule type="expression" dxfId="29" priority="254" stopIfTrue="1">
      <formula>$F114:$F129="монтаж системы не начат"</formula>
    </cfRule>
  </conditionalFormatting>
  <conditionalFormatting sqref="AI116:CW116">
    <cfRule type="expression" dxfId="28" priority="255" stopIfTrue="1">
      <formula>$F116:$F129="монтаж системы не начат"</formula>
    </cfRule>
  </conditionalFormatting>
  <conditionalFormatting sqref="AI122:CW127">
    <cfRule type="expression" dxfId="27" priority="256" stopIfTrue="1">
      <formula>$F122:$F129="монтаж системы не начат"</formula>
    </cfRule>
  </conditionalFormatting>
  <conditionalFormatting sqref="AI119:CW121">
    <cfRule type="expression" dxfId="26" priority="257" stopIfTrue="1">
      <formula>$F119:$F129="монтаж системы не начат"</formula>
    </cfRule>
  </conditionalFormatting>
  <conditionalFormatting sqref="AI117:CJ121 CK117 CL117:CW121 CK119:CK121">
    <cfRule type="expression" dxfId="25" priority="258" stopIfTrue="1">
      <formula>$F117:$F129="монтаж системы не начат"</formula>
    </cfRule>
  </conditionalFormatting>
  <conditionalFormatting sqref="AI120:CW120">
    <cfRule type="expression" dxfId="24" priority="259" stopIfTrue="1">
      <formula>$F120:$F129="монтаж системы не начат"</formula>
    </cfRule>
  </conditionalFormatting>
  <conditionalFormatting sqref="AI109:CW109">
    <cfRule type="expression" dxfId="23" priority="260" stopIfTrue="1">
      <formula>$F109:$F129="монтаж системы не начат"</formula>
    </cfRule>
  </conditionalFormatting>
  <conditionalFormatting sqref="N71:O71 R71:Y71 AA71">
    <cfRule type="expression" dxfId="22" priority="261" stopIfTrue="1">
      <formula>$F71:$F73="монтаж системы не начат"</formula>
    </cfRule>
  </conditionalFormatting>
  <conditionalFormatting sqref="D82:E82 D81">
    <cfRule type="expression" dxfId="21" priority="262">
      <formula>$E81="монтаж системы не начат"</formula>
    </cfRule>
  </conditionalFormatting>
  <conditionalFormatting sqref="E81">
    <cfRule type="expression" dxfId="20" priority="263">
      <formula>$E81="монтаж системы не начат"</formula>
    </cfRule>
  </conditionalFormatting>
  <conditionalFormatting sqref="F81">
    <cfRule type="expression" dxfId="19" priority="264">
      <formula>$E81="монтаж системы не начат"</formula>
    </cfRule>
  </conditionalFormatting>
  <conditionalFormatting sqref="AC82:AG82 AI82:AP82 AR82:AU82">
    <cfRule type="expression" dxfId="18" priority="265" stopIfTrue="1">
      <formula>$F82="монтаж системы не начат"</formula>
    </cfRule>
  </conditionalFormatting>
  <conditionalFormatting sqref="P45 R45:S45 V45:CV45 AE48 AE57">
    <cfRule type="expression" dxfId="17" priority="266" stopIfTrue="1">
      <formula>$F45:$F105="монтаж системы не начат"</formula>
    </cfRule>
  </conditionalFormatting>
  <conditionalFormatting sqref="AH45:AH46 O46:P46 R46:S46 U46:AG46 AI46:CV46 AP48:AQ48">
    <cfRule type="expression" dxfId="16" priority="267" stopIfTrue="1">
      <formula>$F45:$F104="монтаж системы не начат"</formula>
    </cfRule>
  </conditionalFormatting>
  <conditionalFormatting sqref="F42">
    <cfRule type="expression" dxfId="15" priority="268">
      <formula>$E42="монтаж системы не начат"</formula>
    </cfRule>
  </conditionalFormatting>
  <conditionalFormatting sqref="F54">
    <cfRule type="expression" dxfId="14" priority="269">
      <formula>$E54="монтаж системы не начат"</formula>
    </cfRule>
  </conditionalFormatting>
  <conditionalFormatting sqref="O40:P40 R40:S40 U40:CV40 AE45 AE48 AE57">
    <cfRule type="expression" dxfId="13" priority="270" stopIfTrue="1">
      <formula>$F40:$F112="монтаж системы не начат"</formula>
    </cfRule>
  </conditionalFormatting>
  <conditionalFormatting sqref="P39 S39 V39 Y39:Y40 AB39:AB40 AD39:AE39 AH39 AK39 AN39 AP39:AQ39 AS39:AT39 AV39:AW39 AY39:AZ39 BB39:BC39 BE39:BF39 BH39:BI39 BK39:BL39 BN39:BO39 BQ39:BR39 BT39:BU39 BW39:BX39 BZ39:CA39 CC39:CD39 CF39:CV39">
    <cfRule type="expression" dxfId="12" priority="271" stopIfTrue="1">
      <formula>$F39:$F112="монтаж системы не начат"</formula>
    </cfRule>
  </conditionalFormatting>
  <conditionalFormatting sqref="I74">
    <cfRule type="expression" dxfId="11" priority="272">
      <formula>$E74="монтаж системы не начат"</formula>
    </cfRule>
  </conditionalFormatting>
  <conditionalFormatting sqref="I74">
    <cfRule type="expression" dxfId="10" priority="273">
      <formula>$E74="монтаж системы не начат"</formula>
    </cfRule>
  </conditionalFormatting>
  <conditionalFormatting sqref="I74">
    <cfRule type="expression" dxfId="9" priority="274">
      <formula>$E74="монтаж системы не начат"</formula>
    </cfRule>
  </conditionalFormatting>
  <conditionalFormatting sqref="O43:P43 R43:S43 U43:CV43">
    <cfRule type="expression" dxfId="8" priority="275" stopIfTrue="1">
      <formula>$F43:$F112="монтаж системы не начат"</formula>
    </cfRule>
  </conditionalFormatting>
  <conditionalFormatting sqref="AQ39:AQ40 O42:P42 R42:S42 U42:CV42">
    <cfRule type="expression" dxfId="7" priority="276" stopIfTrue="1">
      <formula>$F39:$F109="монтаж системы не начат"</formula>
    </cfRule>
  </conditionalFormatting>
  <conditionalFormatting sqref="O51:P51 R51:S51 CV51">
    <cfRule type="expression" dxfId="6" priority="277" stopIfTrue="1">
      <formula>$F51:$F102="монтаж системы не начат"</formula>
    </cfRule>
  </conditionalFormatting>
  <conditionalFormatting sqref="O52:P52 R52:S52 CV52">
    <cfRule type="expression" dxfId="5" priority="278" stopIfTrue="1">
      <formula>$F52:$F102="монтаж системы не начат"</formula>
    </cfRule>
  </conditionalFormatting>
  <conditionalFormatting sqref="V59">
    <cfRule type="expression" dxfId="4" priority="279" stopIfTrue="1">
      <formula>$F59:$F76="монтаж системы не начат"</formula>
    </cfRule>
  </conditionalFormatting>
  <conditionalFormatting sqref="V62">
    <cfRule type="expression" dxfId="3" priority="280" stopIfTrue="1">
      <formula>$F62:$F76="монтаж системы не начат"</formula>
    </cfRule>
  </conditionalFormatting>
  <conditionalFormatting sqref="V65">
    <cfRule type="expression" dxfId="2" priority="281" stopIfTrue="1">
      <formula>$F65:$F76="монтаж системы не начат"</formula>
    </cfRule>
  </conditionalFormatting>
  <conditionalFormatting sqref="V68">
    <cfRule type="expression" dxfId="1" priority="282" stopIfTrue="1">
      <formula>$F68:$F79="монтаж системы не начат"</formula>
    </cfRule>
  </conditionalFormatting>
  <conditionalFormatting sqref="N79:CV79">
    <cfRule type="expression" dxfId="0" priority="283" stopIfTrue="1">
      <formula>$F79:$F82="монтаж системы не начат"</formula>
    </cfRule>
  </conditionalFormatting>
  <pageMargins left="0.7" right="0.7" top="0.75" bottom="0.75" header="0.3" footer="0.3"/>
  <pageSetup paperSize="8" scale="2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Минская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Бибиков Максим Владимирович</dc:creator>
  <cp:lastModifiedBy>Ракитин И.О.</cp:lastModifiedBy>
  <cp:lastPrinted>2016-12-03T10:05:22Z</cp:lastPrinted>
  <dcterms:created xsi:type="dcterms:W3CDTF">2016-12-05T09:37:56Z</dcterms:created>
  <dcterms:modified xsi:type="dcterms:W3CDTF">2016-12-05T09:37:57Z</dcterms:modified>
</cp:coreProperties>
</file>