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35"/>
  </bookViews>
  <sheets>
    <sheet name="Задание 1" sheetId="1" r:id="rId1"/>
    <sheet name="Лист1" sheetId="7" r:id="rId2"/>
    <sheet name="Задание 2" sheetId="2" r:id="rId3"/>
    <sheet name="ДДС" sheetId="3" r:id="rId4"/>
    <sheet name="Сводный отчет" sheetId="4" r:id="rId5"/>
    <sheet name="Задание" sheetId="6" r:id="rId6"/>
  </sheets>
  <definedNames>
    <definedName name="_xlnm._FilterDatabase" localSheetId="3" hidden="1">ДДС!$A$3:$C$39</definedName>
    <definedName name="_xlnm._FilterDatabase" localSheetId="0" hidden="1">'Задание 1'!$A$4:$R$39</definedName>
    <definedName name="_xlnm._FilterDatabase" localSheetId="2" hidden="1">'Задание 2'!$A$6:$I$176</definedName>
    <definedName name="_xlnm._FilterDatabase" localSheetId="4" hidden="1">'Сводный отчет'!$A$3:$K$35</definedName>
  </definedNames>
  <calcPr calcId="162913"/>
  <pivotCaches>
    <pivotCache cacheId="6" r:id="rId7"/>
  </pivotCaches>
</workbook>
</file>

<file path=xl/calcChain.xml><?xml version="1.0" encoding="utf-8"?>
<calcChain xmlns="http://schemas.openxmlformats.org/spreadsheetml/2006/main">
  <c r="F26" i="4" l="1" a="1"/>
  <c r="F26" i="4"/>
  <c r="F19" i="4"/>
  <c r="F16" i="4"/>
  <c r="F17" i="4"/>
  <c r="F18" i="4" a="1"/>
  <c r="F18" i="4" s="1"/>
  <c r="F11" i="4"/>
  <c r="F8" i="4"/>
  <c r="F9" i="4"/>
  <c r="F10" i="4" a="1"/>
  <c r="F10" i="4" s="1"/>
  <c r="I34" i="4"/>
  <c r="H34" i="4"/>
  <c r="G34" i="4"/>
  <c r="I30" i="4" a="1"/>
  <c r="I30" i="4" s="1"/>
  <c r="H30" i="4" a="1"/>
  <c r="H30" i="4" s="1"/>
  <c r="G30" i="4" a="1"/>
  <c r="G30" i="4"/>
  <c r="F30" i="4" a="1"/>
  <c r="F30" i="4"/>
  <c r="I26" i="4" a="1"/>
  <c r="I26" i="4"/>
  <c r="H26" i="4" a="1"/>
  <c r="H26" i="4"/>
  <c r="G26" i="4" a="1"/>
  <c r="G26" i="4"/>
  <c r="I22" i="4" a="1"/>
  <c r="I22" i="4"/>
  <c r="H22" i="4" a="1"/>
  <c r="H22" i="4"/>
  <c r="G22" i="4" a="1"/>
  <c r="G22" i="4"/>
  <c r="F22" i="4" a="1"/>
  <c r="F22" i="4"/>
  <c r="I18" i="4" a="1"/>
  <c r="I18" i="4"/>
  <c r="H18" i="4" a="1"/>
  <c r="H18" i="4"/>
  <c r="G18" i="4" a="1"/>
  <c r="G18" i="4"/>
  <c r="I14" i="4" a="1"/>
  <c r="I14" i="4"/>
  <c r="H14" i="4" a="1"/>
  <c r="H14" i="4"/>
  <c r="G14" i="4" a="1"/>
  <c r="G14" i="4"/>
  <c r="F14" i="4" a="1"/>
  <c r="F14" i="4"/>
  <c r="I10" i="4" a="1"/>
  <c r="I10" i="4" s="1"/>
  <c r="H10" i="4" a="1"/>
  <c r="H10" i="4" s="1"/>
  <c r="G10" i="4" a="1"/>
  <c r="G10" i="4" s="1"/>
  <c r="G6" i="4" a="1"/>
  <c r="G6" i="4" s="1"/>
  <c r="I6" i="4" a="1"/>
  <c r="I6" i="4"/>
  <c r="H6" i="4" a="1"/>
  <c r="H6" i="4"/>
  <c r="F6" i="4" a="1"/>
  <c r="F6" i="4" s="1"/>
  <c r="G16" i="2"/>
  <c r="I5" i="4"/>
  <c r="H5" i="4"/>
  <c r="I17" i="4"/>
  <c r="H17" i="4"/>
  <c r="G17" i="4"/>
  <c r="G19" i="4" s="1"/>
  <c r="H19" i="4" s="1"/>
  <c r="I19" i="4" s="1"/>
  <c r="I13" i="4"/>
  <c r="H13" i="4"/>
  <c r="G13" i="4"/>
  <c r="I9" i="4"/>
  <c r="H9" i="4"/>
  <c r="G9" i="4"/>
  <c r="G11" i="4" s="1"/>
  <c r="H11" i="4" s="1"/>
  <c r="I11" i="4" s="1"/>
  <c r="F13" i="4"/>
  <c r="F15" i="4" s="1"/>
  <c r="G15" i="4" s="1"/>
  <c r="H15" i="4" s="1"/>
  <c r="G5" i="4"/>
  <c r="F5" i="4"/>
  <c r="F7" i="4" s="1"/>
  <c r="G7" i="4" s="1"/>
  <c r="I16" i="4"/>
  <c r="H16" i="4"/>
  <c r="G16" i="4"/>
  <c r="G12" i="4"/>
  <c r="H12" i="4"/>
  <c r="I12" i="4"/>
  <c r="F12" i="4"/>
  <c r="I8" i="4"/>
  <c r="H8" i="4"/>
  <c r="G8" i="4"/>
  <c r="F4" i="4"/>
  <c r="I4" i="4"/>
  <c r="H4" i="4"/>
  <c r="G4" i="4"/>
  <c r="B92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31" i="2"/>
  <c r="I139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71" i="2"/>
  <c r="I175" i="2"/>
  <c r="G7" i="2"/>
  <c r="G8" i="2"/>
  <c r="G9" i="2"/>
  <c r="G10" i="2"/>
  <c r="G11" i="2"/>
  <c r="G12" i="2"/>
  <c r="G13" i="2"/>
  <c r="G14" i="2"/>
  <c r="G15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8" i="2"/>
  <c r="G100" i="2"/>
  <c r="G102" i="2"/>
  <c r="G106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34" i="2"/>
  <c r="G136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6" i="2"/>
  <c r="G168" i="2"/>
  <c r="G176" i="2"/>
  <c r="H144" i="2" a="1"/>
  <c r="H144" i="2"/>
  <c r="H145" i="2" a="1"/>
  <c r="H145" i="2"/>
  <c r="H146" i="2" a="1"/>
  <c r="H146" i="2"/>
  <c r="H147" i="2" a="1"/>
  <c r="H147" i="2"/>
  <c r="H148" i="2" a="1"/>
  <c r="H148" i="2"/>
  <c r="H149" i="2" a="1"/>
  <c r="H149" i="2"/>
  <c r="H150" i="2" a="1"/>
  <c r="H150" i="2"/>
  <c r="H151" i="2" a="1"/>
  <c r="H151" i="2"/>
  <c r="H152" i="2" a="1"/>
  <c r="H152" i="2"/>
  <c r="H153" i="2" a="1"/>
  <c r="H153" i="2"/>
  <c r="H154" i="2" a="1"/>
  <c r="H154" i="2"/>
  <c r="H155" i="2" a="1"/>
  <c r="H155" i="2"/>
  <c r="H156" i="2" a="1"/>
  <c r="H156" i="2"/>
  <c r="H157" i="2" a="1"/>
  <c r="H157" i="2"/>
  <c r="H158" i="2" a="1"/>
  <c r="H158" i="2"/>
  <c r="H159" i="2" a="1"/>
  <c r="H159" i="2"/>
  <c r="H160" i="2" a="1"/>
  <c r="H160" i="2"/>
  <c r="H161" i="2" a="1"/>
  <c r="H161" i="2"/>
  <c r="H162" i="2" a="1"/>
  <c r="H162" i="2"/>
  <c r="H163" i="2" a="1"/>
  <c r="H163" i="2"/>
  <c r="H164" i="2" a="1"/>
  <c r="H164" i="2"/>
  <c r="H165" i="2" a="1"/>
  <c r="H165" i="2"/>
  <c r="H166" i="2" a="1"/>
  <c r="H166" i="2"/>
  <c r="H167" i="2" a="1"/>
  <c r="H167" i="2"/>
  <c r="H168" i="2" a="1"/>
  <c r="H168" i="2"/>
  <c r="H169" i="2" a="1"/>
  <c r="H169" i="2"/>
  <c r="H170" i="2" a="1"/>
  <c r="H170" i="2"/>
  <c r="H171" i="2" a="1"/>
  <c r="H171" i="2"/>
  <c r="H172" i="2" a="1"/>
  <c r="H172" i="2"/>
  <c r="H173" i="2" a="1"/>
  <c r="H173" i="2"/>
  <c r="I173" i="2" s="1"/>
  <c r="H174" i="2" a="1"/>
  <c r="H174" i="2"/>
  <c r="H175" i="2" a="1"/>
  <c r="H175" i="2"/>
  <c r="H176" i="2" a="1"/>
  <c r="H176" i="2"/>
  <c r="H143" i="2" a="1"/>
  <c r="H143" i="2"/>
  <c r="H110" i="2" a="1"/>
  <c r="H110" i="2"/>
  <c r="H111" i="2" a="1"/>
  <c r="H111" i="2"/>
  <c r="H112" i="2" a="1"/>
  <c r="H112" i="2"/>
  <c r="H113" i="2" a="1"/>
  <c r="H113" i="2"/>
  <c r="H114" i="2" a="1"/>
  <c r="H114" i="2"/>
  <c r="H115" i="2" a="1"/>
  <c r="H115" i="2"/>
  <c r="H116" i="2" a="1"/>
  <c r="H116" i="2"/>
  <c r="H117" i="2" a="1"/>
  <c r="H117" i="2"/>
  <c r="H118" i="2" a="1"/>
  <c r="H118" i="2"/>
  <c r="H119" i="2" a="1"/>
  <c r="H119" i="2"/>
  <c r="H120" i="2" a="1"/>
  <c r="H120" i="2"/>
  <c r="H121" i="2" a="1"/>
  <c r="H121" i="2"/>
  <c r="H122" i="2" a="1"/>
  <c r="H122" i="2"/>
  <c r="H123" i="2" a="1"/>
  <c r="H123" i="2"/>
  <c r="H124" i="2" a="1"/>
  <c r="H124" i="2"/>
  <c r="H125" i="2" a="1"/>
  <c r="H125" i="2"/>
  <c r="H126" i="2" a="1"/>
  <c r="H126" i="2"/>
  <c r="H127" i="2" a="1"/>
  <c r="H127" i="2"/>
  <c r="H128" i="2" a="1"/>
  <c r="H128" i="2"/>
  <c r="H129" i="2" a="1"/>
  <c r="H129" i="2"/>
  <c r="I129" i="2" s="1"/>
  <c r="H130" i="2" a="1"/>
  <c r="H130" i="2"/>
  <c r="H131" i="2" a="1"/>
  <c r="H131" i="2"/>
  <c r="H132" i="2" a="1"/>
  <c r="H132" i="2"/>
  <c r="H133" i="2" a="1"/>
  <c r="H133" i="2"/>
  <c r="H134" i="2" a="1"/>
  <c r="H134" i="2"/>
  <c r="H135" i="2" a="1"/>
  <c r="H135" i="2"/>
  <c r="H136" i="2" a="1"/>
  <c r="H136" i="2"/>
  <c r="H137" i="2" a="1"/>
  <c r="H137" i="2"/>
  <c r="H138" i="2" a="1"/>
  <c r="H138" i="2"/>
  <c r="H139" i="2" a="1"/>
  <c r="H139" i="2"/>
  <c r="H140" i="2" a="1"/>
  <c r="H140" i="2"/>
  <c r="H141" i="2" a="1"/>
  <c r="H141" i="2"/>
  <c r="I141" i="2" s="1"/>
  <c r="H142" i="2" a="1"/>
  <c r="H142" i="2"/>
  <c r="H109" i="2" a="1"/>
  <c r="H109" i="2"/>
  <c r="H76" i="2" a="1"/>
  <c r="H76" i="2"/>
  <c r="H77" i="2" a="1"/>
  <c r="H77" i="2"/>
  <c r="H78" i="2" a="1"/>
  <c r="H78" i="2"/>
  <c r="H79" i="2" a="1"/>
  <c r="H79" i="2"/>
  <c r="H80" i="2" a="1"/>
  <c r="H80" i="2"/>
  <c r="H81" i="2" a="1"/>
  <c r="H81" i="2"/>
  <c r="H82" i="2" a="1"/>
  <c r="H82" i="2"/>
  <c r="H83" i="2" a="1"/>
  <c r="H83" i="2"/>
  <c r="H84" i="2" a="1"/>
  <c r="H84" i="2"/>
  <c r="H85" i="2" a="1"/>
  <c r="H85" i="2"/>
  <c r="H86" i="2" a="1"/>
  <c r="H86" i="2"/>
  <c r="H87" i="2" a="1"/>
  <c r="H87" i="2"/>
  <c r="H88" i="2" a="1"/>
  <c r="H88" i="2"/>
  <c r="H89" i="2" a="1"/>
  <c r="H89" i="2"/>
  <c r="H90" i="2" a="1"/>
  <c r="H90" i="2"/>
  <c r="H91" i="2" a="1"/>
  <c r="H91" i="2"/>
  <c r="H92" i="2" a="1"/>
  <c r="H92" i="2"/>
  <c r="H93" i="2" a="1"/>
  <c r="H93" i="2"/>
  <c r="H94" i="2" a="1"/>
  <c r="H94" i="2"/>
  <c r="H95" i="2" a="1"/>
  <c r="H95" i="2"/>
  <c r="H96" i="2" a="1"/>
  <c r="H96" i="2"/>
  <c r="H97" i="2" a="1"/>
  <c r="H97" i="2"/>
  <c r="H98" i="2" a="1"/>
  <c r="H98" i="2"/>
  <c r="H99" i="2" a="1"/>
  <c r="H99" i="2"/>
  <c r="H100" i="2" a="1"/>
  <c r="H100" i="2"/>
  <c r="H101" i="2" a="1"/>
  <c r="H101" i="2"/>
  <c r="H102" i="2" a="1"/>
  <c r="H102" i="2"/>
  <c r="H103" i="2" a="1"/>
  <c r="H103" i="2"/>
  <c r="H104" i="2" a="1"/>
  <c r="H104" i="2"/>
  <c r="H105" i="2" a="1"/>
  <c r="H105" i="2"/>
  <c r="H106" i="2" a="1"/>
  <c r="H106" i="2"/>
  <c r="H107" i="2" a="1"/>
  <c r="H107" i="2"/>
  <c r="H108" i="2" a="1"/>
  <c r="H108" i="2"/>
  <c r="H75" i="2" a="1"/>
  <c r="H75" i="2"/>
  <c r="H42" i="2" a="1"/>
  <c r="H42" i="2"/>
  <c r="H43" i="2" a="1"/>
  <c r="H43" i="2"/>
  <c r="H44" i="2" a="1"/>
  <c r="H44" i="2"/>
  <c r="H45" i="2" a="1"/>
  <c r="H45" i="2"/>
  <c r="H46" i="2" a="1"/>
  <c r="H46" i="2"/>
  <c r="H47" i="2" a="1"/>
  <c r="H47" i="2"/>
  <c r="H48" i="2" a="1"/>
  <c r="H48" i="2"/>
  <c r="H49" i="2" a="1"/>
  <c r="H49" i="2"/>
  <c r="H50" i="2" a="1"/>
  <c r="H50" i="2"/>
  <c r="H51" i="2" a="1"/>
  <c r="H51" i="2"/>
  <c r="H52" i="2" a="1"/>
  <c r="H52" i="2"/>
  <c r="H53" i="2" a="1"/>
  <c r="H53" i="2"/>
  <c r="H54" i="2" a="1"/>
  <c r="H54" i="2"/>
  <c r="H55" i="2" a="1"/>
  <c r="H55" i="2"/>
  <c r="H56" i="2" a="1"/>
  <c r="H56" i="2"/>
  <c r="H57" i="2" a="1"/>
  <c r="H57" i="2"/>
  <c r="H58" i="2" a="1"/>
  <c r="H58" i="2"/>
  <c r="H59" i="2" a="1"/>
  <c r="H59" i="2"/>
  <c r="H60" i="2" a="1"/>
  <c r="H60" i="2"/>
  <c r="H61" i="2" a="1"/>
  <c r="H61" i="2"/>
  <c r="H62" i="2" a="1"/>
  <c r="H62" i="2"/>
  <c r="H63" i="2" a="1"/>
  <c r="H63" i="2"/>
  <c r="H64" i="2" a="1"/>
  <c r="H64" i="2"/>
  <c r="H65" i="2" a="1"/>
  <c r="H65" i="2"/>
  <c r="H66" i="2" a="1"/>
  <c r="H66" i="2"/>
  <c r="H67" i="2" a="1"/>
  <c r="H67" i="2"/>
  <c r="H68" i="2" a="1"/>
  <c r="H68" i="2"/>
  <c r="H69" i="2" a="1"/>
  <c r="H69" i="2"/>
  <c r="H70" i="2" a="1"/>
  <c r="H70" i="2"/>
  <c r="H71" i="2" a="1"/>
  <c r="H71" i="2"/>
  <c r="H72" i="2" a="1"/>
  <c r="H72" i="2"/>
  <c r="H73" i="2" a="1"/>
  <c r="H73" i="2"/>
  <c r="H74" i="2" a="1"/>
  <c r="H74" i="2"/>
  <c r="H41" i="2" a="1"/>
  <c r="H41" i="2" s="1"/>
  <c r="F144" i="2" a="1"/>
  <c r="F144" i="2" s="1"/>
  <c r="F145" i="2" a="1"/>
  <c r="F145" i="2"/>
  <c r="F146" i="2" a="1"/>
  <c r="F146" i="2" s="1"/>
  <c r="F147" i="2" a="1"/>
  <c r="F147" i="2" s="1"/>
  <c r="F148" i="2" a="1"/>
  <c r="F148" i="2" s="1"/>
  <c r="F149" i="2" a="1"/>
  <c r="F149" i="2" s="1"/>
  <c r="F150" i="2" a="1"/>
  <c r="F150" i="2" s="1"/>
  <c r="F151" i="2" a="1"/>
  <c r="F151" i="2"/>
  <c r="F152" i="2" a="1"/>
  <c r="F152" i="2" s="1"/>
  <c r="F153" i="2" a="1"/>
  <c r="F153" i="2"/>
  <c r="F154" i="2" a="1"/>
  <c r="F154" i="2" s="1"/>
  <c r="F155" i="2" a="1"/>
  <c r="F155" i="2" s="1"/>
  <c r="F156" i="2" a="1"/>
  <c r="F156" i="2" s="1"/>
  <c r="F157" i="2" a="1"/>
  <c r="F157" i="2"/>
  <c r="F158" i="2" a="1"/>
  <c r="F158" i="2" s="1"/>
  <c r="F159" i="2" a="1"/>
  <c r="F159" i="2"/>
  <c r="F160" i="2" a="1"/>
  <c r="F160" i="2" s="1"/>
  <c r="F161" i="2" a="1"/>
  <c r="F161" i="2"/>
  <c r="F162" i="2" a="1"/>
  <c r="F162" i="2" s="1"/>
  <c r="F163" i="2" a="1"/>
  <c r="F163" i="2" s="1"/>
  <c r="G163" i="2" s="1"/>
  <c r="F164" i="2" a="1"/>
  <c r="F164" i="2" s="1"/>
  <c r="I164" i="2" s="1"/>
  <c r="F165" i="2" a="1"/>
  <c r="F165" i="2"/>
  <c r="I165" i="2" s="1"/>
  <c r="F166" i="2" a="1"/>
  <c r="F166" i="2" s="1"/>
  <c r="I166" i="2" s="1"/>
  <c r="F167" i="2" a="1"/>
  <c r="F167" i="2" s="1"/>
  <c r="G167" i="2" s="1"/>
  <c r="F168" i="2" a="1"/>
  <c r="F168" i="2" s="1"/>
  <c r="I168" i="2" s="1"/>
  <c r="F169" i="2" a="1"/>
  <c r="F169" i="2" s="1"/>
  <c r="F170" i="2" a="1"/>
  <c r="F170" i="2" s="1"/>
  <c r="I170" i="2" s="1"/>
  <c r="F171" i="2" a="1"/>
  <c r="F171" i="2" s="1"/>
  <c r="G171" i="2" s="1"/>
  <c r="F172" i="2" a="1"/>
  <c r="F172" i="2" s="1"/>
  <c r="I172" i="2" s="1"/>
  <c r="F173" i="2" a="1"/>
  <c r="F173" i="2" s="1"/>
  <c r="G173" i="2" s="1"/>
  <c r="F174" i="2" a="1"/>
  <c r="F174" i="2" s="1"/>
  <c r="I174" i="2" s="1"/>
  <c r="F175" i="2" a="1"/>
  <c r="F175" i="2"/>
  <c r="G175" i="2" s="1"/>
  <c r="F176" i="2" a="1"/>
  <c r="F176" i="2" s="1"/>
  <c r="I176" i="2" s="1"/>
  <c r="F143" i="2" a="1"/>
  <c r="F143" i="2"/>
  <c r="F122" i="2" a="1"/>
  <c r="F122" i="2" s="1"/>
  <c r="F123" i="2" a="1"/>
  <c r="F123" i="2" s="1"/>
  <c r="F124" i="2" a="1"/>
  <c r="F124" i="2" s="1"/>
  <c r="F125" i="2" a="1"/>
  <c r="F125" i="2"/>
  <c r="F126" i="2" a="1"/>
  <c r="F126" i="2" s="1"/>
  <c r="F127" i="2" a="1"/>
  <c r="F127" i="2"/>
  <c r="F128" i="2" a="1"/>
  <c r="F128" i="2" s="1"/>
  <c r="F129" i="2" a="1"/>
  <c r="F129" i="2" s="1"/>
  <c r="G129" i="2" s="1"/>
  <c r="F130" i="2" a="1"/>
  <c r="F130" i="2" s="1"/>
  <c r="I130" i="2" s="1"/>
  <c r="F131" i="2" a="1"/>
  <c r="F131" i="2" s="1"/>
  <c r="G131" i="2" s="1"/>
  <c r="F132" i="2" a="1"/>
  <c r="F132" i="2" s="1"/>
  <c r="I132" i="2" s="1"/>
  <c r="F133" i="2" a="1"/>
  <c r="F133" i="2"/>
  <c r="F134" i="2" a="1"/>
  <c r="F134" i="2" s="1"/>
  <c r="I134" i="2" s="1"/>
  <c r="F135" i="2" a="1"/>
  <c r="F135" i="2" s="1"/>
  <c r="G135" i="2" s="1"/>
  <c r="F136" i="2" a="1"/>
  <c r="F136" i="2" s="1"/>
  <c r="I136" i="2" s="1"/>
  <c r="F137" i="2" a="1"/>
  <c r="F137" i="2" s="1"/>
  <c r="F138" i="2" a="1"/>
  <c r="F138" i="2" s="1"/>
  <c r="I138" i="2" s="1"/>
  <c r="F139" i="2" a="1"/>
  <c r="F139" i="2" s="1"/>
  <c r="G139" i="2" s="1"/>
  <c r="F140" i="2" a="1"/>
  <c r="F140" i="2" s="1"/>
  <c r="I140" i="2" s="1"/>
  <c r="F141" i="2" a="1"/>
  <c r="F141" i="2" s="1"/>
  <c r="G141" i="2" s="1"/>
  <c r="F142" i="2" a="1"/>
  <c r="F142" i="2" s="1"/>
  <c r="I142" i="2" s="1"/>
  <c r="F110" i="2" a="1"/>
  <c r="F110" i="2" s="1"/>
  <c r="F111" i="2" a="1"/>
  <c r="F111" i="2" s="1"/>
  <c r="F112" i="2" a="1"/>
  <c r="F112" i="2"/>
  <c r="F113" i="2" a="1"/>
  <c r="F113" i="2" s="1"/>
  <c r="F114" i="2" a="1"/>
  <c r="F114" i="2" s="1"/>
  <c r="F115" i="2" a="1"/>
  <c r="F115" i="2" s="1"/>
  <c r="F116" i="2" a="1"/>
  <c r="F116" i="2" s="1"/>
  <c r="F117" i="2" a="1"/>
  <c r="F117" i="2" s="1"/>
  <c r="F118" i="2" a="1"/>
  <c r="F118" i="2" s="1"/>
  <c r="F119" i="2" a="1"/>
  <c r="F119" i="2" s="1"/>
  <c r="F120" i="2" a="1"/>
  <c r="F120" i="2"/>
  <c r="F121" i="2" a="1"/>
  <c r="F121" i="2" s="1"/>
  <c r="F109" i="2" a="1"/>
  <c r="F109" i="2" s="1"/>
  <c r="F76" i="2" a="1"/>
  <c r="F76" i="2" s="1"/>
  <c r="F77" i="2" a="1"/>
  <c r="F77" i="2" s="1"/>
  <c r="F78" i="2" a="1"/>
  <c r="F78" i="2" s="1"/>
  <c r="F79" i="2" a="1"/>
  <c r="F79" i="2"/>
  <c r="F80" i="2" a="1"/>
  <c r="F80" i="2" s="1"/>
  <c r="F81" i="2" a="1"/>
  <c r="F81" i="2"/>
  <c r="F82" i="2" a="1"/>
  <c r="F82" i="2" s="1"/>
  <c r="F83" i="2" a="1"/>
  <c r="F83" i="2" s="1"/>
  <c r="F84" i="2" a="1"/>
  <c r="F84" i="2" s="1"/>
  <c r="F85" i="2" a="1"/>
  <c r="F85" i="2"/>
  <c r="F86" i="2" a="1"/>
  <c r="F86" i="2" s="1"/>
  <c r="F87" i="2" a="1"/>
  <c r="F87" i="2"/>
  <c r="F88" i="2" a="1"/>
  <c r="F88" i="2" s="1"/>
  <c r="F89" i="2" a="1"/>
  <c r="F89" i="2"/>
  <c r="F90" i="2" a="1"/>
  <c r="F90" i="2" s="1"/>
  <c r="F91" i="2" a="1"/>
  <c r="F91" i="2" s="1"/>
  <c r="F92" i="2" a="1"/>
  <c r="F92" i="2" s="1"/>
  <c r="F93" i="2" a="1"/>
  <c r="F93" i="2"/>
  <c r="F94" i="2" a="1"/>
  <c r="F94" i="2" s="1"/>
  <c r="F95" i="2" a="1"/>
  <c r="F95" i="2" s="1"/>
  <c r="G21" i="4" s="1"/>
  <c r="F96" i="2" a="1"/>
  <c r="F96" i="2" s="1"/>
  <c r="I96" i="2" s="1"/>
  <c r="F97" i="2" a="1"/>
  <c r="F97" i="2"/>
  <c r="I97" i="2" s="1"/>
  <c r="F98" i="2" a="1"/>
  <c r="F98" i="2" s="1"/>
  <c r="I98" i="2" s="1"/>
  <c r="F99" i="2" a="1"/>
  <c r="F99" i="2" s="1"/>
  <c r="G99" i="2" s="1"/>
  <c r="F100" i="2" a="1"/>
  <c r="F100" i="2" s="1"/>
  <c r="I100" i="2" s="1"/>
  <c r="F101" i="2" a="1"/>
  <c r="F101" i="2" s="1"/>
  <c r="I101" i="2" s="1"/>
  <c r="F102" i="2" a="1"/>
  <c r="F102" i="2" s="1"/>
  <c r="I102" i="2" s="1"/>
  <c r="F103" i="2" a="1"/>
  <c r="F103" i="2" s="1"/>
  <c r="F104" i="2" a="1"/>
  <c r="F104" i="2" s="1"/>
  <c r="G29" i="4" s="1"/>
  <c r="F105" i="2" a="1"/>
  <c r="F105" i="2"/>
  <c r="I105" i="2" s="1"/>
  <c r="F106" i="2" a="1"/>
  <c r="F106" i="2" s="1"/>
  <c r="I106" i="2" s="1"/>
  <c r="F107" i="2" a="1"/>
  <c r="F107" i="2" s="1"/>
  <c r="G107" i="2" s="1"/>
  <c r="F108" i="2" a="1"/>
  <c r="F108" i="2" s="1"/>
  <c r="I108" i="2" s="1"/>
  <c r="F75" i="2" a="1"/>
  <c r="F75" i="2"/>
  <c r="E75" i="2" a="1"/>
  <c r="E75" i="2" s="1"/>
  <c r="E41" i="2" a="1"/>
  <c r="E41" i="2"/>
  <c r="E76" i="2" a="1"/>
  <c r="E76" i="2"/>
  <c r="E77" i="2" a="1"/>
  <c r="E77" i="2"/>
  <c r="E78" i="2" a="1"/>
  <c r="E78" i="2"/>
  <c r="E79" i="2" a="1"/>
  <c r="E79" i="2"/>
  <c r="E80" i="2" a="1"/>
  <c r="E80" i="2"/>
  <c r="E81" i="2" a="1"/>
  <c r="E81" i="2"/>
  <c r="E82" i="2" a="1"/>
  <c r="E82" i="2"/>
  <c r="E83" i="2" a="1"/>
  <c r="E83" i="2"/>
  <c r="E84" i="2" a="1"/>
  <c r="E84" i="2"/>
  <c r="E85" i="2" a="1"/>
  <c r="E85" i="2"/>
  <c r="E86" i="2" a="1"/>
  <c r="E86" i="2"/>
  <c r="E87" i="2" a="1"/>
  <c r="E87" i="2"/>
  <c r="E88" i="2" a="1"/>
  <c r="E88" i="2"/>
  <c r="E89" i="2" a="1"/>
  <c r="E89" i="2"/>
  <c r="E90" i="2" a="1"/>
  <c r="E90" i="2"/>
  <c r="E91" i="2" a="1"/>
  <c r="E91" i="2"/>
  <c r="E92" i="2" a="1"/>
  <c r="E92" i="2"/>
  <c r="E93" i="2" a="1"/>
  <c r="E93" i="2"/>
  <c r="E94" i="2" a="1"/>
  <c r="E94" i="2"/>
  <c r="E95" i="2" a="1"/>
  <c r="E95" i="2"/>
  <c r="G20" i="4" s="1"/>
  <c r="E96" i="2" a="1"/>
  <c r="E96" i="2"/>
  <c r="E97" i="2" a="1"/>
  <c r="E97" i="2"/>
  <c r="E98" i="2" a="1"/>
  <c r="E98" i="2"/>
  <c r="E99" i="2" a="1"/>
  <c r="E99" i="2"/>
  <c r="G24" i="4" s="1"/>
  <c r="E100" i="2" a="1"/>
  <c r="E100" i="2"/>
  <c r="E101" i="2" a="1"/>
  <c r="E101" i="2"/>
  <c r="E102" i="2" a="1"/>
  <c r="E102" i="2"/>
  <c r="E103" i="2" a="1"/>
  <c r="E103" i="2"/>
  <c r="E104" i="2" a="1"/>
  <c r="E104" i="2"/>
  <c r="G28" i="4" s="1"/>
  <c r="E105" i="2" a="1"/>
  <c r="E105" i="2"/>
  <c r="E106" i="2" a="1"/>
  <c r="E106" i="2"/>
  <c r="E107" i="2" a="1"/>
  <c r="E107" i="2"/>
  <c r="E108" i="2" a="1"/>
  <c r="E108" i="2"/>
  <c r="E109" i="2" a="1"/>
  <c r="E109" i="2"/>
  <c r="E110" i="2" a="1"/>
  <c r="E110" i="2" s="1"/>
  <c r="E111" i="2" a="1"/>
  <c r="E111" i="2" s="1"/>
  <c r="E112" i="2" a="1"/>
  <c r="E112" i="2" s="1"/>
  <c r="E113" i="2" a="1"/>
  <c r="E113" i="2" s="1"/>
  <c r="E114" i="2" a="1"/>
  <c r="E114" i="2" s="1"/>
  <c r="E115" i="2" a="1"/>
  <c r="E115" i="2"/>
  <c r="E116" i="2" a="1"/>
  <c r="E116" i="2" s="1"/>
  <c r="E117" i="2" a="1"/>
  <c r="E117" i="2" s="1"/>
  <c r="E118" i="2" a="1"/>
  <c r="E118" i="2" s="1"/>
  <c r="E119" i="2" a="1"/>
  <c r="E119" i="2"/>
  <c r="E120" i="2" a="1"/>
  <c r="E120" i="2"/>
  <c r="E121" i="2" a="1"/>
  <c r="E121" i="2"/>
  <c r="E122" i="2" a="1"/>
  <c r="E122" i="2"/>
  <c r="E123" i="2" a="1"/>
  <c r="E123" i="2"/>
  <c r="E124" i="2" a="1"/>
  <c r="E124" i="2"/>
  <c r="E125" i="2" a="1"/>
  <c r="E125" i="2"/>
  <c r="E126" i="2" a="1"/>
  <c r="E126" i="2"/>
  <c r="E127" i="2" a="1"/>
  <c r="E127" i="2"/>
  <c r="E128" i="2" a="1"/>
  <c r="E128" i="2"/>
  <c r="E129" i="2" a="1"/>
  <c r="E129" i="2"/>
  <c r="H20" i="4" s="1"/>
  <c r="E130" i="2" a="1"/>
  <c r="E130" i="2"/>
  <c r="E131" i="2" a="1"/>
  <c r="E131" i="2"/>
  <c r="E132" i="2" a="1"/>
  <c r="E132" i="2"/>
  <c r="E133" i="2" a="1"/>
  <c r="E133" i="2"/>
  <c r="H24" i="4" s="1"/>
  <c r="E134" i="2" a="1"/>
  <c r="E134" i="2"/>
  <c r="E135" i="2" a="1"/>
  <c r="E135" i="2"/>
  <c r="E136" i="2" a="1"/>
  <c r="E136" i="2"/>
  <c r="E137" i="2" a="1"/>
  <c r="E137" i="2"/>
  <c r="E138" i="2" a="1"/>
  <c r="E138" i="2"/>
  <c r="H28" i="4" s="1"/>
  <c r="E139" i="2" a="1"/>
  <c r="E139" i="2"/>
  <c r="E140" i="2" a="1"/>
  <c r="E140" i="2"/>
  <c r="E141" i="2" a="1"/>
  <c r="E141" i="2"/>
  <c r="E142" i="2" a="1"/>
  <c r="E142" i="2"/>
  <c r="E143" i="2" a="1"/>
  <c r="E143" i="2"/>
  <c r="E144" i="2" a="1"/>
  <c r="E144" i="2"/>
  <c r="E145" i="2" a="1"/>
  <c r="E145" i="2"/>
  <c r="E146" i="2" a="1"/>
  <c r="E146" i="2"/>
  <c r="E147" i="2" a="1"/>
  <c r="E147" i="2"/>
  <c r="E148" i="2" a="1"/>
  <c r="E148" i="2"/>
  <c r="E149" i="2" a="1"/>
  <c r="E149" i="2"/>
  <c r="E150" i="2" a="1"/>
  <c r="E150" i="2"/>
  <c r="E151" i="2" a="1"/>
  <c r="E151" i="2"/>
  <c r="E152" i="2" a="1"/>
  <c r="E152" i="2"/>
  <c r="E153" i="2" a="1"/>
  <c r="E153" i="2"/>
  <c r="E154" i="2" a="1"/>
  <c r="E154" i="2"/>
  <c r="E155" i="2" a="1"/>
  <c r="E155" i="2"/>
  <c r="E156" i="2" a="1"/>
  <c r="E156" i="2"/>
  <c r="E157" i="2" a="1"/>
  <c r="E157" i="2"/>
  <c r="E158" i="2" a="1"/>
  <c r="E158" i="2"/>
  <c r="E159" i="2" a="1"/>
  <c r="E159" i="2"/>
  <c r="E160" i="2" a="1"/>
  <c r="E160" i="2"/>
  <c r="E161" i="2" a="1"/>
  <c r="E161" i="2"/>
  <c r="E162" i="2" a="1"/>
  <c r="E162" i="2"/>
  <c r="E163" i="2" a="1"/>
  <c r="E163" i="2"/>
  <c r="I20" i="4" s="1"/>
  <c r="E164" i="2" a="1"/>
  <c r="E164" i="2"/>
  <c r="E165" i="2" a="1"/>
  <c r="E165" i="2"/>
  <c r="E166" i="2" a="1"/>
  <c r="E166" i="2"/>
  <c r="E167" i="2" a="1"/>
  <c r="E167" i="2"/>
  <c r="I24" i="4" s="1"/>
  <c r="E168" i="2" a="1"/>
  <c r="E168" i="2"/>
  <c r="E169" i="2" a="1"/>
  <c r="E169" i="2"/>
  <c r="E170" i="2" a="1"/>
  <c r="E170" i="2"/>
  <c r="E171" i="2" a="1"/>
  <c r="E171" i="2"/>
  <c r="E172" i="2" a="1"/>
  <c r="E172" i="2"/>
  <c r="I28" i="4" s="1"/>
  <c r="E173" i="2" a="1"/>
  <c r="E173" i="2"/>
  <c r="E174" i="2" a="1"/>
  <c r="E174" i="2"/>
  <c r="E175" i="2" a="1"/>
  <c r="E175" i="2"/>
  <c r="E176" i="2" a="1"/>
  <c r="E176" i="2"/>
  <c r="F74" i="2" a="1"/>
  <c r="F74" i="2" s="1"/>
  <c r="I74" i="2" s="1"/>
  <c r="E73" i="2" a="1"/>
  <c r="E73" i="2" s="1"/>
  <c r="F42" i="2" a="1"/>
  <c r="F42" i="2"/>
  <c r="F43" i="2" a="1"/>
  <c r="F43" i="2"/>
  <c r="F44" i="2" a="1"/>
  <c r="F44" i="2"/>
  <c r="F45" i="2" a="1"/>
  <c r="F45" i="2"/>
  <c r="F46" i="2" a="1"/>
  <c r="F46" i="2"/>
  <c r="F47" i="2" a="1"/>
  <c r="F47" i="2"/>
  <c r="F48" i="2" a="1"/>
  <c r="F48" i="2"/>
  <c r="F49" i="2" a="1"/>
  <c r="F49" i="2"/>
  <c r="F50" i="2" a="1"/>
  <c r="F50" i="2"/>
  <c r="F51" i="2" a="1"/>
  <c r="F51" i="2"/>
  <c r="F52" i="2" a="1"/>
  <c r="F52" i="2"/>
  <c r="F53" i="2" a="1"/>
  <c r="F53" i="2"/>
  <c r="F54" i="2" a="1"/>
  <c r="F54" i="2"/>
  <c r="F55" i="2" a="1"/>
  <c r="F55" i="2"/>
  <c r="F56" i="2" a="1"/>
  <c r="F56" i="2"/>
  <c r="F57" i="2" a="1"/>
  <c r="F57" i="2"/>
  <c r="F58" i="2" a="1"/>
  <c r="F58" i="2"/>
  <c r="F59" i="2" a="1"/>
  <c r="F59" i="2"/>
  <c r="F60" i="2" a="1"/>
  <c r="F60" i="2"/>
  <c r="F61" i="2" a="1"/>
  <c r="F61" i="2"/>
  <c r="F21" i="4" s="1"/>
  <c r="F62" i="2" a="1"/>
  <c r="F62" i="2"/>
  <c r="I62" i="2" s="1"/>
  <c r="F63" i="2" a="1"/>
  <c r="F63" i="2"/>
  <c r="G63" i="2" s="1"/>
  <c r="F64" i="2" a="1"/>
  <c r="F64" i="2"/>
  <c r="I64" i="2" s="1"/>
  <c r="F65" i="2" a="1"/>
  <c r="F65" i="2"/>
  <c r="I65" i="2" s="1"/>
  <c r="F66" i="2" a="1"/>
  <c r="F66" i="2"/>
  <c r="I66" i="2" s="1"/>
  <c r="F67" i="2" a="1"/>
  <c r="F67" i="2"/>
  <c r="G67" i="2" s="1"/>
  <c r="F68" i="2" a="1"/>
  <c r="F68" i="2"/>
  <c r="I68" i="2" s="1"/>
  <c r="F69" i="2" a="1"/>
  <c r="F69" i="2"/>
  <c r="I69" i="2" s="1"/>
  <c r="F70" i="2" a="1"/>
  <c r="F70" i="2"/>
  <c r="F29" i="4" s="1"/>
  <c r="F31" i="4" s="1"/>
  <c r="F71" i="2" a="1"/>
  <c r="F71" i="2"/>
  <c r="G71" i="2" s="1"/>
  <c r="F72" i="2" a="1"/>
  <c r="F72" i="2"/>
  <c r="I72" i="2" s="1"/>
  <c r="F73" i="2" a="1"/>
  <c r="F73" i="2"/>
  <c r="I73" i="2" s="1"/>
  <c r="F41" i="2" a="1"/>
  <c r="F41" i="2"/>
  <c r="E42" i="2" a="1"/>
  <c r="E42" i="2" s="1"/>
  <c r="E43" i="2" a="1"/>
  <c r="E43" i="2" s="1"/>
  <c r="E44" i="2" a="1"/>
  <c r="E44" i="2" s="1"/>
  <c r="E45" i="2" a="1"/>
  <c r="E45" i="2"/>
  <c r="E46" i="2" a="1"/>
  <c r="E46" i="2" s="1"/>
  <c r="E47" i="2" a="1"/>
  <c r="E47" i="2" s="1"/>
  <c r="E48" i="2" a="1"/>
  <c r="E48" i="2" s="1"/>
  <c r="E49" i="2" a="1"/>
  <c r="E49" i="2" s="1"/>
  <c r="E50" i="2" a="1"/>
  <c r="E50" i="2" s="1"/>
  <c r="E51" i="2" a="1"/>
  <c r="E51" i="2"/>
  <c r="E52" i="2" a="1"/>
  <c r="E52" i="2" s="1"/>
  <c r="E53" i="2" a="1"/>
  <c r="E53" i="2" s="1"/>
  <c r="E54" i="2" a="1"/>
  <c r="E54" i="2" s="1"/>
  <c r="E55" i="2" a="1"/>
  <c r="E55" i="2" s="1"/>
  <c r="E56" i="2" a="1"/>
  <c r="E56" i="2" s="1"/>
  <c r="E57" i="2" a="1"/>
  <c r="E57" i="2"/>
  <c r="E58" i="2" a="1"/>
  <c r="E58" i="2" s="1"/>
  <c r="E59" i="2" a="1"/>
  <c r="E59" i="2" s="1"/>
  <c r="E60" i="2" a="1"/>
  <c r="E60" i="2" s="1"/>
  <c r="E61" i="2" a="1"/>
  <c r="E61" i="2"/>
  <c r="F20" i="4" s="1"/>
  <c r="E62" i="2" a="1"/>
  <c r="E62" i="2" s="1"/>
  <c r="E63" i="2" a="1"/>
  <c r="E63" i="2" s="1"/>
  <c r="E64" i="2" a="1"/>
  <c r="E64" i="2" s="1"/>
  <c r="E65" i="2" a="1"/>
  <c r="E65" i="2" s="1"/>
  <c r="E66" i="2" a="1"/>
  <c r="E66" i="2" s="1"/>
  <c r="E67" i="2" a="1"/>
  <c r="E67" i="2" s="1"/>
  <c r="E68" i="2" a="1"/>
  <c r="E68" i="2" s="1"/>
  <c r="E69" i="2" a="1"/>
  <c r="E69" i="2"/>
  <c r="E70" i="2" a="1"/>
  <c r="E70" i="2" s="1"/>
  <c r="E71" i="2" a="1"/>
  <c r="E71" i="2" s="1"/>
  <c r="F28" i="4" s="1"/>
  <c r="E72" i="2" a="1"/>
  <c r="E72" i="2" s="1"/>
  <c r="E74" i="2" a="1"/>
  <c r="E74" i="2" s="1"/>
  <c r="G103" i="2" l="1"/>
  <c r="I103" i="2"/>
  <c r="F24" i="4"/>
  <c r="G31" i="4"/>
  <c r="I137" i="2"/>
  <c r="G137" i="2"/>
  <c r="H25" i="4"/>
  <c r="H33" i="4" s="1"/>
  <c r="H7" i="4"/>
  <c r="I169" i="2"/>
  <c r="G169" i="2"/>
  <c r="F23" i="4"/>
  <c r="G174" i="2"/>
  <c r="G170" i="2"/>
  <c r="G142" i="2"/>
  <c r="G138" i="2"/>
  <c r="G130" i="2"/>
  <c r="G70" i="2"/>
  <c r="G66" i="2"/>
  <c r="G62" i="2"/>
  <c r="I167" i="2"/>
  <c r="I135" i="2"/>
  <c r="I107" i="2"/>
  <c r="I99" i="2"/>
  <c r="I71" i="2"/>
  <c r="I67" i="2"/>
  <c r="I63" i="2"/>
  <c r="H21" i="4"/>
  <c r="J21" i="4" s="1"/>
  <c r="I25" i="4"/>
  <c r="H29" i="4"/>
  <c r="J29" i="4" s="1"/>
  <c r="F25" i="4"/>
  <c r="F27" i="4" s="1"/>
  <c r="G165" i="2"/>
  <c r="G133" i="2"/>
  <c r="G105" i="2"/>
  <c r="G101" i="2"/>
  <c r="G97" i="2"/>
  <c r="G73" i="2"/>
  <c r="G69" i="2"/>
  <c r="G65" i="2"/>
  <c r="G61" i="2"/>
  <c r="I70" i="2"/>
  <c r="I21" i="4"/>
  <c r="I33" i="4" s="1"/>
  <c r="I29" i="4"/>
  <c r="F179" i="2"/>
  <c r="G172" i="2"/>
  <c r="G164" i="2"/>
  <c r="G140" i="2"/>
  <c r="G132" i="2"/>
  <c r="G104" i="2"/>
  <c r="G96" i="2"/>
  <c r="G72" i="2"/>
  <c r="G68" i="2"/>
  <c r="G64" i="2"/>
  <c r="I133" i="2"/>
  <c r="I61" i="2"/>
  <c r="G25" i="4"/>
  <c r="G33" i="4" s="1"/>
  <c r="G39" i="4" s="1"/>
  <c r="G95" i="2"/>
  <c r="I104" i="2"/>
  <c r="J19" i="4"/>
  <c r="I15" i="4"/>
  <c r="J15" i="4" s="1"/>
  <c r="F33" i="4"/>
  <c r="J11" i="4"/>
  <c r="J30" i="4"/>
  <c r="J26" i="4"/>
  <c r="J22" i="4"/>
  <c r="J18" i="4"/>
  <c r="J10" i="4"/>
  <c r="J14" i="4"/>
  <c r="F34" i="4"/>
  <c r="J34" i="4" s="1"/>
  <c r="J6" i="4"/>
  <c r="G32" i="4"/>
  <c r="J16" i="4"/>
  <c r="I32" i="4"/>
  <c r="H32" i="4"/>
  <c r="J24" i="4"/>
  <c r="J4" i="4"/>
  <c r="J17" i="4"/>
  <c r="J13" i="4"/>
  <c r="J9" i="4"/>
  <c r="J5" i="4"/>
  <c r="J28" i="4"/>
  <c r="J20" i="4"/>
  <c r="J12" i="4"/>
  <c r="F35" i="4"/>
  <c r="J8" i="4"/>
  <c r="F32" i="4"/>
  <c r="J32" i="4" s="1"/>
  <c r="E179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7" i="2"/>
  <c r="K13" i="1"/>
  <c r="I13" i="1"/>
  <c r="I22" i="1"/>
  <c r="H6" i="1"/>
  <c r="H7" i="1"/>
  <c r="H8" i="1"/>
  <c r="T8" i="1" s="1"/>
  <c r="H9" i="1"/>
  <c r="H10" i="1"/>
  <c r="H11" i="1"/>
  <c r="H12" i="1"/>
  <c r="T12" i="1" s="1"/>
  <c r="H13" i="1"/>
  <c r="T13" i="1" s="1"/>
  <c r="H14" i="1"/>
  <c r="H15" i="1"/>
  <c r="H16" i="1"/>
  <c r="T16" i="1" s="1"/>
  <c r="H17" i="1"/>
  <c r="T17" i="1" s="1"/>
  <c r="H18" i="1"/>
  <c r="H19" i="1"/>
  <c r="H20" i="1"/>
  <c r="T20" i="1" s="1"/>
  <c r="H21" i="1"/>
  <c r="T21" i="1" s="1"/>
  <c r="H22" i="1"/>
  <c r="H23" i="1"/>
  <c r="H24" i="1"/>
  <c r="H25" i="1"/>
  <c r="T25" i="1" s="1"/>
  <c r="H26" i="1"/>
  <c r="H27" i="1"/>
  <c r="H28" i="1"/>
  <c r="H29" i="1"/>
  <c r="T29" i="1" s="1"/>
  <c r="H30" i="1"/>
  <c r="H31" i="1"/>
  <c r="H32" i="1"/>
  <c r="H33" i="1"/>
  <c r="T33" i="1" s="1"/>
  <c r="H34" i="1"/>
  <c r="H35" i="1"/>
  <c r="H36" i="1"/>
  <c r="H37" i="1"/>
  <c r="T37" i="1" s="1"/>
  <c r="H38" i="1"/>
  <c r="H5" i="1"/>
  <c r="T23" i="1"/>
  <c r="U6" i="1"/>
  <c r="U7" i="1"/>
  <c r="U8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5" i="1"/>
  <c r="T6" i="1"/>
  <c r="T7" i="1"/>
  <c r="T10" i="1"/>
  <c r="T11" i="1"/>
  <c r="T14" i="1"/>
  <c r="T15" i="1"/>
  <c r="T18" i="1"/>
  <c r="T19" i="1"/>
  <c r="T22" i="1"/>
  <c r="T24" i="1"/>
  <c r="T26" i="1"/>
  <c r="T27" i="1"/>
  <c r="T28" i="1"/>
  <c r="T30" i="1"/>
  <c r="T31" i="1"/>
  <c r="T32" i="1"/>
  <c r="T34" i="1"/>
  <c r="T35" i="1"/>
  <c r="T36" i="1"/>
  <c r="T38" i="1"/>
  <c r="T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5" i="1"/>
  <c r="R30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1" i="1"/>
  <c r="R32" i="1"/>
  <c r="R33" i="1"/>
  <c r="R34" i="1"/>
  <c r="R35" i="1"/>
  <c r="R36" i="1"/>
  <c r="R37" i="1"/>
  <c r="R38" i="1"/>
  <c r="R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25" i="1"/>
  <c r="O21" i="1"/>
  <c r="O22" i="1"/>
  <c r="O23" i="1"/>
  <c r="O24" i="1"/>
  <c r="O20" i="1"/>
  <c r="O16" i="1"/>
  <c r="O17" i="1"/>
  <c r="O18" i="1"/>
  <c r="O19" i="1"/>
  <c r="O15" i="1"/>
  <c r="O11" i="1"/>
  <c r="O12" i="1"/>
  <c r="O13" i="1"/>
  <c r="O14" i="1"/>
  <c r="O10" i="1"/>
  <c r="O6" i="1"/>
  <c r="O7" i="1"/>
  <c r="O8" i="1"/>
  <c r="O9" i="1"/>
  <c r="O39" i="1" s="1"/>
  <c r="O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5" i="1"/>
  <c r="K6" i="1"/>
  <c r="K7" i="1"/>
  <c r="K8" i="1"/>
  <c r="K9" i="1"/>
  <c r="K10" i="1"/>
  <c r="K11" i="1"/>
  <c r="K12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5" i="1"/>
  <c r="I6" i="1"/>
  <c r="I7" i="1"/>
  <c r="I8" i="1"/>
  <c r="I9" i="1"/>
  <c r="U9" i="1" s="1"/>
  <c r="I10" i="1"/>
  <c r="I11" i="1"/>
  <c r="I12" i="1"/>
  <c r="I14" i="1"/>
  <c r="I15" i="1"/>
  <c r="I16" i="1"/>
  <c r="I17" i="1"/>
  <c r="I18" i="1"/>
  <c r="I19" i="1"/>
  <c r="I20" i="1"/>
  <c r="I21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5" i="1"/>
  <c r="J33" i="4" l="1"/>
  <c r="J25" i="4"/>
  <c r="G23" i="4"/>
  <c r="J7" i="4"/>
  <c r="I7" i="4"/>
  <c r="G27" i="4"/>
  <c r="H27" i="4" s="1"/>
  <c r="I27" i="4" s="1"/>
  <c r="H31" i="4"/>
  <c r="F39" i="4"/>
  <c r="T9" i="1"/>
  <c r="H39" i="1"/>
  <c r="C22" i="3"/>
  <c r="S39" i="1"/>
  <c r="D39" i="1"/>
  <c r="Q39" i="1"/>
  <c r="L39" i="1"/>
  <c r="R39" i="1"/>
  <c r="N39" i="1"/>
  <c r="K39" i="1"/>
  <c r="J39" i="1"/>
  <c r="M39" i="1"/>
  <c r="P39" i="1"/>
  <c r="I31" i="4" l="1"/>
  <c r="J31" i="4"/>
  <c r="J27" i="4"/>
  <c r="H23" i="4"/>
  <c r="G35" i="4"/>
  <c r="I39" i="1"/>
  <c r="U39" i="1"/>
  <c r="H179" i="2" s="1"/>
  <c r="T39" i="1"/>
  <c r="I23" i="4" l="1"/>
  <c r="I35" i="4" s="1"/>
  <c r="H35" i="4"/>
  <c r="J35" i="4" s="1"/>
  <c r="B18" i="3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11" i="3"/>
  <c r="J23" i="4" l="1"/>
  <c r="C2" i="3"/>
  <c r="J40" i="4" l="1"/>
  <c r="G39" i="1"/>
  <c r="G38" i="4" l="1"/>
  <c r="F38" i="4"/>
  <c r="H38" i="4"/>
  <c r="I38" i="4"/>
  <c r="E39" i="1"/>
  <c r="F39" i="1"/>
  <c r="H39" i="4" l="1"/>
  <c r="I39" i="4"/>
  <c r="J38" i="4" l="1"/>
  <c r="E38" i="4"/>
  <c r="E39" i="4" l="1"/>
  <c r="J39" i="4"/>
  <c r="E37" i="4"/>
  <c r="F37" i="4" l="1"/>
  <c r="G37" i="4"/>
  <c r="H37" i="4" l="1"/>
  <c r="I37" i="4" l="1"/>
</calcChain>
</file>

<file path=xl/sharedStrings.xml><?xml version="1.0" encoding="utf-8"?>
<sst xmlns="http://schemas.openxmlformats.org/spreadsheetml/2006/main" count="599" uniqueCount="77">
  <si>
    <t>Клиент</t>
  </si>
  <si>
    <t>Товар</t>
  </si>
  <si>
    <t>вес</t>
  </si>
  <si>
    <t>1 неделя</t>
  </si>
  <si>
    <t>2 неделя</t>
  </si>
  <si>
    <t>3 неделя</t>
  </si>
  <si>
    <t>4 неделя</t>
  </si>
  <si>
    <t>5 неделя</t>
  </si>
  <si>
    <t>С/с за 1 кг</t>
  </si>
  <si>
    <t>Цена за 1 кг</t>
  </si>
  <si>
    <t>вес (кг)</t>
  </si>
  <si>
    <t>выручка с НДС (руб.)</t>
  </si>
  <si>
    <t>себестоимость (руб.)</t>
  </si>
  <si>
    <t>Итого:</t>
  </si>
  <si>
    <t>выручка с НДС</t>
  </si>
  <si>
    <t>выручка без НДС</t>
  </si>
  <si>
    <t>Себестоимость</t>
  </si>
  <si>
    <t>Маржа</t>
  </si>
  <si>
    <t>Неделя</t>
  </si>
  <si>
    <t>Область</t>
  </si>
  <si>
    <t>Московская</t>
  </si>
  <si>
    <t>Тульская</t>
  </si>
  <si>
    <t>Рязанская</t>
  </si>
  <si>
    <t>Курская</t>
  </si>
  <si>
    <t>Самарская</t>
  </si>
  <si>
    <t>Ставка НДС - 10%</t>
  </si>
  <si>
    <t>Поступление ДС</t>
  </si>
  <si>
    <t>Вес</t>
  </si>
  <si>
    <t>Выручка с НДС</t>
  </si>
  <si>
    <t>Поступление дс</t>
  </si>
  <si>
    <t>Задолженность</t>
  </si>
  <si>
    <t>Итого</t>
  </si>
  <si>
    <t>№</t>
  </si>
  <si>
    <t>Партнер (Вершина)</t>
  </si>
  <si>
    <t>Сибтерра</t>
  </si>
  <si>
    <t xml:space="preserve">Профи-трейд г. Самара </t>
  </si>
  <si>
    <t>Сладкая жизнь г.Н.Новгород</t>
  </si>
  <si>
    <t>Гелиос</t>
  </si>
  <si>
    <t>Векта (Северопт)</t>
  </si>
  <si>
    <t>Регион-Трейд</t>
  </si>
  <si>
    <t>Сыр Король Артур 50% Добряна круг вес</t>
  </si>
  <si>
    <t>Сыр Качиотто 50% Добряна брус вес</t>
  </si>
  <si>
    <t>Сыр Российский 50% Добряна брус вес</t>
  </si>
  <si>
    <t>Cыр Охотничий со специями 50 % круг</t>
  </si>
  <si>
    <t>Сыр Олдермани 50% Добряна брус вес</t>
  </si>
  <si>
    <t>Общий итог</t>
  </si>
  <si>
    <t>проверка</t>
  </si>
  <si>
    <t>ТАБЛИЦА 2</t>
  </si>
  <si>
    <t>неделя 1</t>
  </si>
  <si>
    <t>неделя 2</t>
  </si>
  <si>
    <t>неделя 3</t>
  </si>
  <si>
    <t>неделя 4</t>
  </si>
  <si>
    <t>неделя 5</t>
  </si>
  <si>
    <t>Всего:</t>
  </si>
  <si>
    <t>Задолженность на 1 неделю</t>
  </si>
  <si>
    <t>проверка ДЗ</t>
  </si>
  <si>
    <t>Проверка вес</t>
  </si>
  <si>
    <t>Проверка поступления</t>
  </si>
  <si>
    <t>Проверка выручка</t>
  </si>
  <si>
    <t>ТАБЛИЦА 1</t>
  </si>
  <si>
    <t>ТАБЛИЦА 3</t>
  </si>
  <si>
    <t>Задание №1. Рассчитать выручку с ндс и себестоимость по цене и с/с по данным из Таблицы 2</t>
  </si>
  <si>
    <t>Задание №2</t>
  </si>
  <si>
    <t>Функцией ВПР перенести наименование области клиента. Наименование области находятся в таблице 3, вкладка Задание1</t>
  </si>
  <si>
    <t>Задание №3</t>
  </si>
  <si>
    <t>На листе задание №1 в Таблице 1 данные по продажам в кг по клиентам и видам сыра с 1 по 5 неделю. В таблице №2 даны цены продажи и себестоимость на каждую неделю. Необходимо формулами расчитать выручку с НДС и себестоимость по каждому клиенту и виду сыра (поля, которые необходимо заполнить выделены цветом).</t>
  </si>
  <si>
    <t>Во вкладку "Сводный отчет" перенести формулами вес, выручку с НДС в целом по клиентам, из вкладки "Задание 2", из вкладки ДДС перенести данные по поступлению денежных средств. Расчитать задолженность по клиентам и итоги в целом.</t>
  </si>
  <si>
    <t>Задание №4</t>
  </si>
  <si>
    <t>Из вкладки "Задание 1" формулами расчитать вес, выручку с ндс и себестоимость. Затем рассчитать выручку без ндс и маржу. Ставка НДС - 10%.</t>
  </si>
  <si>
    <t>Сводной таблицей сдалать на отдельном листе продажи сыра по областям за каждую неделю</t>
  </si>
  <si>
    <t>Коментарии:</t>
  </si>
  <si>
    <t>При необходимости возможно добавлять необходимые для расчетов строки или столбцы рядом с необходимыми к заполнению таблицами. При этом сами таблицы не должны быть изменены</t>
  </si>
  <si>
    <t>Задание №1</t>
  </si>
  <si>
    <t>Задание №2. Из вкладки "Задание 1" подтянуть вес, выручку с ндс и себестоимость. Затем рассчитать выручку без ндс и маржу. Функцией ВПР добавить область</t>
  </si>
  <si>
    <t>Столбец1</t>
  </si>
  <si>
    <t>Сумма по полю выручка с НДС</t>
  </si>
  <si>
    <t>Названия строк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</si>
</sst>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_-* #,##0_р_._-;\-* #,##0_р_._-;_-* &quot;-&quot;??_р_._-;_-@_-"/>
  </numFmts>
  <fonts count="3" x14ac:knownFonts="1"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/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6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165" fontId="0" fillId="0" borderId="2" xfId="1" applyNumberFormat="1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left"/>
    </xf>
    <xf numFmtId="165" fontId="1" fillId="6" borderId="2" xfId="1" applyNumberFormat="1" applyFont="1" applyFill="1" applyBorder="1" applyAlignment="1">
      <alignment horizontal="center" vertical="center"/>
    </xf>
    <xf numFmtId="165" fontId="0" fillId="7" borderId="2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165" fontId="0" fillId="7" borderId="2" xfId="1" applyNumberFormat="1" applyFont="1" applyFill="1" applyBorder="1"/>
    <xf numFmtId="165" fontId="0" fillId="0" borderId="0" xfId="0" applyNumberFormat="1"/>
    <xf numFmtId="165" fontId="1" fillId="0" borderId="0" xfId="1" applyNumberFormat="1" applyFont="1"/>
    <xf numFmtId="0" fontId="0" fillId="0" borderId="0" xfId="0" applyAlignment="1"/>
    <xf numFmtId="4" fontId="1" fillId="6" borderId="2" xfId="0" applyNumberFormat="1" applyFont="1" applyFill="1" applyBorder="1" applyAlignment="1">
      <alignment horizontal="center" vertical="center"/>
    </xf>
    <xf numFmtId="165" fontId="1" fillId="0" borderId="2" xfId="1" applyNumberFormat="1" applyFont="1" applyBorder="1" applyAlignment="1">
      <alignment horizontal="center" vertical="center"/>
    </xf>
    <xf numFmtId="165" fontId="0" fillId="2" borderId="2" xfId="1" applyNumberFormat="1" applyFont="1" applyFill="1" applyBorder="1"/>
    <xf numFmtId="165" fontId="0" fillId="3" borderId="2" xfId="1" applyNumberFormat="1" applyFont="1" applyFill="1" applyBorder="1"/>
    <xf numFmtId="165" fontId="0" fillId="5" borderId="2" xfId="1" applyNumberFormat="1" applyFont="1" applyFill="1" applyBorder="1"/>
    <xf numFmtId="165" fontId="0" fillId="4" borderId="2" xfId="1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center" vertical="center"/>
    </xf>
    <xf numFmtId="165" fontId="0" fillId="7" borderId="0" xfId="1" applyNumberFormat="1" applyFont="1" applyFill="1" applyBorder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5" xfId="0" applyFont="1" applyBorder="1"/>
    <xf numFmtId="0" fontId="1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0" xfId="0" applyFont="1" applyFill="1" applyBorder="1"/>
    <xf numFmtId="0" fontId="0" fillId="0" borderId="0" xfId="0" applyAlignment="1">
      <alignment vertical="top" wrapText="1"/>
    </xf>
    <xf numFmtId="0" fontId="1" fillId="8" borderId="2" xfId="0" applyFont="1" applyFill="1" applyBorder="1" applyAlignment="1">
      <alignment horizontal="left"/>
    </xf>
    <xf numFmtId="0" fontId="0" fillId="0" borderId="0" xfId="0" applyAlignment="1">
      <alignment vertical="top"/>
    </xf>
    <xf numFmtId="165" fontId="0" fillId="7" borderId="2" xfId="1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Border="1" applyAlignment="1"/>
    <xf numFmtId="0" fontId="1" fillId="6" borderId="1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165" fontId="0" fillId="0" borderId="2" xfId="1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165" fontId="0" fillId="7" borderId="1" xfId="1" applyNumberFormat="1" applyFont="1" applyFill="1" applyBorder="1"/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left"/>
    </xf>
    <xf numFmtId="165" fontId="0" fillId="7" borderId="15" xfId="1" applyNumberFormat="1" applyFont="1" applyFill="1" applyBorder="1" applyAlignment="1">
      <alignment horizontal="center"/>
    </xf>
    <xf numFmtId="0" fontId="1" fillId="8" borderId="15" xfId="0" applyFont="1" applyFill="1" applyBorder="1" applyAlignment="1">
      <alignment horizontal="left"/>
    </xf>
    <xf numFmtId="0" fontId="0" fillId="0" borderId="15" xfId="0" applyBorder="1" applyAlignment="1">
      <alignment horizontal="center" vertical="center"/>
    </xf>
    <xf numFmtId="165" fontId="0" fillId="7" borderId="15" xfId="1" applyNumberFormat="1" applyFont="1" applyFill="1" applyBorder="1"/>
    <xf numFmtId="165" fontId="0" fillId="7" borderId="16" xfId="1" applyNumberFormat="1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</cellXfs>
  <cellStyles count="2">
    <cellStyle name="Обычный" xfId="0" builtinId="0"/>
    <cellStyle name="Финансовый" xfId="1" builtinId="3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_-* #,##0_р_._-;\-* #,##0_р_._-;_-* &quot;-&quot;??_р_._-;_-@_-"/>
      <fill>
        <patternFill patternType="solid">
          <fgColor indexed="64"/>
          <bgColor theme="9" tint="0.79998168889431442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_-* #,##0_р_._-;\-* #,##0_р_._-;_-* &quot;-&quot;??_р_._-;_-@_-"/>
      <fill>
        <patternFill patternType="solid">
          <fgColor indexed="64"/>
          <bgColor theme="9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_-* #,##0_р_._-;\-* #,##0_р_._-;_-* &quot;-&quot;??_р_._-;_-@_-"/>
      <fill>
        <patternFill patternType="solid">
          <fgColor indexed="64"/>
          <bgColor theme="9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_-* #,##0_р_._-;\-* #,##0_р_._-;_-* &quot;-&quot;??_р_._-;_-@_-"/>
      <fill>
        <patternFill patternType="solid">
          <fgColor indexed="64"/>
          <bgColor theme="9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_-* #,##0_р_._-;\-* #,##0_р_._-;_-* &quot;-&quot;??_р_._-;_-@_-"/>
      <fill>
        <patternFill patternType="solid">
          <fgColor indexed="64"/>
          <bgColor theme="9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_-* #,##0_р_._-;\-* #,##0_р_._-;_-* &quot;-&quot;??_р_._-;_-@_-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нтон Горностаев" refreshedDate="42714.780120949072" createdVersion="6" refreshedVersion="6" minRefreshableVersion="3" recordCount="170">
  <cacheSource type="worksheet">
    <worksheetSource name="Продажи"/>
  </cacheSource>
  <cacheFields count="9">
    <cacheField name="Клиент" numFmtId="0">
      <sharedItems count="7">
        <s v="Партнер (Вершина)"/>
        <s v="Сибтерра"/>
        <s v="Профи-трейд г. Самара "/>
        <s v="Сладкая жизнь г.Н.Новгород"/>
        <s v="Гелиос"/>
        <s v="Векта (Северопт)"/>
        <s v="Регион-Трейд"/>
      </sharedItems>
    </cacheField>
    <cacheField name="Область" numFmtId="165">
      <sharedItems count="5">
        <s v="Московская"/>
        <s v="Тульская"/>
        <s v="Рязанская"/>
        <s v="Курская"/>
        <s v="Самарская"/>
      </sharedItems>
    </cacheField>
    <cacheField name="Столбец1" numFmtId="0">
      <sharedItems/>
    </cacheField>
    <cacheField name="Неделя" numFmtId="0">
      <sharedItems containsSemiMixedTypes="0" containsString="0" containsNumber="1" containsInteger="1" minValue="1" maxValue="5" count="5">
        <n v="1"/>
        <n v="2"/>
        <n v="3"/>
        <n v="4"/>
        <n v="5"/>
      </sharedItems>
    </cacheField>
    <cacheField name="вес" numFmtId="165">
      <sharedItems containsSemiMixedTypes="0" containsString="0" containsNumber="1" containsInteger="1" minValue="0" maxValue="5900" count="136">
        <n v="330"/>
        <n v="2409"/>
        <n v="1089"/>
        <n v="3267"/>
        <n v="1287"/>
        <n v="1815"/>
        <n v="1947"/>
        <n v="2277"/>
        <n v="2475"/>
        <n v="1188"/>
        <n v="1749"/>
        <n v="3069"/>
        <n v="2508"/>
        <n v="1650"/>
        <n v="1419"/>
        <n v="726"/>
        <n v="2145"/>
        <n v="1914"/>
        <n v="990"/>
        <n v="2937"/>
        <n v="1551"/>
        <n v="3135"/>
        <n v="759"/>
        <n v="462"/>
        <n v="2442"/>
        <n v="594"/>
        <n v="3003"/>
        <n v="693"/>
        <n v="1612"/>
        <n v="4628"/>
        <n v="4160"/>
        <n v="1300"/>
        <n v="2652"/>
        <n v="3640"/>
        <n v="2080"/>
        <n v="1872"/>
        <n v="3848"/>
        <n v="4836"/>
        <n v="936"/>
        <n v="1352"/>
        <n v="1716"/>
        <n v="1768"/>
        <n v="2496"/>
        <n v="2600"/>
        <n v="2028"/>
        <n v="4004"/>
        <n v="3380"/>
        <n v="2964"/>
        <n v="728"/>
        <n v="3484"/>
        <n v="3796"/>
        <n v="3432"/>
        <n v="1456"/>
        <n v="3224"/>
        <n v="3016"/>
        <n v="1092"/>
        <n v="2860"/>
        <n v="1196"/>
        <n v="3060"/>
        <n v="3111"/>
        <n v="2550"/>
        <n v="3009"/>
        <n v="1479"/>
        <n v="867"/>
        <n v="3825"/>
        <n v="4947"/>
        <n v="4080"/>
        <n v="1122"/>
        <n v="2397"/>
        <n v="3621"/>
        <n v="1224"/>
        <n v="4743"/>
        <n v="1275"/>
        <n v="3570"/>
        <n v="4386"/>
        <n v="1836"/>
        <n v="2295"/>
        <n v="714"/>
        <n v="1428"/>
        <n v="5100"/>
        <n v="1632"/>
        <n v="4029"/>
        <n v="3876"/>
        <n v="1887"/>
        <n v="3927"/>
        <n v="4641"/>
        <n v="663"/>
        <n v="2091"/>
        <n v="2907"/>
        <n v="4692"/>
        <n v="2040"/>
        <n v="3774"/>
        <n v="918"/>
        <n v="3366"/>
        <n v="1734"/>
        <n v="3519"/>
        <n v="1530"/>
        <n v="2958"/>
        <n v="1020"/>
        <n v="5049"/>
        <n v="510"/>
        <n v="969"/>
        <n v="1377"/>
        <n v="2499"/>
        <n v="4590"/>
        <n v="4182"/>
        <n v="2754"/>
        <n v="2193"/>
        <n v="561"/>
        <n v="3672"/>
        <n v="2601"/>
        <n v="3599"/>
        <n v="5605"/>
        <n v="767"/>
        <n v="4602"/>
        <n v="3186"/>
        <n v="1888"/>
        <n v="5192"/>
        <n v="5251"/>
        <n v="5782"/>
        <n v="1711"/>
        <n v="1357"/>
        <n v="5723"/>
        <n v="4720"/>
        <n v="5900"/>
        <n v="2419"/>
        <n v="3776"/>
        <n v="885"/>
        <n v="1652"/>
        <n v="2183"/>
        <n v="4484"/>
        <n v="1298"/>
        <n v="5369"/>
        <n v="0"/>
        <n v="2301"/>
        <n v="826"/>
      </sharedItems>
    </cacheField>
    <cacheField name="выручка с НДС" numFmtId="165">
      <sharedItems containsSemiMixedTypes="0" containsString="0" containsNumber="1" containsInteger="1" minValue="0" maxValue="4932400" count="163">
        <n v="82500"/>
        <n v="2047650"/>
        <n v="348480"/>
        <n v="1372140"/>
        <n v="180180"/>
        <n v="453750"/>
        <n v="1654950"/>
        <n v="770880"/>
        <n v="817740"/>
        <n v="318780"/>
        <n v="618750"/>
        <n v="1009800"/>
        <n v="792000"/>
        <n v="734580"/>
        <n v="429660"/>
        <n v="627000"/>
        <n v="1402500"/>
        <n v="454080"/>
        <n v="304920"/>
        <n v="300300"/>
        <n v="478500"/>
        <n v="841500"/>
        <n v="939840"/>
        <n v="651420"/>
        <n v="438900"/>
        <n v="189750"/>
        <n v="1318350"/>
        <n v="232320"/>
        <n v="194040"/>
        <n v="166320"/>
        <n v="610500"/>
        <n v="504900"/>
        <n v="960960"/>
        <n v="291060"/>
        <n v="403000"/>
        <n v="3933800"/>
        <n v="1331200"/>
        <n v="546000"/>
        <n v="371280"/>
        <n v="910000"/>
        <n v="1768000"/>
        <n v="599040"/>
        <n v="1616160"/>
        <n v="677040"/>
        <n v="234000"/>
        <n v="1149200"/>
        <n v="549120"/>
        <n v="742560"/>
        <n v="349440"/>
        <n v="429000"/>
        <n v="2210000"/>
        <n v="648960"/>
        <n v="1681680"/>
        <n v="473200"/>
        <n v="741000"/>
        <n v="618800"/>
        <n v="1114880"/>
        <n v="1747200"/>
        <n v="531440"/>
        <n v="858000"/>
        <n v="1237600"/>
        <n v="1031680"/>
        <n v="305760"/>
        <n v="422240"/>
        <n v="273000"/>
        <n v="2431000"/>
        <n v="382720"/>
        <n v="856800"/>
        <n v="2737680"/>
        <n v="892500"/>
        <n v="1354050"/>
        <n v="251430"/>
        <n v="242760"/>
        <n v="3366000"/>
        <n v="1731450"/>
        <n v="1836000"/>
        <n v="190740"/>
        <n v="671160"/>
        <n v="3186480"/>
        <n v="428400"/>
        <n v="2134350"/>
        <n v="216750"/>
        <n v="999600"/>
        <n v="762960"/>
        <n v="1535100"/>
        <n v="826200"/>
        <n v="390150"/>
        <n v="199920"/>
        <n v="1256640"/>
        <n v="1785000"/>
        <n v="277440"/>
        <n v="1128120"/>
        <n v="3410880"/>
        <n v="499800"/>
        <n v="1193400"/>
        <n v="320790"/>
        <n v="1099560"/>
        <n v="4084080"/>
        <n v="232050"/>
        <n v="940950"/>
        <n v="813960"/>
        <n v="4128960"/>
        <n v="714000"/>
        <n v="1698300"/>
        <n v="156060"/>
        <n v="399840"/>
        <n v="2962080"/>
        <n v="606900"/>
        <n v="1583550"/>
        <n v="260100"/>
        <n v="642600"/>
        <n v="2603040"/>
        <n v="1178100"/>
        <n v="459000"/>
        <n v="840990"/>
        <n v="514080"/>
        <n v="3545520"/>
        <n v="1231650"/>
        <n v="2272050"/>
        <n v="86700"/>
        <n v="271320"/>
        <n v="357000"/>
        <n v="1744200"/>
        <n v="234090"/>
        <n v="699720"/>
        <n v="4039200"/>
        <n v="1463700"/>
        <n v="1239300"/>
        <n v="372810"/>
        <n v="157080"/>
        <n v="3231360"/>
        <n v="910350"/>
        <n v="1399950"/>
        <n v="1007720"/>
        <n v="4932400"/>
        <n v="268450"/>
        <n v="2070900"/>
        <n v="541620"/>
        <n v="528640"/>
        <n v="4568960"/>
        <n v="1837850"/>
        <n v="345150"/>
        <n v="982940"/>
        <n v="479080"/>
        <n v="1194160"/>
        <n v="1610700"/>
        <n v="2575350"/>
        <n v="802400"/>
        <n v="1652000"/>
        <n v="2128720"/>
        <n v="1321600"/>
        <n v="398250"/>
        <n v="280840"/>
        <n v="611240"/>
        <n v="3945920"/>
        <n v="454300"/>
        <n v="2416050"/>
        <n v="0"/>
        <n v="320960"/>
        <n v="1602440"/>
        <n v="2024880"/>
        <n v="289100"/>
        <n v="982350"/>
      </sharedItems>
    </cacheField>
    <cacheField name="выручка без НДС" numFmtId="165">
      <sharedItems containsSemiMixedTypes="0" containsString="0" containsNumber="1" minValue="0" maxValue="4484000"/>
    </cacheField>
    <cacheField name="Себестоимость" numFmtId="165">
      <sharedItems containsSemiMixedTypes="0" containsString="0" containsNumber="1" containsInteger="1" minValue="0" maxValue="2073850"/>
    </cacheField>
    <cacheField name="Маржа" numFmtId="165">
      <sharedItems containsSemiMixedTypes="0" containsString="0" containsNumber="1" containsInteger="1" minValue="0" maxValue="285855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0">
  <r>
    <x v="0"/>
    <x v="0"/>
    <s v="Сыр Король Артур 50% Добряна круг вес"/>
    <x v="0"/>
    <x v="0"/>
    <x v="0"/>
    <n v="75000"/>
    <n v="59400"/>
    <n v="23100"/>
  </r>
  <r>
    <x v="0"/>
    <x v="0"/>
    <s v="Сыр Качиотто 50% Добряна брус вес"/>
    <x v="0"/>
    <x v="1"/>
    <x v="1"/>
    <n v="1861499.9999999998"/>
    <n v="843150"/>
    <n v="1204500"/>
  </r>
  <r>
    <x v="0"/>
    <x v="0"/>
    <s v="Сыр Российский 50% Добряна брус вес"/>
    <x v="0"/>
    <x v="2"/>
    <x v="2"/>
    <n v="316800"/>
    <n v="239580"/>
    <n v="108900"/>
  </r>
  <r>
    <x v="0"/>
    <x v="0"/>
    <s v="Cыр Охотничий со специями 50 % круг"/>
    <x v="0"/>
    <x v="3"/>
    <x v="3"/>
    <n v="1247400"/>
    <n v="1045440"/>
    <n v="326700"/>
  </r>
  <r>
    <x v="0"/>
    <x v="0"/>
    <s v="Сыр Олдермани 50% Добряна брус вес"/>
    <x v="0"/>
    <x v="4"/>
    <x v="4"/>
    <n v="163800"/>
    <n v="128700"/>
    <n v="51480"/>
  </r>
  <r>
    <x v="1"/>
    <x v="0"/>
    <s v="Сыр Король Артур 50% Добряна круг вес"/>
    <x v="0"/>
    <x v="5"/>
    <x v="5"/>
    <n v="412499.99999999994"/>
    <n v="326700"/>
    <n v="127050"/>
  </r>
  <r>
    <x v="1"/>
    <x v="0"/>
    <s v="Сыр Качиотто 50% Добряна брус вес"/>
    <x v="0"/>
    <x v="6"/>
    <x v="6"/>
    <n v="1504499.9999999998"/>
    <n v="681450"/>
    <n v="973500"/>
  </r>
  <r>
    <x v="1"/>
    <x v="0"/>
    <s v="Сыр Российский 50% Добряна брус вес"/>
    <x v="0"/>
    <x v="1"/>
    <x v="7"/>
    <n v="700800"/>
    <n v="529980"/>
    <n v="240900"/>
  </r>
  <r>
    <x v="1"/>
    <x v="0"/>
    <s v="Cыр Охотничий со специями 50 % круг"/>
    <x v="0"/>
    <x v="6"/>
    <x v="8"/>
    <n v="743399.99999999988"/>
    <n v="623040"/>
    <n v="194700"/>
  </r>
  <r>
    <x v="1"/>
    <x v="0"/>
    <s v="Сыр Олдермани 50% Добряна брус вес"/>
    <x v="0"/>
    <x v="7"/>
    <x v="9"/>
    <n v="289800"/>
    <n v="227700"/>
    <n v="91080"/>
  </r>
  <r>
    <x v="2"/>
    <x v="1"/>
    <s v="Сыр Король Артур 50% Добряна круг вес"/>
    <x v="0"/>
    <x v="8"/>
    <x v="10"/>
    <n v="562500"/>
    <n v="445500"/>
    <n v="173250"/>
  </r>
  <r>
    <x v="2"/>
    <x v="1"/>
    <s v="Сыр Качиотто 50% Добряна брус вес"/>
    <x v="0"/>
    <x v="9"/>
    <x v="11"/>
    <n v="917999.99999999988"/>
    <n v="415800"/>
    <n v="594000"/>
  </r>
  <r>
    <x v="2"/>
    <x v="1"/>
    <s v="Сыр Российский 50% Добряна брус вес"/>
    <x v="0"/>
    <x v="8"/>
    <x v="12"/>
    <n v="720000"/>
    <n v="544500"/>
    <n v="247500"/>
  </r>
  <r>
    <x v="2"/>
    <x v="1"/>
    <s v="Cыр Охотничий со специями 50 % круг"/>
    <x v="0"/>
    <x v="10"/>
    <x v="13"/>
    <n v="667800"/>
    <n v="559680"/>
    <n v="174900"/>
  </r>
  <r>
    <x v="2"/>
    <x v="1"/>
    <s v="Сыр Олдермани 50% Добряна брус вес"/>
    <x v="0"/>
    <x v="11"/>
    <x v="14"/>
    <n v="390599.99999999994"/>
    <n v="306900"/>
    <n v="122760"/>
  </r>
  <r>
    <x v="3"/>
    <x v="2"/>
    <s v="Сыр Король Артур 50% Добряна круг вес"/>
    <x v="0"/>
    <x v="12"/>
    <x v="15"/>
    <n v="570000"/>
    <n v="451440"/>
    <n v="175560"/>
  </r>
  <r>
    <x v="3"/>
    <x v="2"/>
    <s v="Сыр Качиотто 50% Добряна брус вес"/>
    <x v="0"/>
    <x v="13"/>
    <x v="16"/>
    <n v="1275000"/>
    <n v="577500"/>
    <n v="825000"/>
  </r>
  <r>
    <x v="3"/>
    <x v="2"/>
    <s v="Сыр Российский 50% Добряна брус вес"/>
    <x v="0"/>
    <x v="14"/>
    <x v="17"/>
    <n v="412799.99999999994"/>
    <n v="312180"/>
    <n v="141900"/>
  </r>
  <r>
    <x v="3"/>
    <x v="2"/>
    <s v="Cыр Охотничий со специями 50 % круг"/>
    <x v="0"/>
    <x v="15"/>
    <x v="18"/>
    <n v="277200"/>
    <n v="232320"/>
    <n v="72600"/>
  </r>
  <r>
    <x v="4"/>
    <x v="0"/>
    <s v="Сыр Олдермани 50% Добряна брус вес"/>
    <x v="0"/>
    <x v="16"/>
    <x v="19"/>
    <n v="273000"/>
    <n v="214500"/>
    <n v="85800"/>
  </r>
  <r>
    <x v="4"/>
    <x v="0"/>
    <s v="Сыр Король Артур 50% Добряна круг вес"/>
    <x v="0"/>
    <x v="17"/>
    <x v="20"/>
    <n v="434999.99999999994"/>
    <n v="344520"/>
    <n v="133980"/>
  </r>
  <r>
    <x v="4"/>
    <x v="0"/>
    <s v="Сыр Качиотто 50% Добряна брус вес"/>
    <x v="0"/>
    <x v="18"/>
    <x v="21"/>
    <n v="764999.99999999988"/>
    <n v="346500"/>
    <n v="495000"/>
  </r>
  <r>
    <x v="4"/>
    <x v="0"/>
    <s v="Сыр Российский 50% Добряна брус вес"/>
    <x v="0"/>
    <x v="19"/>
    <x v="22"/>
    <n v="854399.99999999988"/>
    <n v="646140"/>
    <n v="293700"/>
  </r>
  <r>
    <x v="4"/>
    <x v="0"/>
    <s v="Cыр Охотничий со специями 50 % круг"/>
    <x v="0"/>
    <x v="20"/>
    <x v="23"/>
    <n v="592200"/>
    <n v="496320"/>
    <n v="155100"/>
  </r>
  <r>
    <x v="5"/>
    <x v="3"/>
    <s v="Сыр Олдермани 50% Добряна брус вес"/>
    <x v="0"/>
    <x v="21"/>
    <x v="24"/>
    <n v="398999.99999999994"/>
    <n v="313500"/>
    <n v="125400"/>
  </r>
  <r>
    <x v="5"/>
    <x v="3"/>
    <s v="Сыр Король Артур 50% Добряна круг вес"/>
    <x v="0"/>
    <x v="22"/>
    <x v="25"/>
    <n v="172500"/>
    <n v="136620"/>
    <n v="53130"/>
  </r>
  <r>
    <x v="5"/>
    <x v="3"/>
    <s v="Сыр Качиотто 50% Добряна брус вес"/>
    <x v="0"/>
    <x v="20"/>
    <x v="26"/>
    <n v="1198500"/>
    <n v="542850"/>
    <n v="775500"/>
  </r>
  <r>
    <x v="5"/>
    <x v="3"/>
    <s v="Сыр Российский 50% Добряна брус вес"/>
    <x v="0"/>
    <x v="15"/>
    <x v="27"/>
    <n v="211199.99999999997"/>
    <n v="159720"/>
    <n v="72600"/>
  </r>
  <r>
    <x v="5"/>
    <x v="3"/>
    <s v="Cыр Охотничий со специями 50 % круг"/>
    <x v="0"/>
    <x v="23"/>
    <x v="28"/>
    <n v="176400"/>
    <n v="147840"/>
    <n v="46200"/>
  </r>
  <r>
    <x v="6"/>
    <x v="4"/>
    <s v="Сыр Олдермани 50% Добряна брус вес"/>
    <x v="0"/>
    <x v="9"/>
    <x v="29"/>
    <n v="151200"/>
    <n v="118800"/>
    <n v="47520"/>
  </r>
  <r>
    <x v="6"/>
    <x v="4"/>
    <s v="Сыр Король Артур 50% Добряна круг вес"/>
    <x v="0"/>
    <x v="24"/>
    <x v="30"/>
    <n v="555000"/>
    <n v="439560"/>
    <n v="170940"/>
  </r>
  <r>
    <x v="6"/>
    <x v="4"/>
    <s v="Сыр Качиотто 50% Добряна брус вес"/>
    <x v="0"/>
    <x v="25"/>
    <x v="31"/>
    <n v="458999.99999999994"/>
    <n v="207900"/>
    <n v="297000"/>
  </r>
  <r>
    <x v="6"/>
    <x v="4"/>
    <s v="Сыр Российский 50% Добряна брус вес"/>
    <x v="0"/>
    <x v="26"/>
    <x v="32"/>
    <n v="873599.99999999988"/>
    <n v="660660"/>
    <n v="300300"/>
  </r>
  <r>
    <x v="6"/>
    <x v="4"/>
    <s v="Cыр Охотничий со специями 50 % круг"/>
    <x v="0"/>
    <x v="27"/>
    <x v="33"/>
    <n v="264600"/>
    <n v="221760"/>
    <n v="69300"/>
  </r>
  <r>
    <x v="0"/>
    <x v="0"/>
    <s v="Сыр Король Артур 50% Добряна круг вес"/>
    <x v="1"/>
    <x v="28"/>
    <x v="34"/>
    <n v="366363.63636363635"/>
    <n v="290160"/>
    <n v="112840"/>
  </r>
  <r>
    <x v="0"/>
    <x v="0"/>
    <s v="Сыр Качиотто 50% Добряна брус вес"/>
    <x v="1"/>
    <x v="29"/>
    <x v="35"/>
    <n v="3576181.8181818179"/>
    <n v="1619800"/>
    <n v="2314000"/>
  </r>
  <r>
    <x v="0"/>
    <x v="0"/>
    <s v="Сыр Российский 50% Добряна брус вес"/>
    <x v="1"/>
    <x v="30"/>
    <x v="36"/>
    <n v="1210181.8181818181"/>
    <n v="915200"/>
    <n v="416000"/>
  </r>
  <r>
    <x v="0"/>
    <x v="0"/>
    <s v="Cыр Охотничий со специями 50 % круг"/>
    <x v="1"/>
    <x v="31"/>
    <x v="37"/>
    <n v="496363.63636363629"/>
    <n v="416000"/>
    <n v="130000"/>
  </r>
  <r>
    <x v="0"/>
    <x v="0"/>
    <s v="Сыр Олдермани 50% Добряна брус вес"/>
    <x v="1"/>
    <x v="32"/>
    <x v="38"/>
    <n v="337527.27272727271"/>
    <n v="265200"/>
    <n v="106080"/>
  </r>
  <r>
    <x v="1"/>
    <x v="0"/>
    <s v="Сыр Король Артур 50% Добряна круг вес"/>
    <x v="1"/>
    <x v="33"/>
    <x v="39"/>
    <n v="827272.72727272718"/>
    <n v="655200"/>
    <n v="254800"/>
  </r>
  <r>
    <x v="1"/>
    <x v="0"/>
    <s v="Сыр Качиотто 50% Добряна брус вес"/>
    <x v="1"/>
    <x v="34"/>
    <x v="40"/>
    <n v="1607272.7272727271"/>
    <n v="728000"/>
    <n v="1040000"/>
  </r>
  <r>
    <x v="1"/>
    <x v="0"/>
    <s v="Сыр Российский 50% Добряна брус вес"/>
    <x v="1"/>
    <x v="35"/>
    <x v="41"/>
    <n v="544581.81818181812"/>
    <n v="411840"/>
    <n v="187200"/>
  </r>
  <r>
    <x v="1"/>
    <x v="0"/>
    <s v="Cыр Охотничий со специями 50 % круг"/>
    <x v="1"/>
    <x v="36"/>
    <x v="42"/>
    <n v="1469236.3636363635"/>
    <n v="1231360"/>
    <n v="384800"/>
  </r>
  <r>
    <x v="1"/>
    <x v="0"/>
    <s v="Сыр Олдермани 50% Добряна брус вес"/>
    <x v="1"/>
    <x v="37"/>
    <x v="43"/>
    <n v="615490.90909090906"/>
    <n v="483600"/>
    <n v="193440"/>
  </r>
  <r>
    <x v="2"/>
    <x v="1"/>
    <s v="Сыр Король Артур 50% Добряна круг вес"/>
    <x v="1"/>
    <x v="38"/>
    <x v="44"/>
    <n v="212727.27272727271"/>
    <n v="168480"/>
    <n v="65520"/>
  </r>
  <r>
    <x v="2"/>
    <x v="1"/>
    <s v="Сыр Качиотто 50% Добряна брус вес"/>
    <x v="1"/>
    <x v="39"/>
    <x v="45"/>
    <n v="1044727.2727272726"/>
    <n v="473200"/>
    <n v="676000"/>
  </r>
  <r>
    <x v="2"/>
    <x v="1"/>
    <s v="Сыр Российский 50% Добряна брус вес"/>
    <x v="1"/>
    <x v="40"/>
    <x v="46"/>
    <n v="499199.99999999994"/>
    <n v="377520"/>
    <n v="171600"/>
  </r>
  <r>
    <x v="2"/>
    <x v="1"/>
    <s v="Cыр Охотничий со специями 50 % круг"/>
    <x v="1"/>
    <x v="41"/>
    <x v="47"/>
    <n v="675054.54545454541"/>
    <n v="565760"/>
    <n v="176800"/>
  </r>
  <r>
    <x v="2"/>
    <x v="1"/>
    <s v="Сыр Олдермани 50% Добряна брус вес"/>
    <x v="1"/>
    <x v="42"/>
    <x v="48"/>
    <n v="317672.72727272724"/>
    <n v="249600"/>
    <n v="99840"/>
  </r>
  <r>
    <x v="3"/>
    <x v="2"/>
    <s v="Сыр Король Артур 50% Добряна круг вес"/>
    <x v="1"/>
    <x v="40"/>
    <x v="49"/>
    <n v="389999.99999999994"/>
    <n v="308880"/>
    <n v="120120"/>
  </r>
  <r>
    <x v="3"/>
    <x v="2"/>
    <s v="Сыр Качиотто 50% Добряна брус вес"/>
    <x v="1"/>
    <x v="43"/>
    <x v="50"/>
    <n v="2009090.9090909089"/>
    <n v="910000"/>
    <n v="1300000"/>
  </r>
  <r>
    <x v="3"/>
    <x v="2"/>
    <s v="Сыр Российский 50% Добряна брус вес"/>
    <x v="1"/>
    <x v="44"/>
    <x v="51"/>
    <n v="589963.63636363635"/>
    <n v="446160"/>
    <n v="202800"/>
  </r>
  <r>
    <x v="3"/>
    <x v="2"/>
    <s v="Cыр Охотничий со специями 50 % круг"/>
    <x v="1"/>
    <x v="45"/>
    <x v="52"/>
    <n v="1528799.9999999998"/>
    <n v="1281280"/>
    <n v="400400"/>
  </r>
  <r>
    <x v="4"/>
    <x v="0"/>
    <s v="Сыр Олдермани 50% Добряна брус вес"/>
    <x v="1"/>
    <x v="46"/>
    <x v="53"/>
    <n v="430181.81818181812"/>
    <n v="338000"/>
    <n v="135200"/>
  </r>
  <r>
    <x v="4"/>
    <x v="0"/>
    <s v="Сыр Король Артур 50% Добряна круг вес"/>
    <x v="1"/>
    <x v="47"/>
    <x v="54"/>
    <n v="673636.36363636353"/>
    <n v="533520"/>
    <n v="207480"/>
  </r>
  <r>
    <x v="4"/>
    <x v="0"/>
    <s v="Сыр Качиотто 50% Добряна брус вес"/>
    <x v="1"/>
    <x v="48"/>
    <x v="55"/>
    <n v="562545.45454545447"/>
    <n v="254800"/>
    <n v="364000"/>
  </r>
  <r>
    <x v="4"/>
    <x v="0"/>
    <s v="Сыр Российский 50% Добряна брус вес"/>
    <x v="1"/>
    <x v="49"/>
    <x v="56"/>
    <n v="1013527.2727272726"/>
    <n v="766480"/>
    <n v="348400"/>
  </r>
  <r>
    <x v="4"/>
    <x v="0"/>
    <s v="Cыр Охотничий со специями 50 % круг"/>
    <x v="1"/>
    <x v="30"/>
    <x v="57"/>
    <n v="1588363.6363636362"/>
    <n v="1331200"/>
    <n v="416000"/>
  </r>
  <r>
    <x v="5"/>
    <x v="3"/>
    <s v="Сыр Олдермани 50% Добряна брус вес"/>
    <x v="1"/>
    <x v="50"/>
    <x v="58"/>
    <n v="483127.27272727271"/>
    <n v="379600"/>
    <n v="151840"/>
  </r>
  <r>
    <x v="5"/>
    <x v="3"/>
    <s v="Сыр Король Артур 50% Добряна круг вес"/>
    <x v="1"/>
    <x v="51"/>
    <x v="59"/>
    <n v="779999.99999999988"/>
    <n v="617760"/>
    <n v="240240"/>
  </r>
  <r>
    <x v="5"/>
    <x v="3"/>
    <s v="Сыр Качиотто 50% Добряна брус вес"/>
    <x v="1"/>
    <x v="52"/>
    <x v="60"/>
    <n v="1125090.9090909089"/>
    <n v="509600"/>
    <n v="728000"/>
  </r>
  <r>
    <x v="5"/>
    <x v="3"/>
    <s v="Сыр Российский 50% Добряна брус вес"/>
    <x v="1"/>
    <x v="53"/>
    <x v="61"/>
    <n v="937890.90909090906"/>
    <n v="709280"/>
    <n v="322400"/>
  </r>
  <r>
    <x v="5"/>
    <x v="3"/>
    <s v="Cыр Охотничий со специями 50 % круг"/>
    <x v="1"/>
    <x v="48"/>
    <x v="62"/>
    <n v="277963.63636363635"/>
    <n v="232960"/>
    <n v="72800"/>
  </r>
  <r>
    <x v="6"/>
    <x v="4"/>
    <s v="Сыр Олдермани 50% Добряна брус вес"/>
    <x v="1"/>
    <x v="54"/>
    <x v="63"/>
    <n v="383854.54545454541"/>
    <n v="301600"/>
    <n v="120640"/>
  </r>
  <r>
    <x v="6"/>
    <x v="4"/>
    <s v="Сыр Король Артур 50% Добряна круг вес"/>
    <x v="1"/>
    <x v="55"/>
    <x v="64"/>
    <n v="248181.81818181815"/>
    <n v="196560"/>
    <n v="76440"/>
  </r>
  <r>
    <x v="6"/>
    <x v="4"/>
    <s v="Сыр Качиотто 50% Добряна брус вес"/>
    <x v="1"/>
    <x v="56"/>
    <x v="65"/>
    <n v="2210000"/>
    <n v="1001000"/>
    <n v="1430000"/>
  </r>
  <r>
    <x v="6"/>
    <x v="4"/>
    <s v="Сыр Российский 50% Добряна брус вес"/>
    <x v="1"/>
    <x v="57"/>
    <x v="66"/>
    <n v="347927.27272727271"/>
    <n v="263120"/>
    <n v="119600"/>
  </r>
  <r>
    <x v="6"/>
    <x v="4"/>
    <s v="Cыр Охотничий со специями 50 % круг"/>
    <x v="1"/>
    <x v="31"/>
    <x v="37"/>
    <n v="496363.63636363629"/>
    <n v="416000"/>
    <n v="130000"/>
  </r>
  <r>
    <x v="0"/>
    <x v="0"/>
    <s v="Сыр Король Артур 50% Добряна круг вес"/>
    <x v="2"/>
    <x v="58"/>
    <x v="67"/>
    <n v="778909.09090909082"/>
    <n v="612000"/>
    <n v="244800"/>
  </r>
  <r>
    <x v="0"/>
    <x v="0"/>
    <s v="Сыр Качиотто 50% Добряна брус вес"/>
    <x v="2"/>
    <x v="59"/>
    <x v="68"/>
    <n v="2488800"/>
    <n v="1151070"/>
    <n v="1586610"/>
  </r>
  <r>
    <x v="0"/>
    <x v="0"/>
    <s v="Сыр Российский 50% Добряна брус вес"/>
    <x v="2"/>
    <x v="60"/>
    <x v="69"/>
    <n v="811363.63636363635"/>
    <n v="612000"/>
    <n v="280500"/>
  </r>
  <r>
    <x v="0"/>
    <x v="0"/>
    <s v="Cыр Охотничий со специями 50 % круг"/>
    <x v="2"/>
    <x v="61"/>
    <x v="70"/>
    <n v="1230954.5454545454"/>
    <n v="1023060"/>
    <n v="330990"/>
  </r>
  <r>
    <x v="0"/>
    <x v="0"/>
    <s v="Сыр Олдермани 50% Добряна брус вес"/>
    <x v="2"/>
    <x v="62"/>
    <x v="71"/>
    <n v="228572.72727272726"/>
    <n v="177480"/>
    <n v="73950"/>
  </r>
  <r>
    <x v="1"/>
    <x v="0"/>
    <s v="Сыр Король Артур 50% Добряна круг вес"/>
    <x v="2"/>
    <x v="63"/>
    <x v="72"/>
    <n v="220690.90909090906"/>
    <n v="173400"/>
    <n v="69360"/>
  </r>
  <r>
    <x v="1"/>
    <x v="0"/>
    <s v="Сыр Качиотто 50% Добряна брус вес"/>
    <x v="2"/>
    <x v="64"/>
    <x v="73"/>
    <n v="3059999.9999999995"/>
    <n v="1415250"/>
    <n v="1950750"/>
  </r>
  <r>
    <x v="1"/>
    <x v="0"/>
    <s v="Сыр Российский 50% Добряна брус вес"/>
    <x v="2"/>
    <x v="65"/>
    <x v="74"/>
    <n v="1574045.4545454544"/>
    <n v="1187280"/>
    <n v="544170"/>
  </r>
  <r>
    <x v="1"/>
    <x v="0"/>
    <s v="Cыр Охотничий со специями 50 % круг"/>
    <x v="2"/>
    <x v="66"/>
    <x v="75"/>
    <n v="1669090.9090909089"/>
    <n v="1387200"/>
    <n v="448800"/>
  </r>
  <r>
    <x v="1"/>
    <x v="0"/>
    <s v="Сыр Олдермани 50% Добряна брус вес"/>
    <x v="2"/>
    <x v="67"/>
    <x v="76"/>
    <n v="173400"/>
    <n v="134640"/>
    <n v="56100"/>
  </r>
  <r>
    <x v="2"/>
    <x v="1"/>
    <s v="Сыр Король Артур 50% Добряна круг вес"/>
    <x v="2"/>
    <x v="68"/>
    <x v="77"/>
    <n v="610145.45454545447"/>
    <n v="479400"/>
    <n v="191760"/>
  </r>
  <r>
    <x v="2"/>
    <x v="1"/>
    <s v="Сыр Качиотто 50% Добряна брус вес"/>
    <x v="2"/>
    <x v="69"/>
    <x v="78"/>
    <n v="2896799.9999999995"/>
    <n v="1339770"/>
    <n v="1846710"/>
  </r>
  <r>
    <x v="2"/>
    <x v="1"/>
    <s v="Сыр Российский 50% Добряна брус вес"/>
    <x v="2"/>
    <x v="70"/>
    <x v="79"/>
    <n v="389454.54545454541"/>
    <n v="293760"/>
    <n v="134640"/>
  </r>
  <r>
    <x v="2"/>
    <x v="1"/>
    <s v="Cыр Охотничий со специями 50 % круг"/>
    <x v="2"/>
    <x v="71"/>
    <x v="80"/>
    <n v="1940318.1818181816"/>
    <n v="1612620"/>
    <n v="521730"/>
  </r>
  <r>
    <x v="2"/>
    <x v="1"/>
    <s v="Сыр Олдермани 50% Добряна брус вес"/>
    <x v="2"/>
    <x v="72"/>
    <x v="81"/>
    <n v="197045.45454545453"/>
    <n v="153000"/>
    <n v="63750"/>
  </r>
  <r>
    <x v="3"/>
    <x v="2"/>
    <s v="Сыр Король Артур 50% Добряна круг вес"/>
    <x v="2"/>
    <x v="73"/>
    <x v="82"/>
    <n v="908727.27272727271"/>
    <n v="714000"/>
    <n v="285600"/>
  </r>
  <r>
    <x v="3"/>
    <x v="2"/>
    <s v="Сыр Качиотто 50% Добряна брус вес"/>
    <x v="2"/>
    <x v="63"/>
    <x v="83"/>
    <n v="693600"/>
    <n v="320790"/>
    <n v="442170"/>
  </r>
  <r>
    <x v="3"/>
    <x v="2"/>
    <s v="Сыр Российский 50% Добряна брус вес"/>
    <x v="2"/>
    <x v="74"/>
    <x v="84"/>
    <n v="1395545.4545454544"/>
    <n v="1052640"/>
    <n v="482460"/>
  </r>
  <r>
    <x v="3"/>
    <x v="2"/>
    <s v="Cыр Охотничий со специями 50 % круг"/>
    <x v="2"/>
    <x v="75"/>
    <x v="85"/>
    <n v="751090.90909090906"/>
    <n v="624240"/>
    <n v="201960"/>
  </r>
  <r>
    <x v="4"/>
    <x v="0"/>
    <s v="Сыр Олдермани 50% Добряна брус вес"/>
    <x v="2"/>
    <x v="76"/>
    <x v="86"/>
    <n v="354681.81818181818"/>
    <n v="275400"/>
    <n v="114750"/>
  </r>
  <r>
    <x v="4"/>
    <x v="0"/>
    <s v="Сыр Король Артур 50% Добряна круг вес"/>
    <x v="2"/>
    <x v="77"/>
    <x v="87"/>
    <n v="181745.45454545453"/>
    <n v="142800"/>
    <n v="57120"/>
  </r>
  <r>
    <x v="4"/>
    <x v="0"/>
    <s v="Сыр Качиотто 50% Добряна брус вес"/>
    <x v="2"/>
    <x v="78"/>
    <x v="88"/>
    <n v="1142400"/>
    <n v="528360"/>
    <n v="728280"/>
  </r>
  <r>
    <x v="4"/>
    <x v="0"/>
    <s v="Сыр Российский 50% Добряна брус вес"/>
    <x v="2"/>
    <x v="79"/>
    <x v="89"/>
    <n v="1622727.2727272727"/>
    <n v="1224000"/>
    <n v="561000"/>
  </r>
  <r>
    <x v="4"/>
    <x v="0"/>
    <s v="Cыр Охотничий со специями 50 % круг"/>
    <x v="2"/>
    <x v="63"/>
    <x v="86"/>
    <n v="354681.81818181818"/>
    <n v="294780"/>
    <n v="95370"/>
  </r>
  <r>
    <x v="5"/>
    <x v="3"/>
    <s v="Сыр Олдермани 50% Добряна брус вес"/>
    <x v="2"/>
    <x v="80"/>
    <x v="90"/>
    <n v="252218.18181818179"/>
    <n v="195840"/>
    <n v="81600"/>
  </r>
  <r>
    <x v="5"/>
    <x v="3"/>
    <s v="Сыр Король Артур 50% Добряна круг вес"/>
    <x v="2"/>
    <x v="81"/>
    <x v="91"/>
    <n v="1025563.6363636362"/>
    <n v="805800"/>
    <n v="322320"/>
  </r>
  <r>
    <x v="5"/>
    <x v="3"/>
    <s v="Сыр Качиотто 50% Добряна брус вес"/>
    <x v="2"/>
    <x v="82"/>
    <x v="92"/>
    <n v="3100799.9999999995"/>
    <n v="1434120"/>
    <n v="1976760"/>
  </r>
  <r>
    <x v="5"/>
    <x v="3"/>
    <s v="Сыр Российский 50% Добряна брус вес"/>
    <x v="2"/>
    <x v="78"/>
    <x v="93"/>
    <n v="454363.63636363635"/>
    <n v="342720"/>
    <n v="157080"/>
  </r>
  <r>
    <x v="5"/>
    <x v="3"/>
    <s v="Cыр Охотничий со специями 50 % круг"/>
    <x v="2"/>
    <x v="32"/>
    <x v="94"/>
    <n v="1084909.0909090908"/>
    <n v="901680"/>
    <n v="291720"/>
  </r>
  <r>
    <x v="6"/>
    <x v="4"/>
    <s v="Сыр Олдермани 50% Добряна брус вес"/>
    <x v="2"/>
    <x v="83"/>
    <x v="95"/>
    <n v="291627.27272727271"/>
    <n v="226440"/>
    <n v="94350"/>
  </r>
  <r>
    <x v="6"/>
    <x v="4"/>
    <s v="Сыр Король Артур 50% Добряна круг вес"/>
    <x v="2"/>
    <x v="84"/>
    <x v="96"/>
    <n v="999599.99999999988"/>
    <n v="785400"/>
    <n v="314160"/>
  </r>
  <r>
    <x v="6"/>
    <x v="4"/>
    <s v="Сыр Качиотто 50% Добряна брус вес"/>
    <x v="2"/>
    <x v="85"/>
    <x v="97"/>
    <n v="3712799.9999999995"/>
    <n v="1717170"/>
    <n v="2366910"/>
  </r>
  <r>
    <x v="6"/>
    <x v="4"/>
    <s v="Сыр Российский 50% Добряна брус вес"/>
    <x v="2"/>
    <x v="86"/>
    <x v="98"/>
    <n v="210954.54545454544"/>
    <n v="159120"/>
    <n v="72930"/>
  </r>
  <r>
    <x v="6"/>
    <x v="4"/>
    <s v="Cыр Охотничий со специями 50 % круг"/>
    <x v="2"/>
    <x v="87"/>
    <x v="99"/>
    <n v="855409.09090909082"/>
    <n v="710940"/>
    <n v="230010"/>
  </r>
  <r>
    <x v="0"/>
    <x v="0"/>
    <s v="Сыр Король Артур 50% Добряна круг вес"/>
    <x v="3"/>
    <x v="88"/>
    <x v="100"/>
    <n v="739963.63636363635"/>
    <n v="581400"/>
    <n v="232560"/>
  </r>
  <r>
    <x v="0"/>
    <x v="0"/>
    <s v="Сыр Качиотто 50% Добряна брус вес"/>
    <x v="3"/>
    <x v="89"/>
    <x v="101"/>
    <n v="3753599.9999999995"/>
    <n v="1736040"/>
    <n v="2392920"/>
  </r>
  <r>
    <x v="0"/>
    <x v="0"/>
    <s v="Сыр Российский 50% Добряна брус вес"/>
    <x v="3"/>
    <x v="90"/>
    <x v="102"/>
    <n v="649090.90909090906"/>
    <n v="489600"/>
    <n v="224400"/>
  </r>
  <r>
    <x v="0"/>
    <x v="0"/>
    <s v="Cыр Охотничий со специями 50 % круг"/>
    <x v="3"/>
    <x v="91"/>
    <x v="103"/>
    <n v="1543909.0909090908"/>
    <n v="1283160"/>
    <n v="415140"/>
  </r>
  <r>
    <x v="0"/>
    <x v="0"/>
    <s v="Сыр Олдермани 50% Добряна брус вес"/>
    <x v="3"/>
    <x v="92"/>
    <x v="104"/>
    <n v="141872.72727272726"/>
    <n v="110160"/>
    <n v="45900"/>
  </r>
  <r>
    <x v="1"/>
    <x v="0"/>
    <s v="Сыр Король Артур 50% Добряна круг вес"/>
    <x v="3"/>
    <x v="78"/>
    <x v="105"/>
    <n v="363490.90909090906"/>
    <n v="285600"/>
    <n v="114240"/>
  </r>
  <r>
    <x v="1"/>
    <x v="0"/>
    <s v="Сыр Качиотто 50% Добряна брус вес"/>
    <x v="3"/>
    <x v="93"/>
    <x v="106"/>
    <n v="2692800"/>
    <n v="1245420"/>
    <n v="1716660"/>
  </r>
  <r>
    <x v="1"/>
    <x v="0"/>
    <s v="Сыр Российский 50% Добряна брус вес"/>
    <x v="3"/>
    <x v="94"/>
    <x v="107"/>
    <n v="551727.27272727271"/>
    <n v="416160"/>
    <n v="190740"/>
  </r>
  <r>
    <x v="1"/>
    <x v="0"/>
    <s v="Cыр Охотничий со специями 50 % круг"/>
    <x v="3"/>
    <x v="95"/>
    <x v="108"/>
    <n v="1439590.9090909089"/>
    <n v="1196460"/>
    <n v="387090"/>
  </r>
  <r>
    <x v="1"/>
    <x v="0"/>
    <s v="Сыр Олдермани 50% Добряна брус вес"/>
    <x v="3"/>
    <x v="96"/>
    <x v="109"/>
    <n v="236454.54545454544"/>
    <n v="183600"/>
    <n v="76500"/>
  </r>
  <r>
    <x v="2"/>
    <x v="1"/>
    <s v="Сыр Король Артур 50% Добряна круг вес"/>
    <x v="3"/>
    <x v="76"/>
    <x v="110"/>
    <n v="584181.81818181812"/>
    <n v="459000"/>
    <n v="183600"/>
  </r>
  <r>
    <x v="2"/>
    <x v="1"/>
    <s v="Сыр Качиотто 50% Добряна брус вес"/>
    <x v="3"/>
    <x v="97"/>
    <x v="111"/>
    <n v="2366400"/>
    <n v="1094460"/>
    <n v="1508580"/>
  </r>
  <r>
    <x v="2"/>
    <x v="1"/>
    <s v="Сыр Российский 50% Добряна брус вес"/>
    <x v="3"/>
    <x v="93"/>
    <x v="112"/>
    <n v="1071000"/>
    <n v="807840"/>
    <n v="370260"/>
  </r>
  <r>
    <x v="2"/>
    <x v="1"/>
    <s v="Cыр Охотничий со специями 50 % круг"/>
    <x v="3"/>
    <x v="98"/>
    <x v="113"/>
    <n v="417272.72727272724"/>
    <n v="346800"/>
    <n v="112200"/>
  </r>
  <r>
    <x v="2"/>
    <x v="1"/>
    <s v="Сыр Олдермани 50% Добряна брус вес"/>
    <x v="3"/>
    <x v="65"/>
    <x v="114"/>
    <n v="764536.36363636353"/>
    <n v="593640"/>
    <n v="247350"/>
  </r>
  <r>
    <x v="3"/>
    <x v="2"/>
    <s v="Сыр Король Артур 50% Добряна круг вес"/>
    <x v="3"/>
    <x v="75"/>
    <x v="115"/>
    <n v="467345.45454545453"/>
    <n v="367200"/>
    <n v="146880"/>
  </r>
  <r>
    <x v="3"/>
    <x v="2"/>
    <s v="Сыр Качиотто 50% Добряна брус вес"/>
    <x v="3"/>
    <x v="81"/>
    <x v="116"/>
    <n v="3223199.9999999995"/>
    <n v="1490730"/>
    <n v="2054790"/>
  </r>
  <r>
    <x v="3"/>
    <x v="2"/>
    <s v="Сыр Российский 50% Добряна брус вес"/>
    <x v="3"/>
    <x v="95"/>
    <x v="117"/>
    <n v="1119681.8181818181"/>
    <n v="844560"/>
    <n v="387090"/>
  </r>
  <r>
    <x v="3"/>
    <x v="2"/>
    <s v="Cыр Охотничий со специями 50 % круг"/>
    <x v="3"/>
    <x v="99"/>
    <x v="118"/>
    <n v="2065499.9999999998"/>
    <n v="1716660"/>
    <n v="555390"/>
  </r>
  <r>
    <x v="4"/>
    <x v="0"/>
    <s v="Сыр Олдермани 50% Добряна брус вес"/>
    <x v="3"/>
    <x v="100"/>
    <x v="119"/>
    <n v="78818.181818181809"/>
    <n v="61200"/>
    <n v="25500"/>
  </r>
  <r>
    <x v="4"/>
    <x v="0"/>
    <s v="Сыр Король Артур 50% Добряна круг вес"/>
    <x v="3"/>
    <x v="101"/>
    <x v="120"/>
    <n v="246654.54545454544"/>
    <n v="193800"/>
    <n v="77520"/>
  </r>
  <r>
    <x v="4"/>
    <x v="0"/>
    <s v="Сыр Качиотто 50% Добряна брус вес"/>
    <x v="3"/>
    <x v="89"/>
    <x v="101"/>
    <n v="3753599.9999999995"/>
    <n v="1736040"/>
    <n v="2392920"/>
  </r>
  <r>
    <x v="4"/>
    <x v="0"/>
    <s v="Сыр Российский 50% Добряна брус вес"/>
    <x v="3"/>
    <x v="98"/>
    <x v="121"/>
    <n v="324545.45454545453"/>
    <n v="244800"/>
    <n v="112200"/>
  </r>
  <r>
    <x v="4"/>
    <x v="0"/>
    <s v="Cыр Охотничий со специями 50 % круг"/>
    <x v="3"/>
    <x v="82"/>
    <x v="122"/>
    <n v="1585636.3636363635"/>
    <n v="1317840"/>
    <n v="426360"/>
  </r>
  <r>
    <x v="5"/>
    <x v="3"/>
    <s v="Сыр Олдермани 50% Добряна брус вес"/>
    <x v="3"/>
    <x v="102"/>
    <x v="123"/>
    <n v="212809.09090909088"/>
    <n v="165240"/>
    <n v="68850"/>
  </r>
  <r>
    <x v="5"/>
    <x v="3"/>
    <s v="Сыр Король Артур 50% Добряна круг вес"/>
    <x v="3"/>
    <x v="103"/>
    <x v="124"/>
    <n v="636109.09090909082"/>
    <n v="499800"/>
    <n v="199920"/>
  </r>
  <r>
    <x v="5"/>
    <x v="3"/>
    <s v="Сыр Качиотто 50% Добряна брус вес"/>
    <x v="3"/>
    <x v="104"/>
    <x v="125"/>
    <n v="3671999.9999999995"/>
    <n v="1698300"/>
    <n v="2340900"/>
  </r>
  <r>
    <x v="5"/>
    <x v="3"/>
    <s v="Сыр Российский 50% Добряна брус вес"/>
    <x v="3"/>
    <x v="105"/>
    <x v="126"/>
    <n v="1330636.3636363635"/>
    <n v="1003680"/>
    <n v="460020"/>
  </r>
  <r>
    <x v="5"/>
    <x v="3"/>
    <s v="Cыр Охотничий со специями 50 % круг"/>
    <x v="3"/>
    <x v="106"/>
    <x v="127"/>
    <n v="1126636.3636363635"/>
    <n v="936360"/>
    <n v="302940"/>
  </r>
  <r>
    <x v="6"/>
    <x v="4"/>
    <s v="Сыр Олдермани 50% Добряна брус вес"/>
    <x v="3"/>
    <x v="107"/>
    <x v="128"/>
    <n v="338918.18181818177"/>
    <n v="263160"/>
    <n v="109650"/>
  </r>
  <r>
    <x v="6"/>
    <x v="4"/>
    <s v="Сыр Король Артур 50% Добряна круг вес"/>
    <x v="3"/>
    <x v="108"/>
    <x v="129"/>
    <n v="142800"/>
    <n v="112200"/>
    <n v="44880"/>
  </r>
  <r>
    <x v="6"/>
    <x v="4"/>
    <s v="Сыр Качиотто 50% Добряна брус вес"/>
    <x v="3"/>
    <x v="109"/>
    <x v="130"/>
    <n v="2937599.9999999995"/>
    <n v="1358640"/>
    <n v="1872720"/>
  </r>
  <r>
    <x v="6"/>
    <x v="4"/>
    <s v="Сыр Российский 50% Добряна брус вес"/>
    <x v="3"/>
    <x v="110"/>
    <x v="131"/>
    <n v="827590.90909090906"/>
    <n v="624240"/>
    <n v="286110"/>
  </r>
  <r>
    <x v="6"/>
    <x v="4"/>
    <s v="Cыр Охотничий со специями 50 % круг"/>
    <x v="3"/>
    <x v="59"/>
    <x v="132"/>
    <n v="1272681.8181818181"/>
    <n v="1057740"/>
    <n v="342210"/>
  </r>
  <r>
    <x v="0"/>
    <x v="0"/>
    <s v="Сыр Король Артур 50% Добряна круг вес"/>
    <x v="4"/>
    <x v="111"/>
    <x v="133"/>
    <n v="916109.09090909082"/>
    <n v="719800"/>
    <n v="287920"/>
  </r>
  <r>
    <x v="0"/>
    <x v="0"/>
    <s v="Сыр Качиотто 50% Добряна брус вес"/>
    <x v="4"/>
    <x v="112"/>
    <x v="134"/>
    <n v="4484000"/>
    <n v="2073850"/>
    <n v="2858550"/>
  </r>
  <r>
    <x v="0"/>
    <x v="0"/>
    <s v="Сыр Российский 50% Добряна брус вес"/>
    <x v="4"/>
    <x v="113"/>
    <x v="135"/>
    <n v="244045.45454545453"/>
    <n v="184080"/>
    <n v="84370"/>
  </r>
  <r>
    <x v="0"/>
    <x v="0"/>
    <s v="Cыр Охотничий со специями 50 % круг"/>
    <x v="4"/>
    <x v="114"/>
    <x v="136"/>
    <n v="1882636.3636363635"/>
    <n v="1564680"/>
    <n v="506220"/>
  </r>
  <r>
    <x v="0"/>
    <x v="0"/>
    <s v="Сыр Олдермани 50% Добряна брус вес"/>
    <x v="4"/>
    <x v="115"/>
    <x v="137"/>
    <n v="492381.81818181812"/>
    <n v="382320"/>
    <n v="159300"/>
  </r>
  <r>
    <x v="1"/>
    <x v="0"/>
    <s v="Сыр Король Артур 50% Добряна круг вес"/>
    <x v="4"/>
    <x v="116"/>
    <x v="138"/>
    <n v="480581.81818181812"/>
    <n v="377600"/>
    <n v="151040"/>
  </r>
  <r>
    <x v="1"/>
    <x v="0"/>
    <s v="Сыр Качиотто 50% Добряна брус вес"/>
    <x v="4"/>
    <x v="117"/>
    <x v="139"/>
    <n v="4153599.9999999995"/>
    <n v="1921040"/>
    <n v="2647920"/>
  </r>
  <r>
    <x v="1"/>
    <x v="0"/>
    <s v="Сыр Российский 50% Добряна брус вес"/>
    <x v="4"/>
    <x v="118"/>
    <x v="140"/>
    <n v="1670772.7272727271"/>
    <n v="1260240"/>
    <n v="577610"/>
  </r>
  <r>
    <x v="1"/>
    <x v="0"/>
    <s v="Cыр Охотничий со специями 50 % круг"/>
    <x v="4"/>
    <x v="113"/>
    <x v="141"/>
    <n v="313772.72727272724"/>
    <n v="260780"/>
    <n v="84370"/>
  </r>
  <r>
    <x v="1"/>
    <x v="0"/>
    <s v="Сыр Олдермани 50% Добряна брус вес"/>
    <x v="4"/>
    <x v="119"/>
    <x v="142"/>
    <n v="893581.81818181812"/>
    <n v="693840"/>
    <n v="289100"/>
  </r>
  <r>
    <x v="2"/>
    <x v="1"/>
    <s v="Сыр Король Артур 50% Добряна круг вес"/>
    <x v="4"/>
    <x v="120"/>
    <x v="143"/>
    <n v="435527.27272727271"/>
    <n v="342200"/>
    <n v="136880"/>
  </r>
  <r>
    <x v="2"/>
    <x v="1"/>
    <s v="Сыр Качиотто 50% Добряна брус вес"/>
    <x v="4"/>
    <x v="121"/>
    <x v="144"/>
    <n v="1085600"/>
    <n v="502090"/>
    <n v="692070"/>
  </r>
  <r>
    <x v="2"/>
    <x v="1"/>
    <s v="Сыр Российский 50% Добряна брус вес"/>
    <x v="4"/>
    <x v="114"/>
    <x v="145"/>
    <n v="1464272.7272727271"/>
    <n v="1104480"/>
    <n v="506220"/>
  </r>
  <r>
    <x v="2"/>
    <x v="1"/>
    <s v="Cыр Охотничий со специями 50 % круг"/>
    <x v="4"/>
    <x v="122"/>
    <x v="146"/>
    <n v="2341227.2727272725"/>
    <n v="1945820"/>
    <n v="629530"/>
  </r>
  <r>
    <x v="2"/>
    <x v="1"/>
    <s v="Сыр Олдермани 50% Добряна брус вес"/>
    <x v="4"/>
    <x v="123"/>
    <x v="147"/>
    <n v="729454.54545454541"/>
    <n v="566400"/>
    <n v="236000"/>
  </r>
  <r>
    <x v="3"/>
    <x v="2"/>
    <s v="Сыр Король Артур 50% Добряна круг вес"/>
    <x v="4"/>
    <x v="124"/>
    <x v="148"/>
    <n v="1501818.1818181816"/>
    <n v="1180000"/>
    <n v="472000"/>
  </r>
  <r>
    <x v="3"/>
    <x v="2"/>
    <s v="Сыр Качиотто 50% Добряна брус вес"/>
    <x v="4"/>
    <x v="125"/>
    <x v="149"/>
    <n v="1935199.9999999998"/>
    <n v="895030"/>
    <n v="1233690"/>
  </r>
  <r>
    <x v="3"/>
    <x v="2"/>
    <s v="Сыр Российский 50% Добряна брус вес"/>
    <x v="4"/>
    <x v="126"/>
    <x v="150"/>
    <n v="1201454.5454545454"/>
    <n v="906240"/>
    <n v="415360"/>
  </r>
  <r>
    <x v="3"/>
    <x v="2"/>
    <s v="Cыр Охотничий со специями 50 % круг"/>
    <x v="4"/>
    <x v="127"/>
    <x v="151"/>
    <n v="362045.45454545453"/>
    <n v="300900"/>
    <n v="97350"/>
  </r>
  <r>
    <x v="4"/>
    <x v="0"/>
    <s v="Сыр Олдермани 50% Добряна брус вес"/>
    <x v="4"/>
    <x v="128"/>
    <x v="152"/>
    <n v="255309.09090909088"/>
    <n v="198240"/>
    <n v="82600"/>
  </r>
  <r>
    <x v="4"/>
    <x v="0"/>
    <s v="Сыр Король Артур 50% Добряна круг вес"/>
    <x v="4"/>
    <x v="129"/>
    <x v="153"/>
    <n v="555672.72727272718"/>
    <n v="436600"/>
    <n v="174640"/>
  </r>
  <r>
    <x v="4"/>
    <x v="0"/>
    <s v="Сыр Качиотто 50% Добряна брус вес"/>
    <x v="4"/>
    <x v="130"/>
    <x v="154"/>
    <n v="3587199.9999999995"/>
    <n v="1659080"/>
    <n v="2286840"/>
  </r>
  <r>
    <x v="4"/>
    <x v="0"/>
    <s v="Сыр Российский 50% Добряна брус вес"/>
    <x v="4"/>
    <x v="131"/>
    <x v="155"/>
    <n v="412999.99999999994"/>
    <n v="311520"/>
    <n v="142780"/>
  </r>
  <r>
    <x v="4"/>
    <x v="0"/>
    <s v="Cыр Охотничий со специями 50 % круг"/>
    <x v="4"/>
    <x v="132"/>
    <x v="156"/>
    <n v="2196409.0909090908"/>
    <n v="1825460"/>
    <n v="590590"/>
  </r>
  <r>
    <x v="5"/>
    <x v="3"/>
    <s v="Сыр Олдермани 50% Добряна брус вес"/>
    <x v="4"/>
    <x v="133"/>
    <x v="157"/>
    <n v="0"/>
    <n v="0"/>
    <n v="0"/>
  </r>
  <r>
    <x v="5"/>
    <x v="3"/>
    <s v="Сыр Король Артур 50% Добряна круг вес"/>
    <x v="4"/>
    <x v="133"/>
    <x v="157"/>
    <n v="0"/>
    <n v="0"/>
    <n v="0"/>
  </r>
  <r>
    <x v="5"/>
    <x v="3"/>
    <s v="Сыр Качиотто 50% Добряна брус вес"/>
    <x v="4"/>
    <x v="133"/>
    <x v="157"/>
    <n v="0"/>
    <n v="0"/>
    <n v="0"/>
  </r>
  <r>
    <x v="5"/>
    <x v="3"/>
    <s v="Сыр Российский 50% Добряна брус вес"/>
    <x v="4"/>
    <x v="133"/>
    <x v="157"/>
    <n v="0"/>
    <n v="0"/>
    <n v="0"/>
  </r>
  <r>
    <x v="5"/>
    <x v="3"/>
    <s v="Cыр Охотничий со специями 50 % круг"/>
    <x v="4"/>
    <x v="133"/>
    <x v="157"/>
    <n v="0"/>
    <n v="0"/>
    <n v="0"/>
  </r>
  <r>
    <x v="6"/>
    <x v="4"/>
    <s v="Сыр Олдермани 50% Добряна брус вес"/>
    <x v="4"/>
    <x v="116"/>
    <x v="158"/>
    <n v="291781.81818181818"/>
    <n v="226560"/>
    <n v="94400"/>
  </r>
  <r>
    <x v="6"/>
    <x v="4"/>
    <s v="Сыр Король Артур 50% Добряна круг вес"/>
    <x v="4"/>
    <x v="122"/>
    <x v="159"/>
    <n v="1456763.6363636362"/>
    <n v="1144600"/>
    <n v="457840"/>
  </r>
  <r>
    <x v="6"/>
    <x v="4"/>
    <s v="Сыр Качиотто 50% Добряна брус вес"/>
    <x v="4"/>
    <x v="134"/>
    <x v="160"/>
    <n v="1840799.9999999998"/>
    <n v="851370"/>
    <n v="1173510"/>
  </r>
  <r>
    <x v="6"/>
    <x v="4"/>
    <s v="Сыр Российский 50% Добряна брус вес"/>
    <x v="4"/>
    <x v="135"/>
    <x v="161"/>
    <n v="262818.18181818182"/>
    <n v="198240"/>
    <n v="90860"/>
  </r>
  <r>
    <x v="6"/>
    <x v="4"/>
    <s v="Cыр Охотничий со специями 50 % круг"/>
    <x v="4"/>
    <x v="129"/>
    <x v="162"/>
    <n v="893045.45454545447"/>
    <n v="742220"/>
    <n v="24013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6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 colHeaderCaption="Неделя">
  <location ref="A3:G10" firstHeaderRow="1" firstDataRow="2" firstDataCol="1"/>
  <pivotFields count="9">
    <pivotField showAll="0">
      <items count="8">
        <item x="5"/>
        <item x="4"/>
        <item x="0"/>
        <item x="2"/>
        <item x="6"/>
        <item x="1"/>
        <item x="3"/>
        <item t="default"/>
      </items>
    </pivotField>
    <pivotField axis="axisRow" showAll="0" sortType="descending">
      <items count="6">
        <item x="3"/>
        <item x="0"/>
        <item x="2"/>
        <item x="4"/>
        <item x="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axis="axisCol" showAll="0">
      <items count="6">
        <item x="0"/>
        <item x="1"/>
        <item x="2"/>
        <item x="3"/>
        <item x="4"/>
        <item t="default"/>
      </items>
    </pivotField>
    <pivotField numFmtId="165" showAll="0">
      <items count="137">
        <item x="133"/>
        <item x="0"/>
        <item x="23"/>
        <item x="100"/>
        <item x="108"/>
        <item x="25"/>
        <item x="86"/>
        <item x="27"/>
        <item x="77"/>
        <item x="15"/>
        <item x="48"/>
        <item x="22"/>
        <item x="113"/>
        <item x="135"/>
        <item x="63"/>
        <item x="127"/>
        <item x="92"/>
        <item x="38"/>
        <item x="101"/>
        <item x="18"/>
        <item x="98"/>
        <item x="2"/>
        <item x="55"/>
        <item x="67"/>
        <item x="9"/>
        <item x="57"/>
        <item x="70"/>
        <item x="72"/>
        <item x="4"/>
        <item x="131"/>
        <item x="31"/>
        <item x="39"/>
        <item x="121"/>
        <item x="102"/>
        <item x="14"/>
        <item x="78"/>
        <item x="52"/>
        <item x="62"/>
        <item x="96"/>
        <item x="20"/>
        <item x="28"/>
        <item x="80"/>
        <item x="13"/>
        <item x="128"/>
        <item x="120"/>
        <item x="40"/>
        <item x="94"/>
        <item x="10"/>
        <item x="41"/>
        <item x="5"/>
        <item x="75"/>
        <item x="35"/>
        <item x="83"/>
        <item x="116"/>
        <item x="17"/>
        <item x="6"/>
        <item x="44"/>
        <item x="90"/>
        <item x="34"/>
        <item x="87"/>
        <item x="16"/>
        <item x="129"/>
        <item x="107"/>
        <item x="7"/>
        <item x="76"/>
        <item x="134"/>
        <item x="68"/>
        <item x="1"/>
        <item x="125"/>
        <item x="24"/>
        <item x="8"/>
        <item x="42"/>
        <item x="103"/>
        <item x="12"/>
        <item x="60"/>
        <item x="43"/>
        <item x="110"/>
        <item x="32"/>
        <item x="106"/>
        <item x="56"/>
        <item x="88"/>
        <item x="19"/>
        <item x="97"/>
        <item x="47"/>
        <item x="26"/>
        <item x="61"/>
        <item x="54"/>
        <item x="58"/>
        <item x="11"/>
        <item x="59"/>
        <item x="21"/>
        <item x="115"/>
        <item x="53"/>
        <item x="3"/>
        <item x="93"/>
        <item x="46"/>
        <item x="51"/>
        <item x="49"/>
        <item x="95"/>
        <item x="73"/>
        <item x="111"/>
        <item x="69"/>
        <item x="33"/>
        <item x="109"/>
        <item x="91"/>
        <item x="126"/>
        <item x="50"/>
        <item x="64"/>
        <item x="36"/>
        <item x="82"/>
        <item x="84"/>
        <item x="45"/>
        <item x="81"/>
        <item x="66"/>
        <item x="30"/>
        <item x="105"/>
        <item x="74"/>
        <item x="130"/>
        <item x="104"/>
        <item x="114"/>
        <item x="29"/>
        <item x="85"/>
        <item x="89"/>
        <item x="123"/>
        <item x="71"/>
        <item x="37"/>
        <item x="65"/>
        <item x="99"/>
        <item x="79"/>
        <item x="117"/>
        <item x="118"/>
        <item x="132"/>
        <item x="112"/>
        <item x="122"/>
        <item x="119"/>
        <item x="124"/>
        <item t="default"/>
      </items>
    </pivotField>
    <pivotField dataField="1" numFmtId="165" showAll="0">
      <items count="164">
        <item x="157"/>
        <item x="0"/>
        <item x="119"/>
        <item x="104"/>
        <item x="129"/>
        <item x="29"/>
        <item x="4"/>
        <item x="25"/>
        <item x="76"/>
        <item x="28"/>
        <item x="87"/>
        <item x="81"/>
        <item x="98"/>
        <item x="27"/>
        <item x="44"/>
        <item x="123"/>
        <item x="72"/>
        <item x="71"/>
        <item x="109"/>
        <item x="135"/>
        <item x="120"/>
        <item x="64"/>
        <item x="90"/>
        <item x="152"/>
        <item x="161"/>
        <item x="33"/>
        <item x="19"/>
        <item x="18"/>
        <item x="62"/>
        <item x="9"/>
        <item x="95"/>
        <item x="158"/>
        <item x="141"/>
        <item x="2"/>
        <item x="48"/>
        <item x="121"/>
        <item x="38"/>
        <item x="128"/>
        <item x="66"/>
        <item x="86"/>
        <item x="151"/>
        <item x="105"/>
        <item x="34"/>
        <item x="63"/>
        <item x="79"/>
        <item x="49"/>
        <item x="14"/>
        <item x="24"/>
        <item x="5"/>
        <item x="17"/>
        <item x="155"/>
        <item x="113"/>
        <item x="53"/>
        <item x="20"/>
        <item x="143"/>
        <item x="93"/>
        <item x="31"/>
        <item x="115"/>
        <item x="138"/>
        <item x="58"/>
        <item x="137"/>
        <item x="37"/>
        <item x="46"/>
        <item x="41"/>
        <item x="107"/>
        <item x="30"/>
        <item x="153"/>
        <item x="10"/>
        <item x="55"/>
        <item x="15"/>
        <item x="110"/>
        <item x="51"/>
        <item x="23"/>
        <item x="77"/>
        <item x="43"/>
        <item x="124"/>
        <item x="102"/>
        <item x="13"/>
        <item x="54"/>
        <item x="47"/>
        <item x="83"/>
        <item x="7"/>
        <item x="12"/>
        <item x="147"/>
        <item x="100"/>
        <item x="8"/>
        <item x="85"/>
        <item x="114"/>
        <item x="21"/>
        <item x="67"/>
        <item x="59"/>
        <item x="69"/>
        <item x="39"/>
        <item x="131"/>
        <item x="22"/>
        <item x="99"/>
        <item x="32"/>
        <item x="162"/>
        <item x="142"/>
        <item x="82"/>
        <item x="133"/>
        <item x="11"/>
        <item x="61"/>
        <item x="96"/>
        <item x="56"/>
        <item x="91"/>
        <item x="45"/>
        <item x="112"/>
        <item x="94"/>
        <item x="144"/>
        <item x="117"/>
        <item x="60"/>
        <item x="127"/>
        <item x="88"/>
        <item x="26"/>
        <item x="150"/>
        <item x="36"/>
        <item x="70"/>
        <item x="3"/>
        <item x="132"/>
        <item x="16"/>
        <item x="126"/>
        <item x="84"/>
        <item x="108"/>
        <item x="159"/>
        <item x="145"/>
        <item x="42"/>
        <item x="148"/>
        <item x="6"/>
        <item x="52"/>
        <item x="103"/>
        <item x="74"/>
        <item x="122"/>
        <item x="57"/>
        <item x="40"/>
        <item x="89"/>
        <item x="75"/>
        <item x="140"/>
        <item x="160"/>
        <item x="1"/>
        <item x="136"/>
        <item x="149"/>
        <item x="80"/>
        <item x="50"/>
        <item x="118"/>
        <item x="156"/>
        <item x="65"/>
        <item x="146"/>
        <item x="111"/>
        <item x="68"/>
        <item x="106"/>
        <item x="78"/>
        <item x="130"/>
        <item x="73"/>
        <item x="92"/>
        <item x="116"/>
        <item x="35"/>
        <item x="154"/>
        <item x="125"/>
        <item x="97"/>
        <item x="101"/>
        <item x="139"/>
        <item x="134"/>
        <item t="default"/>
      </items>
    </pivotField>
    <pivotField numFmtId="165" showAll="0"/>
    <pivotField numFmtId="165" showAll="0"/>
    <pivotField numFmtId="165" showAll="0"/>
  </pivotFields>
  <rowFields count="1">
    <field x="1"/>
  </rowFields>
  <rowItems count="6">
    <i>
      <x v="1"/>
    </i>
    <i>
      <x v="4"/>
    </i>
    <i>
      <x v="2"/>
    </i>
    <i>
      <x v="3"/>
    </i>
    <i>
      <x/>
    </i>
    <i t="grand">
      <x/>
    </i>
  </rowItems>
  <colFields count="1">
    <field x="3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Сумма по полю выручка с НДС" fld="5" baseField="1" baseItem="0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Продажи" displayName="Продажи" ref="A6:I176" totalsRowShown="0" headerRowDxfId="2" dataDxfId="3" headerRowBorderDxfId="12" tableBorderDxfId="13" totalsRowBorderDxfId="11" dataCellStyle="Финансовый">
  <autoFilter ref="A6:I176"/>
  <tableColumns count="9">
    <tableColumn id="1" name="Клиент" dataDxfId="10"/>
    <tableColumn id="2" name="Область" dataDxfId="9" dataCellStyle="Финансовый">
      <calculatedColumnFormula>VLOOKUP(A7,'Задание 1'!$B$53:$C$59,2,FALSE)</calculatedColumnFormula>
    </tableColumn>
    <tableColumn id="3" name="Столбец1" dataDxfId="8"/>
    <tableColumn id="4" name="Неделя" dataDxfId="7"/>
    <tableColumn id="5" name="вес" dataDxfId="6" dataCellStyle="Финансовый"/>
    <tableColumn id="6" name="выручка с НДС" dataDxfId="5" dataCellStyle="Финансовый"/>
    <tableColumn id="7" name="выручка без НДС" dataDxfId="1" dataCellStyle="Финансовый">
      <calculatedColumnFormula>Продажи[[#This Row],[выручка с НДС]]/(1+0.1)</calculatedColumnFormula>
    </tableColumn>
    <tableColumn id="8" name="Себестоимость" dataDxfId="4" dataCellStyle="Финансовый"/>
    <tableColumn id="9" name="Маржа" dataDxfId="0" dataCellStyle="Финансовый">
      <calculatedColumnFormula>Продажи[[#This Row],[выручка с НДС]]-Продажи[[#This Row],[Себестоимость]]</calculatedColumnFormula>
    </tableColumn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"/>
  <sheetViews>
    <sheetView tabSelected="1" workbookViewId="0">
      <pane xSplit="3" ySplit="4" topLeftCell="D5" activePane="bottomRight" state="frozen"/>
      <selection pane="topRight" activeCell="D1" sqref="D1"/>
      <selection pane="bottomLeft" activeCell="A4" sqref="A4"/>
      <selection pane="bottomRight" activeCell="I8" sqref="I8"/>
    </sheetView>
  </sheetViews>
  <sheetFormatPr defaultRowHeight="11.25" x14ac:dyDescent="0.2"/>
  <cols>
    <col min="1" max="1" width="6.6640625" customWidth="1"/>
    <col min="2" max="2" width="28.1640625" bestFit="1" customWidth="1"/>
    <col min="3" max="3" width="40.5" bestFit="1" customWidth="1"/>
    <col min="4" max="5" width="15.1640625" customWidth="1"/>
    <col min="6" max="6" width="15.83203125" customWidth="1"/>
    <col min="7" max="18" width="15.1640625" customWidth="1"/>
    <col min="19" max="21" width="15.5" customWidth="1"/>
  </cols>
  <sheetData>
    <row r="1" spans="1:21" x14ac:dyDescent="0.2">
      <c r="A1" t="s">
        <v>61</v>
      </c>
    </row>
    <row r="3" spans="1:21" x14ac:dyDescent="0.2">
      <c r="B3" s="42" t="s">
        <v>59</v>
      </c>
      <c r="C3" s="42"/>
      <c r="D3" s="41" t="s">
        <v>3</v>
      </c>
      <c r="E3" s="41"/>
      <c r="F3" s="41"/>
      <c r="G3" s="41" t="s">
        <v>4</v>
      </c>
      <c r="H3" s="41"/>
      <c r="I3" s="41"/>
      <c r="J3" s="41" t="s">
        <v>5</v>
      </c>
      <c r="K3" s="41"/>
      <c r="L3" s="41"/>
      <c r="M3" s="41" t="s">
        <v>6</v>
      </c>
      <c r="N3" s="41"/>
      <c r="O3" s="41"/>
      <c r="P3" s="41" t="s">
        <v>7</v>
      </c>
      <c r="Q3" s="41"/>
      <c r="R3" s="41"/>
      <c r="S3" s="41" t="s">
        <v>45</v>
      </c>
      <c r="T3" s="41"/>
      <c r="U3" s="41"/>
    </row>
    <row r="4" spans="1:21" ht="34.5" customHeight="1" x14ac:dyDescent="0.2">
      <c r="A4" s="5" t="s">
        <v>32</v>
      </c>
      <c r="B4" s="5" t="s">
        <v>0</v>
      </c>
      <c r="C4" s="5" t="s">
        <v>1</v>
      </c>
      <c r="D4" s="6" t="s">
        <v>10</v>
      </c>
      <c r="E4" s="6" t="s">
        <v>11</v>
      </c>
      <c r="F4" s="6" t="s">
        <v>12</v>
      </c>
      <c r="G4" s="6" t="s">
        <v>10</v>
      </c>
      <c r="H4" s="6" t="s">
        <v>11</v>
      </c>
      <c r="I4" s="6" t="s">
        <v>12</v>
      </c>
      <c r="J4" s="6" t="s">
        <v>10</v>
      </c>
      <c r="K4" s="6" t="s">
        <v>11</v>
      </c>
      <c r="L4" s="6" t="s">
        <v>12</v>
      </c>
      <c r="M4" s="6" t="s">
        <v>10</v>
      </c>
      <c r="N4" s="6" t="s">
        <v>11</v>
      </c>
      <c r="O4" s="6" t="s">
        <v>12</v>
      </c>
      <c r="P4" s="6" t="s">
        <v>10</v>
      </c>
      <c r="Q4" s="6" t="s">
        <v>11</v>
      </c>
      <c r="R4" s="6" t="s">
        <v>12</v>
      </c>
      <c r="S4" s="6" t="s">
        <v>10</v>
      </c>
      <c r="T4" s="6" t="s">
        <v>11</v>
      </c>
      <c r="U4" s="6" t="s">
        <v>12</v>
      </c>
    </row>
    <row r="5" spans="1:21" x14ac:dyDescent="0.2">
      <c r="A5" s="2">
        <v>1</v>
      </c>
      <c r="B5" s="9" t="s">
        <v>33</v>
      </c>
      <c r="C5" s="9" t="s">
        <v>40</v>
      </c>
      <c r="D5" s="7">
        <v>330</v>
      </c>
      <c r="E5" s="11">
        <v>82500</v>
      </c>
      <c r="F5" s="11">
        <v>59400</v>
      </c>
      <c r="G5" s="7">
        <v>1612</v>
      </c>
      <c r="H5" s="11">
        <f>VLOOKUP(C5,$C$44:$I$48,6,FALSE)*G5</f>
        <v>403000</v>
      </c>
      <c r="I5" s="11">
        <f>VLOOKUP(C5,$C$44:$I$48,7,FALSE)*G5</f>
        <v>290160</v>
      </c>
      <c r="J5" s="7">
        <v>3060</v>
      </c>
      <c r="K5" s="11">
        <f>VLOOKUP(C5,$C$44:$K$48,9,FALSE)*J5</f>
        <v>856800</v>
      </c>
      <c r="L5" s="11">
        <f>VLOOKUP(C5,$C$44:$L$48,10,FALSE)*J5</f>
        <v>612000</v>
      </c>
      <c r="M5" s="7">
        <v>2907</v>
      </c>
      <c r="N5" s="11">
        <f>VLOOKUP(C5,$C$44:$N$48,12,FALSE)*M5</f>
        <v>813960</v>
      </c>
      <c r="O5" s="11">
        <f>VLOOKUP(C5,C44:$O$48,13,FALSE)*M5</f>
        <v>581400</v>
      </c>
      <c r="P5" s="7">
        <v>3599</v>
      </c>
      <c r="Q5" s="11">
        <f>VLOOKUP(C5,$C$44:$Q$48,15,FALSE)*P5</f>
        <v>1007720</v>
      </c>
      <c r="R5" s="11">
        <f>VLOOKUP(C5,$C$44:$R$48,16,FALSE)*P5</f>
        <v>719800</v>
      </c>
      <c r="S5" s="11">
        <f>SUM(D5,G5,J5,M5,P5)</f>
        <v>11508</v>
      </c>
      <c r="T5" s="11">
        <f>SUM(E5,H5,K5,N5,Q5)</f>
        <v>3163980</v>
      </c>
      <c r="U5" s="11">
        <f>SUM(F5,I5,L5,O5,R5)</f>
        <v>2262760</v>
      </c>
    </row>
    <row r="6" spans="1:21" x14ac:dyDescent="0.2">
      <c r="A6" s="2">
        <v>2</v>
      </c>
      <c r="B6" s="9" t="s">
        <v>33</v>
      </c>
      <c r="C6" s="9" t="s">
        <v>41</v>
      </c>
      <c r="D6" s="7">
        <v>2409</v>
      </c>
      <c r="E6" s="11">
        <v>2047650</v>
      </c>
      <c r="F6" s="11">
        <v>843150</v>
      </c>
      <c r="G6" s="7">
        <v>4628</v>
      </c>
      <c r="H6" s="11">
        <f t="shared" ref="H6:H38" si="0">VLOOKUP(C6,$C$44:$I$48,6,FALSE)*G6</f>
        <v>3933800</v>
      </c>
      <c r="I6" s="11">
        <f t="shared" ref="I6:I38" si="1">VLOOKUP(C6,$C$44:$I$48,7,FALSE)*G6</f>
        <v>1619800</v>
      </c>
      <c r="J6" s="7">
        <v>3111</v>
      </c>
      <c r="K6" s="11">
        <f t="shared" ref="K6:K38" si="2">VLOOKUP(C6,$C$44:$K$48,9,FALSE)*J6</f>
        <v>2737680</v>
      </c>
      <c r="L6" s="11">
        <f t="shared" ref="L6:L38" si="3">VLOOKUP(C6,$C$44:$L$48,10,FALSE)*J6</f>
        <v>1151070</v>
      </c>
      <c r="M6" s="7">
        <v>4692</v>
      </c>
      <c r="N6" s="11">
        <f t="shared" ref="N6:N38" si="4">VLOOKUP(C6,$C$44:$N$48,12,FALSE)*M6</f>
        <v>4128960</v>
      </c>
      <c r="O6" s="11">
        <f>VLOOKUP(C6,C45:$O$48,13,FALSE)*M6</f>
        <v>1736040</v>
      </c>
      <c r="P6" s="7">
        <v>5605</v>
      </c>
      <c r="Q6" s="11">
        <f t="shared" ref="Q6:Q38" si="5">VLOOKUP(C6,$C$44:$Q$48,15,FALSE)*P6</f>
        <v>4932400</v>
      </c>
      <c r="R6" s="11">
        <f t="shared" ref="R6:R38" si="6">VLOOKUP(C6,$C$44:$R$48,16,FALSE)*P6</f>
        <v>2073850</v>
      </c>
      <c r="S6" s="11">
        <f t="shared" ref="S6:S38" si="7">SUM(D6,G6,J6,M6,P6)</f>
        <v>20445</v>
      </c>
      <c r="T6" s="11">
        <f t="shared" ref="T6:T38" si="8">SUM(E6,H6,K6,N6,Q6)</f>
        <v>17780490</v>
      </c>
      <c r="U6" s="11">
        <f t="shared" ref="U6:U38" si="9">SUM(F6,I6,L6,O6,R6)</f>
        <v>7423910</v>
      </c>
    </row>
    <row r="7" spans="1:21" x14ac:dyDescent="0.2">
      <c r="A7" s="2">
        <v>3</v>
      </c>
      <c r="B7" s="9" t="s">
        <v>33</v>
      </c>
      <c r="C7" s="9" t="s">
        <v>42</v>
      </c>
      <c r="D7" s="7">
        <v>1089</v>
      </c>
      <c r="E7" s="11">
        <v>348480</v>
      </c>
      <c r="F7" s="11">
        <v>239580</v>
      </c>
      <c r="G7" s="7">
        <v>4160</v>
      </c>
      <c r="H7" s="11">
        <f t="shared" si="0"/>
        <v>1331200</v>
      </c>
      <c r="I7" s="11">
        <f t="shared" si="1"/>
        <v>915200</v>
      </c>
      <c r="J7" s="7">
        <v>2550</v>
      </c>
      <c r="K7" s="11">
        <f t="shared" si="2"/>
        <v>892500</v>
      </c>
      <c r="L7" s="11">
        <f t="shared" si="3"/>
        <v>612000</v>
      </c>
      <c r="M7" s="7">
        <v>2040</v>
      </c>
      <c r="N7" s="11">
        <f t="shared" si="4"/>
        <v>714000</v>
      </c>
      <c r="O7" s="11">
        <f>VLOOKUP(C7,C46:$O$48,13,FALSE)*M7</f>
        <v>489600</v>
      </c>
      <c r="P7" s="7">
        <v>767</v>
      </c>
      <c r="Q7" s="11">
        <f t="shared" si="5"/>
        <v>268450</v>
      </c>
      <c r="R7" s="11">
        <f t="shared" si="6"/>
        <v>184080</v>
      </c>
      <c r="S7" s="11">
        <f t="shared" si="7"/>
        <v>10606</v>
      </c>
      <c r="T7" s="11">
        <f t="shared" si="8"/>
        <v>3554630</v>
      </c>
      <c r="U7" s="11">
        <f t="shared" si="9"/>
        <v>2440460</v>
      </c>
    </row>
    <row r="8" spans="1:21" x14ac:dyDescent="0.2">
      <c r="A8" s="2">
        <v>4</v>
      </c>
      <c r="B8" s="9" t="s">
        <v>33</v>
      </c>
      <c r="C8" s="9" t="s">
        <v>43</v>
      </c>
      <c r="D8" s="7">
        <v>3267</v>
      </c>
      <c r="E8" s="11">
        <v>1372140</v>
      </c>
      <c r="F8" s="11">
        <v>1045440</v>
      </c>
      <c r="G8" s="7">
        <v>1300</v>
      </c>
      <c r="H8" s="11">
        <f t="shared" si="0"/>
        <v>546000</v>
      </c>
      <c r="I8" s="11">
        <f t="shared" si="1"/>
        <v>416000</v>
      </c>
      <c r="J8" s="7">
        <v>3009</v>
      </c>
      <c r="K8" s="11">
        <f t="shared" si="2"/>
        <v>1354050</v>
      </c>
      <c r="L8" s="11">
        <f t="shared" si="3"/>
        <v>1023060</v>
      </c>
      <c r="M8" s="7">
        <v>3774</v>
      </c>
      <c r="N8" s="11">
        <f t="shared" si="4"/>
        <v>1698300</v>
      </c>
      <c r="O8" s="11">
        <f>VLOOKUP(C8,C47:$O$48,13,FALSE)*M8</f>
        <v>1283160</v>
      </c>
      <c r="P8" s="7">
        <v>4602</v>
      </c>
      <c r="Q8" s="11">
        <f t="shared" si="5"/>
        <v>2070900</v>
      </c>
      <c r="R8" s="11">
        <f t="shared" si="6"/>
        <v>1564680</v>
      </c>
      <c r="S8" s="11">
        <f t="shared" si="7"/>
        <v>15952</v>
      </c>
      <c r="T8" s="11">
        <f t="shared" si="8"/>
        <v>7041390</v>
      </c>
      <c r="U8" s="11">
        <f t="shared" si="9"/>
        <v>5332340</v>
      </c>
    </row>
    <row r="9" spans="1:21" x14ac:dyDescent="0.2">
      <c r="A9" s="2">
        <v>5</v>
      </c>
      <c r="B9" s="9" t="s">
        <v>33</v>
      </c>
      <c r="C9" s="9" t="s">
        <v>44</v>
      </c>
      <c r="D9" s="7">
        <v>1287</v>
      </c>
      <c r="E9" s="11">
        <v>180180</v>
      </c>
      <c r="F9" s="11">
        <v>128700</v>
      </c>
      <c r="G9" s="7">
        <v>2652</v>
      </c>
      <c r="H9" s="11">
        <f t="shared" si="0"/>
        <v>371280</v>
      </c>
      <c r="I9" s="11">
        <f t="shared" si="1"/>
        <v>265200</v>
      </c>
      <c r="J9" s="7">
        <v>1479</v>
      </c>
      <c r="K9" s="11">
        <f t="shared" si="2"/>
        <v>251430</v>
      </c>
      <c r="L9" s="11">
        <f t="shared" si="3"/>
        <v>177480</v>
      </c>
      <c r="M9" s="7">
        <v>918</v>
      </c>
      <c r="N9" s="11">
        <f t="shared" si="4"/>
        <v>156060</v>
      </c>
      <c r="O9" s="11">
        <f>VLOOKUP(C9,C48:$O$48,13,FALSE)*M9</f>
        <v>110160</v>
      </c>
      <c r="P9" s="7">
        <v>3186</v>
      </c>
      <c r="Q9" s="11">
        <f t="shared" si="5"/>
        <v>541620</v>
      </c>
      <c r="R9" s="11">
        <f t="shared" si="6"/>
        <v>382320</v>
      </c>
      <c r="S9" s="11">
        <f t="shared" si="7"/>
        <v>9522</v>
      </c>
      <c r="T9" s="11">
        <f t="shared" si="8"/>
        <v>1500570</v>
      </c>
      <c r="U9" s="11">
        <f t="shared" si="9"/>
        <v>1063860</v>
      </c>
    </row>
    <row r="10" spans="1:21" x14ac:dyDescent="0.2">
      <c r="A10" s="2">
        <v>6</v>
      </c>
      <c r="B10" s="9" t="s">
        <v>34</v>
      </c>
      <c r="C10" s="9" t="s">
        <v>40</v>
      </c>
      <c r="D10" s="7">
        <v>1815</v>
      </c>
      <c r="E10" s="11">
        <v>453750</v>
      </c>
      <c r="F10" s="11">
        <v>326700</v>
      </c>
      <c r="G10" s="7">
        <v>3640</v>
      </c>
      <c r="H10" s="11">
        <f t="shared" si="0"/>
        <v>910000</v>
      </c>
      <c r="I10" s="11">
        <f t="shared" si="1"/>
        <v>655200</v>
      </c>
      <c r="J10" s="7">
        <v>867</v>
      </c>
      <c r="K10" s="11">
        <f t="shared" si="2"/>
        <v>242760</v>
      </c>
      <c r="L10" s="11">
        <f t="shared" si="3"/>
        <v>173400</v>
      </c>
      <c r="M10" s="7">
        <v>1428</v>
      </c>
      <c r="N10" s="11">
        <f t="shared" si="4"/>
        <v>399840</v>
      </c>
      <c r="O10" s="11">
        <f>VLOOKUP(C10,C44:$O$48,13,FALSE)*M10</f>
        <v>285600</v>
      </c>
      <c r="P10" s="7">
        <v>1888</v>
      </c>
      <c r="Q10" s="11">
        <f t="shared" si="5"/>
        <v>528640</v>
      </c>
      <c r="R10" s="11">
        <f t="shared" si="6"/>
        <v>377600</v>
      </c>
      <c r="S10" s="11">
        <f t="shared" si="7"/>
        <v>9638</v>
      </c>
      <c r="T10" s="11">
        <f t="shared" si="8"/>
        <v>2534990</v>
      </c>
      <c r="U10" s="11">
        <f t="shared" si="9"/>
        <v>1818500</v>
      </c>
    </row>
    <row r="11" spans="1:21" x14ac:dyDescent="0.2">
      <c r="A11" s="2">
        <v>7</v>
      </c>
      <c r="B11" s="9" t="s">
        <v>34</v>
      </c>
      <c r="C11" s="9" t="s">
        <v>41</v>
      </c>
      <c r="D11" s="7">
        <v>1947</v>
      </c>
      <c r="E11" s="11">
        <v>1654950</v>
      </c>
      <c r="F11" s="11">
        <v>681450</v>
      </c>
      <c r="G11" s="7">
        <v>2080</v>
      </c>
      <c r="H11" s="11">
        <f t="shared" si="0"/>
        <v>1768000</v>
      </c>
      <c r="I11" s="11">
        <f t="shared" si="1"/>
        <v>728000</v>
      </c>
      <c r="J11" s="7">
        <v>3825</v>
      </c>
      <c r="K11" s="11">
        <f t="shared" si="2"/>
        <v>3366000</v>
      </c>
      <c r="L11" s="11">
        <f t="shared" si="3"/>
        <v>1415250</v>
      </c>
      <c r="M11" s="7">
        <v>3366</v>
      </c>
      <c r="N11" s="11">
        <f t="shared" si="4"/>
        <v>2962080</v>
      </c>
      <c r="O11" s="11">
        <f>VLOOKUP(C11,C45:$O$48,13,FALSE)*M11</f>
        <v>1245420</v>
      </c>
      <c r="P11" s="7">
        <v>5192</v>
      </c>
      <c r="Q11" s="11">
        <f t="shared" si="5"/>
        <v>4568960</v>
      </c>
      <c r="R11" s="11">
        <f t="shared" si="6"/>
        <v>1921040</v>
      </c>
      <c r="S11" s="11">
        <f t="shared" si="7"/>
        <v>16410</v>
      </c>
      <c r="T11" s="11">
        <f t="shared" si="8"/>
        <v>14319990</v>
      </c>
      <c r="U11" s="11">
        <f t="shared" si="9"/>
        <v>5991160</v>
      </c>
    </row>
    <row r="12" spans="1:21" x14ac:dyDescent="0.2">
      <c r="A12" s="2">
        <v>8</v>
      </c>
      <c r="B12" s="9" t="s">
        <v>34</v>
      </c>
      <c r="C12" s="9" t="s">
        <v>42</v>
      </c>
      <c r="D12" s="7">
        <v>2409</v>
      </c>
      <c r="E12" s="11">
        <v>770880</v>
      </c>
      <c r="F12" s="11">
        <v>529980</v>
      </c>
      <c r="G12" s="7">
        <v>1872</v>
      </c>
      <c r="H12" s="11">
        <f t="shared" si="0"/>
        <v>599040</v>
      </c>
      <c r="I12" s="11">
        <f t="shared" si="1"/>
        <v>411840</v>
      </c>
      <c r="J12" s="7">
        <v>4947</v>
      </c>
      <c r="K12" s="11">
        <f t="shared" si="2"/>
        <v>1731450</v>
      </c>
      <c r="L12" s="11">
        <f t="shared" si="3"/>
        <v>1187280</v>
      </c>
      <c r="M12" s="7">
        <v>1734</v>
      </c>
      <c r="N12" s="11">
        <f t="shared" si="4"/>
        <v>606900</v>
      </c>
      <c r="O12" s="11">
        <f>VLOOKUP(C12,C46:$O$48,13,FALSE)*M12</f>
        <v>416160</v>
      </c>
      <c r="P12" s="7">
        <v>5251</v>
      </c>
      <c r="Q12" s="11">
        <f t="shared" si="5"/>
        <v>1837850</v>
      </c>
      <c r="R12" s="11">
        <f t="shared" si="6"/>
        <v>1260240</v>
      </c>
      <c r="S12" s="11">
        <f t="shared" si="7"/>
        <v>16213</v>
      </c>
      <c r="T12" s="11">
        <f t="shared" si="8"/>
        <v>5546120</v>
      </c>
      <c r="U12" s="11">
        <f t="shared" si="9"/>
        <v>3805500</v>
      </c>
    </row>
    <row r="13" spans="1:21" x14ac:dyDescent="0.2">
      <c r="A13" s="2">
        <v>9</v>
      </c>
      <c r="B13" s="9" t="s">
        <v>34</v>
      </c>
      <c r="C13" s="9" t="s">
        <v>43</v>
      </c>
      <c r="D13" s="7">
        <v>1947</v>
      </c>
      <c r="E13" s="11">
        <v>817740</v>
      </c>
      <c r="F13" s="11">
        <v>623040</v>
      </c>
      <c r="G13" s="7">
        <v>3848</v>
      </c>
      <c r="H13" s="11">
        <f t="shared" si="0"/>
        <v>1616160</v>
      </c>
      <c r="I13" s="11">
        <f>VLOOKUP(C13,$C$44:$I$48,7,FALSE)*G13</f>
        <v>1231360</v>
      </c>
      <c r="J13" s="7">
        <v>4080</v>
      </c>
      <c r="K13" s="11">
        <f>VLOOKUP(C13,$C$44:$K$48,9,FALSE)*J13</f>
        <v>1836000</v>
      </c>
      <c r="L13" s="11">
        <f t="shared" si="3"/>
        <v>1387200</v>
      </c>
      <c r="M13" s="7">
        <v>3519</v>
      </c>
      <c r="N13" s="11">
        <f t="shared" si="4"/>
        <v>1583550</v>
      </c>
      <c r="O13" s="11">
        <f>VLOOKUP(C13,C47:$O$48,13,FALSE)*M13</f>
        <v>1196460</v>
      </c>
      <c r="P13" s="7">
        <v>767</v>
      </c>
      <c r="Q13" s="11">
        <f t="shared" si="5"/>
        <v>345150</v>
      </c>
      <c r="R13" s="11">
        <f t="shared" si="6"/>
        <v>260780</v>
      </c>
      <c r="S13" s="11">
        <f t="shared" si="7"/>
        <v>14161</v>
      </c>
      <c r="T13" s="11">
        <f t="shared" si="8"/>
        <v>6198600</v>
      </c>
      <c r="U13" s="11">
        <f t="shared" si="9"/>
        <v>4698840</v>
      </c>
    </row>
    <row r="14" spans="1:21" x14ac:dyDescent="0.2">
      <c r="A14" s="2">
        <v>10</v>
      </c>
      <c r="B14" s="9" t="s">
        <v>34</v>
      </c>
      <c r="C14" s="9" t="s">
        <v>44</v>
      </c>
      <c r="D14" s="7">
        <v>2277</v>
      </c>
      <c r="E14" s="11">
        <v>318780</v>
      </c>
      <c r="F14" s="11">
        <v>227700</v>
      </c>
      <c r="G14" s="7">
        <v>4836</v>
      </c>
      <c r="H14" s="11">
        <f t="shared" si="0"/>
        <v>677040</v>
      </c>
      <c r="I14" s="11">
        <f t="shared" si="1"/>
        <v>483600</v>
      </c>
      <c r="J14" s="7">
        <v>1122</v>
      </c>
      <c r="K14" s="11">
        <f t="shared" si="2"/>
        <v>190740</v>
      </c>
      <c r="L14" s="11">
        <f t="shared" si="3"/>
        <v>134640</v>
      </c>
      <c r="M14" s="7">
        <v>1530</v>
      </c>
      <c r="N14" s="11">
        <f t="shared" si="4"/>
        <v>260100</v>
      </c>
      <c r="O14" s="11">
        <f>VLOOKUP(C14,C48:$O$48,13,FALSE)*M14</f>
        <v>183600</v>
      </c>
      <c r="P14" s="7">
        <v>5782</v>
      </c>
      <c r="Q14" s="11">
        <f t="shared" si="5"/>
        <v>982940</v>
      </c>
      <c r="R14" s="11">
        <f t="shared" si="6"/>
        <v>693840</v>
      </c>
      <c r="S14" s="11">
        <f t="shared" si="7"/>
        <v>15547</v>
      </c>
      <c r="T14" s="11">
        <f t="shared" si="8"/>
        <v>2429600</v>
      </c>
      <c r="U14" s="11">
        <f t="shared" si="9"/>
        <v>1723380</v>
      </c>
    </row>
    <row r="15" spans="1:21" x14ac:dyDescent="0.2">
      <c r="A15" s="2">
        <v>11</v>
      </c>
      <c r="B15" s="9" t="s">
        <v>35</v>
      </c>
      <c r="C15" s="9" t="s">
        <v>40</v>
      </c>
      <c r="D15" s="7">
        <v>2475</v>
      </c>
      <c r="E15" s="11">
        <v>618750</v>
      </c>
      <c r="F15" s="11">
        <v>445500</v>
      </c>
      <c r="G15" s="7">
        <v>936</v>
      </c>
      <c r="H15" s="11">
        <f t="shared" si="0"/>
        <v>234000</v>
      </c>
      <c r="I15" s="11">
        <f t="shared" si="1"/>
        <v>168480</v>
      </c>
      <c r="J15" s="7">
        <v>2397</v>
      </c>
      <c r="K15" s="11">
        <f t="shared" si="2"/>
        <v>671160</v>
      </c>
      <c r="L15" s="11">
        <f t="shared" si="3"/>
        <v>479400</v>
      </c>
      <c r="M15" s="7">
        <v>2295</v>
      </c>
      <c r="N15" s="11">
        <f t="shared" si="4"/>
        <v>642600</v>
      </c>
      <c r="O15" s="11">
        <f>VLOOKUP(C15,C44:$O$48,13,FALSE)*M15</f>
        <v>459000</v>
      </c>
      <c r="P15" s="7">
        <v>1711</v>
      </c>
      <c r="Q15" s="11">
        <f t="shared" si="5"/>
        <v>479080</v>
      </c>
      <c r="R15" s="11">
        <f t="shared" si="6"/>
        <v>342200</v>
      </c>
      <c r="S15" s="11">
        <f t="shared" si="7"/>
        <v>9814</v>
      </c>
      <c r="T15" s="11">
        <f t="shared" si="8"/>
        <v>2645590</v>
      </c>
      <c r="U15" s="11">
        <f t="shared" si="9"/>
        <v>1894580</v>
      </c>
    </row>
    <row r="16" spans="1:21" x14ac:dyDescent="0.2">
      <c r="A16" s="2">
        <v>12</v>
      </c>
      <c r="B16" s="9" t="s">
        <v>35</v>
      </c>
      <c r="C16" s="9" t="s">
        <v>41</v>
      </c>
      <c r="D16" s="7">
        <v>1188</v>
      </c>
      <c r="E16" s="11">
        <v>1009800</v>
      </c>
      <c r="F16" s="11">
        <v>415800</v>
      </c>
      <c r="G16" s="7">
        <v>1352</v>
      </c>
      <c r="H16" s="11">
        <f t="shared" si="0"/>
        <v>1149200</v>
      </c>
      <c r="I16" s="11">
        <f t="shared" si="1"/>
        <v>473200</v>
      </c>
      <c r="J16" s="7">
        <v>3621</v>
      </c>
      <c r="K16" s="11">
        <f t="shared" si="2"/>
        <v>3186480</v>
      </c>
      <c r="L16" s="11">
        <f t="shared" si="3"/>
        <v>1339770</v>
      </c>
      <c r="M16" s="7">
        <v>2958</v>
      </c>
      <c r="N16" s="11">
        <f t="shared" si="4"/>
        <v>2603040</v>
      </c>
      <c r="O16" s="11">
        <f>VLOOKUP(C16,C45:$O$48,13,FALSE)*M16</f>
        <v>1094460</v>
      </c>
      <c r="P16" s="7">
        <v>1357</v>
      </c>
      <c r="Q16" s="11">
        <f t="shared" si="5"/>
        <v>1194160</v>
      </c>
      <c r="R16" s="11">
        <f t="shared" si="6"/>
        <v>502090</v>
      </c>
      <c r="S16" s="11">
        <f t="shared" si="7"/>
        <v>10476</v>
      </c>
      <c r="T16" s="11">
        <f t="shared" si="8"/>
        <v>9142680</v>
      </c>
      <c r="U16" s="11">
        <f t="shared" si="9"/>
        <v>3825320</v>
      </c>
    </row>
    <row r="17" spans="1:21" x14ac:dyDescent="0.2">
      <c r="A17" s="2">
        <v>13</v>
      </c>
      <c r="B17" s="9" t="s">
        <v>35</v>
      </c>
      <c r="C17" s="9" t="s">
        <v>42</v>
      </c>
      <c r="D17" s="7">
        <v>2475</v>
      </c>
      <c r="E17" s="11">
        <v>792000</v>
      </c>
      <c r="F17" s="11">
        <v>544500</v>
      </c>
      <c r="G17" s="7">
        <v>1716</v>
      </c>
      <c r="H17" s="11">
        <f t="shared" si="0"/>
        <v>549120</v>
      </c>
      <c r="I17" s="11">
        <f t="shared" si="1"/>
        <v>377520</v>
      </c>
      <c r="J17" s="7">
        <v>1224</v>
      </c>
      <c r="K17" s="11">
        <f t="shared" si="2"/>
        <v>428400</v>
      </c>
      <c r="L17" s="11">
        <f t="shared" si="3"/>
        <v>293760</v>
      </c>
      <c r="M17" s="7">
        <v>3366</v>
      </c>
      <c r="N17" s="11">
        <f t="shared" si="4"/>
        <v>1178100</v>
      </c>
      <c r="O17" s="11">
        <f>VLOOKUP(C17,C46:$O$48,13,FALSE)*M17</f>
        <v>807840</v>
      </c>
      <c r="P17" s="7">
        <v>4602</v>
      </c>
      <c r="Q17" s="11">
        <f t="shared" si="5"/>
        <v>1610700</v>
      </c>
      <c r="R17" s="11">
        <f t="shared" si="6"/>
        <v>1104480</v>
      </c>
      <c r="S17" s="11">
        <f t="shared" si="7"/>
        <v>13383</v>
      </c>
      <c r="T17" s="11">
        <f t="shared" si="8"/>
        <v>4558320</v>
      </c>
      <c r="U17" s="11">
        <f t="shared" si="9"/>
        <v>3128100</v>
      </c>
    </row>
    <row r="18" spans="1:21" x14ac:dyDescent="0.2">
      <c r="A18" s="2">
        <v>14</v>
      </c>
      <c r="B18" s="9" t="s">
        <v>35</v>
      </c>
      <c r="C18" s="9" t="s">
        <v>43</v>
      </c>
      <c r="D18" s="7">
        <v>1749</v>
      </c>
      <c r="E18" s="11">
        <v>734580</v>
      </c>
      <c r="F18" s="11">
        <v>559680</v>
      </c>
      <c r="G18" s="7">
        <v>1768</v>
      </c>
      <c r="H18" s="11">
        <f t="shared" si="0"/>
        <v>742560</v>
      </c>
      <c r="I18" s="11">
        <f t="shared" si="1"/>
        <v>565760</v>
      </c>
      <c r="J18" s="7">
        <v>4743</v>
      </c>
      <c r="K18" s="11">
        <f t="shared" si="2"/>
        <v>2134350</v>
      </c>
      <c r="L18" s="11">
        <f t="shared" si="3"/>
        <v>1612620</v>
      </c>
      <c r="M18" s="7">
        <v>1020</v>
      </c>
      <c r="N18" s="11">
        <f t="shared" si="4"/>
        <v>459000</v>
      </c>
      <c r="O18" s="11">
        <f>VLOOKUP(C18,C47:$O$48,13,FALSE)*M18</f>
        <v>346800</v>
      </c>
      <c r="P18" s="7">
        <v>5723</v>
      </c>
      <c r="Q18" s="11">
        <f t="shared" si="5"/>
        <v>2575350</v>
      </c>
      <c r="R18" s="11">
        <f t="shared" si="6"/>
        <v>1945820</v>
      </c>
      <c r="S18" s="11">
        <f t="shared" si="7"/>
        <v>15003</v>
      </c>
      <c r="T18" s="11">
        <f t="shared" si="8"/>
        <v>6645840</v>
      </c>
      <c r="U18" s="11">
        <f t="shared" si="9"/>
        <v>5030680</v>
      </c>
    </row>
    <row r="19" spans="1:21" x14ac:dyDescent="0.2">
      <c r="A19" s="2">
        <v>15</v>
      </c>
      <c r="B19" s="9" t="s">
        <v>35</v>
      </c>
      <c r="C19" s="9" t="s">
        <v>44</v>
      </c>
      <c r="D19" s="7">
        <v>3069</v>
      </c>
      <c r="E19" s="11">
        <v>429660</v>
      </c>
      <c r="F19" s="11">
        <v>306900</v>
      </c>
      <c r="G19" s="7">
        <v>2496</v>
      </c>
      <c r="H19" s="11">
        <f t="shared" si="0"/>
        <v>349440</v>
      </c>
      <c r="I19" s="11">
        <f t="shared" si="1"/>
        <v>249600</v>
      </c>
      <c r="J19" s="7">
        <v>1275</v>
      </c>
      <c r="K19" s="11">
        <f t="shared" si="2"/>
        <v>216750</v>
      </c>
      <c r="L19" s="11">
        <f t="shared" si="3"/>
        <v>153000</v>
      </c>
      <c r="M19" s="7">
        <v>4947</v>
      </c>
      <c r="N19" s="11">
        <f t="shared" si="4"/>
        <v>840990</v>
      </c>
      <c r="O19" s="11">
        <f>VLOOKUP(C19,C48:$O$48,13,FALSE)*M19</f>
        <v>593640</v>
      </c>
      <c r="P19" s="7">
        <v>4720</v>
      </c>
      <c r="Q19" s="11">
        <f t="shared" si="5"/>
        <v>802400</v>
      </c>
      <c r="R19" s="11">
        <f t="shared" si="6"/>
        <v>566400</v>
      </c>
      <c r="S19" s="11">
        <f t="shared" si="7"/>
        <v>16507</v>
      </c>
      <c r="T19" s="11">
        <f t="shared" si="8"/>
        <v>2639240</v>
      </c>
      <c r="U19" s="11">
        <f t="shared" si="9"/>
        <v>1869540</v>
      </c>
    </row>
    <row r="20" spans="1:21" x14ac:dyDescent="0.2">
      <c r="A20" s="2">
        <v>16</v>
      </c>
      <c r="B20" s="9" t="s">
        <v>36</v>
      </c>
      <c r="C20" s="9" t="s">
        <v>40</v>
      </c>
      <c r="D20" s="7">
        <v>2508</v>
      </c>
      <c r="E20" s="11">
        <v>627000</v>
      </c>
      <c r="F20" s="11">
        <v>451440</v>
      </c>
      <c r="G20" s="7">
        <v>1716</v>
      </c>
      <c r="H20" s="11">
        <f t="shared" si="0"/>
        <v>429000</v>
      </c>
      <c r="I20" s="11">
        <f t="shared" si="1"/>
        <v>308880</v>
      </c>
      <c r="J20" s="7">
        <v>3570</v>
      </c>
      <c r="K20" s="11">
        <f t="shared" si="2"/>
        <v>999600</v>
      </c>
      <c r="L20" s="11">
        <f t="shared" si="3"/>
        <v>714000</v>
      </c>
      <c r="M20" s="7">
        <v>1836</v>
      </c>
      <c r="N20" s="11">
        <f t="shared" si="4"/>
        <v>514080</v>
      </c>
      <c r="O20" s="11">
        <f>VLOOKUP(C20,C44:$O$48,13,FALSE)*M20</f>
        <v>367200</v>
      </c>
      <c r="P20" s="7">
        <v>5900</v>
      </c>
      <c r="Q20" s="11">
        <f t="shared" si="5"/>
        <v>1652000</v>
      </c>
      <c r="R20" s="11">
        <f t="shared" si="6"/>
        <v>1180000</v>
      </c>
      <c r="S20" s="11">
        <f t="shared" si="7"/>
        <v>15530</v>
      </c>
      <c r="T20" s="11">
        <f t="shared" si="8"/>
        <v>4221680</v>
      </c>
      <c r="U20" s="11">
        <f t="shared" si="9"/>
        <v>3021520</v>
      </c>
    </row>
    <row r="21" spans="1:21" x14ac:dyDescent="0.2">
      <c r="A21" s="2">
        <v>17</v>
      </c>
      <c r="B21" s="9" t="s">
        <v>36</v>
      </c>
      <c r="C21" s="9" t="s">
        <v>41</v>
      </c>
      <c r="D21" s="7">
        <v>1650</v>
      </c>
      <c r="E21" s="11">
        <v>1402500</v>
      </c>
      <c r="F21" s="11">
        <v>577500</v>
      </c>
      <c r="G21" s="7">
        <v>2600</v>
      </c>
      <c r="H21" s="11">
        <f t="shared" si="0"/>
        <v>2210000</v>
      </c>
      <c r="I21" s="11">
        <f t="shared" si="1"/>
        <v>910000</v>
      </c>
      <c r="J21" s="7">
        <v>867</v>
      </c>
      <c r="K21" s="11">
        <f t="shared" si="2"/>
        <v>762960</v>
      </c>
      <c r="L21" s="11">
        <f t="shared" si="3"/>
        <v>320790</v>
      </c>
      <c r="M21" s="7">
        <v>4029</v>
      </c>
      <c r="N21" s="11">
        <f t="shared" si="4"/>
        <v>3545520</v>
      </c>
      <c r="O21" s="11">
        <f>VLOOKUP(C21,C45:$O$48,13,FALSE)*M21</f>
        <v>1490730</v>
      </c>
      <c r="P21" s="7">
        <v>2419</v>
      </c>
      <c r="Q21" s="11">
        <f t="shared" si="5"/>
        <v>2128720</v>
      </c>
      <c r="R21" s="11">
        <f t="shared" si="6"/>
        <v>895030</v>
      </c>
      <c r="S21" s="11">
        <f t="shared" si="7"/>
        <v>11565</v>
      </c>
      <c r="T21" s="11">
        <f t="shared" si="8"/>
        <v>10049700</v>
      </c>
      <c r="U21" s="11">
        <f t="shared" si="9"/>
        <v>4194050</v>
      </c>
    </row>
    <row r="22" spans="1:21" x14ac:dyDescent="0.2">
      <c r="A22" s="2">
        <v>18</v>
      </c>
      <c r="B22" s="9" t="s">
        <v>36</v>
      </c>
      <c r="C22" s="9" t="s">
        <v>42</v>
      </c>
      <c r="D22" s="7">
        <v>1419</v>
      </c>
      <c r="E22" s="11">
        <v>454080</v>
      </c>
      <c r="F22" s="11">
        <v>312180</v>
      </c>
      <c r="G22" s="7">
        <v>2028</v>
      </c>
      <c r="H22" s="11">
        <f t="shared" si="0"/>
        <v>648960</v>
      </c>
      <c r="I22" s="11">
        <f>VLOOKUP(C22,$C$44:$I$48,7,FALSE)*G22</f>
        <v>446160</v>
      </c>
      <c r="J22" s="7">
        <v>4386</v>
      </c>
      <c r="K22" s="11">
        <f t="shared" si="2"/>
        <v>1535100</v>
      </c>
      <c r="L22" s="11">
        <f t="shared" si="3"/>
        <v>1052640</v>
      </c>
      <c r="M22" s="7">
        <v>3519</v>
      </c>
      <c r="N22" s="11">
        <f t="shared" si="4"/>
        <v>1231650</v>
      </c>
      <c r="O22" s="11">
        <f>VLOOKUP(C22,C46:$O$48,13,FALSE)*M22</f>
        <v>844560</v>
      </c>
      <c r="P22" s="7">
        <v>3776</v>
      </c>
      <c r="Q22" s="11">
        <f t="shared" si="5"/>
        <v>1321600</v>
      </c>
      <c r="R22" s="11">
        <f t="shared" si="6"/>
        <v>906240</v>
      </c>
      <c r="S22" s="11">
        <f t="shared" si="7"/>
        <v>15128</v>
      </c>
      <c r="T22" s="11">
        <f t="shared" si="8"/>
        <v>5191390</v>
      </c>
      <c r="U22" s="11">
        <f t="shared" si="9"/>
        <v>3561780</v>
      </c>
    </row>
    <row r="23" spans="1:21" x14ac:dyDescent="0.2">
      <c r="A23" s="2">
        <v>19</v>
      </c>
      <c r="B23" s="9" t="s">
        <v>36</v>
      </c>
      <c r="C23" s="9" t="s">
        <v>43</v>
      </c>
      <c r="D23" s="7">
        <v>726</v>
      </c>
      <c r="E23" s="11">
        <v>304920</v>
      </c>
      <c r="F23" s="11">
        <v>232320</v>
      </c>
      <c r="G23" s="7">
        <v>4004</v>
      </c>
      <c r="H23" s="11">
        <f t="shared" si="0"/>
        <v>1681680</v>
      </c>
      <c r="I23" s="11">
        <f t="shared" si="1"/>
        <v>1281280</v>
      </c>
      <c r="J23" s="7">
        <v>1836</v>
      </c>
      <c r="K23" s="11">
        <f t="shared" si="2"/>
        <v>826200</v>
      </c>
      <c r="L23" s="11">
        <f t="shared" si="3"/>
        <v>624240</v>
      </c>
      <c r="M23" s="7">
        <v>5049</v>
      </c>
      <c r="N23" s="11">
        <f t="shared" si="4"/>
        <v>2272050</v>
      </c>
      <c r="O23" s="11">
        <f>VLOOKUP(C23,C47:$O$48,13,FALSE)*M23</f>
        <v>1716660</v>
      </c>
      <c r="P23" s="7">
        <v>885</v>
      </c>
      <c r="Q23" s="11">
        <f t="shared" si="5"/>
        <v>398250</v>
      </c>
      <c r="R23" s="11">
        <f t="shared" si="6"/>
        <v>300900</v>
      </c>
      <c r="S23" s="11">
        <f t="shared" si="7"/>
        <v>12500</v>
      </c>
      <c r="T23" s="11">
        <f t="shared" si="8"/>
        <v>5483100</v>
      </c>
      <c r="U23" s="11">
        <f t="shared" si="9"/>
        <v>4155400</v>
      </c>
    </row>
    <row r="24" spans="1:21" x14ac:dyDescent="0.2">
      <c r="A24" s="2">
        <v>20</v>
      </c>
      <c r="B24" s="9" t="s">
        <v>37</v>
      </c>
      <c r="C24" s="9" t="s">
        <v>44</v>
      </c>
      <c r="D24" s="7">
        <v>2145</v>
      </c>
      <c r="E24" s="11">
        <v>300300</v>
      </c>
      <c r="F24" s="11">
        <v>214500</v>
      </c>
      <c r="G24" s="7">
        <v>3380</v>
      </c>
      <c r="H24" s="11">
        <f t="shared" si="0"/>
        <v>473200</v>
      </c>
      <c r="I24" s="11">
        <f t="shared" si="1"/>
        <v>338000</v>
      </c>
      <c r="J24" s="7">
        <v>2295</v>
      </c>
      <c r="K24" s="11">
        <f t="shared" si="2"/>
        <v>390150</v>
      </c>
      <c r="L24" s="11">
        <f t="shared" si="3"/>
        <v>275400</v>
      </c>
      <c r="M24" s="7">
        <v>510</v>
      </c>
      <c r="N24" s="11">
        <f t="shared" si="4"/>
        <v>86700</v>
      </c>
      <c r="O24" s="11">
        <f>VLOOKUP(C24,C48:$O$48,13,FALSE)*M24</f>
        <v>61200</v>
      </c>
      <c r="P24" s="7">
        <v>1652</v>
      </c>
      <c r="Q24" s="11">
        <f t="shared" si="5"/>
        <v>280840</v>
      </c>
      <c r="R24" s="11">
        <f t="shared" si="6"/>
        <v>198240</v>
      </c>
      <c r="S24" s="11">
        <f t="shared" si="7"/>
        <v>9982</v>
      </c>
      <c r="T24" s="11">
        <f t="shared" si="8"/>
        <v>1531190</v>
      </c>
      <c r="U24" s="11">
        <f t="shared" si="9"/>
        <v>1087340</v>
      </c>
    </row>
    <row r="25" spans="1:21" x14ac:dyDescent="0.2">
      <c r="A25" s="2">
        <v>21</v>
      </c>
      <c r="B25" s="9" t="s">
        <v>37</v>
      </c>
      <c r="C25" s="9" t="s">
        <v>40</v>
      </c>
      <c r="D25" s="7">
        <v>1914</v>
      </c>
      <c r="E25" s="11">
        <v>478500</v>
      </c>
      <c r="F25" s="11">
        <v>344520</v>
      </c>
      <c r="G25" s="7">
        <v>2964</v>
      </c>
      <c r="H25" s="11">
        <f t="shared" si="0"/>
        <v>741000</v>
      </c>
      <c r="I25" s="11">
        <f t="shared" si="1"/>
        <v>533520</v>
      </c>
      <c r="J25" s="7">
        <v>714</v>
      </c>
      <c r="K25" s="11">
        <f t="shared" si="2"/>
        <v>199920</v>
      </c>
      <c r="L25" s="11">
        <f t="shared" si="3"/>
        <v>142800</v>
      </c>
      <c r="M25" s="7">
        <v>969</v>
      </c>
      <c r="N25" s="11">
        <f t="shared" si="4"/>
        <v>271320</v>
      </c>
      <c r="O25" s="11">
        <f>VLOOKUP(C25,$C$44:$O$48,13,FALSE)*M25</f>
        <v>193800</v>
      </c>
      <c r="P25" s="7">
        <v>2183</v>
      </c>
      <c r="Q25" s="11">
        <f t="shared" si="5"/>
        <v>611240</v>
      </c>
      <c r="R25" s="11">
        <f t="shared" si="6"/>
        <v>436600</v>
      </c>
      <c r="S25" s="11">
        <f t="shared" si="7"/>
        <v>8744</v>
      </c>
      <c r="T25" s="11">
        <f t="shared" si="8"/>
        <v>2301980</v>
      </c>
      <c r="U25" s="11">
        <f t="shared" si="9"/>
        <v>1651240</v>
      </c>
    </row>
    <row r="26" spans="1:21" x14ac:dyDescent="0.2">
      <c r="A26" s="2">
        <v>22</v>
      </c>
      <c r="B26" s="9" t="s">
        <v>37</v>
      </c>
      <c r="C26" s="9" t="s">
        <v>41</v>
      </c>
      <c r="D26" s="7">
        <v>990</v>
      </c>
      <c r="E26" s="11">
        <v>841500</v>
      </c>
      <c r="F26" s="11">
        <v>346500</v>
      </c>
      <c r="G26" s="7">
        <v>728</v>
      </c>
      <c r="H26" s="11">
        <f t="shared" si="0"/>
        <v>618800</v>
      </c>
      <c r="I26" s="11">
        <f t="shared" si="1"/>
        <v>254800</v>
      </c>
      <c r="J26" s="7">
        <v>1428</v>
      </c>
      <c r="K26" s="11">
        <f t="shared" si="2"/>
        <v>1256640</v>
      </c>
      <c r="L26" s="11">
        <f t="shared" si="3"/>
        <v>528360</v>
      </c>
      <c r="M26" s="7">
        <v>4692</v>
      </c>
      <c r="N26" s="11">
        <f t="shared" si="4"/>
        <v>4128960</v>
      </c>
      <c r="O26" s="11">
        <f t="shared" ref="O26:O38" si="10">VLOOKUP(C26,$C$44:$O$48,13,FALSE)*M26</f>
        <v>1736040</v>
      </c>
      <c r="P26" s="7">
        <v>4484</v>
      </c>
      <c r="Q26" s="11">
        <f t="shared" si="5"/>
        <v>3945920</v>
      </c>
      <c r="R26" s="11">
        <f t="shared" si="6"/>
        <v>1659080</v>
      </c>
      <c r="S26" s="11">
        <f t="shared" si="7"/>
        <v>12322</v>
      </c>
      <c r="T26" s="11">
        <f t="shared" si="8"/>
        <v>10791820</v>
      </c>
      <c r="U26" s="11">
        <f t="shared" si="9"/>
        <v>4524780</v>
      </c>
    </row>
    <row r="27" spans="1:21" x14ac:dyDescent="0.2">
      <c r="A27" s="2">
        <v>23</v>
      </c>
      <c r="B27" s="9" t="s">
        <v>37</v>
      </c>
      <c r="C27" s="9" t="s">
        <v>42</v>
      </c>
      <c r="D27" s="7">
        <v>2937</v>
      </c>
      <c r="E27" s="11">
        <v>939840</v>
      </c>
      <c r="F27" s="11">
        <v>646140</v>
      </c>
      <c r="G27" s="7">
        <v>3484</v>
      </c>
      <c r="H27" s="11">
        <f t="shared" si="0"/>
        <v>1114880</v>
      </c>
      <c r="I27" s="11">
        <f t="shared" si="1"/>
        <v>766480</v>
      </c>
      <c r="J27" s="7">
        <v>5100</v>
      </c>
      <c r="K27" s="11">
        <f t="shared" si="2"/>
        <v>1785000</v>
      </c>
      <c r="L27" s="11">
        <f t="shared" si="3"/>
        <v>1224000</v>
      </c>
      <c r="M27" s="7">
        <v>1020</v>
      </c>
      <c r="N27" s="11">
        <f t="shared" si="4"/>
        <v>357000</v>
      </c>
      <c r="O27" s="11">
        <f t="shared" si="10"/>
        <v>244800</v>
      </c>
      <c r="P27" s="7">
        <v>1298</v>
      </c>
      <c r="Q27" s="11">
        <f t="shared" si="5"/>
        <v>454300</v>
      </c>
      <c r="R27" s="11">
        <f t="shared" si="6"/>
        <v>311520</v>
      </c>
      <c r="S27" s="11">
        <f t="shared" si="7"/>
        <v>13839</v>
      </c>
      <c r="T27" s="11">
        <f t="shared" si="8"/>
        <v>4651020</v>
      </c>
      <c r="U27" s="11">
        <f t="shared" si="9"/>
        <v>3192940</v>
      </c>
    </row>
    <row r="28" spans="1:21" x14ac:dyDescent="0.2">
      <c r="A28" s="2">
        <v>24</v>
      </c>
      <c r="B28" s="9" t="s">
        <v>37</v>
      </c>
      <c r="C28" s="9" t="s">
        <v>43</v>
      </c>
      <c r="D28" s="7">
        <v>1551</v>
      </c>
      <c r="E28" s="11">
        <v>651420</v>
      </c>
      <c r="F28" s="11">
        <v>496320</v>
      </c>
      <c r="G28" s="7">
        <v>4160</v>
      </c>
      <c r="H28" s="11">
        <f t="shared" si="0"/>
        <v>1747200</v>
      </c>
      <c r="I28" s="11">
        <f t="shared" si="1"/>
        <v>1331200</v>
      </c>
      <c r="J28" s="7">
        <v>867</v>
      </c>
      <c r="K28" s="11">
        <f t="shared" si="2"/>
        <v>390150</v>
      </c>
      <c r="L28" s="11">
        <f t="shared" si="3"/>
        <v>294780</v>
      </c>
      <c r="M28" s="7">
        <v>3876</v>
      </c>
      <c r="N28" s="11">
        <f t="shared" si="4"/>
        <v>1744200</v>
      </c>
      <c r="O28" s="11">
        <f t="shared" si="10"/>
        <v>1317840</v>
      </c>
      <c r="P28" s="7">
        <v>5369</v>
      </c>
      <c r="Q28" s="11">
        <f t="shared" si="5"/>
        <v>2416050</v>
      </c>
      <c r="R28" s="11">
        <f t="shared" si="6"/>
        <v>1825460</v>
      </c>
      <c r="S28" s="11">
        <f t="shared" si="7"/>
        <v>15823</v>
      </c>
      <c r="T28" s="11">
        <f t="shared" si="8"/>
        <v>6949020</v>
      </c>
      <c r="U28" s="11">
        <f t="shared" si="9"/>
        <v>5265600</v>
      </c>
    </row>
    <row r="29" spans="1:21" x14ac:dyDescent="0.2">
      <c r="A29" s="2">
        <v>25</v>
      </c>
      <c r="B29" s="9" t="s">
        <v>38</v>
      </c>
      <c r="C29" s="9" t="s">
        <v>44</v>
      </c>
      <c r="D29" s="7">
        <v>3135</v>
      </c>
      <c r="E29" s="11">
        <v>438900</v>
      </c>
      <c r="F29" s="11">
        <v>313500</v>
      </c>
      <c r="G29" s="7">
        <v>3796</v>
      </c>
      <c r="H29" s="11">
        <f t="shared" si="0"/>
        <v>531440</v>
      </c>
      <c r="I29" s="11">
        <f t="shared" si="1"/>
        <v>379600</v>
      </c>
      <c r="J29" s="7">
        <v>1632</v>
      </c>
      <c r="K29" s="11">
        <f t="shared" si="2"/>
        <v>277440</v>
      </c>
      <c r="L29" s="11">
        <f t="shared" si="3"/>
        <v>195840</v>
      </c>
      <c r="M29" s="7">
        <v>1377</v>
      </c>
      <c r="N29" s="11">
        <f t="shared" si="4"/>
        <v>234090</v>
      </c>
      <c r="O29" s="11">
        <f t="shared" si="10"/>
        <v>165240</v>
      </c>
      <c r="P29" s="7">
        <v>0</v>
      </c>
      <c r="Q29" s="11">
        <f t="shared" si="5"/>
        <v>0</v>
      </c>
      <c r="R29" s="11">
        <f t="shared" si="6"/>
        <v>0</v>
      </c>
      <c r="S29" s="11">
        <f t="shared" si="7"/>
        <v>9940</v>
      </c>
      <c r="T29" s="11">
        <f t="shared" si="8"/>
        <v>1481870</v>
      </c>
      <c r="U29" s="11">
        <f t="shared" si="9"/>
        <v>1054180</v>
      </c>
    </row>
    <row r="30" spans="1:21" x14ac:dyDescent="0.2">
      <c r="A30" s="2">
        <v>26</v>
      </c>
      <c r="B30" s="9" t="s">
        <v>38</v>
      </c>
      <c r="C30" s="9" t="s">
        <v>40</v>
      </c>
      <c r="D30" s="7">
        <v>759</v>
      </c>
      <c r="E30" s="11">
        <v>189750</v>
      </c>
      <c r="F30" s="11">
        <v>136620</v>
      </c>
      <c r="G30" s="7">
        <v>3432</v>
      </c>
      <c r="H30" s="11">
        <f t="shared" si="0"/>
        <v>858000</v>
      </c>
      <c r="I30" s="11">
        <f t="shared" si="1"/>
        <v>617760</v>
      </c>
      <c r="J30" s="7">
        <v>4029</v>
      </c>
      <c r="K30" s="11">
        <f t="shared" si="2"/>
        <v>1128120</v>
      </c>
      <c r="L30" s="11">
        <f t="shared" si="3"/>
        <v>805800</v>
      </c>
      <c r="M30" s="7">
        <v>2499</v>
      </c>
      <c r="N30" s="11">
        <f t="shared" si="4"/>
        <v>699720</v>
      </c>
      <c r="O30" s="11">
        <f t="shared" si="10"/>
        <v>499800</v>
      </c>
      <c r="P30" s="7">
        <v>0</v>
      </c>
      <c r="Q30" s="11">
        <f t="shared" si="5"/>
        <v>0</v>
      </c>
      <c r="R30" s="11">
        <f>VLOOKUP(C30,$C$44:$R$48,16,FALSE)*P30</f>
        <v>0</v>
      </c>
      <c r="S30" s="11">
        <f t="shared" si="7"/>
        <v>10719</v>
      </c>
      <c r="T30" s="11">
        <f t="shared" si="8"/>
        <v>2875590</v>
      </c>
      <c r="U30" s="11">
        <f t="shared" si="9"/>
        <v>2059980</v>
      </c>
    </row>
    <row r="31" spans="1:21" x14ac:dyDescent="0.2">
      <c r="A31" s="2">
        <v>27</v>
      </c>
      <c r="B31" s="9" t="s">
        <v>38</v>
      </c>
      <c r="C31" s="9" t="s">
        <v>41</v>
      </c>
      <c r="D31" s="7">
        <v>1551</v>
      </c>
      <c r="E31" s="11">
        <v>1318350</v>
      </c>
      <c r="F31" s="11">
        <v>542850</v>
      </c>
      <c r="G31" s="7">
        <v>1456</v>
      </c>
      <c r="H31" s="11">
        <f t="shared" si="0"/>
        <v>1237600</v>
      </c>
      <c r="I31" s="11">
        <f t="shared" si="1"/>
        <v>509600</v>
      </c>
      <c r="J31" s="7">
        <v>3876</v>
      </c>
      <c r="K31" s="11">
        <f t="shared" si="2"/>
        <v>3410880</v>
      </c>
      <c r="L31" s="11">
        <f t="shared" si="3"/>
        <v>1434120</v>
      </c>
      <c r="M31" s="7">
        <v>4590</v>
      </c>
      <c r="N31" s="11">
        <f t="shared" si="4"/>
        <v>4039200</v>
      </c>
      <c r="O31" s="11">
        <f t="shared" si="10"/>
        <v>1698300</v>
      </c>
      <c r="P31" s="7">
        <v>0</v>
      </c>
      <c r="Q31" s="11">
        <f t="shared" si="5"/>
        <v>0</v>
      </c>
      <c r="R31" s="11">
        <f t="shared" si="6"/>
        <v>0</v>
      </c>
      <c r="S31" s="11">
        <f t="shared" si="7"/>
        <v>11473</v>
      </c>
      <c r="T31" s="11">
        <f t="shared" si="8"/>
        <v>10006030</v>
      </c>
      <c r="U31" s="11">
        <f t="shared" si="9"/>
        <v>4184870</v>
      </c>
    </row>
    <row r="32" spans="1:21" x14ac:dyDescent="0.2">
      <c r="A32" s="2">
        <v>28</v>
      </c>
      <c r="B32" s="9" t="s">
        <v>38</v>
      </c>
      <c r="C32" s="38" t="s">
        <v>42</v>
      </c>
      <c r="D32" s="7">
        <v>726</v>
      </c>
      <c r="E32" s="11">
        <v>232320</v>
      </c>
      <c r="F32" s="11">
        <v>159720</v>
      </c>
      <c r="G32" s="7">
        <v>3224</v>
      </c>
      <c r="H32" s="11">
        <f t="shared" si="0"/>
        <v>1031680</v>
      </c>
      <c r="I32" s="11">
        <f t="shared" si="1"/>
        <v>709280</v>
      </c>
      <c r="J32" s="7">
        <v>1428</v>
      </c>
      <c r="K32" s="11">
        <f t="shared" si="2"/>
        <v>499800</v>
      </c>
      <c r="L32" s="11">
        <f t="shared" si="3"/>
        <v>342720</v>
      </c>
      <c r="M32" s="7">
        <v>4182</v>
      </c>
      <c r="N32" s="11">
        <f t="shared" si="4"/>
        <v>1463700</v>
      </c>
      <c r="O32" s="11">
        <f t="shared" si="10"/>
        <v>1003680</v>
      </c>
      <c r="P32" s="7">
        <v>0</v>
      </c>
      <c r="Q32" s="11">
        <f t="shared" si="5"/>
        <v>0</v>
      </c>
      <c r="R32" s="11">
        <f t="shared" si="6"/>
        <v>0</v>
      </c>
      <c r="S32" s="11">
        <f t="shared" si="7"/>
        <v>9560</v>
      </c>
      <c r="T32" s="11">
        <f t="shared" si="8"/>
        <v>3227500</v>
      </c>
      <c r="U32" s="11">
        <f t="shared" si="9"/>
        <v>2215400</v>
      </c>
    </row>
    <row r="33" spans="1:21" x14ac:dyDescent="0.2">
      <c r="A33" s="2">
        <v>29</v>
      </c>
      <c r="B33" s="9" t="s">
        <v>38</v>
      </c>
      <c r="C33" s="38" t="s">
        <v>43</v>
      </c>
      <c r="D33" s="7">
        <v>462</v>
      </c>
      <c r="E33" s="11">
        <v>194040</v>
      </c>
      <c r="F33" s="11">
        <v>147840</v>
      </c>
      <c r="G33" s="7">
        <v>728</v>
      </c>
      <c r="H33" s="11">
        <f t="shared" si="0"/>
        <v>305760</v>
      </c>
      <c r="I33" s="11">
        <f t="shared" si="1"/>
        <v>232960</v>
      </c>
      <c r="J33" s="7">
        <v>2652</v>
      </c>
      <c r="K33" s="11">
        <f t="shared" si="2"/>
        <v>1193400</v>
      </c>
      <c r="L33" s="11">
        <f t="shared" si="3"/>
        <v>901680</v>
      </c>
      <c r="M33" s="7">
        <v>2754</v>
      </c>
      <c r="N33" s="11">
        <f t="shared" si="4"/>
        <v>1239300</v>
      </c>
      <c r="O33" s="11">
        <f t="shared" si="10"/>
        <v>936360</v>
      </c>
      <c r="P33" s="7">
        <v>0</v>
      </c>
      <c r="Q33" s="11">
        <f t="shared" si="5"/>
        <v>0</v>
      </c>
      <c r="R33" s="11">
        <f t="shared" si="6"/>
        <v>0</v>
      </c>
      <c r="S33" s="11">
        <f t="shared" si="7"/>
        <v>6596</v>
      </c>
      <c r="T33" s="11">
        <f t="shared" si="8"/>
        <v>2932500</v>
      </c>
      <c r="U33" s="11">
        <f t="shared" si="9"/>
        <v>2218840</v>
      </c>
    </row>
    <row r="34" spans="1:21" x14ac:dyDescent="0.2">
      <c r="A34" s="2">
        <v>30</v>
      </c>
      <c r="B34" s="9" t="s">
        <v>39</v>
      </c>
      <c r="C34" s="38" t="s">
        <v>44</v>
      </c>
      <c r="D34" s="7">
        <v>1188</v>
      </c>
      <c r="E34" s="11">
        <v>166320</v>
      </c>
      <c r="F34" s="11">
        <v>118800</v>
      </c>
      <c r="G34" s="7">
        <v>3016</v>
      </c>
      <c r="H34" s="11">
        <f t="shared" si="0"/>
        <v>422240</v>
      </c>
      <c r="I34" s="11">
        <f t="shared" si="1"/>
        <v>301600</v>
      </c>
      <c r="J34" s="7">
        <v>1887</v>
      </c>
      <c r="K34" s="11">
        <f t="shared" si="2"/>
        <v>320790</v>
      </c>
      <c r="L34" s="11">
        <f t="shared" si="3"/>
        <v>226440</v>
      </c>
      <c r="M34" s="7">
        <v>2193</v>
      </c>
      <c r="N34" s="11">
        <f t="shared" si="4"/>
        <v>372810</v>
      </c>
      <c r="O34" s="11">
        <f t="shared" si="10"/>
        <v>263160</v>
      </c>
      <c r="P34" s="7">
        <v>1888</v>
      </c>
      <c r="Q34" s="11">
        <f t="shared" si="5"/>
        <v>320960</v>
      </c>
      <c r="R34" s="11">
        <f t="shared" si="6"/>
        <v>226560</v>
      </c>
      <c r="S34" s="11">
        <f t="shared" si="7"/>
        <v>10172</v>
      </c>
      <c r="T34" s="11">
        <f t="shared" si="8"/>
        <v>1603120</v>
      </c>
      <c r="U34" s="11">
        <f t="shared" si="9"/>
        <v>1136560</v>
      </c>
    </row>
    <row r="35" spans="1:21" x14ac:dyDescent="0.2">
      <c r="A35" s="2">
        <v>31</v>
      </c>
      <c r="B35" s="9" t="s">
        <v>39</v>
      </c>
      <c r="C35" s="38" t="s">
        <v>40</v>
      </c>
      <c r="D35" s="7">
        <v>2442</v>
      </c>
      <c r="E35" s="11">
        <v>610500</v>
      </c>
      <c r="F35" s="11">
        <v>439560</v>
      </c>
      <c r="G35" s="7">
        <v>1092</v>
      </c>
      <c r="H35" s="11">
        <f t="shared" si="0"/>
        <v>273000</v>
      </c>
      <c r="I35" s="11">
        <f t="shared" si="1"/>
        <v>196560</v>
      </c>
      <c r="J35" s="7">
        <v>3927</v>
      </c>
      <c r="K35" s="11">
        <f t="shared" si="2"/>
        <v>1099560</v>
      </c>
      <c r="L35" s="11">
        <f t="shared" si="3"/>
        <v>785400</v>
      </c>
      <c r="M35" s="7">
        <v>561</v>
      </c>
      <c r="N35" s="11">
        <f t="shared" si="4"/>
        <v>157080</v>
      </c>
      <c r="O35" s="11">
        <f t="shared" si="10"/>
        <v>112200</v>
      </c>
      <c r="P35" s="7">
        <v>5723</v>
      </c>
      <c r="Q35" s="11">
        <f t="shared" si="5"/>
        <v>1602440</v>
      </c>
      <c r="R35" s="11">
        <f t="shared" si="6"/>
        <v>1144600</v>
      </c>
      <c r="S35" s="11">
        <f t="shared" si="7"/>
        <v>13745</v>
      </c>
      <c r="T35" s="11">
        <f t="shared" si="8"/>
        <v>3742580</v>
      </c>
      <c r="U35" s="11">
        <f t="shared" si="9"/>
        <v>2678320</v>
      </c>
    </row>
    <row r="36" spans="1:21" x14ac:dyDescent="0.2">
      <c r="A36" s="2">
        <v>32</v>
      </c>
      <c r="B36" s="9" t="s">
        <v>39</v>
      </c>
      <c r="C36" s="9" t="s">
        <v>41</v>
      </c>
      <c r="D36" s="7">
        <v>594</v>
      </c>
      <c r="E36" s="11">
        <v>504900</v>
      </c>
      <c r="F36" s="11">
        <v>207900</v>
      </c>
      <c r="G36" s="7">
        <v>2860</v>
      </c>
      <c r="H36" s="11">
        <f t="shared" si="0"/>
        <v>2431000</v>
      </c>
      <c r="I36" s="11">
        <f t="shared" si="1"/>
        <v>1001000</v>
      </c>
      <c r="J36" s="7">
        <v>4641</v>
      </c>
      <c r="K36" s="11">
        <f t="shared" si="2"/>
        <v>4084080</v>
      </c>
      <c r="L36" s="11">
        <f t="shared" si="3"/>
        <v>1717170</v>
      </c>
      <c r="M36" s="7">
        <v>3672</v>
      </c>
      <c r="N36" s="11">
        <f t="shared" si="4"/>
        <v>3231360</v>
      </c>
      <c r="O36" s="11">
        <f t="shared" si="10"/>
        <v>1358640</v>
      </c>
      <c r="P36" s="7">
        <v>2301</v>
      </c>
      <c r="Q36" s="11">
        <f t="shared" si="5"/>
        <v>2024880</v>
      </c>
      <c r="R36" s="11">
        <f t="shared" si="6"/>
        <v>851370</v>
      </c>
      <c r="S36" s="11">
        <f t="shared" si="7"/>
        <v>14068</v>
      </c>
      <c r="T36" s="11">
        <f t="shared" si="8"/>
        <v>12276220</v>
      </c>
      <c r="U36" s="11">
        <f t="shared" si="9"/>
        <v>5136080</v>
      </c>
    </row>
    <row r="37" spans="1:21" x14ac:dyDescent="0.2">
      <c r="A37" s="2">
        <v>33</v>
      </c>
      <c r="B37" s="9" t="s">
        <v>39</v>
      </c>
      <c r="C37" s="9" t="s">
        <v>42</v>
      </c>
      <c r="D37" s="7">
        <v>3003</v>
      </c>
      <c r="E37" s="11">
        <v>960960</v>
      </c>
      <c r="F37" s="11">
        <v>660660</v>
      </c>
      <c r="G37" s="7">
        <v>1196</v>
      </c>
      <c r="H37" s="11">
        <f t="shared" si="0"/>
        <v>382720</v>
      </c>
      <c r="I37" s="11">
        <f t="shared" si="1"/>
        <v>263120</v>
      </c>
      <c r="J37" s="7">
        <v>663</v>
      </c>
      <c r="K37" s="11">
        <f t="shared" si="2"/>
        <v>232050</v>
      </c>
      <c r="L37" s="11">
        <f t="shared" si="3"/>
        <v>159120</v>
      </c>
      <c r="M37" s="7">
        <v>2601</v>
      </c>
      <c r="N37" s="11">
        <f t="shared" si="4"/>
        <v>910350</v>
      </c>
      <c r="O37" s="11">
        <f t="shared" si="10"/>
        <v>624240</v>
      </c>
      <c r="P37" s="7">
        <v>826</v>
      </c>
      <c r="Q37" s="11">
        <f t="shared" si="5"/>
        <v>289100</v>
      </c>
      <c r="R37" s="11">
        <f t="shared" si="6"/>
        <v>198240</v>
      </c>
      <c r="S37" s="11">
        <f t="shared" si="7"/>
        <v>8289</v>
      </c>
      <c r="T37" s="11">
        <f t="shared" si="8"/>
        <v>2775180</v>
      </c>
      <c r="U37" s="11">
        <f t="shared" si="9"/>
        <v>1905380</v>
      </c>
    </row>
    <row r="38" spans="1:21" x14ac:dyDescent="0.2">
      <c r="A38" s="2">
        <v>34</v>
      </c>
      <c r="B38" s="9" t="s">
        <v>39</v>
      </c>
      <c r="C38" s="9" t="s">
        <v>43</v>
      </c>
      <c r="D38" s="7">
        <v>693</v>
      </c>
      <c r="E38" s="11">
        <v>291060</v>
      </c>
      <c r="F38" s="11">
        <v>221760</v>
      </c>
      <c r="G38" s="7">
        <v>1300</v>
      </c>
      <c r="H38" s="11">
        <f t="shared" si="0"/>
        <v>546000</v>
      </c>
      <c r="I38" s="11">
        <f t="shared" si="1"/>
        <v>416000</v>
      </c>
      <c r="J38" s="7">
        <v>2091</v>
      </c>
      <c r="K38" s="11">
        <f t="shared" si="2"/>
        <v>940950</v>
      </c>
      <c r="L38" s="11">
        <f t="shared" si="3"/>
        <v>710940</v>
      </c>
      <c r="M38" s="7">
        <v>3111</v>
      </c>
      <c r="N38" s="11">
        <f t="shared" si="4"/>
        <v>1399950</v>
      </c>
      <c r="O38" s="11">
        <f t="shared" si="10"/>
        <v>1057740</v>
      </c>
      <c r="P38" s="7">
        <v>2183</v>
      </c>
      <c r="Q38" s="11">
        <f t="shared" si="5"/>
        <v>982350</v>
      </c>
      <c r="R38" s="11">
        <f t="shared" si="6"/>
        <v>742220</v>
      </c>
      <c r="S38" s="11">
        <f t="shared" si="7"/>
        <v>9378</v>
      </c>
      <c r="T38" s="11">
        <f t="shared" si="8"/>
        <v>4160310</v>
      </c>
      <c r="U38" s="11">
        <f t="shared" si="9"/>
        <v>3148660</v>
      </c>
    </row>
    <row r="39" spans="1:21" ht="19.5" customHeight="1" x14ac:dyDescent="0.2">
      <c r="A39" s="43" t="s">
        <v>13</v>
      </c>
      <c r="B39" s="44"/>
      <c r="C39" s="45"/>
      <c r="D39" s="10">
        <f t="shared" ref="D39:U39" si="11">SUM(D5:D38)</f>
        <v>60126</v>
      </c>
      <c r="E39" s="10">
        <f t="shared" si="11"/>
        <v>22539000</v>
      </c>
      <c r="F39" s="10">
        <f t="shared" si="11"/>
        <v>13548150</v>
      </c>
      <c r="G39" s="10">
        <f t="shared" si="11"/>
        <v>86060</v>
      </c>
      <c r="H39" s="10">
        <f>SUM(H5:H38)</f>
        <v>32864000</v>
      </c>
      <c r="I39" s="10">
        <f t="shared" si="11"/>
        <v>19648720</v>
      </c>
      <c r="J39" s="10">
        <f t="shared" si="11"/>
        <v>89199</v>
      </c>
      <c r="K39" s="10">
        <f t="shared" si="11"/>
        <v>41429340</v>
      </c>
      <c r="L39" s="10">
        <f t="shared" si="11"/>
        <v>24208170</v>
      </c>
      <c r="M39" s="10">
        <f t="shared" si="11"/>
        <v>93534</v>
      </c>
      <c r="N39" s="10">
        <f t="shared" si="11"/>
        <v>46946520</v>
      </c>
      <c r="O39" s="10">
        <f>SUM(O5:O38)</f>
        <v>26521530</v>
      </c>
      <c r="P39" s="10">
        <f t="shared" si="11"/>
        <v>95639</v>
      </c>
      <c r="Q39" s="10">
        <f t="shared" si="11"/>
        <v>42174970</v>
      </c>
      <c r="R39" s="10">
        <f t="shared" si="11"/>
        <v>24775280</v>
      </c>
      <c r="S39" s="10">
        <f t="shared" si="11"/>
        <v>424558</v>
      </c>
      <c r="T39" s="10">
        <f t="shared" si="11"/>
        <v>185953830</v>
      </c>
      <c r="U39" s="10">
        <f t="shared" si="11"/>
        <v>108701850</v>
      </c>
    </row>
    <row r="40" spans="1:21" x14ac:dyDescent="0.2">
      <c r="D40" s="16"/>
      <c r="E40" s="16"/>
      <c r="F40" s="16"/>
      <c r="K40" s="16"/>
    </row>
    <row r="41" spans="1:21" x14ac:dyDescent="0.2">
      <c r="D41" s="16"/>
    </row>
    <row r="42" spans="1:21" x14ac:dyDescent="0.2">
      <c r="C42" s="4" t="s">
        <v>47</v>
      </c>
      <c r="D42" s="41" t="s">
        <v>3</v>
      </c>
      <c r="E42" s="41"/>
      <c r="F42" s="41"/>
      <c r="G42" s="41" t="s">
        <v>4</v>
      </c>
      <c r="H42" s="41"/>
      <c r="I42" s="41"/>
      <c r="J42" s="41" t="s">
        <v>5</v>
      </c>
      <c r="K42" s="41"/>
      <c r="L42" s="41"/>
      <c r="M42" s="41" t="s">
        <v>6</v>
      </c>
      <c r="N42" s="41"/>
      <c r="O42" s="41"/>
      <c r="P42" s="41" t="s">
        <v>7</v>
      </c>
      <c r="Q42" s="41"/>
      <c r="R42" s="41"/>
    </row>
    <row r="43" spans="1:21" x14ac:dyDescent="0.2">
      <c r="C43" s="5"/>
      <c r="D43" s="5"/>
      <c r="E43" s="5" t="s">
        <v>9</v>
      </c>
      <c r="F43" s="5" t="s">
        <v>8</v>
      </c>
      <c r="G43" s="5"/>
      <c r="H43" s="5" t="s">
        <v>9</v>
      </c>
      <c r="I43" s="5" t="s">
        <v>8</v>
      </c>
      <c r="J43" s="5"/>
      <c r="K43" s="5" t="s">
        <v>9</v>
      </c>
      <c r="L43" s="5" t="s">
        <v>8</v>
      </c>
      <c r="M43" s="5"/>
      <c r="N43" s="5" t="s">
        <v>9</v>
      </c>
      <c r="O43" s="5" t="s">
        <v>8</v>
      </c>
      <c r="P43" s="5"/>
      <c r="Q43" s="5" t="s">
        <v>9</v>
      </c>
      <c r="R43" s="5" t="s">
        <v>8</v>
      </c>
    </row>
    <row r="44" spans="1:21" x14ac:dyDescent="0.2">
      <c r="C44" s="8" t="s">
        <v>40</v>
      </c>
      <c r="D44" s="2"/>
      <c r="E44" s="3">
        <v>250</v>
      </c>
      <c r="F44" s="3">
        <v>180</v>
      </c>
      <c r="G44" s="3"/>
      <c r="H44" s="3">
        <v>250</v>
      </c>
      <c r="I44" s="3">
        <v>180</v>
      </c>
      <c r="J44" s="3"/>
      <c r="K44" s="3">
        <v>280</v>
      </c>
      <c r="L44" s="3">
        <v>200</v>
      </c>
      <c r="M44" s="3"/>
      <c r="N44" s="3">
        <v>280</v>
      </c>
      <c r="O44" s="3">
        <v>200</v>
      </c>
      <c r="P44" s="3"/>
      <c r="Q44" s="3">
        <v>280</v>
      </c>
      <c r="R44" s="3">
        <v>200</v>
      </c>
    </row>
    <row r="45" spans="1:21" x14ac:dyDescent="0.2">
      <c r="C45" s="8" t="s">
        <v>41</v>
      </c>
      <c r="D45" s="2"/>
      <c r="E45" s="3">
        <v>850</v>
      </c>
      <c r="F45" s="3">
        <v>350</v>
      </c>
      <c r="G45" s="3"/>
      <c r="H45" s="3">
        <v>850</v>
      </c>
      <c r="I45" s="3">
        <v>350</v>
      </c>
      <c r="J45" s="3"/>
      <c r="K45" s="3">
        <v>880</v>
      </c>
      <c r="L45" s="3">
        <v>370</v>
      </c>
      <c r="M45" s="3"/>
      <c r="N45" s="3">
        <v>880</v>
      </c>
      <c r="O45" s="3">
        <v>370</v>
      </c>
      <c r="P45" s="3"/>
      <c r="Q45" s="3">
        <v>880</v>
      </c>
      <c r="R45" s="3">
        <v>370</v>
      </c>
    </row>
    <row r="46" spans="1:21" x14ac:dyDescent="0.2">
      <c r="C46" s="8" t="s">
        <v>42</v>
      </c>
      <c r="D46" s="2"/>
      <c r="E46" s="3">
        <v>320</v>
      </c>
      <c r="F46" s="3">
        <v>220</v>
      </c>
      <c r="G46" s="3"/>
      <c r="H46" s="3">
        <v>320</v>
      </c>
      <c r="I46" s="3">
        <v>220</v>
      </c>
      <c r="J46" s="3"/>
      <c r="K46" s="3">
        <v>350</v>
      </c>
      <c r="L46" s="3">
        <v>240</v>
      </c>
      <c r="M46" s="3"/>
      <c r="N46" s="3">
        <v>350</v>
      </c>
      <c r="O46" s="3">
        <v>240</v>
      </c>
      <c r="P46" s="3"/>
      <c r="Q46" s="3">
        <v>350</v>
      </c>
      <c r="R46" s="3">
        <v>240</v>
      </c>
    </row>
    <row r="47" spans="1:21" x14ac:dyDescent="0.2">
      <c r="C47" s="8" t="s">
        <v>43</v>
      </c>
      <c r="D47" s="2"/>
      <c r="E47" s="3">
        <v>420</v>
      </c>
      <c r="F47" s="3">
        <v>320</v>
      </c>
      <c r="G47" s="3"/>
      <c r="H47" s="3">
        <v>420</v>
      </c>
      <c r="I47" s="3">
        <v>320</v>
      </c>
      <c r="J47" s="3"/>
      <c r="K47" s="3">
        <v>450</v>
      </c>
      <c r="L47" s="3">
        <v>340</v>
      </c>
      <c r="M47" s="3"/>
      <c r="N47" s="3">
        <v>450</v>
      </c>
      <c r="O47" s="3">
        <v>340</v>
      </c>
      <c r="P47" s="3"/>
      <c r="Q47" s="3">
        <v>450</v>
      </c>
      <c r="R47" s="3">
        <v>340</v>
      </c>
    </row>
    <row r="48" spans="1:21" x14ac:dyDescent="0.2">
      <c r="C48" s="8" t="s">
        <v>44</v>
      </c>
      <c r="D48" s="2"/>
      <c r="E48" s="3">
        <v>140</v>
      </c>
      <c r="F48" s="3">
        <v>100</v>
      </c>
      <c r="G48" s="3"/>
      <c r="H48" s="3">
        <v>140</v>
      </c>
      <c r="I48" s="3">
        <v>100</v>
      </c>
      <c r="J48" s="3"/>
      <c r="K48" s="3">
        <v>170</v>
      </c>
      <c r="L48" s="3">
        <v>120</v>
      </c>
      <c r="M48" s="3"/>
      <c r="N48" s="3">
        <v>170</v>
      </c>
      <c r="O48" s="3">
        <v>120</v>
      </c>
      <c r="P48" s="3"/>
      <c r="Q48" s="3">
        <v>170</v>
      </c>
      <c r="R48" s="3">
        <v>120</v>
      </c>
    </row>
    <row r="50" spans="2:17" x14ac:dyDescent="0.2">
      <c r="F50" s="16"/>
      <c r="Q50" s="12"/>
    </row>
    <row r="51" spans="2:17" x14ac:dyDescent="0.2">
      <c r="C51" s="36" t="s">
        <v>60</v>
      </c>
      <c r="E51" s="16"/>
      <c r="I51" s="16"/>
      <c r="Q51" s="12"/>
    </row>
    <row r="52" spans="2:17" x14ac:dyDescent="0.2">
      <c r="B52" s="30" t="s">
        <v>0</v>
      </c>
      <c r="C52" s="31" t="s">
        <v>19</v>
      </c>
    </row>
    <row r="53" spans="2:17" x14ac:dyDescent="0.2">
      <c r="B53" s="32" t="s">
        <v>33</v>
      </c>
      <c r="C53" s="33" t="s">
        <v>20</v>
      </c>
    </row>
    <row r="54" spans="2:17" x14ac:dyDescent="0.2">
      <c r="B54" s="32" t="s">
        <v>34</v>
      </c>
      <c r="C54" s="33" t="s">
        <v>20</v>
      </c>
    </row>
    <row r="55" spans="2:17" x14ac:dyDescent="0.2">
      <c r="B55" s="32" t="s">
        <v>35</v>
      </c>
      <c r="C55" s="33" t="s">
        <v>21</v>
      </c>
    </row>
    <row r="56" spans="2:17" x14ac:dyDescent="0.2">
      <c r="B56" s="32" t="s">
        <v>36</v>
      </c>
      <c r="C56" s="33" t="s">
        <v>22</v>
      </c>
    </row>
    <row r="57" spans="2:17" x14ac:dyDescent="0.2">
      <c r="B57" s="32" t="s">
        <v>37</v>
      </c>
      <c r="C57" s="33" t="s">
        <v>20</v>
      </c>
    </row>
    <row r="58" spans="2:17" x14ac:dyDescent="0.2">
      <c r="B58" s="32" t="s">
        <v>38</v>
      </c>
      <c r="C58" s="33" t="s">
        <v>23</v>
      </c>
    </row>
    <row r="59" spans="2:17" x14ac:dyDescent="0.2">
      <c r="B59" s="34" t="s">
        <v>39</v>
      </c>
      <c r="C59" s="35" t="s">
        <v>24</v>
      </c>
    </row>
    <row r="61" spans="2:17" x14ac:dyDescent="0.2">
      <c r="B61" t="s">
        <v>25</v>
      </c>
    </row>
  </sheetData>
  <autoFilter ref="A4:R48"/>
  <mergeCells count="13">
    <mergeCell ref="B3:C3"/>
    <mergeCell ref="A39:C39"/>
    <mergeCell ref="D3:F3"/>
    <mergeCell ref="G3:I3"/>
    <mergeCell ref="J3:L3"/>
    <mergeCell ref="S3:U3"/>
    <mergeCell ref="D42:F42"/>
    <mergeCell ref="G42:I42"/>
    <mergeCell ref="J42:L42"/>
    <mergeCell ref="M42:O42"/>
    <mergeCell ref="P42:R42"/>
    <mergeCell ref="P3:R3"/>
    <mergeCell ref="M3:O3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0"/>
  <sheetViews>
    <sheetView workbookViewId="0">
      <selection activeCell="C13" sqref="C13"/>
    </sheetView>
  </sheetViews>
  <sheetFormatPr defaultRowHeight="11.25" x14ac:dyDescent="0.2"/>
  <cols>
    <col min="1" max="1" width="30.5" customWidth="1"/>
    <col min="2" max="2" width="10.6640625" customWidth="1"/>
    <col min="3" max="6" width="10.1640625" customWidth="1"/>
    <col min="7" max="7" width="12" customWidth="1"/>
    <col min="8" max="8" width="30.5" bestFit="1" customWidth="1"/>
    <col min="9" max="9" width="19.6640625" customWidth="1"/>
    <col min="10" max="10" width="30.5" bestFit="1" customWidth="1"/>
    <col min="11" max="11" width="19.6640625" customWidth="1"/>
    <col min="12" max="12" width="35.1640625" bestFit="1" customWidth="1"/>
    <col min="13" max="13" width="24.33203125" customWidth="1"/>
    <col min="14" max="22" width="30.5" bestFit="1" customWidth="1"/>
    <col min="23" max="23" width="42.6640625" bestFit="1" customWidth="1"/>
    <col min="24" max="24" width="31.83203125" bestFit="1" customWidth="1"/>
    <col min="25" max="34" width="30.5" bestFit="1" customWidth="1"/>
    <col min="35" max="35" width="40.5" bestFit="1" customWidth="1"/>
    <col min="36" max="36" width="29.6640625" bestFit="1" customWidth="1"/>
    <col min="37" max="46" width="30.5" bestFit="1" customWidth="1"/>
    <col min="47" max="47" width="41.1640625" bestFit="1" customWidth="1"/>
    <col min="48" max="58" width="30.5" bestFit="1" customWidth="1"/>
    <col min="59" max="59" width="39.6640625" bestFit="1" customWidth="1"/>
    <col min="60" max="60" width="28.83203125" bestFit="1" customWidth="1"/>
    <col min="61" max="61" width="35.1640625" bestFit="1" customWidth="1"/>
    <col min="62" max="62" width="24.33203125" bestFit="1" customWidth="1"/>
  </cols>
  <sheetData>
    <row r="3" spans="1:7" x14ac:dyDescent="0.2">
      <c r="A3" s="58" t="s">
        <v>75</v>
      </c>
      <c r="B3" s="58" t="s">
        <v>18</v>
      </c>
    </row>
    <row r="4" spans="1:7" x14ac:dyDescent="0.2">
      <c r="A4" s="58" t="s">
        <v>76</v>
      </c>
      <c r="B4">
        <v>1</v>
      </c>
      <c r="C4">
        <v>2</v>
      </c>
      <c r="D4">
        <v>3</v>
      </c>
      <c r="E4">
        <v>4</v>
      </c>
      <c r="F4">
        <v>5</v>
      </c>
      <c r="G4" t="s">
        <v>45</v>
      </c>
    </row>
    <row r="5" spans="1:7" x14ac:dyDescent="0.2">
      <c r="A5" s="59" t="s">
        <v>20</v>
      </c>
      <c r="B5" s="60">
        <v>11258610</v>
      </c>
      <c r="C5" s="60">
        <v>16850600</v>
      </c>
      <c r="D5" s="60">
        <v>17481270</v>
      </c>
      <c r="E5" s="60">
        <v>19911930</v>
      </c>
      <c r="F5" s="60">
        <v>24792980</v>
      </c>
      <c r="G5" s="60">
        <v>90295390</v>
      </c>
    </row>
    <row r="6" spans="1:7" x14ac:dyDescent="0.2">
      <c r="A6" s="59" t="s">
        <v>21</v>
      </c>
      <c r="B6" s="60">
        <v>3584790</v>
      </c>
      <c r="C6" s="60">
        <v>3024320</v>
      </c>
      <c r="D6" s="60">
        <v>6637140</v>
      </c>
      <c r="E6" s="60">
        <v>5723730</v>
      </c>
      <c r="F6" s="60">
        <v>6661690</v>
      </c>
      <c r="G6" s="60">
        <v>25631670</v>
      </c>
    </row>
    <row r="7" spans="1:7" x14ac:dyDescent="0.2">
      <c r="A7" s="59" t="s">
        <v>22</v>
      </c>
      <c r="B7" s="60">
        <v>2788500</v>
      </c>
      <c r="C7" s="60">
        <v>4969640</v>
      </c>
      <c r="D7" s="60">
        <v>4123860</v>
      </c>
      <c r="E7" s="60">
        <v>7563300</v>
      </c>
      <c r="F7" s="60">
        <v>5500570</v>
      </c>
      <c r="G7" s="60">
        <v>24945870</v>
      </c>
    </row>
    <row r="8" spans="1:7" x14ac:dyDescent="0.2">
      <c r="A8" s="59" t="s">
        <v>24</v>
      </c>
      <c r="B8" s="60">
        <v>2533740</v>
      </c>
      <c r="C8" s="60">
        <v>4054960</v>
      </c>
      <c r="D8" s="60">
        <v>6677430</v>
      </c>
      <c r="E8" s="60">
        <v>6071550</v>
      </c>
      <c r="F8" s="60">
        <v>5219730</v>
      </c>
      <c r="G8" s="60">
        <v>24557410</v>
      </c>
    </row>
    <row r="9" spans="1:7" x14ac:dyDescent="0.2">
      <c r="A9" s="59" t="s">
        <v>23</v>
      </c>
      <c r="B9" s="60">
        <v>2373360</v>
      </c>
      <c r="C9" s="60">
        <v>3964480</v>
      </c>
      <c r="D9" s="60">
        <v>6509640</v>
      </c>
      <c r="E9" s="60">
        <v>7676010</v>
      </c>
      <c r="F9" s="60">
        <v>0</v>
      </c>
      <c r="G9" s="60">
        <v>20523490</v>
      </c>
    </row>
    <row r="10" spans="1:7" x14ac:dyDescent="0.2">
      <c r="A10" s="59" t="s">
        <v>45</v>
      </c>
      <c r="B10" s="60">
        <v>22539000</v>
      </c>
      <c r="C10" s="60">
        <v>32864000</v>
      </c>
      <c r="D10" s="60">
        <v>41429340</v>
      </c>
      <c r="E10" s="60">
        <v>46946520</v>
      </c>
      <c r="F10" s="60">
        <v>42174970</v>
      </c>
      <c r="G10" s="60">
        <v>185953830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9"/>
  <sheetViews>
    <sheetView workbookViewId="0">
      <pane ySplit="6" topLeftCell="A7" activePane="bottomLeft" state="frozen"/>
      <selection pane="bottomLeft" activeCell="A6" sqref="A6"/>
    </sheetView>
  </sheetViews>
  <sheetFormatPr defaultRowHeight="11.25" x14ac:dyDescent="0.2"/>
  <cols>
    <col min="1" max="1" width="29.5" customWidth="1"/>
    <col min="2" max="2" width="25.83203125" customWidth="1"/>
    <col min="3" max="3" width="37.83203125" bestFit="1" customWidth="1"/>
    <col min="4" max="4" width="13.1640625" style="14" customWidth="1"/>
    <col min="5" max="6" width="17.5" customWidth="1"/>
    <col min="7" max="7" width="19.5" customWidth="1"/>
    <col min="8" max="8" width="18" customWidth="1"/>
    <col min="9" max="9" width="17.5" customWidth="1"/>
  </cols>
  <sheetData>
    <row r="1" spans="1:9" ht="16.5" customHeight="1" x14ac:dyDescent="0.2">
      <c r="A1" s="18" t="s">
        <v>73</v>
      </c>
      <c r="B1" s="18"/>
      <c r="C1" s="18"/>
      <c r="D1" s="18"/>
      <c r="E1" s="18"/>
      <c r="F1" s="18"/>
      <c r="G1" s="18"/>
      <c r="H1" s="18"/>
      <c r="I1" s="18"/>
    </row>
    <row r="3" spans="1:9" ht="12" customHeight="1" x14ac:dyDescent="0.2"/>
    <row r="5" spans="1:9" x14ac:dyDescent="0.2">
      <c r="A5" s="13" t="s">
        <v>25</v>
      </c>
      <c r="B5" s="13"/>
    </row>
    <row r="6" spans="1:9" ht="28.5" customHeight="1" x14ac:dyDescent="0.2">
      <c r="A6" s="49" t="s">
        <v>0</v>
      </c>
      <c r="B6" s="50" t="s">
        <v>19</v>
      </c>
      <c r="C6" s="50" t="s">
        <v>74</v>
      </c>
      <c r="D6" s="50" t="s">
        <v>18</v>
      </c>
      <c r="E6" s="50" t="s">
        <v>2</v>
      </c>
      <c r="F6" s="50" t="s">
        <v>14</v>
      </c>
      <c r="G6" s="50" t="s">
        <v>15</v>
      </c>
      <c r="H6" s="50" t="s">
        <v>16</v>
      </c>
      <c r="I6" s="51" t="s">
        <v>17</v>
      </c>
    </row>
    <row r="7" spans="1:9" x14ac:dyDescent="0.2">
      <c r="A7" s="47" t="s">
        <v>33</v>
      </c>
      <c r="B7" s="40" t="str">
        <f>VLOOKUP(A7,'Задание 1'!$B$53:$C$59,2,FALSE)</f>
        <v>Московская</v>
      </c>
      <c r="C7" s="38" t="s">
        <v>40</v>
      </c>
      <c r="D7" s="3">
        <v>1</v>
      </c>
      <c r="E7" s="15">
        <v>330</v>
      </c>
      <c r="F7" s="15">
        <v>82500</v>
      </c>
      <c r="G7" s="15">
        <f>Продажи[[#This Row],[выручка с НДС]]/(1+0.1)</f>
        <v>75000</v>
      </c>
      <c r="H7" s="15">
        <v>59400</v>
      </c>
      <c r="I7" s="48">
        <f>Продажи[[#This Row],[выручка с НДС]]-Продажи[[#This Row],[Себестоимость]]</f>
        <v>23100</v>
      </c>
    </row>
    <row r="8" spans="1:9" x14ac:dyDescent="0.2">
      <c r="A8" s="47" t="s">
        <v>33</v>
      </c>
      <c r="B8" s="40" t="str">
        <f>VLOOKUP(A8,'Задание 1'!$B$53:$C$59,2,FALSE)</f>
        <v>Московская</v>
      </c>
      <c r="C8" s="38" t="s">
        <v>41</v>
      </c>
      <c r="D8" s="3">
        <v>1</v>
      </c>
      <c r="E8" s="15">
        <v>2409</v>
      </c>
      <c r="F8" s="15">
        <v>2047650</v>
      </c>
      <c r="G8" s="15">
        <f>Продажи[[#This Row],[выручка с НДС]]/(1+0.1)</f>
        <v>1861499.9999999998</v>
      </c>
      <c r="H8" s="15">
        <v>843150</v>
      </c>
      <c r="I8" s="48">
        <f>Продажи[[#This Row],[выручка с НДС]]-Продажи[[#This Row],[Себестоимость]]</f>
        <v>1204500</v>
      </c>
    </row>
    <row r="9" spans="1:9" x14ac:dyDescent="0.2">
      <c r="A9" s="47" t="s">
        <v>33</v>
      </c>
      <c r="B9" s="40" t="str">
        <f>VLOOKUP(A9,'Задание 1'!$B$53:$C$59,2,FALSE)</f>
        <v>Московская</v>
      </c>
      <c r="C9" s="38" t="s">
        <v>42</v>
      </c>
      <c r="D9" s="3">
        <v>1</v>
      </c>
      <c r="E9" s="15">
        <v>1089</v>
      </c>
      <c r="F9" s="15">
        <v>348480</v>
      </c>
      <c r="G9" s="15">
        <f>Продажи[[#This Row],[выручка с НДС]]/(1+0.1)</f>
        <v>316800</v>
      </c>
      <c r="H9" s="15">
        <v>239580</v>
      </c>
      <c r="I9" s="48">
        <f>Продажи[[#This Row],[выручка с НДС]]-Продажи[[#This Row],[Себестоимость]]</f>
        <v>108900</v>
      </c>
    </row>
    <row r="10" spans="1:9" x14ac:dyDescent="0.2">
      <c r="A10" s="47" t="s">
        <v>33</v>
      </c>
      <c r="B10" s="40" t="str">
        <f>VLOOKUP(A10,'Задание 1'!$B$53:$C$59,2,FALSE)</f>
        <v>Московская</v>
      </c>
      <c r="C10" s="38" t="s">
        <v>43</v>
      </c>
      <c r="D10" s="3">
        <v>1</v>
      </c>
      <c r="E10" s="15">
        <v>3267</v>
      </c>
      <c r="F10" s="15">
        <v>1372140</v>
      </c>
      <c r="G10" s="15">
        <f>Продажи[[#This Row],[выручка с НДС]]/(1+0.1)</f>
        <v>1247400</v>
      </c>
      <c r="H10" s="15">
        <v>1045440</v>
      </c>
      <c r="I10" s="48">
        <f>Продажи[[#This Row],[выручка с НДС]]-Продажи[[#This Row],[Себестоимость]]</f>
        <v>326700</v>
      </c>
    </row>
    <row r="11" spans="1:9" x14ac:dyDescent="0.2">
      <c r="A11" s="47" t="s">
        <v>33</v>
      </c>
      <c r="B11" s="40" t="str">
        <f>VLOOKUP(A11,'Задание 1'!$B$53:$C$59,2,FALSE)</f>
        <v>Московская</v>
      </c>
      <c r="C11" s="38" t="s">
        <v>44</v>
      </c>
      <c r="D11" s="3">
        <v>1</v>
      </c>
      <c r="E11" s="15">
        <v>1287</v>
      </c>
      <c r="F11" s="15">
        <v>180180</v>
      </c>
      <c r="G11" s="15">
        <f>Продажи[[#This Row],[выручка с НДС]]/(1+0.1)</f>
        <v>163800</v>
      </c>
      <c r="H11" s="15">
        <v>128700</v>
      </c>
      <c r="I11" s="48">
        <f>Продажи[[#This Row],[выручка с НДС]]-Продажи[[#This Row],[Себестоимость]]</f>
        <v>51480</v>
      </c>
    </row>
    <row r="12" spans="1:9" x14ac:dyDescent="0.2">
      <c r="A12" s="47" t="s">
        <v>34</v>
      </c>
      <c r="B12" s="40" t="str">
        <f>VLOOKUP(A12,'Задание 1'!$B$53:$C$59,2,FALSE)</f>
        <v>Московская</v>
      </c>
      <c r="C12" s="38" t="s">
        <v>40</v>
      </c>
      <c r="D12" s="3">
        <v>1</v>
      </c>
      <c r="E12" s="15">
        <v>1815</v>
      </c>
      <c r="F12" s="15">
        <v>453750</v>
      </c>
      <c r="G12" s="15">
        <f>Продажи[[#This Row],[выручка с НДС]]/(1+0.1)</f>
        <v>412499.99999999994</v>
      </c>
      <c r="H12" s="15">
        <v>326700</v>
      </c>
      <c r="I12" s="48">
        <f>Продажи[[#This Row],[выручка с НДС]]-Продажи[[#This Row],[Себестоимость]]</f>
        <v>127050</v>
      </c>
    </row>
    <row r="13" spans="1:9" x14ac:dyDescent="0.2">
      <c r="A13" s="47" t="s">
        <v>34</v>
      </c>
      <c r="B13" s="40" t="str">
        <f>VLOOKUP(A13,'Задание 1'!$B$53:$C$59,2,FALSE)</f>
        <v>Московская</v>
      </c>
      <c r="C13" s="38" t="s">
        <v>41</v>
      </c>
      <c r="D13" s="3">
        <v>1</v>
      </c>
      <c r="E13" s="15">
        <v>1947</v>
      </c>
      <c r="F13" s="15">
        <v>1654950</v>
      </c>
      <c r="G13" s="15">
        <f>Продажи[[#This Row],[выручка с НДС]]/(1+0.1)</f>
        <v>1504499.9999999998</v>
      </c>
      <c r="H13" s="15">
        <v>681450</v>
      </c>
      <c r="I13" s="48">
        <f>Продажи[[#This Row],[выручка с НДС]]-Продажи[[#This Row],[Себестоимость]]</f>
        <v>973500</v>
      </c>
    </row>
    <row r="14" spans="1:9" x14ac:dyDescent="0.2">
      <c r="A14" s="47" t="s">
        <v>34</v>
      </c>
      <c r="B14" s="40" t="str">
        <f>VLOOKUP(A14,'Задание 1'!$B$53:$C$59,2,FALSE)</f>
        <v>Московская</v>
      </c>
      <c r="C14" s="38" t="s">
        <v>42</v>
      </c>
      <c r="D14" s="3">
        <v>1</v>
      </c>
      <c r="E14" s="15">
        <v>2409</v>
      </c>
      <c r="F14" s="15">
        <v>770880</v>
      </c>
      <c r="G14" s="15">
        <f>Продажи[[#This Row],[выручка с НДС]]/(1+0.1)</f>
        <v>700800</v>
      </c>
      <c r="H14" s="15">
        <v>529980</v>
      </c>
      <c r="I14" s="48">
        <f>Продажи[[#This Row],[выручка с НДС]]-Продажи[[#This Row],[Себестоимость]]</f>
        <v>240900</v>
      </c>
    </row>
    <row r="15" spans="1:9" x14ac:dyDescent="0.2">
      <c r="A15" s="47" t="s">
        <v>34</v>
      </c>
      <c r="B15" s="40" t="str">
        <f>VLOOKUP(A15,'Задание 1'!$B$53:$C$59,2,FALSE)</f>
        <v>Московская</v>
      </c>
      <c r="C15" s="38" t="s">
        <v>43</v>
      </c>
      <c r="D15" s="3">
        <v>1</v>
      </c>
      <c r="E15" s="15">
        <v>1947</v>
      </c>
      <c r="F15" s="15">
        <v>817740</v>
      </c>
      <c r="G15" s="15">
        <f>Продажи[[#This Row],[выручка с НДС]]/(1+0.1)</f>
        <v>743399.99999999988</v>
      </c>
      <c r="H15" s="15">
        <v>623040</v>
      </c>
      <c r="I15" s="48">
        <f>Продажи[[#This Row],[выручка с НДС]]-Продажи[[#This Row],[Себестоимость]]</f>
        <v>194700</v>
      </c>
    </row>
    <row r="16" spans="1:9" x14ac:dyDescent="0.2">
      <c r="A16" s="47" t="s">
        <v>34</v>
      </c>
      <c r="B16" s="40" t="str">
        <f>VLOOKUP(A16,'Задание 1'!$B$53:$C$59,2,FALSE)</f>
        <v>Московская</v>
      </c>
      <c r="C16" s="38" t="s">
        <v>44</v>
      </c>
      <c r="D16" s="3">
        <v>1</v>
      </c>
      <c r="E16" s="15">
        <v>2277</v>
      </c>
      <c r="F16" s="15">
        <v>318780</v>
      </c>
      <c r="G16" s="15">
        <f>Продажи[[#This Row],[выручка с НДС]]/(1+0.1)</f>
        <v>289800</v>
      </c>
      <c r="H16" s="15">
        <v>227700</v>
      </c>
      <c r="I16" s="48">
        <f>Продажи[[#This Row],[выручка с НДС]]-Продажи[[#This Row],[Себестоимость]]</f>
        <v>91080</v>
      </c>
    </row>
    <row r="17" spans="1:9" x14ac:dyDescent="0.2">
      <c r="A17" s="47" t="s">
        <v>35</v>
      </c>
      <c r="B17" s="40" t="str">
        <f>VLOOKUP(A17,'Задание 1'!$B$53:$C$59,2,FALSE)</f>
        <v>Тульская</v>
      </c>
      <c r="C17" s="38" t="s">
        <v>40</v>
      </c>
      <c r="D17" s="3">
        <v>1</v>
      </c>
      <c r="E17" s="15">
        <v>2475</v>
      </c>
      <c r="F17" s="15">
        <v>618750</v>
      </c>
      <c r="G17" s="15">
        <f>Продажи[[#This Row],[выручка с НДС]]/(1+0.1)</f>
        <v>562500</v>
      </c>
      <c r="H17" s="15">
        <v>445500</v>
      </c>
      <c r="I17" s="48">
        <f>Продажи[[#This Row],[выручка с НДС]]-Продажи[[#This Row],[Себестоимость]]</f>
        <v>173250</v>
      </c>
    </row>
    <row r="18" spans="1:9" x14ac:dyDescent="0.2">
      <c r="A18" s="47" t="s">
        <v>35</v>
      </c>
      <c r="B18" s="40" t="str">
        <f>VLOOKUP(A18,'Задание 1'!$B$53:$C$59,2,FALSE)</f>
        <v>Тульская</v>
      </c>
      <c r="C18" s="38" t="s">
        <v>41</v>
      </c>
      <c r="D18" s="3">
        <v>1</v>
      </c>
      <c r="E18" s="15">
        <v>1188</v>
      </c>
      <c r="F18" s="15">
        <v>1009800</v>
      </c>
      <c r="G18" s="15">
        <f>Продажи[[#This Row],[выручка с НДС]]/(1+0.1)</f>
        <v>917999.99999999988</v>
      </c>
      <c r="H18" s="15">
        <v>415800</v>
      </c>
      <c r="I18" s="48">
        <f>Продажи[[#This Row],[выручка с НДС]]-Продажи[[#This Row],[Себестоимость]]</f>
        <v>594000</v>
      </c>
    </row>
    <row r="19" spans="1:9" x14ac:dyDescent="0.2">
      <c r="A19" s="47" t="s">
        <v>35</v>
      </c>
      <c r="B19" s="40" t="str">
        <f>VLOOKUP(A19,'Задание 1'!$B$53:$C$59,2,FALSE)</f>
        <v>Тульская</v>
      </c>
      <c r="C19" s="38" t="s">
        <v>42</v>
      </c>
      <c r="D19" s="3">
        <v>1</v>
      </c>
      <c r="E19" s="15">
        <v>2475</v>
      </c>
      <c r="F19" s="15">
        <v>792000</v>
      </c>
      <c r="G19" s="15">
        <f>Продажи[[#This Row],[выручка с НДС]]/(1+0.1)</f>
        <v>720000</v>
      </c>
      <c r="H19" s="15">
        <v>544500</v>
      </c>
      <c r="I19" s="48">
        <f>Продажи[[#This Row],[выручка с НДС]]-Продажи[[#This Row],[Себестоимость]]</f>
        <v>247500</v>
      </c>
    </row>
    <row r="20" spans="1:9" x14ac:dyDescent="0.2">
      <c r="A20" s="47" t="s">
        <v>35</v>
      </c>
      <c r="B20" s="40" t="str">
        <f>VLOOKUP(A20,'Задание 1'!$B$53:$C$59,2,FALSE)</f>
        <v>Тульская</v>
      </c>
      <c r="C20" s="38" t="s">
        <v>43</v>
      </c>
      <c r="D20" s="3">
        <v>1</v>
      </c>
      <c r="E20" s="15">
        <v>1749</v>
      </c>
      <c r="F20" s="15">
        <v>734580</v>
      </c>
      <c r="G20" s="15">
        <f>Продажи[[#This Row],[выручка с НДС]]/(1+0.1)</f>
        <v>667800</v>
      </c>
      <c r="H20" s="15">
        <v>559680</v>
      </c>
      <c r="I20" s="48">
        <f>Продажи[[#This Row],[выручка с НДС]]-Продажи[[#This Row],[Себестоимость]]</f>
        <v>174900</v>
      </c>
    </row>
    <row r="21" spans="1:9" x14ac:dyDescent="0.2">
      <c r="A21" s="47" t="s">
        <v>35</v>
      </c>
      <c r="B21" s="40" t="str">
        <f>VLOOKUP(A21,'Задание 1'!$B$53:$C$59,2,FALSE)</f>
        <v>Тульская</v>
      </c>
      <c r="C21" s="38" t="s">
        <v>44</v>
      </c>
      <c r="D21" s="3">
        <v>1</v>
      </c>
      <c r="E21" s="15">
        <v>3069</v>
      </c>
      <c r="F21" s="15">
        <v>429660</v>
      </c>
      <c r="G21" s="15">
        <f>Продажи[[#This Row],[выручка с НДС]]/(1+0.1)</f>
        <v>390599.99999999994</v>
      </c>
      <c r="H21" s="15">
        <v>306900</v>
      </c>
      <c r="I21" s="48">
        <f>Продажи[[#This Row],[выручка с НДС]]-Продажи[[#This Row],[Себестоимость]]</f>
        <v>122760</v>
      </c>
    </row>
    <row r="22" spans="1:9" x14ac:dyDescent="0.2">
      <c r="A22" s="47" t="s">
        <v>36</v>
      </c>
      <c r="B22" s="40" t="str">
        <f>VLOOKUP(A22,'Задание 1'!$B$53:$C$59,2,FALSE)</f>
        <v>Рязанская</v>
      </c>
      <c r="C22" s="38" t="s">
        <v>40</v>
      </c>
      <c r="D22" s="3">
        <v>1</v>
      </c>
      <c r="E22" s="15">
        <v>2508</v>
      </c>
      <c r="F22" s="15">
        <v>627000</v>
      </c>
      <c r="G22" s="15">
        <f>Продажи[[#This Row],[выручка с НДС]]/(1+0.1)</f>
        <v>570000</v>
      </c>
      <c r="H22" s="15">
        <v>451440</v>
      </c>
      <c r="I22" s="48">
        <f>Продажи[[#This Row],[выручка с НДС]]-Продажи[[#This Row],[Себестоимость]]</f>
        <v>175560</v>
      </c>
    </row>
    <row r="23" spans="1:9" x14ac:dyDescent="0.2">
      <c r="A23" s="47" t="s">
        <v>36</v>
      </c>
      <c r="B23" s="40" t="str">
        <f>VLOOKUP(A23,'Задание 1'!$B$53:$C$59,2,FALSE)</f>
        <v>Рязанская</v>
      </c>
      <c r="C23" s="38" t="s">
        <v>41</v>
      </c>
      <c r="D23" s="3">
        <v>1</v>
      </c>
      <c r="E23" s="15">
        <v>1650</v>
      </c>
      <c r="F23" s="15">
        <v>1402500</v>
      </c>
      <c r="G23" s="15">
        <f>Продажи[[#This Row],[выручка с НДС]]/(1+0.1)</f>
        <v>1275000</v>
      </c>
      <c r="H23" s="15">
        <v>577500</v>
      </c>
      <c r="I23" s="48">
        <f>Продажи[[#This Row],[выручка с НДС]]-Продажи[[#This Row],[Себестоимость]]</f>
        <v>825000</v>
      </c>
    </row>
    <row r="24" spans="1:9" x14ac:dyDescent="0.2">
      <c r="A24" s="47" t="s">
        <v>36</v>
      </c>
      <c r="B24" s="40" t="str">
        <f>VLOOKUP(A24,'Задание 1'!$B$53:$C$59,2,FALSE)</f>
        <v>Рязанская</v>
      </c>
      <c r="C24" s="38" t="s">
        <v>42</v>
      </c>
      <c r="D24" s="3">
        <v>1</v>
      </c>
      <c r="E24" s="15">
        <v>1419</v>
      </c>
      <c r="F24" s="15">
        <v>454080</v>
      </c>
      <c r="G24" s="15">
        <f>Продажи[[#This Row],[выручка с НДС]]/(1+0.1)</f>
        <v>412799.99999999994</v>
      </c>
      <c r="H24" s="15">
        <v>312180</v>
      </c>
      <c r="I24" s="48">
        <f>Продажи[[#This Row],[выручка с НДС]]-Продажи[[#This Row],[Себестоимость]]</f>
        <v>141900</v>
      </c>
    </row>
    <row r="25" spans="1:9" x14ac:dyDescent="0.2">
      <c r="A25" s="47" t="s">
        <v>36</v>
      </c>
      <c r="B25" s="40" t="str">
        <f>VLOOKUP(A25,'Задание 1'!$B$53:$C$59,2,FALSE)</f>
        <v>Рязанская</v>
      </c>
      <c r="C25" s="38" t="s">
        <v>43</v>
      </c>
      <c r="D25" s="3">
        <v>1</v>
      </c>
      <c r="E25" s="15">
        <v>726</v>
      </c>
      <c r="F25" s="15">
        <v>304920</v>
      </c>
      <c r="G25" s="15">
        <f>Продажи[[#This Row],[выручка с НДС]]/(1+0.1)</f>
        <v>277200</v>
      </c>
      <c r="H25" s="15">
        <v>232320</v>
      </c>
      <c r="I25" s="48">
        <f>Продажи[[#This Row],[выручка с НДС]]-Продажи[[#This Row],[Себестоимость]]</f>
        <v>72600</v>
      </c>
    </row>
    <row r="26" spans="1:9" x14ac:dyDescent="0.2">
      <c r="A26" s="47" t="s">
        <v>37</v>
      </c>
      <c r="B26" s="40" t="str">
        <f>VLOOKUP(A26,'Задание 1'!$B$53:$C$59,2,FALSE)</f>
        <v>Московская</v>
      </c>
      <c r="C26" s="38" t="s">
        <v>44</v>
      </c>
      <c r="D26" s="3">
        <v>1</v>
      </c>
      <c r="E26" s="15">
        <v>2145</v>
      </c>
      <c r="F26" s="15">
        <v>300300</v>
      </c>
      <c r="G26" s="15">
        <f>Продажи[[#This Row],[выручка с НДС]]/(1+0.1)</f>
        <v>273000</v>
      </c>
      <c r="H26" s="15">
        <v>214500</v>
      </c>
      <c r="I26" s="48">
        <f>Продажи[[#This Row],[выручка с НДС]]-Продажи[[#This Row],[Себестоимость]]</f>
        <v>85800</v>
      </c>
    </row>
    <row r="27" spans="1:9" x14ac:dyDescent="0.2">
      <c r="A27" s="47" t="s">
        <v>37</v>
      </c>
      <c r="B27" s="40" t="str">
        <f>VLOOKUP(A27,'Задание 1'!$B$53:$C$59,2,FALSE)</f>
        <v>Московская</v>
      </c>
      <c r="C27" s="38" t="s">
        <v>40</v>
      </c>
      <c r="D27" s="3">
        <v>1</v>
      </c>
      <c r="E27" s="15">
        <v>1914</v>
      </c>
      <c r="F27" s="15">
        <v>478500</v>
      </c>
      <c r="G27" s="15">
        <f>Продажи[[#This Row],[выручка с НДС]]/(1+0.1)</f>
        <v>434999.99999999994</v>
      </c>
      <c r="H27" s="15">
        <v>344520</v>
      </c>
      <c r="I27" s="48">
        <f>Продажи[[#This Row],[выручка с НДС]]-Продажи[[#This Row],[Себестоимость]]</f>
        <v>133980</v>
      </c>
    </row>
    <row r="28" spans="1:9" x14ac:dyDescent="0.2">
      <c r="A28" s="47" t="s">
        <v>37</v>
      </c>
      <c r="B28" s="40" t="str">
        <f>VLOOKUP(A28,'Задание 1'!$B$53:$C$59,2,FALSE)</f>
        <v>Московская</v>
      </c>
      <c r="C28" s="38" t="s">
        <v>41</v>
      </c>
      <c r="D28" s="3">
        <v>1</v>
      </c>
      <c r="E28" s="15">
        <v>990</v>
      </c>
      <c r="F28" s="15">
        <v>841500</v>
      </c>
      <c r="G28" s="15">
        <f>Продажи[[#This Row],[выручка с НДС]]/(1+0.1)</f>
        <v>764999.99999999988</v>
      </c>
      <c r="H28" s="15">
        <v>346500</v>
      </c>
      <c r="I28" s="48">
        <f>Продажи[[#This Row],[выручка с НДС]]-Продажи[[#This Row],[Себестоимость]]</f>
        <v>495000</v>
      </c>
    </row>
    <row r="29" spans="1:9" x14ac:dyDescent="0.2">
      <c r="A29" s="47" t="s">
        <v>37</v>
      </c>
      <c r="B29" s="40" t="str">
        <f>VLOOKUP(A29,'Задание 1'!$B$53:$C$59,2,FALSE)</f>
        <v>Московская</v>
      </c>
      <c r="C29" s="38" t="s">
        <v>42</v>
      </c>
      <c r="D29" s="3">
        <v>1</v>
      </c>
      <c r="E29" s="15">
        <v>2937</v>
      </c>
      <c r="F29" s="15">
        <v>939840</v>
      </c>
      <c r="G29" s="15">
        <f>Продажи[[#This Row],[выручка с НДС]]/(1+0.1)</f>
        <v>854399.99999999988</v>
      </c>
      <c r="H29" s="15">
        <v>646140</v>
      </c>
      <c r="I29" s="48">
        <f>Продажи[[#This Row],[выручка с НДС]]-Продажи[[#This Row],[Себестоимость]]</f>
        <v>293700</v>
      </c>
    </row>
    <row r="30" spans="1:9" x14ac:dyDescent="0.2">
      <c r="A30" s="47" t="s">
        <v>37</v>
      </c>
      <c r="B30" s="40" t="str">
        <f>VLOOKUP(A30,'Задание 1'!$B$53:$C$59,2,FALSE)</f>
        <v>Московская</v>
      </c>
      <c r="C30" s="38" t="s">
        <v>43</v>
      </c>
      <c r="D30" s="3">
        <v>1</v>
      </c>
      <c r="E30" s="15">
        <v>1551</v>
      </c>
      <c r="F30" s="15">
        <v>651420</v>
      </c>
      <c r="G30" s="15">
        <f>Продажи[[#This Row],[выручка с НДС]]/(1+0.1)</f>
        <v>592200</v>
      </c>
      <c r="H30" s="15">
        <v>496320</v>
      </c>
      <c r="I30" s="48">
        <f>Продажи[[#This Row],[выручка с НДС]]-Продажи[[#This Row],[Себестоимость]]</f>
        <v>155100</v>
      </c>
    </row>
    <row r="31" spans="1:9" x14ac:dyDescent="0.2">
      <c r="A31" s="47" t="s">
        <v>38</v>
      </c>
      <c r="B31" s="40" t="str">
        <f>VLOOKUP(A31,'Задание 1'!$B$53:$C$59,2,FALSE)</f>
        <v>Курская</v>
      </c>
      <c r="C31" s="38" t="s">
        <v>44</v>
      </c>
      <c r="D31" s="3">
        <v>1</v>
      </c>
      <c r="E31" s="15">
        <v>3135</v>
      </c>
      <c r="F31" s="15">
        <v>438900</v>
      </c>
      <c r="G31" s="15">
        <f>Продажи[[#This Row],[выручка с НДС]]/(1+0.1)</f>
        <v>398999.99999999994</v>
      </c>
      <c r="H31" s="15">
        <v>313500</v>
      </c>
      <c r="I31" s="48">
        <f>Продажи[[#This Row],[выручка с НДС]]-Продажи[[#This Row],[Себестоимость]]</f>
        <v>125400</v>
      </c>
    </row>
    <row r="32" spans="1:9" x14ac:dyDescent="0.2">
      <c r="A32" s="47" t="s">
        <v>38</v>
      </c>
      <c r="B32" s="40" t="str">
        <f>VLOOKUP(A32,'Задание 1'!$B$53:$C$59,2,FALSE)</f>
        <v>Курская</v>
      </c>
      <c r="C32" s="38" t="s">
        <v>40</v>
      </c>
      <c r="D32" s="3">
        <v>1</v>
      </c>
      <c r="E32" s="15">
        <v>759</v>
      </c>
      <c r="F32" s="15">
        <v>189750</v>
      </c>
      <c r="G32" s="15">
        <f>Продажи[[#This Row],[выручка с НДС]]/(1+0.1)</f>
        <v>172500</v>
      </c>
      <c r="H32" s="15">
        <v>136620</v>
      </c>
      <c r="I32" s="48">
        <f>Продажи[[#This Row],[выручка с НДС]]-Продажи[[#This Row],[Себестоимость]]</f>
        <v>53130</v>
      </c>
    </row>
    <row r="33" spans="1:9" x14ac:dyDescent="0.2">
      <c r="A33" s="47" t="s">
        <v>38</v>
      </c>
      <c r="B33" s="40" t="str">
        <f>VLOOKUP(A33,'Задание 1'!$B$53:$C$59,2,FALSE)</f>
        <v>Курская</v>
      </c>
      <c r="C33" s="38" t="s">
        <v>41</v>
      </c>
      <c r="D33" s="3">
        <v>1</v>
      </c>
      <c r="E33" s="15">
        <v>1551</v>
      </c>
      <c r="F33" s="15">
        <v>1318350</v>
      </c>
      <c r="G33" s="15">
        <f>Продажи[[#This Row],[выручка с НДС]]/(1+0.1)</f>
        <v>1198500</v>
      </c>
      <c r="H33" s="15">
        <v>542850</v>
      </c>
      <c r="I33" s="48">
        <f>Продажи[[#This Row],[выручка с НДС]]-Продажи[[#This Row],[Себестоимость]]</f>
        <v>775500</v>
      </c>
    </row>
    <row r="34" spans="1:9" x14ac:dyDescent="0.2">
      <c r="A34" s="47" t="s">
        <v>38</v>
      </c>
      <c r="B34" s="40" t="str">
        <f>VLOOKUP(A34,'Задание 1'!$B$53:$C$59,2,FALSE)</f>
        <v>Курская</v>
      </c>
      <c r="C34" s="38" t="s">
        <v>42</v>
      </c>
      <c r="D34" s="3">
        <v>1</v>
      </c>
      <c r="E34" s="15">
        <v>726</v>
      </c>
      <c r="F34" s="15">
        <v>232320</v>
      </c>
      <c r="G34" s="15">
        <f>Продажи[[#This Row],[выручка с НДС]]/(1+0.1)</f>
        <v>211199.99999999997</v>
      </c>
      <c r="H34" s="15">
        <v>159720</v>
      </c>
      <c r="I34" s="48">
        <f>Продажи[[#This Row],[выручка с НДС]]-Продажи[[#This Row],[Себестоимость]]</f>
        <v>72600</v>
      </c>
    </row>
    <row r="35" spans="1:9" x14ac:dyDescent="0.2">
      <c r="A35" s="47" t="s">
        <v>38</v>
      </c>
      <c r="B35" s="40" t="str">
        <f>VLOOKUP(A35,'Задание 1'!$B$53:$C$59,2,FALSE)</f>
        <v>Курская</v>
      </c>
      <c r="C35" s="38" t="s">
        <v>43</v>
      </c>
      <c r="D35" s="3">
        <v>1</v>
      </c>
      <c r="E35" s="15">
        <v>462</v>
      </c>
      <c r="F35" s="15">
        <v>194040</v>
      </c>
      <c r="G35" s="15">
        <f>Продажи[[#This Row],[выручка с НДС]]/(1+0.1)</f>
        <v>176400</v>
      </c>
      <c r="H35" s="15">
        <v>147840</v>
      </c>
      <c r="I35" s="48">
        <f>Продажи[[#This Row],[выручка с НДС]]-Продажи[[#This Row],[Себестоимость]]</f>
        <v>46200</v>
      </c>
    </row>
    <row r="36" spans="1:9" x14ac:dyDescent="0.2">
      <c r="A36" s="47" t="s">
        <v>39</v>
      </c>
      <c r="B36" s="40" t="str">
        <f>VLOOKUP(A36,'Задание 1'!$B$53:$C$59,2,FALSE)</f>
        <v>Самарская</v>
      </c>
      <c r="C36" s="38" t="s">
        <v>44</v>
      </c>
      <c r="D36" s="3">
        <v>1</v>
      </c>
      <c r="E36" s="15">
        <v>1188</v>
      </c>
      <c r="F36" s="15">
        <v>166320</v>
      </c>
      <c r="G36" s="15">
        <f>Продажи[[#This Row],[выручка с НДС]]/(1+0.1)</f>
        <v>151200</v>
      </c>
      <c r="H36" s="15">
        <v>118800</v>
      </c>
      <c r="I36" s="48">
        <f>Продажи[[#This Row],[выручка с НДС]]-Продажи[[#This Row],[Себестоимость]]</f>
        <v>47520</v>
      </c>
    </row>
    <row r="37" spans="1:9" x14ac:dyDescent="0.2">
      <c r="A37" s="47" t="s">
        <v>39</v>
      </c>
      <c r="B37" s="40" t="str">
        <f>VLOOKUP(A37,'Задание 1'!$B$53:$C$59,2,FALSE)</f>
        <v>Самарская</v>
      </c>
      <c r="C37" s="38" t="s">
        <v>40</v>
      </c>
      <c r="D37" s="3">
        <v>1</v>
      </c>
      <c r="E37" s="15">
        <v>2442</v>
      </c>
      <c r="F37" s="15">
        <v>610500</v>
      </c>
      <c r="G37" s="15">
        <f>Продажи[[#This Row],[выручка с НДС]]/(1+0.1)</f>
        <v>555000</v>
      </c>
      <c r="H37" s="15">
        <v>439560</v>
      </c>
      <c r="I37" s="48">
        <f>Продажи[[#This Row],[выручка с НДС]]-Продажи[[#This Row],[Себестоимость]]</f>
        <v>170940</v>
      </c>
    </row>
    <row r="38" spans="1:9" x14ac:dyDescent="0.2">
      <c r="A38" s="47" t="s">
        <v>39</v>
      </c>
      <c r="B38" s="40" t="str">
        <f>VLOOKUP(A38,'Задание 1'!$B$53:$C$59,2,FALSE)</f>
        <v>Самарская</v>
      </c>
      <c r="C38" s="38" t="s">
        <v>41</v>
      </c>
      <c r="D38" s="3">
        <v>1</v>
      </c>
      <c r="E38" s="15">
        <v>594</v>
      </c>
      <c r="F38" s="15">
        <v>504900</v>
      </c>
      <c r="G38" s="15">
        <f>Продажи[[#This Row],[выручка с НДС]]/(1+0.1)</f>
        <v>458999.99999999994</v>
      </c>
      <c r="H38" s="15">
        <v>207900</v>
      </c>
      <c r="I38" s="48">
        <f>Продажи[[#This Row],[выручка с НДС]]-Продажи[[#This Row],[Себестоимость]]</f>
        <v>297000</v>
      </c>
    </row>
    <row r="39" spans="1:9" x14ac:dyDescent="0.2">
      <c r="A39" s="47" t="s">
        <v>39</v>
      </c>
      <c r="B39" s="40" t="str">
        <f>VLOOKUP(A39,'Задание 1'!$B$53:$C$59,2,FALSE)</f>
        <v>Самарская</v>
      </c>
      <c r="C39" s="38" t="s">
        <v>42</v>
      </c>
      <c r="D39" s="3">
        <v>1</v>
      </c>
      <c r="E39" s="15">
        <v>3003</v>
      </c>
      <c r="F39" s="15">
        <v>960960</v>
      </c>
      <c r="G39" s="15">
        <f>Продажи[[#This Row],[выручка с НДС]]/(1+0.1)</f>
        <v>873599.99999999988</v>
      </c>
      <c r="H39" s="15">
        <v>660660</v>
      </c>
      <c r="I39" s="48">
        <f>Продажи[[#This Row],[выручка с НДС]]-Продажи[[#This Row],[Себестоимость]]</f>
        <v>300300</v>
      </c>
    </row>
    <row r="40" spans="1:9" x14ac:dyDescent="0.2">
      <c r="A40" s="47" t="s">
        <v>39</v>
      </c>
      <c r="B40" s="40" t="str">
        <f>VLOOKUP(A40,'Задание 1'!$B$53:$C$59,2,FALSE)</f>
        <v>Самарская</v>
      </c>
      <c r="C40" s="38" t="s">
        <v>43</v>
      </c>
      <c r="D40" s="3">
        <v>1</v>
      </c>
      <c r="E40" s="15">
        <v>693</v>
      </c>
      <c r="F40" s="15">
        <v>291060</v>
      </c>
      <c r="G40" s="15">
        <f>Продажи[[#This Row],[выручка с НДС]]/(1+0.1)</f>
        <v>264600</v>
      </c>
      <c r="H40" s="15">
        <v>221760</v>
      </c>
      <c r="I40" s="48">
        <f>Продажи[[#This Row],[выручка с НДС]]-Продажи[[#This Row],[Себестоимость]]</f>
        <v>69300</v>
      </c>
    </row>
    <row r="41" spans="1:9" x14ac:dyDescent="0.2">
      <c r="A41" s="47" t="s">
        <v>33</v>
      </c>
      <c r="B41" s="40" t="str">
        <f>VLOOKUP(A41,'Задание 1'!$B$53:$C$59,2,FALSE)</f>
        <v>Московская</v>
      </c>
      <c r="C41" s="38" t="s">
        <v>40</v>
      </c>
      <c r="D41" s="3">
        <v>2</v>
      </c>
      <c r="E41" s="15">
        <f t="array" ref="E41">INDEX('Задание 1'!G5:G39,MATCH(Продажи[[#This Row],[Клиент]]&amp;Продажи[[#This Row],[Столбец1]],'Задание 1'!B5:B38&amp;'Задание 1'!$C$5:$C$38,0))</f>
        <v>1612</v>
      </c>
      <c r="F41" s="15">
        <f t="array" ref="F41">INDEX('Задание 1'!H5:H39,MATCH(Продажи[[#This Row],[Клиент]]&amp;Продажи[[#This Row],[Столбец1]],'Задание 1'!B5:B38&amp;'Задание 1'!C5:C38,0))</f>
        <v>403000</v>
      </c>
      <c r="G41" s="15">
        <f>Продажи[[#This Row],[выручка с НДС]]/(1+0.1)</f>
        <v>366363.63636363635</v>
      </c>
      <c r="H41" s="15">
        <f t="array" ref="H41">INDEX('Задание 1'!I5:I38,MATCH(Продажи[[#This Row],[Клиент]]&amp;Продажи[[#This Row],[Столбец1]],'Задание 1'!B5:B38&amp;'Задание 1'!C5:C38,0))</f>
        <v>290160</v>
      </c>
      <c r="I41" s="48">
        <f>Продажи[[#This Row],[выручка с НДС]]-Продажи[[#This Row],[Себестоимость]]</f>
        <v>112840</v>
      </c>
    </row>
    <row r="42" spans="1:9" x14ac:dyDescent="0.2">
      <c r="A42" s="47" t="s">
        <v>33</v>
      </c>
      <c r="B42" s="40" t="str">
        <f>VLOOKUP(A42,'Задание 1'!$B$53:$C$59,2,FALSE)</f>
        <v>Московская</v>
      </c>
      <c r="C42" s="38" t="s">
        <v>41</v>
      </c>
      <c r="D42" s="3">
        <v>2</v>
      </c>
      <c r="E42" s="15">
        <f t="array" ref="E42">INDEX('Задание 1'!G6:G40,MATCH(Продажи[[#This Row],[Клиент]]&amp;Продажи[[#This Row],[Столбец1]],'Задание 1'!B6:B39&amp;'Задание 1'!C6:C39,0))</f>
        <v>4628</v>
      </c>
      <c r="F42" s="15">
        <f t="array" ref="F42">INDEX('Задание 1'!H6:H40,MATCH(Продажи[[#This Row],[Клиент]]&amp;Продажи[[#This Row],[Столбец1]],'Задание 1'!B6:B39&amp;'Задание 1'!C6:C39,0))</f>
        <v>3933800</v>
      </c>
      <c r="G42" s="15">
        <f>Продажи[[#This Row],[выручка с НДС]]/(1+0.1)</f>
        <v>3576181.8181818179</v>
      </c>
      <c r="H42" s="15">
        <f t="array" ref="H42">INDEX('Задание 1'!I6:I39,MATCH(Продажи[[#This Row],[Клиент]]&amp;Продажи[[#This Row],[Столбец1]],'Задание 1'!B6:B39&amp;'Задание 1'!C6:C39,0))</f>
        <v>1619800</v>
      </c>
      <c r="I42" s="48">
        <f>Продажи[[#This Row],[выручка с НДС]]-Продажи[[#This Row],[Себестоимость]]</f>
        <v>2314000</v>
      </c>
    </row>
    <row r="43" spans="1:9" x14ac:dyDescent="0.2">
      <c r="A43" s="47" t="s">
        <v>33</v>
      </c>
      <c r="B43" s="40" t="str">
        <f>VLOOKUP(A43,'Задание 1'!$B$53:$C$59,2,FALSE)</f>
        <v>Московская</v>
      </c>
      <c r="C43" s="38" t="s">
        <v>42</v>
      </c>
      <c r="D43" s="3">
        <v>2</v>
      </c>
      <c r="E43" s="15">
        <f t="array" ref="E43">INDEX('Задание 1'!G7:G41,MATCH(Продажи[[#This Row],[Клиент]]&amp;Продажи[[#This Row],[Столбец1]],'Задание 1'!B7:B40&amp;'Задание 1'!C7:C40,0))</f>
        <v>4160</v>
      </c>
      <c r="F43" s="15">
        <f t="array" ref="F43">INDEX('Задание 1'!H7:H41,MATCH(Продажи[[#This Row],[Клиент]]&amp;Продажи[[#This Row],[Столбец1]],'Задание 1'!B7:B40&amp;'Задание 1'!C7:C40,0))</f>
        <v>1331200</v>
      </c>
      <c r="G43" s="15">
        <f>Продажи[[#This Row],[выручка с НДС]]/(1+0.1)</f>
        <v>1210181.8181818181</v>
      </c>
      <c r="H43" s="15">
        <f t="array" ref="H43">INDEX('Задание 1'!I7:I40,MATCH(Продажи[[#This Row],[Клиент]]&amp;Продажи[[#This Row],[Столбец1]],'Задание 1'!B7:B40&amp;'Задание 1'!C7:C40,0))</f>
        <v>915200</v>
      </c>
      <c r="I43" s="48">
        <f>Продажи[[#This Row],[выручка с НДС]]-Продажи[[#This Row],[Себестоимость]]</f>
        <v>416000</v>
      </c>
    </row>
    <row r="44" spans="1:9" x14ac:dyDescent="0.2">
      <c r="A44" s="47" t="s">
        <v>33</v>
      </c>
      <c r="B44" s="40" t="str">
        <f>VLOOKUP(A44,'Задание 1'!$B$53:$C$59,2,FALSE)</f>
        <v>Московская</v>
      </c>
      <c r="C44" s="38" t="s">
        <v>43</v>
      </c>
      <c r="D44" s="3">
        <v>2</v>
      </c>
      <c r="E44" s="15">
        <f t="array" ref="E44">INDEX('Задание 1'!G8:G42,MATCH(Продажи[[#This Row],[Клиент]]&amp;Продажи[[#This Row],[Столбец1]],'Задание 1'!B8:B41&amp;'Задание 1'!C8:C41,0))</f>
        <v>1300</v>
      </c>
      <c r="F44" s="15">
        <f t="array" ref="F44">INDEX('Задание 1'!H8:H42,MATCH(Продажи[[#This Row],[Клиент]]&amp;Продажи[[#This Row],[Столбец1]],'Задание 1'!B8:B41&amp;'Задание 1'!C8:C41,0))</f>
        <v>546000</v>
      </c>
      <c r="G44" s="15">
        <f>Продажи[[#This Row],[выручка с НДС]]/(1+0.1)</f>
        <v>496363.63636363629</v>
      </c>
      <c r="H44" s="15">
        <f t="array" ref="H44">INDEX('Задание 1'!I8:I41,MATCH(Продажи[[#This Row],[Клиент]]&amp;Продажи[[#This Row],[Столбец1]],'Задание 1'!B8:B41&amp;'Задание 1'!C8:C41,0))</f>
        <v>416000</v>
      </c>
      <c r="I44" s="48">
        <f>Продажи[[#This Row],[выручка с НДС]]-Продажи[[#This Row],[Себестоимость]]</f>
        <v>130000</v>
      </c>
    </row>
    <row r="45" spans="1:9" x14ac:dyDescent="0.2">
      <c r="A45" s="47" t="s">
        <v>33</v>
      </c>
      <c r="B45" s="40" t="str">
        <f>VLOOKUP(A45,'Задание 1'!$B$53:$C$59,2,FALSE)</f>
        <v>Московская</v>
      </c>
      <c r="C45" s="38" t="s">
        <v>44</v>
      </c>
      <c r="D45" s="3">
        <v>2</v>
      </c>
      <c r="E45" s="15">
        <f t="array" ref="E45">INDEX('Задание 1'!G9:G43,MATCH(Продажи[[#This Row],[Клиент]]&amp;Продажи[[#This Row],[Столбец1]],'Задание 1'!B9:B42&amp;'Задание 1'!C9:C42,0))</f>
        <v>2652</v>
      </c>
      <c r="F45" s="15">
        <f t="array" ref="F45">INDEX('Задание 1'!H9:H43,MATCH(Продажи[[#This Row],[Клиент]]&amp;Продажи[[#This Row],[Столбец1]],'Задание 1'!B9:B42&amp;'Задание 1'!C9:C42,0))</f>
        <v>371280</v>
      </c>
      <c r="G45" s="15">
        <f>Продажи[[#This Row],[выручка с НДС]]/(1+0.1)</f>
        <v>337527.27272727271</v>
      </c>
      <c r="H45" s="15">
        <f t="array" ref="H45">INDEX('Задание 1'!I9:I42,MATCH(Продажи[[#This Row],[Клиент]]&amp;Продажи[[#This Row],[Столбец1]],'Задание 1'!B9:B42&amp;'Задание 1'!C9:C42,0))</f>
        <v>265200</v>
      </c>
      <c r="I45" s="48">
        <f>Продажи[[#This Row],[выручка с НДС]]-Продажи[[#This Row],[Себестоимость]]</f>
        <v>106080</v>
      </c>
    </row>
    <row r="46" spans="1:9" x14ac:dyDescent="0.2">
      <c r="A46" s="47" t="s">
        <v>34</v>
      </c>
      <c r="B46" s="40" t="str">
        <f>VLOOKUP(A46,'Задание 1'!$B$53:$C$59,2,FALSE)</f>
        <v>Московская</v>
      </c>
      <c r="C46" s="38" t="s">
        <v>40</v>
      </c>
      <c r="D46" s="3">
        <v>2</v>
      </c>
      <c r="E46" s="15">
        <f t="array" ref="E46">INDEX('Задание 1'!G10:G44,MATCH(Продажи[[#This Row],[Клиент]]&amp;Продажи[[#This Row],[Столбец1]],'Задание 1'!B10:B43&amp;'Задание 1'!C10:C43,0))</f>
        <v>3640</v>
      </c>
      <c r="F46" s="15">
        <f t="array" ref="F46">INDEX('Задание 1'!H10:H44,MATCH(Продажи[[#This Row],[Клиент]]&amp;Продажи[[#This Row],[Столбец1]],'Задание 1'!B10:B43&amp;'Задание 1'!C10:C43,0))</f>
        <v>910000</v>
      </c>
      <c r="G46" s="15">
        <f>Продажи[[#This Row],[выручка с НДС]]/(1+0.1)</f>
        <v>827272.72727272718</v>
      </c>
      <c r="H46" s="15">
        <f t="array" ref="H46">INDEX('Задание 1'!I10:I43,MATCH(Продажи[[#This Row],[Клиент]]&amp;Продажи[[#This Row],[Столбец1]],'Задание 1'!B10:B43&amp;'Задание 1'!C10:C43,0))</f>
        <v>655200</v>
      </c>
      <c r="I46" s="48">
        <f>Продажи[[#This Row],[выручка с НДС]]-Продажи[[#This Row],[Себестоимость]]</f>
        <v>254800</v>
      </c>
    </row>
    <row r="47" spans="1:9" x14ac:dyDescent="0.2">
      <c r="A47" s="47" t="s">
        <v>34</v>
      </c>
      <c r="B47" s="40" t="str">
        <f>VLOOKUP(A47,'Задание 1'!$B$53:$C$59,2,FALSE)</f>
        <v>Московская</v>
      </c>
      <c r="C47" s="38" t="s">
        <v>41</v>
      </c>
      <c r="D47" s="3">
        <v>2</v>
      </c>
      <c r="E47" s="15">
        <f t="array" ref="E47">INDEX('Задание 1'!G11:G45,MATCH(Продажи[[#This Row],[Клиент]]&amp;Продажи[[#This Row],[Столбец1]],'Задание 1'!B11:B44&amp;'Задание 1'!C11:C44,0))</f>
        <v>2080</v>
      </c>
      <c r="F47" s="15">
        <f t="array" ref="F47">INDEX('Задание 1'!H11:H45,MATCH(Продажи[[#This Row],[Клиент]]&amp;Продажи[[#This Row],[Столбец1]],'Задание 1'!B11:B44&amp;'Задание 1'!C11:C44,0))</f>
        <v>1768000</v>
      </c>
      <c r="G47" s="15">
        <f>Продажи[[#This Row],[выручка с НДС]]/(1+0.1)</f>
        <v>1607272.7272727271</v>
      </c>
      <c r="H47" s="15">
        <f t="array" ref="H47">INDEX('Задание 1'!I11:I44,MATCH(Продажи[[#This Row],[Клиент]]&amp;Продажи[[#This Row],[Столбец1]],'Задание 1'!B11:B44&amp;'Задание 1'!C11:C44,0))</f>
        <v>728000</v>
      </c>
      <c r="I47" s="48">
        <f>Продажи[[#This Row],[выручка с НДС]]-Продажи[[#This Row],[Себестоимость]]</f>
        <v>1040000</v>
      </c>
    </row>
    <row r="48" spans="1:9" x14ac:dyDescent="0.2">
      <c r="A48" s="47" t="s">
        <v>34</v>
      </c>
      <c r="B48" s="40" t="str">
        <f>VLOOKUP(A48,'Задание 1'!$B$53:$C$59,2,FALSE)</f>
        <v>Московская</v>
      </c>
      <c r="C48" s="38" t="s">
        <v>42</v>
      </c>
      <c r="D48" s="3">
        <v>2</v>
      </c>
      <c r="E48" s="15">
        <f t="array" ref="E48">INDEX('Задание 1'!G12:G46,MATCH(Продажи[[#This Row],[Клиент]]&amp;Продажи[[#This Row],[Столбец1]],'Задание 1'!B12:B45&amp;'Задание 1'!C12:C45,0))</f>
        <v>1872</v>
      </c>
      <c r="F48" s="15">
        <f t="array" ref="F48">INDEX('Задание 1'!H12:H46,MATCH(Продажи[[#This Row],[Клиент]]&amp;Продажи[[#This Row],[Столбец1]],'Задание 1'!B12:B45&amp;'Задание 1'!C12:C45,0))</f>
        <v>599040</v>
      </c>
      <c r="G48" s="15">
        <f>Продажи[[#This Row],[выручка с НДС]]/(1+0.1)</f>
        <v>544581.81818181812</v>
      </c>
      <c r="H48" s="15">
        <f t="array" ref="H48">INDEX('Задание 1'!I12:I45,MATCH(Продажи[[#This Row],[Клиент]]&amp;Продажи[[#This Row],[Столбец1]],'Задание 1'!B12:B45&amp;'Задание 1'!C12:C45,0))</f>
        <v>411840</v>
      </c>
      <c r="I48" s="48">
        <f>Продажи[[#This Row],[выручка с НДС]]-Продажи[[#This Row],[Себестоимость]]</f>
        <v>187200</v>
      </c>
    </row>
    <row r="49" spans="1:9" x14ac:dyDescent="0.2">
      <c r="A49" s="47" t="s">
        <v>34</v>
      </c>
      <c r="B49" s="40" t="str">
        <f>VLOOKUP(A49,'Задание 1'!$B$53:$C$59,2,FALSE)</f>
        <v>Московская</v>
      </c>
      <c r="C49" s="38" t="s">
        <v>43</v>
      </c>
      <c r="D49" s="3">
        <v>2</v>
      </c>
      <c r="E49" s="15">
        <f t="array" ref="E49">INDEX('Задание 1'!G13:G47,MATCH(Продажи[[#This Row],[Клиент]]&amp;Продажи[[#This Row],[Столбец1]],'Задание 1'!B13:B46&amp;'Задание 1'!C13:C46,0))</f>
        <v>3848</v>
      </c>
      <c r="F49" s="15">
        <f t="array" ref="F49">INDEX('Задание 1'!H13:H47,MATCH(Продажи[[#This Row],[Клиент]]&amp;Продажи[[#This Row],[Столбец1]],'Задание 1'!B13:B46&amp;'Задание 1'!C13:C46,0))</f>
        <v>1616160</v>
      </c>
      <c r="G49" s="15">
        <f>Продажи[[#This Row],[выручка с НДС]]/(1+0.1)</f>
        <v>1469236.3636363635</v>
      </c>
      <c r="H49" s="15">
        <f t="array" ref="H49">INDEX('Задание 1'!I13:I46,MATCH(Продажи[[#This Row],[Клиент]]&amp;Продажи[[#This Row],[Столбец1]],'Задание 1'!B13:B46&amp;'Задание 1'!C13:C46,0))</f>
        <v>1231360</v>
      </c>
      <c r="I49" s="48">
        <f>Продажи[[#This Row],[выручка с НДС]]-Продажи[[#This Row],[Себестоимость]]</f>
        <v>384800</v>
      </c>
    </row>
    <row r="50" spans="1:9" x14ac:dyDescent="0.2">
      <c r="A50" s="47" t="s">
        <v>34</v>
      </c>
      <c r="B50" s="40" t="str">
        <f>VLOOKUP(A50,'Задание 1'!$B$53:$C$59,2,FALSE)</f>
        <v>Московская</v>
      </c>
      <c r="C50" s="38" t="s">
        <v>44</v>
      </c>
      <c r="D50" s="3">
        <v>2</v>
      </c>
      <c r="E50" s="15">
        <f t="array" ref="E50">INDEX('Задание 1'!G14:G48,MATCH(Продажи[[#This Row],[Клиент]]&amp;Продажи[[#This Row],[Столбец1]],'Задание 1'!B14:B47&amp;'Задание 1'!C14:C47,0))</f>
        <v>4836</v>
      </c>
      <c r="F50" s="15">
        <f t="array" ref="F50">INDEX('Задание 1'!H14:H48,MATCH(Продажи[[#This Row],[Клиент]]&amp;Продажи[[#This Row],[Столбец1]],'Задание 1'!B14:B47&amp;'Задание 1'!C14:C47,0))</f>
        <v>677040</v>
      </c>
      <c r="G50" s="15">
        <f>Продажи[[#This Row],[выручка с НДС]]/(1+0.1)</f>
        <v>615490.90909090906</v>
      </c>
      <c r="H50" s="15">
        <f t="array" ref="H50">INDEX('Задание 1'!I14:I47,MATCH(Продажи[[#This Row],[Клиент]]&amp;Продажи[[#This Row],[Столбец1]],'Задание 1'!B14:B47&amp;'Задание 1'!C14:C47,0))</f>
        <v>483600</v>
      </c>
      <c r="I50" s="48">
        <f>Продажи[[#This Row],[выручка с НДС]]-Продажи[[#This Row],[Себестоимость]]</f>
        <v>193440</v>
      </c>
    </row>
    <row r="51" spans="1:9" x14ac:dyDescent="0.2">
      <c r="A51" s="47" t="s">
        <v>35</v>
      </c>
      <c r="B51" s="40" t="str">
        <f>VLOOKUP(A51,'Задание 1'!$B$53:$C$59,2,FALSE)</f>
        <v>Тульская</v>
      </c>
      <c r="C51" s="38" t="s">
        <v>40</v>
      </c>
      <c r="D51" s="3">
        <v>2</v>
      </c>
      <c r="E51" s="15">
        <f t="array" ref="E51">INDEX('Задание 1'!G15:G49,MATCH(Продажи[[#This Row],[Клиент]]&amp;Продажи[[#This Row],[Столбец1]],'Задание 1'!B15:B48&amp;'Задание 1'!C15:C48,0))</f>
        <v>936</v>
      </c>
      <c r="F51" s="15">
        <f t="array" ref="F51">INDEX('Задание 1'!H15:H49,MATCH(Продажи[[#This Row],[Клиент]]&amp;Продажи[[#This Row],[Столбец1]],'Задание 1'!B15:B48&amp;'Задание 1'!C15:C48,0))</f>
        <v>234000</v>
      </c>
      <c r="G51" s="15">
        <f>Продажи[[#This Row],[выручка с НДС]]/(1+0.1)</f>
        <v>212727.27272727271</v>
      </c>
      <c r="H51" s="15">
        <f t="array" ref="H51">INDEX('Задание 1'!I15:I48,MATCH(Продажи[[#This Row],[Клиент]]&amp;Продажи[[#This Row],[Столбец1]],'Задание 1'!B15:B48&amp;'Задание 1'!C15:C48,0))</f>
        <v>168480</v>
      </c>
      <c r="I51" s="48">
        <f>Продажи[[#This Row],[выручка с НДС]]-Продажи[[#This Row],[Себестоимость]]</f>
        <v>65520</v>
      </c>
    </row>
    <row r="52" spans="1:9" x14ac:dyDescent="0.2">
      <c r="A52" s="47" t="s">
        <v>35</v>
      </c>
      <c r="B52" s="40" t="str">
        <f>VLOOKUP(A52,'Задание 1'!$B$53:$C$59,2,FALSE)</f>
        <v>Тульская</v>
      </c>
      <c r="C52" s="38" t="s">
        <v>41</v>
      </c>
      <c r="D52" s="3">
        <v>2</v>
      </c>
      <c r="E52" s="15">
        <f t="array" ref="E52">INDEX('Задание 1'!G16:G50,MATCH(Продажи[[#This Row],[Клиент]]&amp;Продажи[[#This Row],[Столбец1]],'Задание 1'!B16:B49&amp;'Задание 1'!C16:C49,0))</f>
        <v>1352</v>
      </c>
      <c r="F52" s="15">
        <f t="array" ref="F52">INDEX('Задание 1'!H16:H50,MATCH(Продажи[[#This Row],[Клиент]]&amp;Продажи[[#This Row],[Столбец1]],'Задание 1'!B16:B49&amp;'Задание 1'!C16:C49,0))</f>
        <v>1149200</v>
      </c>
      <c r="G52" s="15">
        <f>Продажи[[#This Row],[выручка с НДС]]/(1+0.1)</f>
        <v>1044727.2727272726</v>
      </c>
      <c r="H52" s="15">
        <f t="array" ref="H52">INDEX('Задание 1'!I16:I49,MATCH(Продажи[[#This Row],[Клиент]]&amp;Продажи[[#This Row],[Столбец1]],'Задание 1'!B16:B49&amp;'Задание 1'!C16:C49,0))</f>
        <v>473200</v>
      </c>
      <c r="I52" s="48">
        <f>Продажи[[#This Row],[выручка с НДС]]-Продажи[[#This Row],[Себестоимость]]</f>
        <v>676000</v>
      </c>
    </row>
    <row r="53" spans="1:9" x14ac:dyDescent="0.2">
      <c r="A53" s="47" t="s">
        <v>35</v>
      </c>
      <c r="B53" s="40" t="str">
        <f>VLOOKUP(A53,'Задание 1'!$B$53:$C$59,2,FALSE)</f>
        <v>Тульская</v>
      </c>
      <c r="C53" s="38" t="s">
        <v>42</v>
      </c>
      <c r="D53" s="3">
        <v>2</v>
      </c>
      <c r="E53" s="15">
        <f t="array" ref="E53">INDEX('Задание 1'!G17:G51,MATCH(Продажи[[#This Row],[Клиент]]&amp;Продажи[[#This Row],[Столбец1]],'Задание 1'!B17:B50&amp;'Задание 1'!C17:C50,0))</f>
        <v>1716</v>
      </c>
      <c r="F53" s="15">
        <f t="array" ref="F53">INDEX('Задание 1'!H17:H51,MATCH(Продажи[[#This Row],[Клиент]]&amp;Продажи[[#This Row],[Столбец1]],'Задание 1'!B17:B50&amp;'Задание 1'!C17:C50,0))</f>
        <v>549120</v>
      </c>
      <c r="G53" s="15">
        <f>Продажи[[#This Row],[выручка с НДС]]/(1+0.1)</f>
        <v>499199.99999999994</v>
      </c>
      <c r="H53" s="15">
        <f t="array" ref="H53">INDEX('Задание 1'!I17:I50,MATCH(Продажи[[#This Row],[Клиент]]&amp;Продажи[[#This Row],[Столбец1]],'Задание 1'!B17:B50&amp;'Задание 1'!C17:C50,0))</f>
        <v>377520</v>
      </c>
      <c r="I53" s="48">
        <f>Продажи[[#This Row],[выручка с НДС]]-Продажи[[#This Row],[Себестоимость]]</f>
        <v>171600</v>
      </c>
    </row>
    <row r="54" spans="1:9" x14ac:dyDescent="0.2">
      <c r="A54" s="47" t="s">
        <v>35</v>
      </c>
      <c r="B54" s="40" t="str">
        <f>VLOOKUP(A54,'Задание 1'!$B$53:$C$59,2,FALSE)</f>
        <v>Тульская</v>
      </c>
      <c r="C54" s="38" t="s">
        <v>43</v>
      </c>
      <c r="D54" s="3">
        <v>2</v>
      </c>
      <c r="E54" s="15">
        <f t="array" ref="E54">INDEX('Задание 1'!G18:G52,MATCH(Продажи[[#This Row],[Клиент]]&amp;Продажи[[#This Row],[Столбец1]],'Задание 1'!B18:B51&amp;'Задание 1'!C18:C51,0))</f>
        <v>1768</v>
      </c>
      <c r="F54" s="15">
        <f t="array" ref="F54">INDEX('Задание 1'!H18:H52,MATCH(Продажи[[#This Row],[Клиент]]&amp;Продажи[[#This Row],[Столбец1]],'Задание 1'!B18:B51&amp;'Задание 1'!C18:C51,0))</f>
        <v>742560</v>
      </c>
      <c r="G54" s="15">
        <f>Продажи[[#This Row],[выручка с НДС]]/(1+0.1)</f>
        <v>675054.54545454541</v>
      </c>
      <c r="H54" s="15">
        <f t="array" ref="H54">INDEX('Задание 1'!I18:I51,MATCH(Продажи[[#This Row],[Клиент]]&amp;Продажи[[#This Row],[Столбец1]],'Задание 1'!B18:B51&amp;'Задание 1'!C18:C51,0))</f>
        <v>565760</v>
      </c>
      <c r="I54" s="48">
        <f>Продажи[[#This Row],[выручка с НДС]]-Продажи[[#This Row],[Себестоимость]]</f>
        <v>176800</v>
      </c>
    </row>
    <row r="55" spans="1:9" x14ac:dyDescent="0.2">
      <c r="A55" s="47" t="s">
        <v>35</v>
      </c>
      <c r="B55" s="40" t="str">
        <f>VLOOKUP(A55,'Задание 1'!$B$53:$C$59,2,FALSE)</f>
        <v>Тульская</v>
      </c>
      <c r="C55" s="38" t="s">
        <v>44</v>
      </c>
      <c r="D55" s="3">
        <v>2</v>
      </c>
      <c r="E55" s="15">
        <f t="array" ref="E55">INDEX('Задание 1'!G19:G53,MATCH(Продажи[[#This Row],[Клиент]]&amp;Продажи[[#This Row],[Столбец1]],'Задание 1'!B19:B52&amp;'Задание 1'!C19:C52,0))</f>
        <v>2496</v>
      </c>
      <c r="F55" s="15">
        <f t="array" ref="F55">INDEX('Задание 1'!H19:H53,MATCH(Продажи[[#This Row],[Клиент]]&amp;Продажи[[#This Row],[Столбец1]],'Задание 1'!B19:B52&amp;'Задание 1'!C19:C52,0))</f>
        <v>349440</v>
      </c>
      <c r="G55" s="15">
        <f>Продажи[[#This Row],[выручка с НДС]]/(1+0.1)</f>
        <v>317672.72727272724</v>
      </c>
      <c r="H55" s="15">
        <f t="array" ref="H55">INDEX('Задание 1'!I19:I52,MATCH(Продажи[[#This Row],[Клиент]]&amp;Продажи[[#This Row],[Столбец1]],'Задание 1'!B19:B52&amp;'Задание 1'!C19:C52,0))</f>
        <v>249600</v>
      </c>
      <c r="I55" s="48">
        <f>Продажи[[#This Row],[выручка с НДС]]-Продажи[[#This Row],[Себестоимость]]</f>
        <v>99840</v>
      </c>
    </row>
    <row r="56" spans="1:9" x14ac:dyDescent="0.2">
      <c r="A56" s="47" t="s">
        <v>36</v>
      </c>
      <c r="B56" s="40" t="str">
        <f>VLOOKUP(A56,'Задание 1'!$B$53:$C$59,2,FALSE)</f>
        <v>Рязанская</v>
      </c>
      <c r="C56" s="38" t="s">
        <v>40</v>
      </c>
      <c r="D56" s="3">
        <v>2</v>
      </c>
      <c r="E56" s="15">
        <f t="array" ref="E56">INDEX('Задание 1'!G20:G54,MATCH(Продажи[[#This Row],[Клиент]]&amp;Продажи[[#This Row],[Столбец1]],'Задание 1'!B20:B53&amp;'Задание 1'!C20:C53,0))</f>
        <v>1716</v>
      </c>
      <c r="F56" s="15">
        <f t="array" ref="F56">INDEX('Задание 1'!H20:H54,MATCH(Продажи[[#This Row],[Клиент]]&amp;Продажи[[#This Row],[Столбец1]],'Задание 1'!B20:B53&amp;'Задание 1'!C20:C53,0))</f>
        <v>429000</v>
      </c>
      <c r="G56" s="15">
        <f>Продажи[[#This Row],[выручка с НДС]]/(1+0.1)</f>
        <v>389999.99999999994</v>
      </c>
      <c r="H56" s="15">
        <f t="array" ref="H56">INDEX('Задание 1'!I20:I53,MATCH(Продажи[[#This Row],[Клиент]]&amp;Продажи[[#This Row],[Столбец1]],'Задание 1'!B20:B53&amp;'Задание 1'!C20:C53,0))</f>
        <v>308880</v>
      </c>
      <c r="I56" s="48">
        <f>Продажи[[#This Row],[выручка с НДС]]-Продажи[[#This Row],[Себестоимость]]</f>
        <v>120120</v>
      </c>
    </row>
    <row r="57" spans="1:9" x14ac:dyDescent="0.2">
      <c r="A57" s="47" t="s">
        <v>36</v>
      </c>
      <c r="B57" s="40" t="str">
        <f>VLOOKUP(A57,'Задание 1'!$B$53:$C$59,2,FALSE)</f>
        <v>Рязанская</v>
      </c>
      <c r="C57" s="38" t="s">
        <v>41</v>
      </c>
      <c r="D57" s="3">
        <v>2</v>
      </c>
      <c r="E57" s="15">
        <f t="array" ref="E57">INDEX('Задание 1'!G21:G55,MATCH(Продажи[[#This Row],[Клиент]]&amp;Продажи[[#This Row],[Столбец1]],'Задание 1'!B21:B54&amp;'Задание 1'!C21:C54,0))</f>
        <v>2600</v>
      </c>
      <c r="F57" s="15">
        <f t="array" ref="F57">INDEX('Задание 1'!H21:H55,MATCH(Продажи[[#This Row],[Клиент]]&amp;Продажи[[#This Row],[Столбец1]],'Задание 1'!B21:B54&amp;'Задание 1'!C21:C54,0))</f>
        <v>2210000</v>
      </c>
      <c r="G57" s="15">
        <f>Продажи[[#This Row],[выручка с НДС]]/(1+0.1)</f>
        <v>2009090.9090909089</v>
      </c>
      <c r="H57" s="15">
        <f t="array" ref="H57">INDEX('Задание 1'!I21:I54,MATCH(Продажи[[#This Row],[Клиент]]&amp;Продажи[[#This Row],[Столбец1]],'Задание 1'!B21:B54&amp;'Задание 1'!C21:C54,0))</f>
        <v>910000</v>
      </c>
      <c r="I57" s="48">
        <f>Продажи[[#This Row],[выручка с НДС]]-Продажи[[#This Row],[Себестоимость]]</f>
        <v>1300000</v>
      </c>
    </row>
    <row r="58" spans="1:9" x14ac:dyDescent="0.2">
      <c r="A58" s="47" t="s">
        <v>36</v>
      </c>
      <c r="B58" s="40" t="str">
        <f>VLOOKUP(A58,'Задание 1'!$B$53:$C$59,2,FALSE)</f>
        <v>Рязанская</v>
      </c>
      <c r="C58" s="38" t="s">
        <v>42</v>
      </c>
      <c r="D58" s="3">
        <v>2</v>
      </c>
      <c r="E58" s="15">
        <f t="array" ref="E58">INDEX('Задание 1'!G22:G56,MATCH(Продажи[[#This Row],[Клиент]]&amp;Продажи[[#This Row],[Столбец1]],'Задание 1'!B22:B55&amp;'Задание 1'!C22:C55,0))</f>
        <v>2028</v>
      </c>
      <c r="F58" s="15">
        <f t="array" ref="F58">INDEX('Задание 1'!H22:H56,MATCH(Продажи[[#This Row],[Клиент]]&amp;Продажи[[#This Row],[Столбец1]],'Задание 1'!B22:B55&amp;'Задание 1'!C22:C55,0))</f>
        <v>648960</v>
      </c>
      <c r="G58" s="15">
        <f>Продажи[[#This Row],[выручка с НДС]]/(1+0.1)</f>
        <v>589963.63636363635</v>
      </c>
      <c r="H58" s="15">
        <f t="array" ref="H58">INDEX('Задание 1'!I22:I55,MATCH(Продажи[[#This Row],[Клиент]]&amp;Продажи[[#This Row],[Столбец1]],'Задание 1'!B22:B55&amp;'Задание 1'!C22:C55,0))</f>
        <v>446160</v>
      </c>
      <c r="I58" s="48">
        <f>Продажи[[#This Row],[выручка с НДС]]-Продажи[[#This Row],[Себестоимость]]</f>
        <v>202800</v>
      </c>
    </row>
    <row r="59" spans="1:9" x14ac:dyDescent="0.2">
      <c r="A59" s="47" t="s">
        <v>36</v>
      </c>
      <c r="B59" s="40" t="str">
        <f>VLOOKUP(A59,'Задание 1'!$B$53:$C$59,2,FALSE)</f>
        <v>Рязанская</v>
      </c>
      <c r="C59" s="38" t="s">
        <v>43</v>
      </c>
      <c r="D59" s="3">
        <v>2</v>
      </c>
      <c r="E59" s="15">
        <f t="array" ref="E59">INDEX('Задание 1'!G23:G57,MATCH(Продажи[[#This Row],[Клиент]]&amp;Продажи[[#This Row],[Столбец1]],'Задание 1'!B23:B56&amp;'Задание 1'!C23:C56,0))</f>
        <v>4004</v>
      </c>
      <c r="F59" s="15">
        <f t="array" ref="F59">INDEX('Задание 1'!H23:H57,MATCH(Продажи[[#This Row],[Клиент]]&amp;Продажи[[#This Row],[Столбец1]],'Задание 1'!B23:B56&amp;'Задание 1'!C23:C56,0))</f>
        <v>1681680</v>
      </c>
      <c r="G59" s="15">
        <f>Продажи[[#This Row],[выручка с НДС]]/(1+0.1)</f>
        <v>1528799.9999999998</v>
      </c>
      <c r="H59" s="15">
        <f t="array" ref="H59">INDEX('Задание 1'!I23:I56,MATCH(Продажи[[#This Row],[Клиент]]&amp;Продажи[[#This Row],[Столбец1]],'Задание 1'!B23:B56&amp;'Задание 1'!C23:C56,0))</f>
        <v>1281280</v>
      </c>
      <c r="I59" s="48">
        <f>Продажи[[#This Row],[выручка с НДС]]-Продажи[[#This Row],[Себестоимость]]</f>
        <v>400400</v>
      </c>
    </row>
    <row r="60" spans="1:9" x14ac:dyDescent="0.2">
      <c r="A60" s="47" t="s">
        <v>37</v>
      </c>
      <c r="B60" s="40" t="str">
        <f>VLOOKUP(A60,'Задание 1'!$B$53:$C$59,2,FALSE)</f>
        <v>Московская</v>
      </c>
      <c r="C60" s="38" t="s">
        <v>44</v>
      </c>
      <c r="D60" s="3">
        <v>2</v>
      </c>
      <c r="E60" s="15">
        <f t="array" ref="E60">INDEX('Задание 1'!G24:G58,MATCH(Продажи[[#This Row],[Клиент]]&amp;Продажи[[#This Row],[Столбец1]],'Задание 1'!B24:B57&amp;'Задание 1'!C24:C57,0))</f>
        <v>3380</v>
      </c>
      <c r="F60" s="15">
        <f t="array" ref="F60">INDEX('Задание 1'!H24:H58,MATCH(Продажи[[#This Row],[Клиент]]&amp;Продажи[[#This Row],[Столбец1]],'Задание 1'!B24:B57&amp;'Задание 1'!C24:C57,0))</f>
        <v>473200</v>
      </c>
      <c r="G60" s="15">
        <f>Продажи[[#This Row],[выручка с НДС]]/(1+0.1)</f>
        <v>430181.81818181812</v>
      </c>
      <c r="H60" s="15">
        <f t="array" ref="H60">INDEX('Задание 1'!I24:I57,MATCH(Продажи[[#This Row],[Клиент]]&amp;Продажи[[#This Row],[Столбец1]],'Задание 1'!B24:B57&amp;'Задание 1'!C24:C57,0))</f>
        <v>338000</v>
      </c>
      <c r="I60" s="48">
        <f>Продажи[[#This Row],[выручка с НДС]]-Продажи[[#This Row],[Себестоимость]]</f>
        <v>135200</v>
      </c>
    </row>
    <row r="61" spans="1:9" x14ac:dyDescent="0.2">
      <c r="A61" s="47" t="s">
        <v>37</v>
      </c>
      <c r="B61" s="40" t="str">
        <f>VLOOKUP(A61,'Задание 1'!$B$53:$C$59,2,FALSE)</f>
        <v>Московская</v>
      </c>
      <c r="C61" s="38" t="s">
        <v>40</v>
      </c>
      <c r="D61" s="3">
        <v>2</v>
      </c>
      <c r="E61" s="15">
        <f t="array" ref="E61">INDEX('Задание 1'!G25:G59,MATCH(Продажи[[#This Row],[Клиент]]&amp;Продажи[[#This Row],[Столбец1]],'Задание 1'!B25:B58&amp;'Задание 1'!C25:C58,0))</f>
        <v>2964</v>
      </c>
      <c r="F61" s="15">
        <f t="array" ref="F61">INDEX('Задание 1'!H25:H59,MATCH(Продажи[[#This Row],[Клиент]]&amp;Продажи[[#This Row],[Столбец1]],'Задание 1'!B25:B58&amp;'Задание 1'!C25:C58,0))</f>
        <v>741000</v>
      </c>
      <c r="G61" s="15">
        <f>Продажи[[#This Row],[выручка с НДС]]/(1+0.1)</f>
        <v>673636.36363636353</v>
      </c>
      <c r="H61" s="15">
        <f t="array" ref="H61">INDEX('Задание 1'!I25:I58,MATCH(Продажи[[#This Row],[Клиент]]&amp;Продажи[[#This Row],[Столбец1]],'Задание 1'!B25:B58&amp;'Задание 1'!C25:C58,0))</f>
        <v>533520</v>
      </c>
      <c r="I61" s="48">
        <f>Продажи[[#This Row],[выручка с НДС]]-Продажи[[#This Row],[Себестоимость]]</f>
        <v>207480</v>
      </c>
    </row>
    <row r="62" spans="1:9" x14ac:dyDescent="0.2">
      <c r="A62" s="47" t="s">
        <v>37</v>
      </c>
      <c r="B62" s="40" t="str">
        <f>VLOOKUP(A62,'Задание 1'!$B$53:$C$59,2,FALSE)</f>
        <v>Московская</v>
      </c>
      <c r="C62" s="38" t="s">
        <v>41</v>
      </c>
      <c r="D62" s="3">
        <v>2</v>
      </c>
      <c r="E62" s="15">
        <f t="array" ref="E62">INDEX('Задание 1'!G26:G60,MATCH(Продажи[[#This Row],[Клиент]]&amp;Продажи[[#This Row],[Столбец1]],'Задание 1'!B26:B59&amp;'Задание 1'!C26:C59,0))</f>
        <v>728</v>
      </c>
      <c r="F62" s="15">
        <f t="array" ref="F62">INDEX('Задание 1'!H26:H60,MATCH(Продажи[[#This Row],[Клиент]]&amp;Продажи[[#This Row],[Столбец1]],'Задание 1'!B26:B59&amp;'Задание 1'!C26:C59,0))</f>
        <v>618800</v>
      </c>
      <c r="G62" s="15">
        <f>Продажи[[#This Row],[выручка с НДС]]/(1+0.1)</f>
        <v>562545.45454545447</v>
      </c>
      <c r="H62" s="15">
        <f t="array" ref="H62">INDEX('Задание 1'!I26:I59,MATCH(Продажи[[#This Row],[Клиент]]&amp;Продажи[[#This Row],[Столбец1]],'Задание 1'!B26:B59&amp;'Задание 1'!C26:C59,0))</f>
        <v>254800</v>
      </c>
      <c r="I62" s="48">
        <f>Продажи[[#This Row],[выручка с НДС]]-Продажи[[#This Row],[Себестоимость]]</f>
        <v>364000</v>
      </c>
    </row>
    <row r="63" spans="1:9" x14ac:dyDescent="0.2">
      <c r="A63" s="47" t="s">
        <v>37</v>
      </c>
      <c r="B63" s="40" t="str">
        <f>VLOOKUP(A63,'Задание 1'!$B$53:$C$59,2,FALSE)</f>
        <v>Московская</v>
      </c>
      <c r="C63" s="38" t="s">
        <v>42</v>
      </c>
      <c r="D63" s="3">
        <v>2</v>
      </c>
      <c r="E63" s="15">
        <f t="array" ref="E63">INDEX('Задание 1'!G27:G61,MATCH(Продажи[[#This Row],[Клиент]]&amp;Продажи[[#This Row],[Столбец1]],'Задание 1'!B27:B60&amp;'Задание 1'!C27:C60,0))</f>
        <v>3484</v>
      </c>
      <c r="F63" s="15">
        <f t="array" ref="F63">INDEX('Задание 1'!H27:H61,MATCH(Продажи[[#This Row],[Клиент]]&amp;Продажи[[#This Row],[Столбец1]],'Задание 1'!B27:B60&amp;'Задание 1'!C27:C60,0))</f>
        <v>1114880</v>
      </c>
      <c r="G63" s="15">
        <f>Продажи[[#This Row],[выручка с НДС]]/(1+0.1)</f>
        <v>1013527.2727272726</v>
      </c>
      <c r="H63" s="15">
        <f t="array" ref="H63">INDEX('Задание 1'!I27:I60,MATCH(Продажи[[#This Row],[Клиент]]&amp;Продажи[[#This Row],[Столбец1]],'Задание 1'!B27:B60&amp;'Задание 1'!C27:C60,0))</f>
        <v>766480</v>
      </c>
      <c r="I63" s="48">
        <f>Продажи[[#This Row],[выручка с НДС]]-Продажи[[#This Row],[Себестоимость]]</f>
        <v>348400</v>
      </c>
    </row>
    <row r="64" spans="1:9" x14ac:dyDescent="0.2">
      <c r="A64" s="47" t="s">
        <v>37</v>
      </c>
      <c r="B64" s="40" t="str">
        <f>VLOOKUP(A64,'Задание 1'!$B$53:$C$59,2,FALSE)</f>
        <v>Московская</v>
      </c>
      <c r="C64" s="38" t="s">
        <v>43</v>
      </c>
      <c r="D64" s="3">
        <v>2</v>
      </c>
      <c r="E64" s="15">
        <f t="array" ref="E64">INDEX('Задание 1'!G28:G62,MATCH(Продажи[[#This Row],[Клиент]]&amp;Продажи[[#This Row],[Столбец1]],'Задание 1'!B28:B61&amp;'Задание 1'!C28:C61,0))</f>
        <v>4160</v>
      </c>
      <c r="F64" s="15">
        <f t="array" ref="F64">INDEX('Задание 1'!H28:H62,MATCH(Продажи[[#This Row],[Клиент]]&amp;Продажи[[#This Row],[Столбец1]],'Задание 1'!B28:B61&amp;'Задание 1'!C28:C61,0))</f>
        <v>1747200</v>
      </c>
      <c r="G64" s="15">
        <f>Продажи[[#This Row],[выручка с НДС]]/(1+0.1)</f>
        <v>1588363.6363636362</v>
      </c>
      <c r="H64" s="15">
        <f t="array" ref="H64">INDEX('Задание 1'!I28:I61,MATCH(Продажи[[#This Row],[Клиент]]&amp;Продажи[[#This Row],[Столбец1]],'Задание 1'!B28:B61&amp;'Задание 1'!C28:C61,0))</f>
        <v>1331200</v>
      </c>
      <c r="I64" s="48">
        <f>Продажи[[#This Row],[выручка с НДС]]-Продажи[[#This Row],[Себестоимость]]</f>
        <v>416000</v>
      </c>
    </row>
    <row r="65" spans="1:9" x14ac:dyDescent="0.2">
      <c r="A65" s="47" t="s">
        <v>38</v>
      </c>
      <c r="B65" s="40" t="str">
        <f>VLOOKUP(A65,'Задание 1'!$B$53:$C$59,2,FALSE)</f>
        <v>Курская</v>
      </c>
      <c r="C65" s="38" t="s">
        <v>44</v>
      </c>
      <c r="D65" s="3">
        <v>2</v>
      </c>
      <c r="E65" s="15">
        <f t="array" ref="E65">INDEX('Задание 1'!G29:G63,MATCH(Продажи[[#This Row],[Клиент]]&amp;Продажи[[#This Row],[Столбец1]],'Задание 1'!B29:B62&amp;'Задание 1'!C29:C62,0))</f>
        <v>3796</v>
      </c>
      <c r="F65" s="15">
        <f t="array" ref="F65">INDEX('Задание 1'!H29:H63,MATCH(Продажи[[#This Row],[Клиент]]&amp;Продажи[[#This Row],[Столбец1]],'Задание 1'!B29:B62&amp;'Задание 1'!C29:C62,0))</f>
        <v>531440</v>
      </c>
      <c r="G65" s="15">
        <f>Продажи[[#This Row],[выручка с НДС]]/(1+0.1)</f>
        <v>483127.27272727271</v>
      </c>
      <c r="H65" s="15">
        <f t="array" ref="H65">INDEX('Задание 1'!I29:I62,MATCH(Продажи[[#This Row],[Клиент]]&amp;Продажи[[#This Row],[Столбец1]],'Задание 1'!B29:B62&amp;'Задание 1'!C29:C62,0))</f>
        <v>379600</v>
      </c>
      <c r="I65" s="48">
        <f>Продажи[[#This Row],[выручка с НДС]]-Продажи[[#This Row],[Себестоимость]]</f>
        <v>151840</v>
      </c>
    </row>
    <row r="66" spans="1:9" x14ac:dyDescent="0.2">
      <c r="A66" s="47" t="s">
        <v>38</v>
      </c>
      <c r="B66" s="40" t="str">
        <f>VLOOKUP(A66,'Задание 1'!$B$53:$C$59,2,FALSE)</f>
        <v>Курская</v>
      </c>
      <c r="C66" s="38" t="s">
        <v>40</v>
      </c>
      <c r="D66" s="3">
        <v>2</v>
      </c>
      <c r="E66" s="15">
        <f t="array" ref="E66">INDEX('Задание 1'!G30:G64,MATCH(Продажи[[#This Row],[Клиент]]&amp;Продажи[[#This Row],[Столбец1]],'Задание 1'!B30:B63&amp;'Задание 1'!C30:C63,0))</f>
        <v>3432</v>
      </c>
      <c r="F66" s="15">
        <f t="array" ref="F66">INDEX('Задание 1'!H30:H64,MATCH(Продажи[[#This Row],[Клиент]]&amp;Продажи[[#This Row],[Столбец1]],'Задание 1'!B30:B63&amp;'Задание 1'!C30:C63,0))</f>
        <v>858000</v>
      </c>
      <c r="G66" s="15">
        <f>Продажи[[#This Row],[выручка с НДС]]/(1+0.1)</f>
        <v>779999.99999999988</v>
      </c>
      <c r="H66" s="15">
        <f t="array" ref="H66">INDEX('Задание 1'!I30:I63,MATCH(Продажи[[#This Row],[Клиент]]&amp;Продажи[[#This Row],[Столбец1]],'Задание 1'!B30:B63&amp;'Задание 1'!C30:C63,0))</f>
        <v>617760</v>
      </c>
      <c r="I66" s="48">
        <f>Продажи[[#This Row],[выручка с НДС]]-Продажи[[#This Row],[Себестоимость]]</f>
        <v>240240</v>
      </c>
    </row>
    <row r="67" spans="1:9" x14ac:dyDescent="0.2">
      <c r="A67" s="47" t="s">
        <v>38</v>
      </c>
      <c r="B67" s="40" t="str">
        <f>VLOOKUP(A67,'Задание 1'!$B$53:$C$59,2,FALSE)</f>
        <v>Курская</v>
      </c>
      <c r="C67" s="38" t="s">
        <v>41</v>
      </c>
      <c r="D67" s="3">
        <v>2</v>
      </c>
      <c r="E67" s="15">
        <f t="array" ref="E67">INDEX('Задание 1'!G31:G65,MATCH(Продажи[[#This Row],[Клиент]]&amp;Продажи[[#This Row],[Столбец1]],'Задание 1'!B31:B64&amp;'Задание 1'!C31:C64,0))</f>
        <v>1456</v>
      </c>
      <c r="F67" s="15">
        <f t="array" ref="F67">INDEX('Задание 1'!H31:H65,MATCH(Продажи[[#This Row],[Клиент]]&amp;Продажи[[#This Row],[Столбец1]],'Задание 1'!B31:B64&amp;'Задание 1'!C31:C64,0))</f>
        <v>1237600</v>
      </c>
      <c r="G67" s="15">
        <f>Продажи[[#This Row],[выручка с НДС]]/(1+0.1)</f>
        <v>1125090.9090909089</v>
      </c>
      <c r="H67" s="15">
        <f t="array" ref="H67">INDEX('Задание 1'!I31:I64,MATCH(Продажи[[#This Row],[Клиент]]&amp;Продажи[[#This Row],[Столбец1]],'Задание 1'!B31:B64&amp;'Задание 1'!C31:C64,0))</f>
        <v>509600</v>
      </c>
      <c r="I67" s="48">
        <f>Продажи[[#This Row],[выручка с НДС]]-Продажи[[#This Row],[Себестоимость]]</f>
        <v>728000</v>
      </c>
    </row>
    <row r="68" spans="1:9" x14ac:dyDescent="0.2">
      <c r="A68" s="47" t="s">
        <v>38</v>
      </c>
      <c r="B68" s="40" t="str">
        <f>VLOOKUP(A68,'Задание 1'!$B$53:$C$59,2,FALSE)</f>
        <v>Курская</v>
      </c>
      <c r="C68" s="38" t="s">
        <v>42</v>
      </c>
      <c r="D68" s="3">
        <v>2</v>
      </c>
      <c r="E68" s="15">
        <f t="array" ref="E68">INDEX('Задание 1'!G32:G66,MATCH(Продажи[[#This Row],[Клиент]]&amp;Продажи[[#This Row],[Столбец1]],'Задание 1'!B32:B65&amp;'Задание 1'!C32:C65,0))</f>
        <v>3224</v>
      </c>
      <c r="F68" s="15">
        <f t="array" ref="F68">INDEX('Задание 1'!H32:H66,MATCH(Продажи[[#This Row],[Клиент]]&amp;Продажи[[#This Row],[Столбец1]],'Задание 1'!B32:B65&amp;'Задание 1'!C32:C65,0))</f>
        <v>1031680</v>
      </c>
      <c r="G68" s="15">
        <f>Продажи[[#This Row],[выручка с НДС]]/(1+0.1)</f>
        <v>937890.90909090906</v>
      </c>
      <c r="H68" s="15">
        <f t="array" ref="H68">INDEX('Задание 1'!I32:I65,MATCH(Продажи[[#This Row],[Клиент]]&amp;Продажи[[#This Row],[Столбец1]],'Задание 1'!B32:B65&amp;'Задание 1'!C32:C65,0))</f>
        <v>709280</v>
      </c>
      <c r="I68" s="48">
        <f>Продажи[[#This Row],[выручка с НДС]]-Продажи[[#This Row],[Себестоимость]]</f>
        <v>322400</v>
      </c>
    </row>
    <row r="69" spans="1:9" x14ac:dyDescent="0.2">
      <c r="A69" s="47" t="s">
        <v>38</v>
      </c>
      <c r="B69" s="40" t="str">
        <f>VLOOKUP(A69,'Задание 1'!$B$53:$C$59,2,FALSE)</f>
        <v>Курская</v>
      </c>
      <c r="C69" s="38" t="s">
        <v>43</v>
      </c>
      <c r="D69" s="3">
        <v>2</v>
      </c>
      <c r="E69" s="15">
        <f t="array" ref="E69">INDEX('Задание 1'!G33:G67,MATCH(Продажи[[#This Row],[Клиент]]&amp;Продажи[[#This Row],[Столбец1]],'Задание 1'!B33:B66&amp;'Задание 1'!C33:C66,0))</f>
        <v>728</v>
      </c>
      <c r="F69" s="15">
        <f t="array" ref="F69">INDEX('Задание 1'!H33:H67,MATCH(Продажи[[#This Row],[Клиент]]&amp;Продажи[[#This Row],[Столбец1]],'Задание 1'!B33:B66&amp;'Задание 1'!C33:C66,0))</f>
        <v>305760</v>
      </c>
      <c r="G69" s="15">
        <f>Продажи[[#This Row],[выручка с НДС]]/(1+0.1)</f>
        <v>277963.63636363635</v>
      </c>
      <c r="H69" s="15">
        <f t="array" ref="H69">INDEX('Задание 1'!I33:I66,MATCH(Продажи[[#This Row],[Клиент]]&amp;Продажи[[#This Row],[Столбец1]],'Задание 1'!B33:B66&amp;'Задание 1'!C33:C66,0))</f>
        <v>232960</v>
      </c>
      <c r="I69" s="48">
        <f>Продажи[[#This Row],[выручка с НДС]]-Продажи[[#This Row],[Себестоимость]]</f>
        <v>72800</v>
      </c>
    </row>
    <row r="70" spans="1:9" x14ac:dyDescent="0.2">
      <c r="A70" s="47" t="s">
        <v>39</v>
      </c>
      <c r="B70" s="40" t="str">
        <f>VLOOKUP(A70,'Задание 1'!$B$53:$C$59,2,FALSE)</f>
        <v>Самарская</v>
      </c>
      <c r="C70" s="38" t="s">
        <v>44</v>
      </c>
      <c r="D70" s="3">
        <v>2</v>
      </c>
      <c r="E70" s="15">
        <f t="array" ref="E70">INDEX('Задание 1'!G34:G68,MATCH(Продажи[[#This Row],[Клиент]]&amp;Продажи[[#This Row],[Столбец1]],'Задание 1'!B34:B67&amp;'Задание 1'!C34:C67,0))</f>
        <v>3016</v>
      </c>
      <c r="F70" s="15">
        <f t="array" ref="F70">INDEX('Задание 1'!H34:H68,MATCH(Продажи[[#This Row],[Клиент]]&amp;Продажи[[#This Row],[Столбец1]],'Задание 1'!B34:B67&amp;'Задание 1'!C34:C67,0))</f>
        <v>422240</v>
      </c>
      <c r="G70" s="15">
        <f>Продажи[[#This Row],[выручка с НДС]]/(1+0.1)</f>
        <v>383854.54545454541</v>
      </c>
      <c r="H70" s="15">
        <f t="array" ref="H70">INDEX('Задание 1'!I34:I67,MATCH(Продажи[[#This Row],[Клиент]]&amp;Продажи[[#This Row],[Столбец1]],'Задание 1'!B34:B67&amp;'Задание 1'!C34:C67,0))</f>
        <v>301600</v>
      </c>
      <c r="I70" s="48">
        <f>Продажи[[#This Row],[выручка с НДС]]-Продажи[[#This Row],[Себестоимость]]</f>
        <v>120640</v>
      </c>
    </row>
    <row r="71" spans="1:9" x14ac:dyDescent="0.2">
      <c r="A71" s="47" t="s">
        <v>39</v>
      </c>
      <c r="B71" s="40" t="str">
        <f>VLOOKUP(A71,'Задание 1'!$B$53:$C$59,2,FALSE)</f>
        <v>Самарская</v>
      </c>
      <c r="C71" s="38" t="s">
        <v>40</v>
      </c>
      <c r="D71" s="3">
        <v>2</v>
      </c>
      <c r="E71" s="15">
        <f t="array" ref="E71">INDEX('Задание 1'!G35:G69,MATCH(Продажи[[#This Row],[Клиент]]&amp;Продажи[[#This Row],[Столбец1]],'Задание 1'!B35:B68&amp;'Задание 1'!C35:C68,0))</f>
        <v>1092</v>
      </c>
      <c r="F71" s="15">
        <f t="array" ref="F71">INDEX('Задание 1'!H35:H69,MATCH(Продажи[[#This Row],[Клиент]]&amp;Продажи[[#This Row],[Столбец1]],'Задание 1'!B35:B68&amp;'Задание 1'!C35:C68,0))</f>
        <v>273000</v>
      </c>
      <c r="G71" s="15">
        <f>Продажи[[#This Row],[выручка с НДС]]/(1+0.1)</f>
        <v>248181.81818181815</v>
      </c>
      <c r="H71" s="15">
        <f t="array" ref="H71">INDEX('Задание 1'!I35:I68,MATCH(Продажи[[#This Row],[Клиент]]&amp;Продажи[[#This Row],[Столбец1]],'Задание 1'!B35:B68&amp;'Задание 1'!C35:C68,0))</f>
        <v>196560</v>
      </c>
      <c r="I71" s="48">
        <f>Продажи[[#This Row],[выручка с НДС]]-Продажи[[#This Row],[Себестоимость]]</f>
        <v>76440</v>
      </c>
    </row>
    <row r="72" spans="1:9" x14ac:dyDescent="0.2">
      <c r="A72" s="47" t="s">
        <v>39</v>
      </c>
      <c r="B72" s="40" t="str">
        <f>VLOOKUP(A72,'Задание 1'!$B$53:$C$59,2,FALSE)</f>
        <v>Самарская</v>
      </c>
      <c r="C72" s="38" t="s">
        <v>41</v>
      </c>
      <c r="D72" s="3">
        <v>2</v>
      </c>
      <c r="E72" s="15">
        <f t="array" ref="E72">INDEX('Задание 1'!G36:G70,MATCH(Продажи[[#This Row],[Клиент]]&amp;Продажи[[#This Row],[Столбец1]],'Задание 1'!B36:B69&amp;'Задание 1'!C36:C69,0))</f>
        <v>2860</v>
      </c>
      <c r="F72" s="15">
        <f t="array" ref="F72">INDEX('Задание 1'!H36:H70,MATCH(Продажи[[#This Row],[Клиент]]&amp;Продажи[[#This Row],[Столбец1]],'Задание 1'!B36:B69&amp;'Задание 1'!C36:C69,0))</f>
        <v>2431000</v>
      </c>
      <c r="G72" s="15">
        <f>Продажи[[#This Row],[выручка с НДС]]/(1+0.1)</f>
        <v>2210000</v>
      </c>
      <c r="H72" s="15">
        <f t="array" ref="H72">INDEX('Задание 1'!I36:I69,MATCH(Продажи[[#This Row],[Клиент]]&amp;Продажи[[#This Row],[Столбец1]],'Задание 1'!B36:B69&amp;'Задание 1'!C36:C69,0))</f>
        <v>1001000</v>
      </c>
      <c r="I72" s="48">
        <f>Продажи[[#This Row],[выручка с НДС]]-Продажи[[#This Row],[Себестоимость]]</f>
        <v>1430000</v>
      </c>
    </row>
    <row r="73" spans="1:9" x14ac:dyDescent="0.2">
      <c r="A73" s="47" t="s">
        <v>39</v>
      </c>
      <c r="B73" s="40" t="str">
        <f>VLOOKUP(A73,'Задание 1'!$B$53:$C$59,2,FALSE)</f>
        <v>Самарская</v>
      </c>
      <c r="C73" s="38" t="s">
        <v>42</v>
      </c>
      <c r="D73" s="3">
        <v>2</v>
      </c>
      <c r="E73" s="15">
        <f t="array" ref="E73">INDEX('Задание 1'!G37:G71,MATCH(Продажи[[#This Row],[Клиент]]&amp;Продажи[[#This Row],[Столбец1]],'Задание 1'!B37:B70&amp;'Задание 1'!C37:C70,0))</f>
        <v>1196</v>
      </c>
      <c r="F73" s="15">
        <f t="array" ref="F73">INDEX('Задание 1'!H37:H71,MATCH(Продажи[[#This Row],[Клиент]]&amp;Продажи[[#This Row],[Столбец1]],'Задание 1'!B37:B70&amp;'Задание 1'!C37:C70,0))</f>
        <v>382720</v>
      </c>
      <c r="G73" s="15">
        <f>Продажи[[#This Row],[выручка с НДС]]/(1+0.1)</f>
        <v>347927.27272727271</v>
      </c>
      <c r="H73" s="15">
        <f t="array" ref="H73">INDEX('Задание 1'!I37:I70,MATCH(Продажи[[#This Row],[Клиент]]&amp;Продажи[[#This Row],[Столбец1]],'Задание 1'!B37:B70&amp;'Задание 1'!C37:C70,0))</f>
        <v>263120</v>
      </c>
      <c r="I73" s="48">
        <f>Продажи[[#This Row],[выручка с НДС]]-Продажи[[#This Row],[Себестоимость]]</f>
        <v>119600</v>
      </c>
    </row>
    <row r="74" spans="1:9" x14ac:dyDescent="0.2">
      <c r="A74" s="47" t="s">
        <v>39</v>
      </c>
      <c r="B74" s="40" t="str">
        <f>VLOOKUP(A74,'Задание 1'!$B$53:$C$59,2,FALSE)</f>
        <v>Самарская</v>
      </c>
      <c r="C74" s="38" t="s">
        <v>43</v>
      </c>
      <c r="D74" s="3">
        <v>2</v>
      </c>
      <c r="E74" s="15">
        <f t="array" ref="E74">INDEX('Задание 1'!G38:G72,MATCH(Продажи[[#This Row],[Клиент]]&amp;Продажи[[#This Row],[Столбец1]],'Задание 1'!B38:B71&amp;'Задание 1'!C38:C71,0))</f>
        <v>1300</v>
      </c>
      <c r="F74" s="15">
        <f t="array" ref="F74">INDEX('Задание 1'!H38:H72,MATCH(Продажи[[#This Row],[Клиент]]&amp;Продажи[[#This Row],[Столбец1]],'Задание 1'!B38:B71&amp;'Задание 1'!C38:C71,0))</f>
        <v>546000</v>
      </c>
      <c r="G74" s="15">
        <f>Продажи[[#This Row],[выручка с НДС]]/(1+0.1)</f>
        <v>496363.63636363629</v>
      </c>
      <c r="H74" s="15">
        <f t="array" ref="H74">INDEX('Задание 1'!I38:I71,MATCH(Продажи[[#This Row],[Клиент]]&amp;Продажи[[#This Row],[Столбец1]],'Задание 1'!B38:B71&amp;'Задание 1'!C38:C71,0))</f>
        <v>416000</v>
      </c>
      <c r="I74" s="48">
        <f>Продажи[[#This Row],[выручка с НДС]]-Продажи[[#This Row],[Себестоимость]]</f>
        <v>130000</v>
      </c>
    </row>
    <row r="75" spans="1:9" x14ac:dyDescent="0.2">
      <c r="A75" s="47" t="s">
        <v>33</v>
      </c>
      <c r="B75" s="40" t="str">
        <f>VLOOKUP(A75,'Задание 1'!$B$53:$C$59,2,FALSE)</f>
        <v>Московская</v>
      </c>
      <c r="C75" s="38" t="s">
        <v>40</v>
      </c>
      <c r="D75" s="3">
        <v>3</v>
      </c>
      <c r="E75" s="15">
        <f t="array" ref="E75">INDEX('Задание 1'!J5:J38,MATCH('Задание 2'!A75:A108&amp;'Задание 2'!C75:C108,'Задание 1'!B5:B38&amp;'Задание 1'!C5:C38,0))</f>
        <v>3060</v>
      </c>
      <c r="F75" s="15">
        <f t="array" ref="F75">INDEX('Задание 1'!K5:K38,MATCH(Продажи[[#This Row],[Клиент]]&amp;Продажи[[#This Row],[Столбец1]],'Задание 1'!B5:B38&amp;'Задание 1'!C5:C38,0))</f>
        <v>856800</v>
      </c>
      <c r="G75" s="15">
        <f>Продажи[[#This Row],[выручка с НДС]]/(1+0.1)</f>
        <v>778909.09090909082</v>
      </c>
      <c r="H75" s="15">
        <f t="array" ref="H75">INDEX('Задание 1'!L5:L38,MATCH(Продажи[[#This Row],[Клиент]]&amp;Продажи[[#This Row],[Столбец1]],'Задание 1'!B5:B38&amp;'Задание 1'!C5:C38,0))</f>
        <v>612000</v>
      </c>
      <c r="I75" s="48">
        <f>Продажи[[#This Row],[выручка с НДС]]-Продажи[[#This Row],[Себестоимость]]</f>
        <v>244800</v>
      </c>
    </row>
    <row r="76" spans="1:9" x14ac:dyDescent="0.2">
      <c r="A76" s="47" t="s">
        <v>33</v>
      </c>
      <c r="B76" s="40" t="str">
        <f>VLOOKUP(A76,'Задание 1'!$B$53:$C$59,2,FALSE)</f>
        <v>Московская</v>
      </c>
      <c r="C76" s="38" t="s">
        <v>41</v>
      </c>
      <c r="D76" s="3">
        <v>3</v>
      </c>
      <c r="E76" s="15">
        <f t="array" ref="E76">INDEX('Задание 1'!J6:J39,MATCH('Задание 2'!A76:A109&amp;'Задание 2'!C76:C109,'Задание 1'!B6:B39&amp;'Задание 1'!C6:C39,0))</f>
        <v>3111</v>
      </c>
      <c r="F76" s="15">
        <f t="array" ref="F76">INDEX('Задание 1'!K6:K39,MATCH(Продажи[[#This Row],[Клиент]]&amp;Продажи[[#This Row],[Столбец1]],'Задание 1'!B6:B39&amp;'Задание 1'!C6:C39,0))</f>
        <v>2737680</v>
      </c>
      <c r="G76" s="15">
        <f>Продажи[[#This Row],[выручка с НДС]]/(1+0.1)</f>
        <v>2488800</v>
      </c>
      <c r="H76" s="15">
        <f t="array" ref="H76">INDEX('Задание 1'!L6:L39,MATCH(Продажи[[#This Row],[Клиент]]&amp;Продажи[[#This Row],[Столбец1]],'Задание 1'!B6:B39&amp;'Задание 1'!C6:C39,0))</f>
        <v>1151070</v>
      </c>
      <c r="I76" s="48">
        <f>Продажи[[#This Row],[выручка с НДС]]-Продажи[[#This Row],[Себестоимость]]</f>
        <v>1586610</v>
      </c>
    </row>
    <row r="77" spans="1:9" x14ac:dyDescent="0.2">
      <c r="A77" s="47" t="s">
        <v>33</v>
      </c>
      <c r="B77" s="40" t="str">
        <f>VLOOKUP(A77,'Задание 1'!$B$53:$C$59,2,FALSE)</f>
        <v>Московская</v>
      </c>
      <c r="C77" s="38" t="s">
        <v>42</v>
      </c>
      <c r="D77" s="3">
        <v>3</v>
      </c>
      <c r="E77" s="15">
        <f t="array" ref="E77">INDEX('Задание 1'!J7:J40,MATCH('Задание 2'!A77:A110&amp;'Задание 2'!C77:C110,'Задание 1'!B7:B40&amp;'Задание 1'!C7:C40,0))</f>
        <v>2550</v>
      </c>
      <c r="F77" s="15">
        <f t="array" ref="F77">INDEX('Задание 1'!K7:K40,MATCH(Продажи[[#This Row],[Клиент]]&amp;Продажи[[#This Row],[Столбец1]],'Задание 1'!B7:B40&amp;'Задание 1'!C7:C40,0))</f>
        <v>892500</v>
      </c>
      <c r="G77" s="15">
        <f>Продажи[[#This Row],[выручка с НДС]]/(1+0.1)</f>
        <v>811363.63636363635</v>
      </c>
      <c r="H77" s="15">
        <f t="array" ref="H77">INDEX('Задание 1'!L7:L40,MATCH(Продажи[[#This Row],[Клиент]]&amp;Продажи[[#This Row],[Столбец1]],'Задание 1'!B7:B40&amp;'Задание 1'!C7:C40,0))</f>
        <v>612000</v>
      </c>
      <c r="I77" s="48">
        <f>Продажи[[#This Row],[выручка с НДС]]-Продажи[[#This Row],[Себестоимость]]</f>
        <v>280500</v>
      </c>
    </row>
    <row r="78" spans="1:9" x14ac:dyDescent="0.2">
      <c r="A78" s="47" t="s">
        <v>33</v>
      </c>
      <c r="B78" s="40" t="str">
        <f>VLOOKUP(A78,'Задание 1'!$B$53:$C$59,2,FALSE)</f>
        <v>Московская</v>
      </c>
      <c r="C78" s="38" t="s">
        <v>43</v>
      </c>
      <c r="D78" s="3">
        <v>3</v>
      </c>
      <c r="E78" s="15">
        <f t="array" ref="E78">INDEX('Задание 1'!J8:J41,MATCH('Задание 2'!A78:A111&amp;'Задание 2'!C78:C111,'Задание 1'!B8:B41&amp;'Задание 1'!C8:C41,0))</f>
        <v>3009</v>
      </c>
      <c r="F78" s="15">
        <f t="array" ref="F78">INDEX('Задание 1'!K8:K41,MATCH(Продажи[[#This Row],[Клиент]]&amp;Продажи[[#This Row],[Столбец1]],'Задание 1'!B8:B41&amp;'Задание 1'!C8:C41,0))</f>
        <v>1354050</v>
      </c>
      <c r="G78" s="15">
        <f>Продажи[[#This Row],[выручка с НДС]]/(1+0.1)</f>
        <v>1230954.5454545454</v>
      </c>
      <c r="H78" s="15">
        <f t="array" ref="H78">INDEX('Задание 1'!L8:L41,MATCH(Продажи[[#This Row],[Клиент]]&amp;Продажи[[#This Row],[Столбец1]],'Задание 1'!B8:B41&amp;'Задание 1'!C8:C41,0))</f>
        <v>1023060</v>
      </c>
      <c r="I78" s="48">
        <f>Продажи[[#This Row],[выручка с НДС]]-Продажи[[#This Row],[Себестоимость]]</f>
        <v>330990</v>
      </c>
    </row>
    <row r="79" spans="1:9" x14ac:dyDescent="0.2">
      <c r="A79" s="47" t="s">
        <v>33</v>
      </c>
      <c r="B79" s="40" t="str">
        <f>VLOOKUP(A79,'Задание 1'!$B$53:$C$59,2,FALSE)</f>
        <v>Московская</v>
      </c>
      <c r="C79" s="38" t="s">
        <v>44</v>
      </c>
      <c r="D79" s="3">
        <v>3</v>
      </c>
      <c r="E79" s="15">
        <f t="array" ref="E79">INDEX('Задание 1'!J9:J42,MATCH('Задание 2'!A79:A112&amp;'Задание 2'!C79:C112,'Задание 1'!B9:B42&amp;'Задание 1'!C9:C42,0))</f>
        <v>1479</v>
      </c>
      <c r="F79" s="15">
        <f t="array" ref="F79">INDEX('Задание 1'!K9:K42,MATCH(Продажи[[#This Row],[Клиент]]&amp;Продажи[[#This Row],[Столбец1]],'Задание 1'!B9:B42&amp;'Задание 1'!C9:C42,0))</f>
        <v>251430</v>
      </c>
      <c r="G79" s="15">
        <f>Продажи[[#This Row],[выручка с НДС]]/(1+0.1)</f>
        <v>228572.72727272726</v>
      </c>
      <c r="H79" s="15">
        <f t="array" ref="H79">INDEX('Задание 1'!L9:L42,MATCH(Продажи[[#This Row],[Клиент]]&amp;Продажи[[#This Row],[Столбец1]],'Задание 1'!B9:B42&amp;'Задание 1'!C9:C42,0))</f>
        <v>177480</v>
      </c>
      <c r="I79" s="48">
        <f>Продажи[[#This Row],[выручка с НДС]]-Продажи[[#This Row],[Себестоимость]]</f>
        <v>73950</v>
      </c>
    </row>
    <row r="80" spans="1:9" x14ac:dyDescent="0.2">
      <c r="A80" s="47" t="s">
        <v>34</v>
      </c>
      <c r="B80" s="40" t="str">
        <f>VLOOKUP(A80,'Задание 1'!$B$53:$C$59,2,FALSE)</f>
        <v>Московская</v>
      </c>
      <c r="C80" s="38" t="s">
        <v>40</v>
      </c>
      <c r="D80" s="3">
        <v>3</v>
      </c>
      <c r="E80" s="15">
        <f t="array" ref="E80">INDEX('Задание 1'!J10:J43,MATCH('Задание 2'!A80:A113&amp;'Задание 2'!C80:C113,'Задание 1'!B10:B43&amp;'Задание 1'!C10:C43,0))</f>
        <v>867</v>
      </c>
      <c r="F80" s="15">
        <f t="array" ref="F80">INDEX('Задание 1'!K10:K43,MATCH(Продажи[[#This Row],[Клиент]]&amp;Продажи[[#This Row],[Столбец1]],'Задание 1'!B10:B43&amp;'Задание 1'!C10:C43,0))</f>
        <v>242760</v>
      </c>
      <c r="G80" s="15">
        <f>Продажи[[#This Row],[выручка с НДС]]/(1+0.1)</f>
        <v>220690.90909090906</v>
      </c>
      <c r="H80" s="15">
        <f t="array" ref="H80">INDEX('Задание 1'!L10:L43,MATCH(Продажи[[#This Row],[Клиент]]&amp;Продажи[[#This Row],[Столбец1]],'Задание 1'!B10:B43&amp;'Задание 1'!C10:C43,0))</f>
        <v>173400</v>
      </c>
      <c r="I80" s="48">
        <f>Продажи[[#This Row],[выручка с НДС]]-Продажи[[#This Row],[Себестоимость]]</f>
        <v>69360</v>
      </c>
    </row>
    <row r="81" spans="1:9" x14ac:dyDescent="0.2">
      <c r="A81" s="47" t="s">
        <v>34</v>
      </c>
      <c r="B81" s="40" t="str">
        <f>VLOOKUP(A81,'Задание 1'!$B$53:$C$59,2,FALSE)</f>
        <v>Московская</v>
      </c>
      <c r="C81" s="38" t="s">
        <v>41</v>
      </c>
      <c r="D81" s="3">
        <v>3</v>
      </c>
      <c r="E81" s="15">
        <f t="array" ref="E81">INDEX('Задание 1'!J11:J44,MATCH('Задание 2'!A81:A114&amp;'Задание 2'!C81:C114,'Задание 1'!B11:B44&amp;'Задание 1'!C11:C44,0))</f>
        <v>3825</v>
      </c>
      <c r="F81" s="15">
        <f t="array" ref="F81">INDEX('Задание 1'!K11:K44,MATCH(Продажи[[#This Row],[Клиент]]&amp;Продажи[[#This Row],[Столбец1]],'Задание 1'!B11:B44&amp;'Задание 1'!C11:C44,0))</f>
        <v>3366000</v>
      </c>
      <c r="G81" s="15">
        <f>Продажи[[#This Row],[выручка с НДС]]/(1+0.1)</f>
        <v>3059999.9999999995</v>
      </c>
      <c r="H81" s="15">
        <f t="array" ref="H81">INDEX('Задание 1'!L11:L44,MATCH(Продажи[[#This Row],[Клиент]]&amp;Продажи[[#This Row],[Столбец1]],'Задание 1'!B11:B44&amp;'Задание 1'!C11:C44,0))</f>
        <v>1415250</v>
      </c>
      <c r="I81" s="48">
        <f>Продажи[[#This Row],[выручка с НДС]]-Продажи[[#This Row],[Себестоимость]]</f>
        <v>1950750</v>
      </c>
    </row>
    <row r="82" spans="1:9" x14ac:dyDescent="0.2">
      <c r="A82" s="47" t="s">
        <v>34</v>
      </c>
      <c r="B82" s="40" t="str">
        <f>VLOOKUP(A82,'Задание 1'!$B$53:$C$59,2,FALSE)</f>
        <v>Московская</v>
      </c>
      <c r="C82" s="38" t="s">
        <v>42</v>
      </c>
      <c r="D82" s="3">
        <v>3</v>
      </c>
      <c r="E82" s="15">
        <f t="array" ref="E82">INDEX('Задание 1'!J12:J45,MATCH('Задание 2'!A82:A115&amp;'Задание 2'!C82:C115,'Задание 1'!B12:B45&amp;'Задание 1'!C12:C45,0))</f>
        <v>4947</v>
      </c>
      <c r="F82" s="15">
        <f t="array" ref="F82">INDEX('Задание 1'!K12:K45,MATCH(Продажи[[#This Row],[Клиент]]&amp;Продажи[[#This Row],[Столбец1]],'Задание 1'!B12:B45&amp;'Задание 1'!C12:C45,0))</f>
        <v>1731450</v>
      </c>
      <c r="G82" s="15">
        <f>Продажи[[#This Row],[выручка с НДС]]/(1+0.1)</f>
        <v>1574045.4545454544</v>
      </c>
      <c r="H82" s="15">
        <f t="array" ref="H82">INDEX('Задание 1'!L12:L45,MATCH(Продажи[[#This Row],[Клиент]]&amp;Продажи[[#This Row],[Столбец1]],'Задание 1'!B12:B45&amp;'Задание 1'!C12:C45,0))</f>
        <v>1187280</v>
      </c>
      <c r="I82" s="48">
        <f>Продажи[[#This Row],[выручка с НДС]]-Продажи[[#This Row],[Себестоимость]]</f>
        <v>544170</v>
      </c>
    </row>
    <row r="83" spans="1:9" x14ac:dyDescent="0.2">
      <c r="A83" s="47" t="s">
        <v>34</v>
      </c>
      <c r="B83" s="40" t="str">
        <f>VLOOKUP(A83,'Задание 1'!$B$53:$C$59,2,FALSE)</f>
        <v>Московская</v>
      </c>
      <c r="C83" s="38" t="s">
        <v>43</v>
      </c>
      <c r="D83" s="3">
        <v>3</v>
      </c>
      <c r="E83" s="15">
        <f t="array" ref="E83">INDEX('Задание 1'!J13:J46,MATCH('Задание 2'!A83:A116&amp;'Задание 2'!C83:C116,'Задание 1'!B13:B46&amp;'Задание 1'!C13:C46,0))</f>
        <v>4080</v>
      </c>
      <c r="F83" s="15">
        <f t="array" ref="F83">INDEX('Задание 1'!K13:K46,MATCH(Продажи[[#This Row],[Клиент]]&amp;Продажи[[#This Row],[Столбец1]],'Задание 1'!B13:B46&amp;'Задание 1'!C13:C46,0))</f>
        <v>1836000</v>
      </c>
      <c r="G83" s="15">
        <f>Продажи[[#This Row],[выручка с НДС]]/(1+0.1)</f>
        <v>1669090.9090909089</v>
      </c>
      <c r="H83" s="15">
        <f t="array" ref="H83">INDEX('Задание 1'!L13:L46,MATCH(Продажи[[#This Row],[Клиент]]&amp;Продажи[[#This Row],[Столбец1]],'Задание 1'!B13:B46&amp;'Задание 1'!C13:C46,0))</f>
        <v>1387200</v>
      </c>
      <c r="I83" s="48">
        <f>Продажи[[#This Row],[выручка с НДС]]-Продажи[[#This Row],[Себестоимость]]</f>
        <v>448800</v>
      </c>
    </row>
    <row r="84" spans="1:9" x14ac:dyDescent="0.2">
      <c r="A84" s="47" t="s">
        <v>34</v>
      </c>
      <c r="B84" s="40" t="str">
        <f>VLOOKUP(A84,'Задание 1'!$B$53:$C$59,2,FALSE)</f>
        <v>Московская</v>
      </c>
      <c r="C84" s="38" t="s">
        <v>44</v>
      </c>
      <c r="D84" s="3">
        <v>3</v>
      </c>
      <c r="E84" s="15">
        <f t="array" ref="E84">INDEX('Задание 1'!J14:J47,MATCH('Задание 2'!A84:A117&amp;'Задание 2'!C84:C117,'Задание 1'!B14:B47&amp;'Задание 1'!C14:C47,0))</f>
        <v>1122</v>
      </c>
      <c r="F84" s="15">
        <f t="array" ref="F84">INDEX('Задание 1'!K14:K47,MATCH(Продажи[[#This Row],[Клиент]]&amp;Продажи[[#This Row],[Столбец1]],'Задание 1'!B14:B47&amp;'Задание 1'!C14:C47,0))</f>
        <v>190740</v>
      </c>
      <c r="G84" s="15">
        <f>Продажи[[#This Row],[выручка с НДС]]/(1+0.1)</f>
        <v>173400</v>
      </c>
      <c r="H84" s="15">
        <f t="array" ref="H84">INDEX('Задание 1'!L14:L47,MATCH(Продажи[[#This Row],[Клиент]]&amp;Продажи[[#This Row],[Столбец1]],'Задание 1'!B14:B47&amp;'Задание 1'!C14:C47,0))</f>
        <v>134640</v>
      </c>
      <c r="I84" s="48">
        <f>Продажи[[#This Row],[выручка с НДС]]-Продажи[[#This Row],[Себестоимость]]</f>
        <v>56100</v>
      </c>
    </row>
    <row r="85" spans="1:9" x14ac:dyDescent="0.2">
      <c r="A85" s="47" t="s">
        <v>35</v>
      </c>
      <c r="B85" s="40" t="str">
        <f>VLOOKUP(A85,'Задание 1'!$B$53:$C$59,2,FALSE)</f>
        <v>Тульская</v>
      </c>
      <c r="C85" s="38" t="s">
        <v>40</v>
      </c>
      <c r="D85" s="3">
        <v>3</v>
      </c>
      <c r="E85" s="15">
        <f t="array" ref="E85">INDEX('Задание 1'!J15:J48,MATCH('Задание 2'!A85:A118&amp;'Задание 2'!C85:C118,'Задание 1'!B15:B48&amp;'Задание 1'!C15:C48,0))</f>
        <v>2397</v>
      </c>
      <c r="F85" s="15">
        <f t="array" ref="F85">INDEX('Задание 1'!K15:K48,MATCH(Продажи[[#This Row],[Клиент]]&amp;Продажи[[#This Row],[Столбец1]],'Задание 1'!B15:B48&amp;'Задание 1'!C15:C48,0))</f>
        <v>671160</v>
      </c>
      <c r="G85" s="15">
        <f>Продажи[[#This Row],[выручка с НДС]]/(1+0.1)</f>
        <v>610145.45454545447</v>
      </c>
      <c r="H85" s="15">
        <f t="array" ref="H85">INDEX('Задание 1'!L15:L48,MATCH(Продажи[[#This Row],[Клиент]]&amp;Продажи[[#This Row],[Столбец1]],'Задание 1'!B15:B48&amp;'Задание 1'!C15:C48,0))</f>
        <v>479400</v>
      </c>
      <c r="I85" s="48">
        <f>Продажи[[#This Row],[выручка с НДС]]-Продажи[[#This Row],[Себестоимость]]</f>
        <v>191760</v>
      </c>
    </row>
    <row r="86" spans="1:9" x14ac:dyDescent="0.2">
      <c r="A86" s="47" t="s">
        <v>35</v>
      </c>
      <c r="B86" s="40" t="str">
        <f>VLOOKUP(A86,'Задание 1'!$B$53:$C$59,2,FALSE)</f>
        <v>Тульская</v>
      </c>
      <c r="C86" s="38" t="s">
        <v>41</v>
      </c>
      <c r="D86" s="3">
        <v>3</v>
      </c>
      <c r="E86" s="15">
        <f t="array" ref="E86">INDEX('Задание 1'!J16:J49,MATCH('Задание 2'!A86:A119&amp;'Задание 2'!C86:C119,'Задание 1'!B16:B49&amp;'Задание 1'!C16:C49,0))</f>
        <v>3621</v>
      </c>
      <c r="F86" s="15">
        <f t="array" ref="F86">INDEX('Задание 1'!K16:K49,MATCH(Продажи[[#This Row],[Клиент]]&amp;Продажи[[#This Row],[Столбец1]],'Задание 1'!B16:B49&amp;'Задание 1'!C16:C49,0))</f>
        <v>3186480</v>
      </c>
      <c r="G86" s="15">
        <f>Продажи[[#This Row],[выручка с НДС]]/(1+0.1)</f>
        <v>2896799.9999999995</v>
      </c>
      <c r="H86" s="15">
        <f t="array" ref="H86">INDEX('Задание 1'!L16:L49,MATCH(Продажи[[#This Row],[Клиент]]&amp;Продажи[[#This Row],[Столбец1]],'Задание 1'!B16:B49&amp;'Задание 1'!C16:C49,0))</f>
        <v>1339770</v>
      </c>
      <c r="I86" s="48">
        <f>Продажи[[#This Row],[выручка с НДС]]-Продажи[[#This Row],[Себестоимость]]</f>
        <v>1846710</v>
      </c>
    </row>
    <row r="87" spans="1:9" x14ac:dyDescent="0.2">
      <c r="A87" s="47" t="s">
        <v>35</v>
      </c>
      <c r="B87" s="40" t="str">
        <f>VLOOKUP(A87,'Задание 1'!$B$53:$C$59,2,FALSE)</f>
        <v>Тульская</v>
      </c>
      <c r="C87" s="38" t="s">
        <v>42</v>
      </c>
      <c r="D87" s="3">
        <v>3</v>
      </c>
      <c r="E87" s="15">
        <f t="array" ref="E87">INDEX('Задание 1'!J17:J50,MATCH('Задание 2'!A87:A120&amp;'Задание 2'!C87:C120,'Задание 1'!B17:B50&amp;'Задание 1'!C17:C50,0))</f>
        <v>1224</v>
      </c>
      <c r="F87" s="15">
        <f t="array" ref="F87">INDEX('Задание 1'!K17:K50,MATCH(Продажи[[#This Row],[Клиент]]&amp;Продажи[[#This Row],[Столбец1]],'Задание 1'!B17:B50&amp;'Задание 1'!C17:C50,0))</f>
        <v>428400</v>
      </c>
      <c r="G87" s="15">
        <f>Продажи[[#This Row],[выручка с НДС]]/(1+0.1)</f>
        <v>389454.54545454541</v>
      </c>
      <c r="H87" s="15">
        <f t="array" ref="H87">INDEX('Задание 1'!L17:L50,MATCH(Продажи[[#This Row],[Клиент]]&amp;Продажи[[#This Row],[Столбец1]],'Задание 1'!B17:B50&amp;'Задание 1'!C17:C50,0))</f>
        <v>293760</v>
      </c>
      <c r="I87" s="48">
        <f>Продажи[[#This Row],[выручка с НДС]]-Продажи[[#This Row],[Себестоимость]]</f>
        <v>134640</v>
      </c>
    </row>
    <row r="88" spans="1:9" x14ac:dyDescent="0.2">
      <c r="A88" s="47" t="s">
        <v>35</v>
      </c>
      <c r="B88" s="40" t="str">
        <f>VLOOKUP(A88,'Задание 1'!$B$53:$C$59,2,FALSE)</f>
        <v>Тульская</v>
      </c>
      <c r="C88" s="38" t="s">
        <v>43</v>
      </c>
      <c r="D88" s="3">
        <v>3</v>
      </c>
      <c r="E88" s="15">
        <f t="array" ref="E88">INDEX('Задание 1'!J18:J51,MATCH('Задание 2'!A88:A121&amp;'Задание 2'!C88:C121,'Задание 1'!B18:B51&amp;'Задание 1'!C18:C51,0))</f>
        <v>4743</v>
      </c>
      <c r="F88" s="15">
        <f t="array" ref="F88">INDEX('Задание 1'!K18:K51,MATCH(Продажи[[#This Row],[Клиент]]&amp;Продажи[[#This Row],[Столбец1]],'Задание 1'!B18:B51&amp;'Задание 1'!C18:C51,0))</f>
        <v>2134350</v>
      </c>
      <c r="G88" s="15">
        <f>Продажи[[#This Row],[выручка с НДС]]/(1+0.1)</f>
        <v>1940318.1818181816</v>
      </c>
      <c r="H88" s="15">
        <f t="array" ref="H88">INDEX('Задание 1'!L18:L51,MATCH(Продажи[[#This Row],[Клиент]]&amp;Продажи[[#This Row],[Столбец1]],'Задание 1'!B18:B51&amp;'Задание 1'!C18:C51,0))</f>
        <v>1612620</v>
      </c>
      <c r="I88" s="48">
        <f>Продажи[[#This Row],[выручка с НДС]]-Продажи[[#This Row],[Себестоимость]]</f>
        <v>521730</v>
      </c>
    </row>
    <row r="89" spans="1:9" x14ac:dyDescent="0.2">
      <c r="A89" s="47" t="s">
        <v>35</v>
      </c>
      <c r="B89" s="40" t="str">
        <f>VLOOKUP(A89,'Задание 1'!$B$53:$C$59,2,FALSE)</f>
        <v>Тульская</v>
      </c>
      <c r="C89" s="38" t="s">
        <v>44</v>
      </c>
      <c r="D89" s="3">
        <v>3</v>
      </c>
      <c r="E89" s="15">
        <f t="array" ref="E89">INDEX('Задание 1'!J19:J52,MATCH('Задание 2'!A89:A122&amp;'Задание 2'!C89:C122,'Задание 1'!B19:B52&amp;'Задание 1'!C19:C52,0))</f>
        <v>1275</v>
      </c>
      <c r="F89" s="15">
        <f t="array" ref="F89">INDEX('Задание 1'!K19:K52,MATCH(Продажи[[#This Row],[Клиент]]&amp;Продажи[[#This Row],[Столбец1]],'Задание 1'!B19:B52&amp;'Задание 1'!C19:C52,0))</f>
        <v>216750</v>
      </c>
      <c r="G89" s="15">
        <f>Продажи[[#This Row],[выручка с НДС]]/(1+0.1)</f>
        <v>197045.45454545453</v>
      </c>
      <c r="H89" s="15">
        <f t="array" ref="H89">INDEX('Задание 1'!L19:L52,MATCH(Продажи[[#This Row],[Клиент]]&amp;Продажи[[#This Row],[Столбец1]],'Задание 1'!B19:B52&amp;'Задание 1'!C19:C52,0))</f>
        <v>153000</v>
      </c>
      <c r="I89" s="48">
        <f>Продажи[[#This Row],[выручка с НДС]]-Продажи[[#This Row],[Себестоимость]]</f>
        <v>63750</v>
      </c>
    </row>
    <row r="90" spans="1:9" x14ac:dyDescent="0.2">
      <c r="A90" s="47" t="s">
        <v>36</v>
      </c>
      <c r="B90" s="40" t="str">
        <f>VLOOKUP(A90,'Задание 1'!$B$53:$C$59,2,FALSE)</f>
        <v>Рязанская</v>
      </c>
      <c r="C90" s="38" t="s">
        <v>40</v>
      </c>
      <c r="D90" s="3">
        <v>3</v>
      </c>
      <c r="E90" s="15">
        <f t="array" ref="E90">INDEX('Задание 1'!J20:J53,MATCH('Задание 2'!A90:A123&amp;'Задание 2'!C90:C123,'Задание 1'!B20:B53&amp;'Задание 1'!C20:C53,0))</f>
        <v>3570</v>
      </c>
      <c r="F90" s="15">
        <f t="array" ref="F90">INDEX('Задание 1'!K20:K53,MATCH(Продажи[[#This Row],[Клиент]]&amp;Продажи[[#This Row],[Столбец1]],'Задание 1'!B20:B53&amp;'Задание 1'!C20:C53,0))</f>
        <v>999600</v>
      </c>
      <c r="G90" s="15">
        <f>Продажи[[#This Row],[выручка с НДС]]/(1+0.1)</f>
        <v>908727.27272727271</v>
      </c>
      <c r="H90" s="15">
        <f t="array" ref="H90">INDEX('Задание 1'!L20:L53,MATCH(Продажи[[#This Row],[Клиент]]&amp;Продажи[[#This Row],[Столбец1]],'Задание 1'!B20:B53&amp;'Задание 1'!C20:C53,0))</f>
        <v>714000</v>
      </c>
      <c r="I90" s="48">
        <f>Продажи[[#This Row],[выручка с НДС]]-Продажи[[#This Row],[Себестоимость]]</f>
        <v>285600</v>
      </c>
    </row>
    <row r="91" spans="1:9" x14ac:dyDescent="0.2">
      <c r="A91" s="47" t="s">
        <v>36</v>
      </c>
      <c r="B91" s="40" t="str">
        <f>VLOOKUP(A91,'Задание 1'!$B$53:$C$59,2,FALSE)</f>
        <v>Рязанская</v>
      </c>
      <c r="C91" s="38" t="s">
        <v>41</v>
      </c>
      <c r="D91" s="3">
        <v>3</v>
      </c>
      <c r="E91" s="15">
        <f t="array" ref="E91">INDEX('Задание 1'!J21:J54,MATCH('Задание 2'!A91:A124&amp;'Задание 2'!C91:C124,'Задание 1'!B21:B54&amp;'Задание 1'!C21:C54,0))</f>
        <v>867</v>
      </c>
      <c r="F91" s="15">
        <f t="array" ref="F91">INDEX('Задание 1'!K21:K54,MATCH(Продажи[[#This Row],[Клиент]]&amp;Продажи[[#This Row],[Столбец1]],'Задание 1'!B21:B54&amp;'Задание 1'!C21:C54,0))</f>
        <v>762960</v>
      </c>
      <c r="G91" s="15">
        <f>Продажи[[#This Row],[выручка с НДС]]/(1+0.1)</f>
        <v>693600</v>
      </c>
      <c r="H91" s="15">
        <f t="array" ref="H91">INDEX('Задание 1'!L21:L54,MATCH(Продажи[[#This Row],[Клиент]]&amp;Продажи[[#This Row],[Столбец1]],'Задание 1'!B21:B54&amp;'Задание 1'!C21:C54,0))</f>
        <v>320790</v>
      </c>
      <c r="I91" s="48">
        <f>Продажи[[#This Row],[выручка с НДС]]-Продажи[[#This Row],[Себестоимость]]</f>
        <v>442170</v>
      </c>
    </row>
    <row r="92" spans="1:9" x14ac:dyDescent="0.2">
      <c r="A92" s="47" t="s">
        <v>36</v>
      </c>
      <c r="B92" s="40" t="str">
        <f>VLOOKUP(A92,'Задание 1'!$B$53:$C$59,2,FALSE)</f>
        <v>Рязанская</v>
      </c>
      <c r="C92" s="38" t="s">
        <v>42</v>
      </c>
      <c r="D92" s="3">
        <v>3</v>
      </c>
      <c r="E92" s="15">
        <f t="array" ref="E92">INDEX('Задание 1'!J22:J55,MATCH('Задание 2'!A92:A125&amp;'Задание 2'!C92:C125,'Задание 1'!B22:B55&amp;'Задание 1'!C22:C55,0))</f>
        <v>4386</v>
      </c>
      <c r="F92" s="15">
        <f t="array" ref="F92">INDEX('Задание 1'!K22:K55,MATCH(Продажи[[#This Row],[Клиент]]&amp;Продажи[[#This Row],[Столбец1]],'Задание 1'!B22:B55&amp;'Задание 1'!C22:C55,0))</f>
        <v>1535100</v>
      </c>
      <c r="G92" s="15">
        <f>Продажи[[#This Row],[выручка с НДС]]/(1+0.1)</f>
        <v>1395545.4545454544</v>
      </c>
      <c r="H92" s="15">
        <f t="array" ref="H92">INDEX('Задание 1'!L22:L55,MATCH(Продажи[[#This Row],[Клиент]]&amp;Продажи[[#This Row],[Столбец1]],'Задание 1'!B22:B55&amp;'Задание 1'!C22:C55,0))</f>
        <v>1052640</v>
      </c>
      <c r="I92" s="48">
        <f>Продажи[[#This Row],[выручка с НДС]]-Продажи[[#This Row],[Себестоимость]]</f>
        <v>482460</v>
      </c>
    </row>
    <row r="93" spans="1:9" x14ac:dyDescent="0.2">
      <c r="A93" s="47" t="s">
        <v>36</v>
      </c>
      <c r="B93" s="40" t="str">
        <f>VLOOKUP(A93,'Задание 1'!$B$53:$C$59,2,FALSE)</f>
        <v>Рязанская</v>
      </c>
      <c r="C93" s="38" t="s">
        <v>43</v>
      </c>
      <c r="D93" s="3">
        <v>3</v>
      </c>
      <c r="E93" s="15">
        <f t="array" ref="E93">INDEX('Задание 1'!J23:J56,MATCH('Задание 2'!A93:A126&amp;'Задание 2'!C93:C126,'Задание 1'!B23:B56&amp;'Задание 1'!C23:C56,0))</f>
        <v>1836</v>
      </c>
      <c r="F93" s="15">
        <f t="array" ref="F93">INDEX('Задание 1'!K23:K56,MATCH(Продажи[[#This Row],[Клиент]]&amp;Продажи[[#This Row],[Столбец1]],'Задание 1'!B23:B56&amp;'Задание 1'!C23:C56,0))</f>
        <v>826200</v>
      </c>
      <c r="G93" s="15">
        <f>Продажи[[#This Row],[выручка с НДС]]/(1+0.1)</f>
        <v>751090.90909090906</v>
      </c>
      <c r="H93" s="15">
        <f t="array" ref="H93">INDEX('Задание 1'!L23:L56,MATCH(Продажи[[#This Row],[Клиент]]&amp;Продажи[[#This Row],[Столбец1]],'Задание 1'!B23:B56&amp;'Задание 1'!C23:C56,0))</f>
        <v>624240</v>
      </c>
      <c r="I93" s="48">
        <f>Продажи[[#This Row],[выручка с НДС]]-Продажи[[#This Row],[Себестоимость]]</f>
        <v>201960</v>
      </c>
    </row>
    <row r="94" spans="1:9" x14ac:dyDescent="0.2">
      <c r="A94" s="47" t="s">
        <v>37</v>
      </c>
      <c r="B94" s="40" t="str">
        <f>VLOOKUP(A94,'Задание 1'!$B$53:$C$59,2,FALSE)</f>
        <v>Московская</v>
      </c>
      <c r="C94" s="38" t="s">
        <v>44</v>
      </c>
      <c r="D94" s="3">
        <v>3</v>
      </c>
      <c r="E94" s="15">
        <f t="array" ref="E94">INDEX('Задание 1'!J24:J57,MATCH('Задание 2'!A94:A127&amp;'Задание 2'!C94:C127,'Задание 1'!B24:B57&amp;'Задание 1'!C24:C57,0))</f>
        <v>2295</v>
      </c>
      <c r="F94" s="15">
        <f t="array" ref="F94">INDEX('Задание 1'!K24:K57,MATCH(Продажи[[#This Row],[Клиент]]&amp;Продажи[[#This Row],[Столбец1]],'Задание 1'!B24:B57&amp;'Задание 1'!C24:C57,0))</f>
        <v>390150</v>
      </c>
      <c r="G94" s="15">
        <f>Продажи[[#This Row],[выручка с НДС]]/(1+0.1)</f>
        <v>354681.81818181818</v>
      </c>
      <c r="H94" s="15">
        <f t="array" ref="H94">INDEX('Задание 1'!L24:L57,MATCH(Продажи[[#This Row],[Клиент]]&amp;Продажи[[#This Row],[Столбец1]],'Задание 1'!B24:B57&amp;'Задание 1'!C24:C57,0))</f>
        <v>275400</v>
      </c>
      <c r="I94" s="48">
        <f>Продажи[[#This Row],[выручка с НДС]]-Продажи[[#This Row],[Себестоимость]]</f>
        <v>114750</v>
      </c>
    </row>
    <row r="95" spans="1:9" x14ac:dyDescent="0.2">
      <c r="A95" s="47" t="s">
        <v>37</v>
      </c>
      <c r="B95" s="40" t="str">
        <f>VLOOKUP(A95,'Задание 1'!$B$53:$C$59,2,FALSE)</f>
        <v>Московская</v>
      </c>
      <c r="C95" s="38" t="s">
        <v>40</v>
      </c>
      <c r="D95" s="3">
        <v>3</v>
      </c>
      <c r="E95" s="15">
        <f t="array" ref="E95">INDEX('Задание 1'!J25:J58,MATCH('Задание 2'!A95:A128&amp;'Задание 2'!C95:C128,'Задание 1'!B25:B58&amp;'Задание 1'!C25:C58,0))</f>
        <v>714</v>
      </c>
      <c r="F95" s="15">
        <f t="array" ref="F95">INDEX('Задание 1'!K25:K58,MATCH(Продажи[[#This Row],[Клиент]]&amp;Продажи[[#This Row],[Столбец1]],'Задание 1'!B25:B58&amp;'Задание 1'!C25:C58,0))</f>
        <v>199920</v>
      </c>
      <c r="G95" s="15">
        <f>Продажи[[#This Row],[выручка с НДС]]/(1+0.1)</f>
        <v>181745.45454545453</v>
      </c>
      <c r="H95" s="15">
        <f t="array" ref="H95">INDEX('Задание 1'!L25:L58,MATCH(Продажи[[#This Row],[Клиент]]&amp;Продажи[[#This Row],[Столбец1]],'Задание 1'!B25:B58&amp;'Задание 1'!C25:C58,0))</f>
        <v>142800</v>
      </c>
      <c r="I95" s="48">
        <f>Продажи[[#This Row],[выручка с НДС]]-Продажи[[#This Row],[Себестоимость]]</f>
        <v>57120</v>
      </c>
    </row>
    <row r="96" spans="1:9" x14ac:dyDescent="0.2">
      <c r="A96" s="47" t="s">
        <v>37</v>
      </c>
      <c r="B96" s="40" t="str">
        <f>VLOOKUP(A96,'Задание 1'!$B$53:$C$59,2,FALSE)</f>
        <v>Московская</v>
      </c>
      <c r="C96" s="38" t="s">
        <v>41</v>
      </c>
      <c r="D96" s="3">
        <v>3</v>
      </c>
      <c r="E96" s="15">
        <f t="array" ref="E96">INDEX('Задание 1'!J26:J59,MATCH('Задание 2'!A96:A129&amp;'Задание 2'!C96:C129,'Задание 1'!B26:B59&amp;'Задание 1'!C26:C59,0))</f>
        <v>1428</v>
      </c>
      <c r="F96" s="15">
        <f t="array" ref="F96">INDEX('Задание 1'!K26:K59,MATCH(Продажи[[#This Row],[Клиент]]&amp;Продажи[[#This Row],[Столбец1]],'Задание 1'!B26:B59&amp;'Задание 1'!C26:C59,0))</f>
        <v>1256640</v>
      </c>
      <c r="G96" s="15">
        <f>Продажи[[#This Row],[выручка с НДС]]/(1+0.1)</f>
        <v>1142400</v>
      </c>
      <c r="H96" s="15">
        <f t="array" ref="H96">INDEX('Задание 1'!L26:L59,MATCH(Продажи[[#This Row],[Клиент]]&amp;Продажи[[#This Row],[Столбец1]],'Задание 1'!B26:B59&amp;'Задание 1'!C26:C59,0))</f>
        <v>528360</v>
      </c>
      <c r="I96" s="48">
        <f>Продажи[[#This Row],[выручка с НДС]]-Продажи[[#This Row],[Себестоимость]]</f>
        <v>728280</v>
      </c>
    </row>
    <row r="97" spans="1:9" x14ac:dyDescent="0.2">
      <c r="A97" s="47" t="s">
        <v>37</v>
      </c>
      <c r="B97" s="40" t="str">
        <f>VLOOKUP(A97,'Задание 1'!$B$53:$C$59,2,FALSE)</f>
        <v>Московская</v>
      </c>
      <c r="C97" s="38" t="s">
        <v>42</v>
      </c>
      <c r="D97" s="3">
        <v>3</v>
      </c>
      <c r="E97" s="15">
        <f t="array" ref="E97">INDEX('Задание 1'!J27:J60,MATCH('Задание 2'!A97:A130&amp;'Задание 2'!C97:C130,'Задание 1'!B27:B60&amp;'Задание 1'!C27:C60,0))</f>
        <v>5100</v>
      </c>
      <c r="F97" s="15">
        <f t="array" ref="F97">INDEX('Задание 1'!K27:K60,MATCH(Продажи[[#This Row],[Клиент]]&amp;Продажи[[#This Row],[Столбец1]],'Задание 1'!B27:B60&amp;'Задание 1'!C27:C60,0))</f>
        <v>1785000</v>
      </c>
      <c r="G97" s="15">
        <f>Продажи[[#This Row],[выручка с НДС]]/(1+0.1)</f>
        <v>1622727.2727272727</v>
      </c>
      <c r="H97" s="15">
        <f t="array" ref="H97">INDEX('Задание 1'!L27:L60,MATCH(Продажи[[#This Row],[Клиент]]&amp;Продажи[[#This Row],[Столбец1]],'Задание 1'!B27:B60&amp;'Задание 1'!C27:C60,0))</f>
        <v>1224000</v>
      </c>
      <c r="I97" s="48">
        <f>Продажи[[#This Row],[выручка с НДС]]-Продажи[[#This Row],[Себестоимость]]</f>
        <v>561000</v>
      </c>
    </row>
    <row r="98" spans="1:9" x14ac:dyDescent="0.2">
      <c r="A98" s="47" t="s">
        <v>37</v>
      </c>
      <c r="B98" s="40" t="str">
        <f>VLOOKUP(A98,'Задание 1'!$B$53:$C$59,2,FALSE)</f>
        <v>Московская</v>
      </c>
      <c r="C98" s="38" t="s">
        <v>43</v>
      </c>
      <c r="D98" s="3">
        <v>3</v>
      </c>
      <c r="E98" s="15">
        <f t="array" ref="E98">INDEX('Задание 1'!J28:J61,MATCH('Задание 2'!A98:A131&amp;'Задание 2'!C98:C131,'Задание 1'!B28:B61&amp;'Задание 1'!C28:C61,0))</f>
        <v>867</v>
      </c>
      <c r="F98" s="15">
        <f t="array" ref="F98">INDEX('Задание 1'!K28:K61,MATCH(Продажи[[#This Row],[Клиент]]&amp;Продажи[[#This Row],[Столбец1]],'Задание 1'!B28:B61&amp;'Задание 1'!C28:C61,0))</f>
        <v>390150</v>
      </c>
      <c r="G98" s="15">
        <f>Продажи[[#This Row],[выручка с НДС]]/(1+0.1)</f>
        <v>354681.81818181818</v>
      </c>
      <c r="H98" s="15">
        <f t="array" ref="H98">INDEX('Задание 1'!L28:L61,MATCH(Продажи[[#This Row],[Клиент]]&amp;Продажи[[#This Row],[Столбец1]],'Задание 1'!B28:B61&amp;'Задание 1'!C28:C61,0))</f>
        <v>294780</v>
      </c>
      <c r="I98" s="48">
        <f>Продажи[[#This Row],[выручка с НДС]]-Продажи[[#This Row],[Себестоимость]]</f>
        <v>95370</v>
      </c>
    </row>
    <row r="99" spans="1:9" x14ac:dyDescent="0.2">
      <c r="A99" s="47" t="s">
        <v>38</v>
      </c>
      <c r="B99" s="40" t="str">
        <f>VLOOKUP(A99,'Задание 1'!$B$53:$C$59,2,FALSE)</f>
        <v>Курская</v>
      </c>
      <c r="C99" s="38" t="s">
        <v>44</v>
      </c>
      <c r="D99" s="3">
        <v>3</v>
      </c>
      <c r="E99" s="15">
        <f t="array" ref="E99">INDEX('Задание 1'!J29:J62,MATCH('Задание 2'!A99:A132&amp;'Задание 2'!C99:C132,'Задание 1'!B29:B62&amp;'Задание 1'!C29:C62,0))</f>
        <v>1632</v>
      </c>
      <c r="F99" s="15">
        <f t="array" ref="F99">INDEX('Задание 1'!K29:K62,MATCH(Продажи[[#This Row],[Клиент]]&amp;Продажи[[#This Row],[Столбец1]],'Задание 1'!B29:B62&amp;'Задание 1'!C29:C62,0))</f>
        <v>277440</v>
      </c>
      <c r="G99" s="15">
        <f>Продажи[[#This Row],[выручка с НДС]]/(1+0.1)</f>
        <v>252218.18181818179</v>
      </c>
      <c r="H99" s="15">
        <f t="array" ref="H99">INDEX('Задание 1'!L29:L62,MATCH(Продажи[[#This Row],[Клиент]]&amp;Продажи[[#This Row],[Столбец1]],'Задание 1'!B29:B62&amp;'Задание 1'!C29:C62,0))</f>
        <v>195840</v>
      </c>
      <c r="I99" s="48">
        <f>Продажи[[#This Row],[выручка с НДС]]-Продажи[[#This Row],[Себестоимость]]</f>
        <v>81600</v>
      </c>
    </row>
    <row r="100" spans="1:9" x14ac:dyDescent="0.2">
      <c r="A100" s="47" t="s">
        <v>38</v>
      </c>
      <c r="B100" s="40" t="str">
        <f>VLOOKUP(A100,'Задание 1'!$B$53:$C$59,2,FALSE)</f>
        <v>Курская</v>
      </c>
      <c r="C100" s="38" t="s">
        <v>40</v>
      </c>
      <c r="D100" s="3">
        <v>3</v>
      </c>
      <c r="E100" s="15">
        <f t="array" ref="E100">INDEX('Задание 1'!J30:J63,MATCH('Задание 2'!A100:A133&amp;'Задание 2'!C100:C133,'Задание 1'!B30:B63&amp;'Задание 1'!C30:C63,0))</f>
        <v>4029</v>
      </c>
      <c r="F100" s="15">
        <f t="array" ref="F100">INDEX('Задание 1'!K30:K63,MATCH(Продажи[[#This Row],[Клиент]]&amp;Продажи[[#This Row],[Столбец1]],'Задание 1'!B30:B63&amp;'Задание 1'!C30:C63,0))</f>
        <v>1128120</v>
      </c>
      <c r="G100" s="15">
        <f>Продажи[[#This Row],[выручка с НДС]]/(1+0.1)</f>
        <v>1025563.6363636362</v>
      </c>
      <c r="H100" s="15">
        <f t="array" ref="H100">INDEX('Задание 1'!L30:L63,MATCH(Продажи[[#This Row],[Клиент]]&amp;Продажи[[#This Row],[Столбец1]],'Задание 1'!B30:B63&amp;'Задание 1'!C30:C63,0))</f>
        <v>805800</v>
      </c>
      <c r="I100" s="48">
        <f>Продажи[[#This Row],[выручка с НДС]]-Продажи[[#This Row],[Себестоимость]]</f>
        <v>322320</v>
      </c>
    </row>
    <row r="101" spans="1:9" x14ac:dyDescent="0.2">
      <c r="A101" s="47" t="s">
        <v>38</v>
      </c>
      <c r="B101" s="40" t="str">
        <f>VLOOKUP(A101,'Задание 1'!$B$53:$C$59,2,FALSE)</f>
        <v>Курская</v>
      </c>
      <c r="C101" s="38" t="s">
        <v>41</v>
      </c>
      <c r="D101" s="3">
        <v>3</v>
      </c>
      <c r="E101" s="15">
        <f t="array" ref="E101">INDEX('Задание 1'!J31:J64,MATCH('Задание 2'!A101:A134&amp;'Задание 2'!C101:C134,'Задание 1'!B31:B64&amp;'Задание 1'!C31:C64,0))</f>
        <v>3876</v>
      </c>
      <c r="F101" s="15">
        <f t="array" ref="F101">INDEX('Задание 1'!K31:K64,MATCH(Продажи[[#This Row],[Клиент]]&amp;Продажи[[#This Row],[Столбец1]],'Задание 1'!B31:B64&amp;'Задание 1'!C31:C64,0))</f>
        <v>3410880</v>
      </c>
      <c r="G101" s="15">
        <f>Продажи[[#This Row],[выручка с НДС]]/(1+0.1)</f>
        <v>3100799.9999999995</v>
      </c>
      <c r="H101" s="15">
        <f t="array" ref="H101">INDEX('Задание 1'!L31:L64,MATCH(Продажи[[#This Row],[Клиент]]&amp;Продажи[[#This Row],[Столбец1]],'Задание 1'!B31:B64&amp;'Задание 1'!C31:C64,0))</f>
        <v>1434120</v>
      </c>
      <c r="I101" s="48">
        <f>Продажи[[#This Row],[выручка с НДС]]-Продажи[[#This Row],[Себестоимость]]</f>
        <v>1976760</v>
      </c>
    </row>
    <row r="102" spans="1:9" x14ac:dyDescent="0.2">
      <c r="A102" s="47" t="s">
        <v>38</v>
      </c>
      <c r="B102" s="40" t="str">
        <f>VLOOKUP(A102,'Задание 1'!$B$53:$C$59,2,FALSE)</f>
        <v>Курская</v>
      </c>
      <c r="C102" s="38" t="s">
        <v>42</v>
      </c>
      <c r="D102" s="3">
        <v>3</v>
      </c>
      <c r="E102" s="15">
        <f t="array" ref="E102">INDEX('Задание 1'!J32:J65,MATCH('Задание 2'!A102:A135&amp;'Задание 2'!C102:C135,'Задание 1'!B32:B65&amp;'Задание 1'!C32:C65,0))</f>
        <v>1428</v>
      </c>
      <c r="F102" s="15">
        <f t="array" ref="F102">INDEX('Задание 1'!K32:K65,MATCH(Продажи[[#This Row],[Клиент]]&amp;Продажи[[#This Row],[Столбец1]],'Задание 1'!B32:B65&amp;'Задание 1'!C32:C65,0))</f>
        <v>499800</v>
      </c>
      <c r="G102" s="15">
        <f>Продажи[[#This Row],[выручка с НДС]]/(1+0.1)</f>
        <v>454363.63636363635</v>
      </c>
      <c r="H102" s="15">
        <f t="array" ref="H102">INDEX('Задание 1'!L32:L65,MATCH(Продажи[[#This Row],[Клиент]]&amp;Продажи[[#This Row],[Столбец1]],'Задание 1'!B32:B65&amp;'Задание 1'!C32:C65,0))</f>
        <v>342720</v>
      </c>
      <c r="I102" s="48">
        <f>Продажи[[#This Row],[выручка с НДС]]-Продажи[[#This Row],[Себестоимость]]</f>
        <v>157080</v>
      </c>
    </row>
    <row r="103" spans="1:9" x14ac:dyDescent="0.2">
      <c r="A103" s="47" t="s">
        <v>38</v>
      </c>
      <c r="B103" s="40" t="str">
        <f>VLOOKUP(A103,'Задание 1'!$B$53:$C$59,2,FALSE)</f>
        <v>Курская</v>
      </c>
      <c r="C103" s="38" t="s">
        <v>43</v>
      </c>
      <c r="D103" s="3">
        <v>3</v>
      </c>
      <c r="E103" s="15">
        <f t="array" ref="E103">INDEX('Задание 1'!J33:J66,MATCH('Задание 2'!A103:A136&amp;'Задание 2'!C103:C136,'Задание 1'!B33:B66&amp;'Задание 1'!C33:C66,0))</f>
        <v>2652</v>
      </c>
      <c r="F103" s="15">
        <f t="array" ref="F103">INDEX('Задание 1'!K33:K66,MATCH(Продажи[[#This Row],[Клиент]]&amp;Продажи[[#This Row],[Столбец1]],'Задание 1'!B33:B66&amp;'Задание 1'!C33:C66,0))</f>
        <v>1193400</v>
      </c>
      <c r="G103" s="15">
        <f>Продажи[[#This Row],[выручка с НДС]]/(1+0.1)</f>
        <v>1084909.0909090908</v>
      </c>
      <c r="H103" s="15">
        <f t="array" ref="H103">INDEX('Задание 1'!L33:L66,MATCH(Продажи[[#This Row],[Клиент]]&amp;Продажи[[#This Row],[Столбец1]],'Задание 1'!B33:B66&amp;'Задание 1'!C33:C66,0))</f>
        <v>901680</v>
      </c>
      <c r="I103" s="48">
        <f>Продажи[[#This Row],[выручка с НДС]]-Продажи[[#This Row],[Себестоимость]]</f>
        <v>291720</v>
      </c>
    </row>
    <row r="104" spans="1:9" x14ac:dyDescent="0.2">
      <c r="A104" s="47" t="s">
        <v>39</v>
      </c>
      <c r="B104" s="40" t="str">
        <f>VLOOKUP(A104,'Задание 1'!$B$53:$C$59,2,FALSE)</f>
        <v>Самарская</v>
      </c>
      <c r="C104" s="38" t="s">
        <v>44</v>
      </c>
      <c r="D104" s="3">
        <v>3</v>
      </c>
      <c r="E104" s="15">
        <f t="array" ref="E104">INDEX('Задание 1'!J34:J67,MATCH('Задание 2'!A104:A137&amp;'Задание 2'!C104:C137,'Задание 1'!B34:B67&amp;'Задание 1'!C34:C67,0))</f>
        <v>1887</v>
      </c>
      <c r="F104" s="15">
        <f t="array" ref="F104">INDEX('Задание 1'!K34:K67,MATCH(Продажи[[#This Row],[Клиент]]&amp;Продажи[[#This Row],[Столбец1]],'Задание 1'!B34:B67&amp;'Задание 1'!C34:C67,0))</f>
        <v>320790</v>
      </c>
      <c r="G104" s="15">
        <f>Продажи[[#This Row],[выручка с НДС]]/(1+0.1)</f>
        <v>291627.27272727271</v>
      </c>
      <c r="H104" s="15">
        <f t="array" ref="H104">INDEX('Задание 1'!L34:L67,MATCH(Продажи[[#This Row],[Клиент]]&amp;Продажи[[#This Row],[Столбец1]],'Задание 1'!B34:B67&amp;'Задание 1'!C34:C67,0))</f>
        <v>226440</v>
      </c>
      <c r="I104" s="48">
        <f>Продажи[[#This Row],[выручка с НДС]]-Продажи[[#This Row],[Себестоимость]]</f>
        <v>94350</v>
      </c>
    </row>
    <row r="105" spans="1:9" x14ac:dyDescent="0.2">
      <c r="A105" s="47" t="s">
        <v>39</v>
      </c>
      <c r="B105" s="40" t="str">
        <f>VLOOKUP(A105,'Задание 1'!$B$53:$C$59,2,FALSE)</f>
        <v>Самарская</v>
      </c>
      <c r="C105" s="38" t="s">
        <v>40</v>
      </c>
      <c r="D105" s="3">
        <v>3</v>
      </c>
      <c r="E105" s="15">
        <f t="array" ref="E105">INDEX('Задание 1'!J35:J68,MATCH('Задание 2'!A105:A138&amp;'Задание 2'!C105:C138,'Задание 1'!B35:B68&amp;'Задание 1'!C35:C68,0))</f>
        <v>3927</v>
      </c>
      <c r="F105" s="15">
        <f t="array" ref="F105">INDEX('Задание 1'!K35:K68,MATCH(Продажи[[#This Row],[Клиент]]&amp;Продажи[[#This Row],[Столбец1]],'Задание 1'!B35:B68&amp;'Задание 1'!C35:C68,0))</f>
        <v>1099560</v>
      </c>
      <c r="G105" s="15">
        <f>Продажи[[#This Row],[выручка с НДС]]/(1+0.1)</f>
        <v>999599.99999999988</v>
      </c>
      <c r="H105" s="15">
        <f t="array" ref="H105">INDEX('Задание 1'!L35:L68,MATCH(Продажи[[#This Row],[Клиент]]&amp;Продажи[[#This Row],[Столбец1]],'Задание 1'!B35:B68&amp;'Задание 1'!C35:C68,0))</f>
        <v>785400</v>
      </c>
      <c r="I105" s="48">
        <f>Продажи[[#This Row],[выручка с НДС]]-Продажи[[#This Row],[Себестоимость]]</f>
        <v>314160</v>
      </c>
    </row>
    <row r="106" spans="1:9" x14ac:dyDescent="0.2">
      <c r="A106" s="47" t="s">
        <v>39</v>
      </c>
      <c r="B106" s="40" t="str">
        <f>VLOOKUP(A106,'Задание 1'!$B$53:$C$59,2,FALSE)</f>
        <v>Самарская</v>
      </c>
      <c r="C106" s="38" t="s">
        <v>41</v>
      </c>
      <c r="D106" s="3">
        <v>3</v>
      </c>
      <c r="E106" s="15">
        <f t="array" ref="E106">INDEX('Задание 1'!J36:J69,MATCH('Задание 2'!A106:A139&amp;'Задание 2'!C106:C139,'Задание 1'!B36:B69&amp;'Задание 1'!C36:C69,0))</f>
        <v>4641</v>
      </c>
      <c r="F106" s="15">
        <f t="array" ref="F106">INDEX('Задание 1'!K36:K69,MATCH(Продажи[[#This Row],[Клиент]]&amp;Продажи[[#This Row],[Столбец1]],'Задание 1'!B36:B69&amp;'Задание 1'!C36:C69,0))</f>
        <v>4084080</v>
      </c>
      <c r="G106" s="15">
        <f>Продажи[[#This Row],[выручка с НДС]]/(1+0.1)</f>
        <v>3712799.9999999995</v>
      </c>
      <c r="H106" s="15">
        <f t="array" ref="H106">INDEX('Задание 1'!L36:L69,MATCH(Продажи[[#This Row],[Клиент]]&amp;Продажи[[#This Row],[Столбец1]],'Задание 1'!B36:B69&amp;'Задание 1'!C36:C69,0))</f>
        <v>1717170</v>
      </c>
      <c r="I106" s="48">
        <f>Продажи[[#This Row],[выручка с НДС]]-Продажи[[#This Row],[Себестоимость]]</f>
        <v>2366910</v>
      </c>
    </row>
    <row r="107" spans="1:9" x14ac:dyDescent="0.2">
      <c r="A107" s="47" t="s">
        <v>39</v>
      </c>
      <c r="B107" s="40" t="str">
        <f>VLOOKUP(A107,'Задание 1'!$B$53:$C$59,2,FALSE)</f>
        <v>Самарская</v>
      </c>
      <c r="C107" s="38" t="s">
        <v>42</v>
      </c>
      <c r="D107" s="3">
        <v>3</v>
      </c>
      <c r="E107" s="15">
        <f t="array" ref="E107">INDEX('Задание 1'!J37:J70,MATCH('Задание 2'!A107:A140&amp;'Задание 2'!C107:C140,'Задание 1'!B37:B70&amp;'Задание 1'!C37:C70,0))</f>
        <v>663</v>
      </c>
      <c r="F107" s="15">
        <f t="array" ref="F107">INDEX('Задание 1'!K37:K70,MATCH(Продажи[[#This Row],[Клиент]]&amp;Продажи[[#This Row],[Столбец1]],'Задание 1'!B37:B70&amp;'Задание 1'!C37:C70,0))</f>
        <v>232050</v>
      </c>
      <c r="G107" s="15">
        <f>Продажи[[#This Row],[выручка с НДС]]/(1+0.1)</f>
        <v>210954.54545454544</v>
      </c>
      <c r="H107" s="15">
        <f t="array" ref="H107">INDEX('Задание 1'!L37:L70,MATCH(Продажи[[#This Row],[Клиент]]&amp;Продажи[[#This Row],[Столбец1]],'Задание 1'!B37:B70&amp;'Задание 1'!C37:C70,0))</f>
        <v>159120</v>
      </c>
      <c r="I107" s="48">
        <f>Продажи[[#This Row],[выручка с НДС]]-Продажи[[#This Row],[Себестоимость]]</f>
        <v>72930</v>
      </c>
    </row>
    <row r="108" spans="1:9" x14ac:dyDescent="0.2">
      <c r="A108" s="47" t="s">
        <v>39</v>
      </c>
      <c r="B108" s="40" t="str">
        <f>VLOOKUP(A108,'Задание 1'!$B$53:$C$59,2,FALSE)</f>
        <v>Самарская</v>
      </c>
      <c r="C108" s="38" t="s">
        <v>43</v>
      </c>
      <c r="D108" s="3">
        <v>3</v>
      </c>
      <c r="E108" s="15">
        <f t="array" ref="E108">INDEX('Задание 1'!J38:J71,MATCH('Задание 2'!A108:A141&amp;'Задание 2'!C108:C141,'Задание 1'!B38:B71&amp;'Задание 1'!C38:C71,0))</f>
        <v>2091</v>
      </c>
      <c r="F108" s="15">
        <f t="array" ref="F108">INDEX('Задание 1'!K38:K71,MATCH(Продажи[[#This Row],[Клиент]]&amp;Продажи[[#This Row],[Столбец1]],'Задание 1'!B38:B71&amp;'Задание 1'!C38:C71,0))</f>
        <v>940950</v>
      </c>
      <c r="G108" s="15">
        <f>Продажи[[#This Row],[выручка с НДС]]/(1+0.1)</f>
        <v>855409.09090909082</v>
      </c>
      <c r="H108" s="15">
        <f t="array" ref="H108">INDEX('Задание 1'!L38:L71,MATCH(Продажи[[#This Row],[Клиент]]&amp;Продажи[[#This Row],[Столбец1]],'Задание 1'!B38:B71&amp;'Задание 1'!C38:C71,0))</f>
        <v>710940</v>
      </c>
      <c r="I108" s="48">
        <f>Продажи[[#This Row],[выручка с НДС]]-Продажи[[#This Row],[Себестоимость]]</f>
        <v>230010</v>
      </c>
    </row>
    <row r="109" spans="1:9" x14ac:dyDescent="0.2">
      <c r="A109" s="47" t="s">
        <v>33</v>
      </c>
      <c r="B109" s="40" t="str">
        <f>VLOOKUP(A109,'Задание 1'!$B$53:$C$59,2,FALSE)</f>
        <v>Московская</v>
      </c>
      <c r="C109" s="38" t="s">
        <v>40</v>
      </c>
      <c r="D109" s="3">
        <v>4</v>
      </c>
      <c r="E109" s="15">
        <f t="array" ref="E109">INDEX('Задание 1'!M5:M38,MATCH(Продажи[[#This Row],[Клиент]]&amp;Продажи[[#This Row],[Столбец1]],'Задание 1'!B5:B38&amp;'Задание 1'!C5:C38,0))</f>
        <v>2907</v>
      </c>
      <c r="F109" s="15">
        <f t="array" ref="F109">INDEX('Задание 1'!N5:N38,MATCH(Продажи[[#This Row],[Клиент]]&amp;Продажи[[#This Row],[Столбец1]],'Задание 1'!B5:B38&amp;'Задание 1'!C5:C38,0))</f>
        <v>813960</v>
      </c>
      <c r="G109" s="15">
        <f>Продажи[[#This Row],[выручка с НДС]]/(1+0.1)</f>
        <v>739963.63636363635</v>
      </c>
      <c r="H109" s="15">
        <f t="array" ref="H109">INDEX('Задание 1'!O5:O38,MATCH(Продажи[[#This Row],[Клиент]]&amp;Продажи[[#This Row],[Столбец1]],'Задание 1'!B5:B38&amp;'Задание 1'!C5:C38,0))</f>
        <v>581400</v>
      </c>
      <c r="I109" s="48">
        <f>Продажи[[#This Row],[выручка с НДС]]-Продажи[[#This Row],[Себестоимость]]</f>
        <v>232560</v>
      </c>
    </row>
    <row r="110" spans="1:9" x14ac:dyDescent="0.2">
      <c r="A110" s="47" t="s">
        <v>33</v>
      </c>
      <c r="B110" s="40" t="str">
        <f>VLOOKUP(A110,'Задание 1'!$B$53:$C$59,2,FALSE)</f>
        <v>Московская</v>
      </c>
      <c r="C110" s="38" t="s">
        <v>41</v>
      </c>
      <c r="D110" s="3">
        <v>4</v>
      </c>
      <c r="E110" s="15">
        <f t="array" ref="E110">INDEX('Задание 1'!M6:M39,MATCH(Продажи[[#This Row],[Клиент]]&amp;Продажи[[#This Row],[Столбец1]],'Задание 1'!B6:B39&amp;'Задание 1'!C6:C39,0))</f>
        <v>4692</v>
      </c>
      <c r="F110" s="15">
        <f t="array" ref="F110">INDEX('Задание 1'!N6:N39,MATCH(Продажи[[#This Row],[Клиент]]&amp;Продажи[[#This Row],[Столбец1]],'Задание 1'!B6:B39&amp;'Задание 1'!C6:C39,0))</f>
        <v>4128960</v>
      </c>
      <c r="G110" s="15">
        <f>Продажи[[#This Row],[выручка с НДС]]/(1+0.1)</f>
        <v>3753599.9999999995</v>
      </c>
      <c r="H110" s="15">
        <f t="array" ref="H110">INDEX('Задание 1'!O6:O39,MATCH(Продажи[[#This Row],[Клиент]]&amp;Продажи[[#This Row],[Столбец1]],'Задание 1'!B6:B39&amp;'Задание 1'!C6:C39,0))</f>
        <v>1736040</v>
      </c>
      <c r="I110" s="48">
        <f>Продажи[[#This Row],[выручка с НДС]]-Продажи[[#This Row],[Себестоимость]]</f>
        <v>2392920</v>
      </c>
    </row>
    <row r="111" spans="1:9" x14ac:dyDescent="0.2">
      <c r="A111" s="47" t="s">
        <v>33</v>
      </c>
      <c r="B111" s="40" t="str">
        <f>VLOOKUP(A111,'Задание 1'!$B$53:$C$59,2,FALSE)</f>
        <v>Московская</v>
      </c>
      <c r="C111" s="38" t="s">
        <v>42</v>
      </c>
      <c r="D111" s="3">
        <v>4</v>
      </c>
      <c r="E111" s="15">
        <f t="array" ref="E111">INDEX('Задание 1'!M7:M40,MATCH(Продажи[[#This Row],[Клиент]]&amp;Продажи[[#This Row],[Столбец1]],'Задание 1'!B7:B40&amp;'Задание 1'!C7:C40,0))</f>
        <v>2040</v>
      </c>
      <c r="F111" s="15">
        <f t="array" ref="F111">INDEX('Задание 1'!N7:N40,MATCH(Продажи[[#This Row],[Клиент]]&amp;Продажи[[#This Row],[Столбец1]],'Задание 1'!B7:B40&amp;'Задание 1'!C7:C40,0))</f>
        <v>714000</v>
      </c>
      <c r="G111" s="15">
        <f>Продажи[[#This Row],[выручка с НДС]]/(1+0.1)</f>
        <v>649090.90909090906</v>
      </c>
      <c r="H111" s="15">
        <f t="array" ref="H111">INDEX('Задание 1'!O7:O40,MATCH(Продажи[[#This Row],[Клиент]]&amp;Продажи[[#This Row],[Столбец1]],'Задание 1'!B7:B40&amp;'Задание 1'!C7:C40,0))</f>
        <v>489600</v>
      </c>
      <c r="I111" s="48">
        <f>Продажи[[#This Row],[выручка с НДС]]-Продажи[[#This Row],[Себестоимость]]</f>
        <v>224400</v>
      </c>
    </row>
    <row r="112" spans="1:9" x14ac:dyDescent="0.2">
      <c r="A112" s="47" t="s">
        <v>33</v>
      </c>
      <c r="B112" s="40" t="str">
        <f>VLOOKUP(A112,'Задание 1'!$B$53:$C$59,2,FALSE)</f>
        <v>Московская</v>
      </c>
      <c r="C112" s="38" t="s">
        <v>43</v>
      </c>
      <c r="D112" s="3">
        <v>4</v>
      </c>
      <c r="E112" s="15">
        <f t="array" ref="E112">INDEX('Задание 1'!M8:M41,MATCH(Продажи[[#This Row],[Клиент]]&amp;Продажи[[#This Row],[Столбец1]],'Задание 1'!B8:B41&amp;'Задание 1'!C8:C41,0))</f>
        <v>3774</v>
      </c>
      <c r="F112" s="15">
        <f t="array" ref="F112">INDEX('Задание 1'!N8:N41,MATCH(Продажи[[#This Row],[Клиент]]&amp;Продажи[[#This Row],[Столбец1]],'Задание 1'!B8:B41&amp;'Задание 1'!C8:C41,0))</f>
        <v>1698300</v>
      </c>
      <c r="G112" s="15">
        <f>Продажи[[#This Row],[выручка с НДС]]/(1+0.1)</f>
        <v>1543909.0909090908</v>
      </c>
      <c r="H112" s="15">
        <f t="array" ref="H112">INDEX('Задание 1'!O8:O41,MATCH(Продажи[[#This Row],[Клиент]]&amp;Продажи[[#This Row],[Столбец1]],'Задание 1'!B8:B41&amp;'Задание 1'!C8:C41,0))</f>
        <v>1283160</v>
      </c>
      <c r="I112" s="48">
        <f>Продажи[[#This Row],[выручка с НДС]]-Продажи[[#This Row],[Себестоимость]]</f>
        <v>415140</v>
      </c>
    </row>
    <row r="113" spans="1:9" x14ac:dyDescent="0.2">
      <c r="A113" s="47" t="s">
        <v>33</v>
      </c>
      <c r="B113" s="40" t="str">
        <f>VLOOKUP(A113,'Задание 1'!$B$53:$C$59,2,FALSE)</f>
        <v>Московская</v>
      </c>
      <c r="C113" s="38" t="s">
        <v>44</v>
      </c>
      <c r="D113" s="3">
        <v>4</v>
      </c>
      <c r="E113" s="15">
        <f t="array" ref="E113">INDEX('Задание 1'!M9:M42,MATCH(Продажи[[#This Row],[Клиент]]&amp;Продажи[[#This Row],[Столбец1]],'Задание 1'!B9:B42&amp;'Задание 1'!C9:C42,0))</f>
        <v>918</v>
      </c>
      <c r="F113" s="15">
        <f t="array" ref="F113">INDEX('Задание 1'!N9:N42,MATCH(Продажи[[#This Row],[Клиент]]&amp;Продажи[[#This Row],[Столбец1]],'Задание 1'!B9:B42&amp;'Задание 1'!C9:C42,0))</f>
        <v>156060</v>
      </c>
      <c r="G113" s="15">
        <f>Продажи[[#This Row],[выручка с НДС]]/(1+0.1)</f>
        <v>141872.72727272726</v>
      </c>
      <c r="H113" s="15">
        <f t="array" ref="H113">INDEX('Задание 1'!O9:O42,MATCH(Продажи[[#This Row],[Клиент]]&amp;Продажи[[#This Row],[Столбец1]],'Задание 1'!B9:B42&amp;'Задание 1'!C9:C42,0))</f>
        <v>110160</v>
      </c>
      <c r="I113" s="48">
        <f>Продажи[[#This Row],[выручка с НДС]]-Продажи[[#This Row],[Себестоимость]]</f>
        <v>45900</v>
      </c>
    </row>
    <row r="114" spans="1:9" x14ac:dyDescent="0.2">
      <c r="A114" s="47" t="s">
        <v>34</v>
      </c>
      <c r="B114" s="40" t="str">
        <f>VLOOKUP(A114,'Задание 1'!$B$53:$C$59,2,FALSE)</f>
        <v>Московская</v>
      </c>
      <c r="C114" s="38" t="s">
        <v>40</v>
      </c>
      <c r="D114" s="3">
        <v>4</v>
      </c>
      <c r="E114" s="15">
        <f t="array" ref="E114">INDEX('Задание 1'!M10:M43,MATCH(Продажи[[#This Row],[Клиент]]&amp;Продажи[[#This Row],[Столбец1]],'Задание 1'!B10:B43&amp;'Задание 1'!C10:C43,0))</f>
        <v>1428</v>
      </c>
      <c r="F114" s="15">
        <f t="array" ref="F114">INDEX('Задание 1'!N10:N43,MATCH(Продажи[[#This Row],[Клиент]]&amp;Продажи[[#This Row],[Столбец1]],'Задание 1'!B10:B43&amp;'Задание 1'!C10:C43,0))</f>
        <v>399840</v>
      </c>
      <c r="G114" s="15">
        <f>Продажи[[#This Row],[выручка с НДС]]/(1+0.1)</f>
        <v>363490.90909090906</v>
      </c>
      <c r="H114" s="15">
        <f t="array" ref="H114">INDEX('Задание 1'!O10:O43,MATCH(Продажи[[#This Row],[Клиент]]&amp;Продажи[[#This Row],[Столбец1]],'Задание 1'!B10:B43&amp;'Задание 1'!C10:C43,0))</f>
        <v>285600</v>
      </c>
      <c r="I114" s="48">
        <f>Продажи[[#This Row],[выручка с НДС]]-Продажи[[#This Row],[Себестоимость]]</f>
        <v>114240</v>
      </c>
    </row>
    <row r="115" spans="1:9" x14ac:dyDescent="0.2">
      <c r="A115" s="47" t="s">
        <v>34</v>
      </c>
      <c r="B115" s="40" t="str">
        <f>VLOOKUP(A115,'Задание 1'!$B$53:$C$59,2,FALSE)</f>
        <v>Московская</v>
      </c>
      <c r="C115" s="38" t="s">
        <v>41</v>
      </c>
      <c r="D115" s="3">
        <v>4</v>
      </c>
      <c r="E115" s="15">
        <f t="array" ref="E115">INDEX('Задание 1'!M11:M44,MATCH(Продажи[[#This Row],[Клиент]]&amp;Продажи[[#This Row],[Столбец1]],'Задание 1'!B11:B44&amp;'Задание 1'!C11:C44,0))</f>
        <v>3366</v>
      </c>
      <c r="F115" s="15">
        <f t="array" ref="F115">INDEX('Задание 1'!N11:N44,MATCH(Продажи[[#This Row],[Клиент]]&amp;Продажи[[#This Row],[Столбец1]],'Задание 1'!B11:B44&amp;'Задание 1'!C11:C44,0))</f>
        <v>2962080</v>
      </c>
      <c r="G115" s="15">
        <f>Продажи[[#This Row],[выручка с НДС]]/(1+0.1)</f>
        <v>2692800</v>
      </c>
      <c r="H115" s="15">
        <f t="array" ref="H115">INDEX('Задание 1'!O11:O44,MATCH(Продажи[[#This Row],[Клиент]]&amp;Продажи[[#This Row],[Столбец1]],'Задание 1'!B11:B44&amp;'Задание 1'!C11:C44,0))</f>
        <v>1245420</v>
      </c>
      <c r="I115" s="48">
        <f>Продажи[[#This Row],[выручка с НДС]]-Продажи[[#This Row],[Себестоимость]]</f>
        <v>1716660</v>
      </c>
    </row>
    <row r="116" spans="1:9" x14ac:dyDescent="0.2">
      <c r="A116" s="47" t="s">
        <v>34</v>
      </c>
      <c r="B116" s="40" t="str">
        <f>VLOOKUP(A116,'Задание 1'!$B$53:$C$59,2,FALSE)</f>
        <v>Московская</v>
      </c>
      <c r="C116" s="38" t="s">
        <v>42</v>
      </c>
      <c r="D116" s="3">
        <v>4</v>
      </c>
      <c r="E116" s="15">
        <f t="array" ref="E116">INDEX('Задание 1'!M12:M45,MATCH(Продажи[[#This Row],[Клиент]]&amp;Продажи[[#This Row],[Столбец1]],'Задание 1'!B12:B45&amp;'Задание 1'!C12:C45,0))</f>
        <v>1734</v>
      </c>
      <c r="F116" s="15">
        <f t="array" ref="F116">INDEX('Задание 1'!N12:N45,MATCH(Продажи[[#This Row],[Клиент]]&amp;Продажи[[#This Row],[Столбец1]],'Задание 1'!B12:B45&amp;'Задание 1'!C12:C45,0))</f>
        <v>606900</v>
      </c>
      <c r="G116" s="15">
        <f>Продажи[[#This Row],[выручка с НДС]]/(1+0.1)</f>
        <v>551727.27272727271</v>
      </c>
      <c r="H116" s="15">
        <f t="array" ref="H116">INDEX('Задание 1'!O12:O45,MATCH(Продажи[[#This Row],[Клиент]]&amp;Продажи[[#This Row],[Столбец1]],'Задание 1'!B12:B45&amp;'Задание 1'!C12:C45,0))</f>
        <v>416160</v>
      </c>
      <c r="I116" s="48">
        <f>Продажи[[#This Row],[выручка с НДС]]-Продажи[[#This Row],[Себестоимость]]</f>
        <v>190740</v>
      </c>
    </row>
    <row r="117" spans="1:9" x14ac:dyDescent="0.2">
      <c r="A117" s="47" t="s">
        <v>34</v>
      </c>
      <c r="B117" s="40" t="str">
        <f>VLOOKUP(A117,'Задание 1'!$B$53:$C$59,2,FALSE)</f>
        <v>Московская</v>
      </c>
      <c r="C117" s="38" t="s">
        <v>43</v>
      </c>
      <c r="D117" s="3">
        <v>4</v>
      </c>
      <c r="E117" s="15">
        <f t="array" ref="E117">INDEX('Задание 1'!M13:M46,MATCH(Продажи[[#This Row],[Клиент]]&amp;Продажи[[#This Row],[Столбец1]],'Задание 1'!B13:B46&amp;'Задание 1'!C13:C46,0))</f>
        <v>3519</v>
      </c>
      <c r="F117" s="15">
        <f t="array" ref="F117">INDEX('Задание 1'!N13:N46,MATCH(Продажи[[#This Row],[Клиент]]&amp;Продажи[[#This Row],[Столбец1]],'Задание 1'!B13:B46&amp;'Задание 1'!C13:C46,0))</f>
        <v>1583550</v>
      </c>
      <c r="G117" s="15">
        <f>Продажи[[#This Row],[выручка с НДС]]/(1+0.1)</f>
        <v>1439590.9090909089</v>
      </c>
      <c r="H117" s="15">
        <f t="array" ref="H117">INDEX('Задание 1'!O13:O46,MATCH(Продажи[[#This Row],[Клиент]]&amp;Продажи[[#This Row],[Столбец1]],'Задание 1'!B13:B46&amp;'Задание 1'!C13:C46,0))</f>
        <v>1196460</v>
      </c>
      <c r="I117" s="48">
        <f>Продажи[[#This Row],[выручка с НДС]]-Продажи[[#This Row],[Себестоимость]]</f>
        <v>387090</v>
      </c>
    </row>
    <row r="118" spans="1:9" x14ac:dyDescent="0.2">
      <c r="A118" s="47" t="s">
        <v>34</v>
      </c>
      <c r="B118" s="40" t="str">
        <f>VLOOKUP(A118,'Задание 1'!$B$53:$C$59,2,FALSE)</f>
        <v>Московская</v>
      </c>
      <c r="C118" s="38" t="s">
        <v>44</v>
      </c>
      <c r="D118" s="3">
        <v>4</v>
      </c>
      <c r="E118" s="15">
        <f t="array" ref="E118">INDEX('Задание 1'!M14:M47,MATCH(Продажи[[#This Row],[Клиент]]&amp;Продажи[[#This Row],[Столбец1]],'Задание 1'!B14:B47&amp;'Задание 1'!C14:C47,0))</f>
        <v>1530</v>
      </c>
      <c r="F118" s="15">
        <f t="array" ref="F118">INDEX('Задание 1'!N14:N47,MATCH(Продажи[[#This Row],[Клиент]]&amp;Продажи[[#This Row],[Столбец1]],'Задание 1'!B14:B47&amp;'Задание 1'!C14:C47,0))</f>
        <v>260100</v>
      </c>
      <c r="G118" s="15">
        <f>Продажи[[#This Row],[выручка с НДС]]/(1+0.1)</f>
        <v>236454.54545454544</v>
      </c>
      <c r="H118" s="15">
        <f t="array" ref="H118">INDEX('Задание 1'!O14:O47,MATCH(Продажи[[#This Row],[Клиент]]&amp;Продажи[[#This Row],[Столбец1]],'Задание 1'!B14:B47&amp;'Задание 1'!C14:C47,0))</f>
        <v>183600</v>
      </c>
      <c r="I118" s="48">
        <f>Продажи[[#This Row],[выручка с НДС]]-Продажи[[#This Row],[Себестоимость]]</f>
        <v>76500</v>
      </c>
    </row>
    <row r="119" spans="1:9" x14ac:dyDescent="0.2">
      <c r="A119" s="47" t="s">
        <v>35</v>
      </c>
      <c r="B119" s="40" t="str">
        <f>VLOOKUP(A119,'Задание 1'!$B$53:$C$59,2,FALSE)</f>
        <v>Тульская</v>
      </c>
      <c r="C119" s="38" t="s">
        <v>40</v>
      </c>
      <c r="D119" s="3">
        <v>4</v>
      </c>
      <c r="E119" s="15">
        <f t="array" ref="E119">INDEX('Задание 1'!M15:M48,MATCH(Продажи[[#This Row],[Клиент]]&amp;Продажи[[#This Row],[Столбец1]],'Задание 1'!B15:B48&amp;'Задание 1'!C15:C48,0))</f>
        <v>2295</v>
      </c>
      <c r="F119" s="15">
        <f t="array" ref="F119">INDEX('Задание 1'!N15:N48,MATCH(Продажи[[#This Row],[Клиент]]&amp;Продажи[[#This Row],[Столбец1]],'Задание 1'!B15:B48&amp;'Задание 1'!C15:C48,0))</f>
        <v>642600</v>
      </c>
      <c r="G119" s="15">
        <f>Продажи[[#This Row],[выручка с НДС]]/(1+0.1)</f>
        <v>584181.81818181812</v>
      </c>
      <c r="H119" s="15">
        <f t="array" ref="H119">INDEX('Задание 1'!O15:O48,MATCH(Продажи[[#This Row],[Клиент]]&amp;Продажи[[#This Row],[Столбец1]],'Задание 1'!B15:B48&amp;'Задание 1'!C15:C48,0))</f>
        <v>459000</v>
      </c>
      <c r="I119" s="48">
        <f>Продажи[[#This Row],[выручка с НДС]]-Продажи[[#This Row],[Себестоимость]]</f>
        <v>183600</v>
      </c>
    </row>
    <row r="120" spans="1:9" x14ac:dyDescent="0.2">
      <c r="A120" s="47" t="s">
        <v>35</v>
      </c>
      <c r="B120" s="40" t="str">
        <f>VLOOKUP(A120,'Задание 1'!$B$53:$C$59,2,FALSE)</f>
        <v>Тульская</v>
      </c>
      <c r="C120" s="38" t="s">
        <v>41</v>
      </c>
      <c r="D120" s="3">
        <v>4</v>
      </c>
      <c r="E120" s="15">
        <f t="array" ref="E120">INDEX('Задание 1'!M16:M49,MATCH(Продажи[[#This Row],[Клиент]]&amp;Продажи[[#This Row],[Столбец1]],'Задание 1'!B16:B49&amp;'Задание 1'!C16:C49,0))</f>
        <v>2958</v>
      </c>
      <c r="F120" s="15">
        <f t="array" ref="F120">INDEX('Задание 1'!N16:N49,MATCH(Продажи[[#This Row],[Клиент]]&amp;Продажи[[#This Row],[Столбец1]],'Задание 1'!B16:B49&amp;'Задание 1'!C16:C49,0))</f>
        <v>2603040</v>
      </c>
      <c r="G120" s="15">
        <f>Продажи[[#This Row],[выручка с НДС]]/(1+0.1)</f>
        <v>2366400</v>
      </c>
      <c r="H120" s="15">
        <f t="array" ref="H120">INDEX('Задание 1'!O16:O49,MATCH(Продажи[[#This Row],[Клиент]]&amp;Продажи[[#This Row],[Столбец1]],'Задание 1'!B16:B49&amp;'Задание 1'!C16:C49,0))</f>
        <v>1094460</v>
      </c>
      <c r="I120" s="48">
        <f>Продажи[[#This Row],[выручка с НДС]]-Продажи[[#This Row],[Себестоимость]]</f>
        <v>1508580</v>
      </c>
    </row>
    <row r="121" spans="1:9" x14ac:dyDescent="0.2">
      <c r="A121" s="47" t="s">
        <v>35</v>
      </c>
      <c r="B121" s="40" t="str">
        <f>VLOOKUP(A121,'Задание 1'!$B$53:$C$59,2,FALSE)</f>
        <v>Тульская</v>
      </c>
      <c r="C121" s="38" t="s">
        <v>42</v>
      </c>
      <c r="D121" s="3">
        <v>4</v>
      </c>
      <c r="E121" s="15">
        <f t="array" ref="E121">INDEX('Задание 1'!M17:M50,MATCH(Продажи[[#This Row],[Клиент]]&amp;Продажи[[#This Row],[Столбец1]],'Задание 1'!B17:B50&amp;'Задание 1'!C17:C50,0))</f>
        <v>3366</v>
      </c>
      <c r="F121" s="15">
        <f t="array" ref="F121">INDEX('Задание 1'!N17:N50,MATCH(Продажи[[#This Row],[Клиент]]&amp;Продажи[[#This Row],[Столбец1]],'Задание 1'!B17:B50&amp;'Задание 1'!C17:C50,0))</f>
        <v>1178100</v>
      </c>
      <c r="G121" s="15">
        <f>Продажи[[#This Row],[выручка с НДС]]/(1+0.1)</f>
        <v>1071000</v>
      </c>
      <c r="H121" s="15">
        <f t="array" ref="H121">INDEX('Задание 1'!O17:O50,MATCH(Продажи[[#This Row],[Клиент]]&amp;Продажи[[#This Row],[Столбец1]],'Задание 1'!B17:B50&amp;'Задание 1'!C17:C50,0))</f>
        <v>807840</v>
      </c>
      <c r="I121" s="48">
        <f>Продажи[[#This Row],[выручка с НДС]]-Продажи[[#This Row],[Себестоимость]]</f>
        <v>370260</v>
      </c>
    </row>
    <row r="122" spans="1:9" x14ac:dyDescent="0.2">
      <c r="A122" s="47" t="s">
        <v>35</v>
      </c>
      <c r="B122" s="40" t="str">
        <f>VLOOKUP(A122,'Задание 1'!$B$53:$C$59,2,FALSE)</f>
        <v>Тульская</v>
      </c>
      <c r="C122" s="38" t="s">
        <v>43</v>
      </c>
      <c r="D122" s="3">
        <v>4</v>
      </c>
      <c r="E122" s="15">
        <f t="array" ref="E122">INDEX('Задание 1'!M18:M51,MATCH(Продажи[[#This Row],[Клиент]]&amp;Продажи[[#This Row],[Столбец1]],'Задание 1'!B18:B51&amp;'Задание 1'!C18:C51,0))</f>
        <v>1020</v>
      </c>
      <c r="F122" s="15">
        <f t="array" ref="F122">INDEX('Задание 1'!N18:N51,MATCH(Продажи[[#This Row],[Клиент]]&amp;Продажи[[#This Row],[Столбец1]],'Задание 1'!B18:B51&amp;'Задание 1'!C18:C51,0))</f>
        <v>459000</v>
      </c>
      <c r="G122" s="15">
        <f>Продажи[[#This Row],[выручка с НДС]]/(1+0.1)</f>
        <v>417272.72727272724</v>
      </c>
      <c r="H122" s="15">
        <f t="array" ref="H122">INDEX('Задание 1'!O18:O51,MATCH(Продажи[[#This Row],[Клиент]]&amp;Продажи[[#This Row],[Столбец1]],'Задание 1'!B18:B51&amp;'Задание 1'!C18:C51,0))</f>
        <v>346800</v>
      </c>
      <c r="I122" s="48">
        <f>Продажи[[#This Row],[выручка с НДС]]-Продажи[[#This Row],[Себестоимость]]</f>
        <v>112200</v>
      </c>
    </row>
    <row r="123" spans="1:9" x14ac:dyDescent="0.2">
      <c r="A123" s="47" t="s">
        <v>35</v>
      </c>
      <c r="B123" s="40" t="str">
        <f>VLOOKUP(A123,'Задание 1'!$B$53:$C$59,2,FALSE)</f>
        <v>Тульская</v>
      </c>
      <c r="C123" s="38" t="s">
        <v>44</v>
      </c>
      <c r="D123" s="3">
        <v>4</v>
      </c>
      <c r="E123" s="15">
        <f t="array" ref="E123">INDEX('Задание 1'!M19:M52,MATCH(Продажи[[#This Row],[Клиент]]&amp;Продажи[[#This Row],[Столбец1]],'Задание 1'!B19:B52&amp;'Задание 1'!C19:C52,0))</f>
        <v>4947</v>
      </c>
      <c r="F123" s="15">
        <f t="array" ref="F123">INDEX('Задание 1'!N19:N52,MATCH(Продажи[[#This Row],[Клиент]]&amp;Продажи[[#This Row],[Столбец1]],'Задание 1'!B19:B52&amp;'Задание 1'!C19:C52,0))</f>
        <v>840990</v>
      </c>
      <c r="G123" s="15">
        <f>Продажи[[#This Row],[выручка с НДС]]/(1+0.1)</f>
        <v>764536.36363636353</v>
      </c>
      <c r="H123" s="15">
        <f t="array" ref="H123">INDEX('Задание 1'!O19:O52,MATCH(Продажи[[#This Row],[Клиент]]&amp;Продажи[[#This Row],[Столбец1]],'Задание 1'!B19:B52&amp;'Задание 1'!C19:C52,0))</f>
        <v>593640</v>
      </c>
      <c r="I123" s="48">
        <f>Продажи[[#This Row],[выручка с НДС]]-Продажи[[#This Row],[Себестоимость]]</f>
        <v>247350</v>
      </c>
    </row>
    <row r="124" spans="1:9" x14ac:dyDescent="0.2">
      <c r="A124" s="47" t="s">
        <v>36</v>
      </c>
      <c r="B124" s="40" t="str">
        <f>VLOOKUP(A124,'Задание 1'!$B$53:$C$59,2,FALSE)</f>
        <v>Рязанская</v>
      </c>
      <c r="C124" s="38" t="s">
        <v>40</v>
      </c>
      <c r="D124" s="3">
        <v>4</v>
      </c>
      <c r="E124" s="15">
        <f t="array" ref="E124">INDEX('Задание 1'!M20:M53,MATCH(Продажи[[#This Row],[Клиент]]&amp;Продажи[[#This Row],[Столбец1]],'Задание 1'!B20:B53&amp;'Задание 1'!C20:C53,0))</f>
        <v>1836</v>
      </c>
      <c r="F124" s="15">
        <f t="array" ref="F124">INDEX('Задание 1'!N20:N53,MATCH(Продажи[[#This Row],[Клиент]]&amp;Продажи[[#This Row],[Столбец1]],'Задание 1'!B20:B53&amp;'Задание 1'!C20:C53,0))</f>
        <v>514080</v>
      </c>
      <c r="G124" s="15">
        <f>Продажи[[#This Row],[выручка с НДС]]/(1+0.1)</f>
        <v>467345.45454545453</v>
      </c>
      <c r="H124" s="15">
        <f t="array" ref="H124">INDEX('Задание 1'!O20:O53,MATCH(Продажи[[#This Row],[Клиент]]&amp;Продажи[[#This Row],[Столбец1]],'Задание 1'!B20:B53&amp;'Задание 1'!C20:C53,0))</f>
        <v>367200</v>
      </c>
      <c r="I124" s="48">
        <f>Продажи[[#This Row],[выручка с НДС]]-Продажи[[#This Row],[Себестоимость]]</f>
        <v>146880</v>
      </c>
    </row>
    <row r="125" spans="1:9" x14ac:dyDescent="0.2">
      <c r="A125" s="47" t="s">
        <v>36</v>
      </c>
      <c r="B125" s="40" t="str">
        <f>VLOOKUP(A125,'Задание 1'!$B$53:$C$59,2,FALSE)</f>
        <v>Рязанская</v>
      </c>
      <c r="C125" s="38" t="s">
        <v>41</v>
      </c>
      <c r="D125" s="3">
        <v>4</v>
      </c>
      <c r="E125" s="15">
        <f t="array" ref="E125">INDEX('Задание 1'!M21:M54,MATCH(Продажи[[#This Row],[Клиент]]&amp;Продажи[[#This Row],[Столбец1]],'Задание 1'!B21:B54&amp;'Задание 1'!C21:C54,0))</f>
        <v>4029</v>
      </c>
      <c r="F125" s="15">
        <f t="array" ref="F125">INDEX('Задание 1'!N21:N54,MATCH(Продажи[[#This Row],[Клиент]]&amp;Продажи[[#This Row],[Столбец1]],'Задание 1'!B21:B54&amp;'Задание 1'!C21:C54,0))</f>
        <v>3545520</v>
      </c>
      <c r="G125" s="15">
        <f>Продажи[[#This Row],[выручка с НДС]]/(1+0.1)</f>
        <v>3223199.9999999995</v>
      </c>
      <c r="H125" s="15">
        <f t="array" ref="H125">INDEX('Задание 1'!O21:O54,MATCH(Продажи[[#This Row],[Клиент]]&amp;Продажи[[#This Row],[Столбец1]],'Задание 1'!B21:B54&amp;'Задание 1'!C21:C54,0))</f>
        <v>1490730</v>
      </c>
      <c r="I125" s="48">
        <f>Продажи[[#This Row],[выручка с НДС]]-Продажи[[#This Row],[Себестоимость]]</f>
        <v>2054790</v>
      </c>
    </row>
    <row r="126" spans="1:9" x14ac:dyDescent="0.2">
      <c r="A126" s="47" t="s">
        <v>36</v>
      </c>
      <c r="B126" s="40" t="str">
        <f>VLOOKUP(A126,'Задание 1'!$B$53:$C$59,2,FALSE)</f>
        <v>Рязанская</v>
      </c>
      <c r="C126" s="38" t="s">
        <v>42</v>
      </c>
      <c r="D126" s="3">
        <v>4</v>
      </c>
      <c r="E126" s="15">
        <f t="array" ref="E126">INDEX('Задание 1'!M22:M55,MATCH(Продажи[[#This Row],[Клиент]]&amp;Продажи[[#This Row],[Столбец1]],'Задание 1'!B22:B55&amp;'Задание 1'!C22:C55,0))</f>
        <v>3519</v>
      </c>
      <c r="F126" s="15">
        <f t="array" ref="F126">INDEX('Задание 1'!N22:N55,MATCH(Продажи[[#This Row],[Клиент]]&amp;Продажи[[#This Row],[Столбец1]],'Задание 1'!B22:B55&amp;'Задание 1'!C22:C55,0))</f>
        <v>1231650</v>
      </c>
      <c r="G126" s="15">
        <f>Продажи[[#This Row],[выручка с НДС]]/(1+0.1)</f>
        <v>1119681.8181818181</v>
      </c>
      <c r="H126" s="15">
        <f t="array" ref="H126">INDEX('Задание 1'!O22:O55,MATCH(Продажи[[#This Row],[Клиент]]&amp;Продажи[[#This Row],[Столбец1]],'Задание 1'!B22:B55&amp;'Задание 1'!C22:C55,0))</f>
        <v>844560</v>
      </c>
      <c r="I126" s="48">
        <f>Продажи[[#This Row],[выручка с НДС]]-Продажи[[#This Row],[Себестоимость]]</f>
        <v>387090</v>
      </c>
    </row>
    <row r="127" spans="1:9" x14ac:dyDescent="0.2">
      <c r="A127" s="47" t="s">
        <v>36</v>
      </c>
      <c r="B127" s="40" t="str">
        <f>VLOOKUP(A127,'Задание 1'!$B$53:$C$59,2,FALSE)</f>
        <v>Рязанская</v>
      </c>
      <c r="C127" s="38" t="s">
        <v>43</v>
      </c>
      <c r="D127" s="3">
        <v>4</v>
      </c>
      <c r="E127" s="15">
        <f t="array" ref="E127">INDEX('Задание 1'!M23:M56,MATCH(Продажи[[#This Row],[Клиент]]&amp;Продажи[[#This Row],[Столбец1]],'Задание 1'!B23:B56&amp;'Задание 1'!C23:C56,0))</f>
        <v>5049</v>
      </c>
      <c r="F127" s="15">
        <f t="array" ref="F127">INDEX('Задание 1'!N23:N56,MATCH(Продажи[[#This Row],[Клиент]]&amp;Продажи[[#This Row],[Столбец1]],'Задание 1'!B23:B56&amp;'Задание 1'!C23:C56,0))</f>
        <v>2272050</v>
      </c>
      <c r="G127" s="15">
        <f>Продажи[[#This Row],[выручка с НДС]]/(1+0.1)</f>
        <v>2065499.9999999998</v>
      </c>
      <c r="H127" s="15">
        <f t="array" ref="H127">INDEX('Задание 1'!O23:O56,MATCH(Продажи[[#This Row],[Клиент]]&amp;Продажи[[#This Row],[Столбец1]],'Задание 1'!B23:B56&amp;'Задание 1'!C23:C56,0))</f>
        <v>1716660</v>
      </c>
      <c r="I127" s="48">
        <f>Продажи[[#This Row],[выручка с НДС]]-Продажи[[#This Row],[Себестоимость]]</f>
        <v>555390</v>
      </c>
    </row>
    <row r="128" spans="1:9" x14ac:dyDescent="0.2">
      <c r="A128" s="47" t="s">
        <v>37</v>
      </c>
      <c r="B128" s="40" t="str">
        <f>VLOOKUP(A128,'Задание 1'!$B$53:$C$59,2,FALSE)</f>
        <v>Московская</v>
      </c>
      <c r="C128" s="38" t="s">
        <v>44</v>
      </c>
      <c r="D128" s="3">
        <v>4</v>
      </c>
      <c r="E128" s="15">
        <f t="array" ref="E128">INDEX('Задание 1'!M24:M57,MATCH(Продажи[[#This Row],[Клиент]]&amp;Продажи[[#This Row],[Столбец1]],'Задание 1'!B24:B57&amp;'Задание 1'!C24:C57,0))</f>
        <v>510</v>
      </c>
      <c r="F128" s="15">
        <f t="array" ref="F128">INDEX('Задание 1'!N24:N57,MATCH(Продажи[[#This Row],[Клиент]]&amp;Продажи[[#This Row],[Столбец1]],'Задание 1'!B24:B57&amp;'Задание 1'!C24:C57,0))</f>
        <v>86700</v>
      </c>
      <c r="G128" s="15">
        <f>Продажи[[#This Row],[выручка с НДС]]/(1+0.1)</f>
        <v>78818.181818181809</v>
      </c>
      <c r="H128" s="15">
        <f t="array" ref="H128">INDEX('Задание 1'!O24:O57,MATCH(Продажи[[#This Row],[Клиент]]&amp;Продажи[[#This Row],[Столбец1]],'Задание 1'!B24:B57&amp;'Задание 1'!C24:C57,0))</f>
        <v>61200</v>
      </c>
      <c r="I128" s="48">
        <f>Продажи[[#This Row],[выручка с НДС]]-Продажи[[#This Row],[Себестоимость]]</f>
        <v>25500</v>
      </c>
    </row>
    <row r="129" spans="1:9" x14ac:dyDescent="0.2">
      <c r="A129" s="47" t="s">
        <v>37</v>
      </c>
      <c r="B129" s="40" t="str">
        <f>VLOOKUP(A129,'Задание 1'!$B$53:$C$59,2,FALSE)</f>
        <v>Московская</v>
      </c>
      <c r="C129" s="38" t="s">
        <v>40</v>
      </c>
      <c r="D129" s="3">
        <v>4</v>
      </c>
      <c r="E129" s="15">
        <f t="array" ref="E129">INDEX('Задание 1'!M25:M58,MATCH(Продажи[[#This Row],[Клиент]]&amp;Продажи[[#This Row],[Столбец1]],'Задание 1'!B25:B58&amp;'Задание 1'!C25:C58,0))</f>
        <v>969</v>
      </c>
      <c r="F129" s="15">
        <f t="array" ref="F129">INDEX('Задание 1'!N25:N58,MATCH(Продажи[[#This Row],[Клиент]]&amp;Продажи[[#This Row],[Столбец1]],'Задание 1'!B25:B58&amp;'Задание 1'!C25:C58,0))</f>
        <v>271320</v>
      </c>
      <c r="G129" s="15">
        <f>Продажи[[#This Row],[выручка с НДС]]/(1+0.1)</f>
        <v>246654.54545454544</v>
      </c>
      <c r="H129" s="15">
        <f t="array" ref="H129">INDEX('Задание 1'!O25:O58,MATCH(Продажи[[#This Row],[Клиент]]&amp;Продажи[[#This Row],[Столбец1]],'Задание 1'!B25:B58&amp;'Задание 1'!C25:C58,0))</f>
        <v>193800</v>
      </c>
      <c r="I129" s="48">
        <f>Продажи[[#This Row],[выручка с НДС]]-Продажи[[#This Row],[Себестоимость]]</f>
        <v>77520</v>
      </c>
    </row>
    <row r="130" spans="1:9" x14ac:dyDescent="0.2">
      <c r="A130" s="47" t="s">
        <v>37</v>
      </c>
      <c r="B130" s="40" t="str">
        <f>VLOOKUP(A130,'Задание 1'!$B$53:$C$59,2,FALSE)</f>
        <v>Московская</v>
      </c>
      <c r="C130" s="38" t="s">
        <v>41</v>
      </c>
      <c r="D130" s="3">
        <v>4</v>
      </c>
      <c r="E130" s="15">
        <f t="array" ref="E130">INDEX('Задание 1'!M26:M59,MATCH(Продажи[[#This Row],[Клиент]]&amp;Продажи[[#This Row],[Столбец1]],'Задание 1'!B26:B59&amp;'Задание 1'!C26:C59,0))</f>
        <v>4692</v>
      </c>
      <c r="F130" s="15">
        <f t="array" ref="F130">INDEX('Задание 1'!N26:N59,MATCH(Продажи[[#This Row],[Клиент]]&amp;Продажи[[#This Row],[Столбец1]],'Задание 1'!B26:B59&amp;'Задание 1'!C26:C59,0))</f>
        <v>4128960</v>
      </c>
      <c r="G130" s="15">
        <f>Продажи[[#This Row],[выручка с НДС]]/(1+0.1)</f>
        <v>3753599.9999999995</v>
      </c>
      <c r="H130" s="15">
        <f t="array" ref="H130">INDEX('Задание 1'!O26:O59,MATCH(Продажи[[#This Row],[Клиент]]&amp;Продажи[[#This Row],[Столбец1]],'Задание 1'!B26:B59&amp;'Задание 1'!C26:C59,0))</f>
        <v>1736040</v>
      </c>
      <c r="I130" s="48">
        <f>Продажи[[#This Row],[выручка с НДС]]-Продажи[[#This Row],[Себестоимость]]</f>
        <v>2392920</v>
      </c>
    </row>
    <row r="131" spans="1:9" x14ac:dyDescent="0.2">
      <c r="A131" s="47" t="s">
        <v>37</v>
      </c>
      <c r="B131" s="40" t="str">
        <f>VLOOKUP(A131,'Задание 1'!$B$53:$C$59,2,FALSE)</f>
        <v>Московская</v>
      </c>
      <c r="C131" s="38" t="s">
        <v>42</v>
      </c>
      <c r="D131" s="3">
        <v>4</v>
      </c>
      <c r="E131" s="15">
        <f t="array" ref="E131">INDEX('Задание 1'!M27:M60,MATCH(Продажи[[#This Row],[Клиент]]&amp;Продажи[[#This Row],[Столбец1]],'Задание 1'!B27:B60&amp;'Задание 1'!C27:C60,0))</f>
        <v>1020</v>
      </c>
      <c r="F131" s="15">
        <f t="array" ref="F131">INDEX('Задание 1'!N27:N60,MATCH(Продажи[[#This Row],[Клиент]]&amp;Продажи[[#This Row],[Столбец1]],'Задание 1'!B27:B60&amp;'Задание 1'!C27:C60,0))</f>
        <v>357000</v>
      </c>
      <c r="G131" s="15">
        <f>Продажи[[#This Row],[выручка с НДС]]/(1+0.1)</f>
        <v>324545.45454545453</v>
      </c>
      <c r="H131" s="15">
        <f t="array" ref="H131">INDEX('Задание 1'!O27:O60,MATCH(Продажи[[#This Row],[Клиент]]&amp;Продажи[[#This Row],[Столбец1]],'Задание 1'!B27:B60&amp;'Задание 1'!C27:C60,0))</f>
        <v>244800</v>
      </c>
      <c r="I131" s="48">
        <f>Продажи[[#This Row],[выручка с НДС]]-Продажи[[#This Row],[Себестоимость]]</f>
        <v>112200</v>
      </c>
    </row>
    <row r="132" spans="1:9" x14ac:dyDescent="0.2">
      <c r="A132" s="47" t="s">
        <v>37</v>
      </c>
      <c r="B132" s="40" t="str">
        <f>VLOOKUP(A132,'Задание 1'!$B$53:$C$59,2,FALSE)</f>
        <v>Московская</v>
      </c>
      <c r="C132" s="38" t="s">
        <v>43</v>
      </c>
      <c r="D132" s="3">
        <v>4</v>
      </c>
      <c r="E132" s="15">
        <f t="array" ref="E132">INDEX('Задание 1'!M28:M61,MATCH(Продажи[[#This Row],[Клиент]]&amp;Продажи[[#This Row],[Столбец1]],'Задание 1'!B28:B61&amp;'Задание 1'!C28:C61,0))</f>
        <v>3876</v>
      </c>
      <c r="F132" s="15">
        <f t="array" ref="F132">INDEX('Задание 1'!N28:N61,MATCH(Продажи[[#This Row],[Клиент]]&amp;Продажи[[#This Row],[Столбец1]],'Задание 1'!B28:B61&amp;'Задание 1'!C28:C61,0))</f>
        <v>1744200</v>
      </c>
      <c r="G132" s="15">
        <f>Продажи[[#This Row],[выручка с НДС]]/(1+0.1)</f>
        <v>1585636.3636363635</v>
      </c>
      <c r="H132" s="15">
        <f t="array" ref="H132">INDEX('Задание 1'!O28:O61,MATCH(Продажи[[#This Row],[Клиент]]&amp;Продажи[[#This Row],[Столбец1]],'Задание 1'!B28:B61&amp;'Задание 1'!C28:C61,0))</f>
        <v>1317840</v>
      </c>
      <c r="I132" s="48">
        <f>Продажи[[#This Row],[выручка с НДС]]-Продажи[[#This Row],[Себестоимость]]</f>
        <v>426360</v>
      </c>
    </row>
    <row r="133" spans="1:9" x14ac:dyDescent="0.2">
      <c r="A133" s="47" t="s">
        <v>38</v>
      </c>
      <c r="B133" s="40" t="str">
        <f>VLOOKUP(A133,'Задание 1'!$B$53:$C$59,2,FALSE)</f>
        <v>Курская</v>
      </c>
      <c r="C133" s="38" t="s">
        <v>44</v>
      </c>
      <c r="D133" s="3">
        <v>4</v>
      </c>
      <c r="E133" s="15">
        <f t="array" ref="E133">INDEX('Задание 1'!M29:M62,MATCH(Продажи[[#This Row],[Клиент]]&amp;Продажи[[#This Row],[Столбец1]],'Задание 1'!B29:B62&amp;'Задание 1'!C29:C62,0))</f>
        <v>1377</v>
      </c>
      <c r="F133" s="15">
        <f t="array" ref="F133">INDEX('Задание 1'!N29:N62,MATCH(Продажи[[#This Row],[Клиент]]&amp;Продажи[[#This Row],[Столбец1]],'Задание 1'!B29:B62&amp;'Задание 1'!C29:C62,0))</f>
        <v>234090</v>
      </c>
      <c r="G133" s="15">
        <f>Продажи[[#This Row],[выручка с НДС]]/(1+0.1)</f>
        <v>212809.09090909088</v>
      </c>
      <c r="H133" s="15">
        <f t="array" ref="H133">INDEX('Задание 1'!O29:O62,MATCH(Продажи[[#This Row],[Клиент]]&amp;Продажи[[#This Row],[Столбец1]],'Задание 1'!B29:B62&amp;'Задание 1'!C29:C62,0))</f>
        <v>165240</v>
      </c>
      <c r="I133" s="48">
        <f>Продажи[[#This Row],[выручка с НДС]]-Продажи[[#This Row],[Себестоимость]]</f>
        <v>68850</v>
      </c>
    </row>
    <row r="134" spans="1:9" x14ac:dyDescent="0.2">
      <c r="A134" s="47" t="s">
        <v>38</v>
      </c>
      <c r="B134" s="40" t="str">
        <f>VLOOKUP(A134,'Задание 1'!$B$53:$C$59,2,FALSE)</f>
        <v>Курская</v>
      </c>
      <c r="C134" s="38" t="s">
        <v>40</v>
      </c>
      <c r="D134" s="3">
        <v>4</v>
      </c>
      <c r="E134" s="15">
        <f t="array" ref="E134">INDEX('Задание 1'!M30:M63,MATCH(Продажи[[#This Row],[Клиент]]&amp;Продажи[[#This Row],[Столбец1]],'Задание 1'!B30:B63&amp;'Задание 1'!C30:C63,0))</f>
        <v>2499</v>
      </c>
      <c r="F134" s="15">
        <f t="array" ref="F134">INDEX('Задание 1'!N30:N63,MATCH(Продажи[[#This Row],[Клиент]]&amp;Продажи[[#This Row],[Столбец1]],'Задание 1'!B30:B63&amp;'Задание 1'!C30:C63,0))</f>
        <v>699720</v>
      </c>
      <c r="G134" s="15">
        <f>Продажи[[#This Row],[выручка с НДС]]/(1+0.1)</f>
        <v>636109.09090909082</v>
      </c>
      <c r="H134" s="15">
        <f t="array" ref="H134">INDEX('Задание 1'!O30:O63,MATCH(Продажи[[#This Row],[Клиент]]&amp;Продажи[[#This Row],[Столбец1]],'Задание 1'!B30:B63&amp;'Задание 1'!C30:C63,0))</f>
        <v>499800</v>
      </c>
      <c r="I134" s="48">
        <f>Продажи[[#This Row],[выручка с НДС]]-Продажи[[#This Row],[Себестоимость]]</f>
        <v>199920</v>
      </c>
    </row>
    <row r="135" spans="1:9" x14ac:dyDescent="0.2">
      <c r="A135" s="47" t="s">
        <v>38</v>
      </c>
      <c r="B135" s="40" t="str">
        <f>VLOOKUP(A135,'Задание 1'!$B$53:$C$59,2,FALSE)</f>
        <v>Курская</v>
      </c>
      <c r="C135" s="38" t="s">
        <v>41</v>
      </c>
      <c r="D135" s="3">
        <v>4</v>
      </c>
      <c r="E135" s="15">
        <f t="array" ref="E135">INDEX('Задание 1'!M31:M64,MATCH(Продажи[[#This Row],[Клиент]]&amp;Продажи[[#This Row],[Столбец1]],'Задание 1'!B31:B64&amp;'Задание 1'!C31:C64,0))</f>
        <v>4590</v>
      </c>
      <c r="F135" s="15">
        <f t="array" ref="F135">INDEX('Задание 1'!N31:N64,MATCH(Продажи[[#This Row],[Клиент]]&amp;Продажи[[#This Row],[Столбец1]],'Задание 1'!B31:B64&amp;'Задание 1'!C31:C64,0))</f>
        <v>4039200</v>
      </c>
      <c r="G135" s="15">
        <f>Продажи[[#This Row],[выручка с НДС]]/(1+0.1)</f>
        <v>3671999.9999999995</v>
      </c>
      <c r="H135" s="15">
        <f t="array" ref="H135">INDEX('Задание 1'!O31:O64,MATCH(Продажи[[#This Row],[Клиент]]&amp;Продажи[[#This Row],[Столбец1]],'Задание 1'!B31:B64&amp;'Задание 1'!C31:C64,0))</f>
        <v>1698300</v>
      </c>
      <c r="I135" s="48">
        <f>Продажи[[#This Row],[выручка с НДС]]-Продажи[[#This Row],[Себестоимость]]</f>
        <v>2340900</v>
      </c>
    </row>
    <row r="136" spans="1:9" x14ac:dyDescent="0.2">
      <c r="A136" s="47" t="s">
        <v>38</v>
      </c>
      <c r="B136" s="40" t="str">
        <f>VLOOKUP(A136,'Задание 1'!$B$53:$C$59,2,FALSE)</f>
        <v>Курская</v>
      </c>
      <c r="C136" s="38" t="s">
        <v>42</v>
      </c>
      <c r="D136" s="3">
        <v>4</v>
      </c>
      <c r="E136" s="15">
        <f t="array" ref="E136">INDEX('Задание 1'!M32:M65,MATCH(Продажи[[#This Row],[Клиент]]&amp;Продажи[[#This Row],[Столбец1]],'Задание 1'!B32:B65&amp;'Задание 1'!C32:C65,0))</f>
        <v>4182</v>
      </c>
      <c r="F136" s="15">
        <f t="array" ref="F136">INDEX('Задание 1'!N32:N65,MATCH(Продажи[[#This Row],[Клиент]]&amp;Продажи[[#This Row],[Столбец1]],'Задание 1'!B32:B65&amp;'Задание 1'!C32:C65,0))</f>
        <v>1463700</v>
      </c>
      <c r="G136" s="15">
        <f>Продажи[[#This Row],[выручка с НДС]]/(1+0.1)</f>
        <v>1330636.3636363635</v>
      </c>
      <c r="H136" s="15">
        <f t="array" ref="H136">INDEX('Задание 1'!O32:O65,MATCH(Продажи[[#This Row],[Клиент]]&amp;Продажи[[#This Row],[Столбец1]],'Задание 1'!B32:B65&amp;'Задание 1'!C32:C65,0))</f>
        <v>1003680</v>
      </c>
      <c r="I136" s="48">
        <f>Продажи[[#This Row],[выручка с НДС]]-Продажи[[#This Row],[Себестоимость]]</f>
        <v>460020</v>
      </c>
    </row>
    <row r="137" spans="1:9" x14ac:dyDescent="0.2">
      <c r="A137" s="47" t="s">
        <v>38</v>
      </c>
      <c r="B137" s="40" t="str">
        <f>VLOOKUP(A137,'Задание 1'!$B$53:$C$59,2,FALSE)</f>
        <v>Курская</v>
      </c>
      <c r="C137" s="38" t="s">
        <v>43</v>
      </c>
      <c r="D137" s="3">
        <v>4</v>
      </c>
      <c r="E137" s="15">
        <f t="array" ref="E137">INDEX('Задание 1'!M33:M66,MATCH(Продажи[[#This Row],[Клиент]]&amp;Продажи[[#This Row],[Столбец1]],'Задание 1'!B33:B66&amp;'Задание 1'!C33:C66,0))</f>
        <v>2754</v>
      </c>
      <c r="F137" s="15">
        <f t="array" ref="F137">INDEX('Задание 1'!N33:N66,MATCH(Продажи[[#This Row],[Клиент]]&amp;Продажи[[#This Row],[Столбец1]],'Задание 1'!B33:B66&amp;'Задание 1'!C33:C66,0))</f>
        <v>1239300</v>
      </c>
      <c r="G137" s="15">
        <f>Продажи[[#This Row],[выручка с НДС]]/(1+0.1)</f>
        <v>1126636.3636363635</v>
      </c>
      <c r="H137" s="15">
        <f t="array" ref="H137">INDEX('Задание 1'!O33:O66,MATCH(Продажи[[#This Row],[Клиент]]&amp;Продажи[[#This Row],[Столбец1]],'Задание 1'!B33:B66&amp;'Задание 1'!C33:C66,0))</f>
        <v>936360</v>
      </c>
      <c r="I137" s="48">
        <f>Продажи[[#This Row],[выручка с НДС]]-Продажи[[#This Row],[Себестоимость]]</f>
        <v>302940</v>
      </c>
    </row>
    <row r="138" spans="1:9" x14ac:dyDescent="0.2">
      <c r="A138" s="47" t="s">
        <v>39</v>
      </c>
      <c r="B138" s="40" t="str">
        <f>VLOOKUP(A138,'Задание 1'!$B$53:$C$59,2,FALSE)</f>
        <v>Самарская</v>
      </c>
      <c r="C138" s="38" t="s">
        <v>44</v>
      </c>
      <c r="D138" s="3">
        <v>4</v>
      </c>
      <c r="E138" s="15">
        <f t="array" ref="E138">INDEX('Задание 1'!M34:M67,MATCH(Продажи[[#This Row],[Клиент]]&amp;Продажи[[#This Row],[Столбец1]],'Задание 1'!B34:B67&amp;'Задание 1'!C34:C67,0))</f>
        <v>2193</v>
      </c>
      <c r="F138" s="15">
        <f t="array" ref="F138">INDEX('Задание 1'!N34:N67,MATCH(Продажи[[#This Row],[Клиент]]&amp;Продажи[[#This Row],[Столбец1]],'Задание 1'!B34:B67&amp;'Задание 1'!C34:C67,0))</f>
        <v>372810</v>
      </c>
      <c r="G138" s="15">
        <f>Продажи[[#This Row],[выручка с НДС]]/(1+0.1)</f>
        <v>338918.18181818177</v>
      </c>
      <c r="H138" s="15">
        <f t="array" ref="H138">INDEX('Задание 1'!O34:O67,MATCH(Продажи[[#This Row],[Клиент]]&amp;Продажи[[#This Row],[Столбец1]],'Задание 1'!B34:B67&amp;'Задание 1'!C34:C67,0))</f>
        <v>263160</v>
      </c>
      <c r="I138" s="48">
        <f>Продажи[[#This Row],[выручка с НДС]]-Продажи[[#This Row],[Себестоимость]]</f>
        <v>109650</v>
      </c>
    </row>
    <row r="139" spans="1:9" x14ac:dyDescent="0.2">
      <c r="A139" s="47" t="s">
        <v>39</v>
      </c>
      <c r="B139" s="40" t="str">
        <f>VLOOKUP(A139,'Задание 1'!$B$53:$C$59,2,FALSE)</f>
        <v>Самарская</v>
      </c>
      <c r="C139" s="38" t="s">
        <v>40</v>
      </c>
      <c r="D139" s="3">
        <v>4</v>
      </c>
      <c r="E139" s="15">
        <f t="array" ref="E139">INDEX('Задание 1'!M35:M68,MATCH(Продажи[[#This Row],[Клиент]]&amp;Продажи[[#This Row],[Столбец1]],'Задание 1'!B35:B68&amp;'Задание 1'!C35:C68,0))</f>
        <v>561</v>
      </c>
      <c r="F139" s="15">
        <f t="array" ref="F139">INDEX('Задание 1'!N35:N68,MATCH(Продажи[[#This Row],[Клиент]]&amp;Продажи[[#This Row],[Столбец1]],'Задание 1'!B35:B68&amp;'Задание 1'!C35:C68,0))</f>
        <v>157080</v>
      </c>
      <c r="G139" s="15">
        <f>Продажи[[#This Row],[выручка с НДС]]/(1+0.1)</f>
        <v>142800</v>
      </c>
      <c r="H139" s="15">
        <f t="array" ref="H139">INDEX('Задание 1'!O35:O68,MATCH(Продажи[[#This Row],[Клиент]]&amp;Продажи[[#This Row],[Столбец1]],'Задание 1'!B35:B68&amp;'Задание 1'!C35:C68,0))</f>
        <v>112200</v>
      </c>
      <c r="I139" s="48">
        <f>Продажи[[#This Row],[выручка с НДС]]-Продажи[[#This Row],[Себестоимость]]</f>
        <v>44880</v>
      </c>
    </row>
    <row r="140" spans="1:9" x14ac:dyDescent="0.2">
      <c r="A140" s="47" t="s">
        <v>39</v>
      </c>
      <c r="B140" s="40" t="str">
        <f>VLOOKUP(A140,'Задание 1'!$B$53:$C$59,2,FALSE)</f>
        <v>Самарская</v>
      </c>
      <c r="C140" s="38" t="s">
        <v>41</v>
      </c>
      <c r="D140" s="3">
        <v>4</v>
      </c>
      <c r="E140" s="15">
        <f t="array" ref="E140">INDEX('Задание 1'!M36:M69,MATCH(Продажи[[#This Row],[Клиент]]&amp;Продажи[[#This Row],[Столбец1]],'Задание 1'!B36:B69&amp;'Задание 1'!C36:C69,0))</f>
        <v>3672</v>
      </c>
      <c r="F140" s="15">
        <f t="array" ref="F140">INDEX('Задание 1'!N36:N69,MATCH(Продажи[[#This Row],[Клиент]]&amp;Продажи[[#This Row],[Столбец1]],'Задание 1'!B36:B69&amp;'Задание 1'!C36:C69,0))</f>
        <v>3231360</v>
      </c>
      <c r="G140" s="15">
        <f>Продажи[[#This Row],[выручка с НДС]]/(1+0.1)</f>
        <v>2937599.9999999995</v>
      </c>
      <c r="H140" s="15">
        <f t="array" ref="H140">INDEX('Задание 1'!O36:O69,MATCH(Продажи[[#This Row],[Клиент]]&amp;Продажи[[#This Row],[Столбец1]],'Задание 1'!B36:B69&amp;'Задание 1'!C36:C69,0))</f>
        <v>1358640</v>
      </c>
      <c r="I140" s="48">
        <f>Продажи[[#This Row],[выручка с НДС]]-Продажи[[#This Row],[Себестоимость]]</f>
        <v>1872720</v>
      </c>
    </row>
    <row r="141" spans="1:9" x14ac:dyDescent="0.2">
      <c r="A141" s="47" t="s">
        <v>39</v>
      </c>
      <c r="B141" s="40" t="str">
        <f>VLOOKUP(A141,'Задание 1'!$B$53:$C$59,2,FALSE)</f>
        <v>Самарская</v>
      </c>
      <c r="C141" s="38" t="s">
        <v>42</v>
      </c>
      <c r="D141" s="3">
        <v>4</v>
      </c>
      <c r="E141" s="15">
        <f t="array" ref="E141">INDEX('Задание 1'!M37:M70,MATCH(Продажи[[#This Row],[Клиент]]&amp;Продажи[[#This Row],[Столбец1]],'Задание 1'!B37:B70&amp;'Задание 1'!C37:C70,0))</f>
        <v>2601</v>
      </c>
      <c r="F141" s="15">
        <f t="array" ref="F141">INDEX('Задание 1'!N37:N70,MATCH(Продажи[[#This Row],[Клиент]]&amp;Продажи[[#This Row],[Столбец1]],'Задание 1'!B37:B70&amp;'Задание 1'!C37:C70,0))</f>
        <v>910350</v>
      </c>
      <c r="G141" s="15">
        <f>Продажи[[#This Row],[выручка с НДС]]/(1+0.1)</f>
        <v>827590.90909090906</v>
      </c>
      <c r="H141" s="15">
        <f t="array" ref="H141">INDEX('Задание 1'!O37:O70,MATCH(Продажи[[#This Row],[Клиент]]&amp;Продажи[[#This Row],[Столбец1]],'Задание 1'!B37:B70&amp;'Задание 1'!C37:C70,0))</f>
        <v>624240</v>
      </c>
      <c r="I141" s="48">
        <f>Продажи[[#This Row],[выручка с НДС]]-Продажи[[#This Row],[Себестоимость]]</f>
        <v>286110</v>
      </c>
    </row>
    <row r="142" spans="1:9" x14ac:dyDescent="0.2">
      <c r="A142" s="47" t="s">
        <v>39</v>
      </c>
      <c r="B142" s="40" t="str">
        <f>VLOOKUP(A142,'Задание 1'!$B$53:$C$59,2,FALSE)</f>
        <v>Самарская</v>
      </c>
      <c r="C142" s="38" t="s">
        <v>43</v>
      </c>
      <c r="D142" s="3">
        <v>4</v>
      </c>
      <c r="E142" s="15">
        <f t="array" ref="E142">INDEX('Задание 1'!M38:M71,MATCH(Продажи[[#This Row],[Клиент]]&amp;Продажи[[#This Row],[Столбец1]],'Задание 1'!B38:B71&amp;'Задание 1'!C38:C71,0))</f>
        <v>3111</v>
      </c>
      <c r="F142" s="15">
        <f t="array" ref="F142">INDEX('Задание 1'!N38:N71,MATCH(Продажи[[#This Row],[Клиент]]&amp;Продажи[[#This Row],[Столбец1]],'Задание 1'!B38:B71&amp;'Задание 1'!C38:C71,0))</f>
        <v>1399950</v>
      </c>
      <c r="G142" s="15">
        <f>Продажи[[#This Row],[выручка с НДС]]/(1+0.1)</f>
        <v>1272681.8181818181</v>
      </c>
      <c r="H142" s="15">
        <f t="array" ref="H142">INDEX('Задание 1'!O38:O71,MATCH(Продажи[[#This Row],[Клиент]]&amp;Продажи[[#This Row],[Столбец1]],'Задание 1'!B38:B71&amp;'Задание 1'!C38:C71,0))</f>
        <v>1057740</v>
      </c>
      <c r="I142" s="48">
        <f>Продажи[[#This Row],[выручка с НДС]]-Продажи[[#This Row],[Себестоимость]]</f>
        <v>342210</v>
      </c>
    </row>
    <row r="143" spans="1:9" x14ac:dyDescent="0.2">
      <c r="A143" s="47" t="s">
        <v>33</v>
      </c>
      <c r="B143" s="40" t="str">
        <f>VLOOKUP(A143,'Задание 1'!$B$53:$C$59,2,FALSE)</f>
        <v>Московская</v>
      </c>
      <c r="C143" s="38" t="s">
        <v>40</v>
      </c>
      <c r="D143" s="3">
        <v>5</v>
      </c>
      <c r="E143" s="15">
        <f t="array" ref="E143">INDEX('Задание 1'!P5:P38,MATCH(Продажи[[#This Row],[Клиент]]&amp;Продажи[[#This Row],[Столбец1]],'Задание 1'!B5:B38&amp;'Задание 1'!C5:C38,0))</f>
        <v>3599</v>
      </c>
      <c r="F143" s="15">
        <f t="array" ref="F143">INDEX('Задание 1'!Q5:Q38,MATCH(Продажи[[#This Row],[Клиент]]&amp;Продажи[[#This Row],[Столбец1]],'Задание 1'!B5:B38&amp;'Задание 1'!C5:C38,0))</f>
        <v>1007720</v>
      </c>
      <c r="G143" s="15">
        <f>Продажи[[#This Row],[выручка с НДС]]/(1+0.1)</f>
        <v>916109.09090909082</v>
      </c>
      <c r="H143" s="15">
        <f t="array" ref="H143">INDEX('Задание 1'!R5:R38,MATCH(Продажи[[#This Row],[Клиент]]&amp;Продажи[[#This Row],[Столбец1]],'Задание 1'!B5:B38&amp;'Задание 1'!C5:C38,0))</f>
        <v>719800</v>
      </c>
      <c r="I143" s="48">
        <f>Продажи[[#This Row],[выручка с НДС]]-Продажи[[#This Row],[Себестоимость]]</f>
        <v>287920</v>
      </c>
    </row>
    <row r="144" spans="1:9" x14ac:dyDescent="0.2">
      <c r="A144" s="47" t="s">
        <v>33</v>
      </c>
      <c r="B144" s="40" t="str">
        <f>VLOOKUP(A144,'Задание 1'!$B$53:$C$59,2,FALSE)</f>
        <v>Московская</v>
      </c>
      <c r="C144" s="38" t="s">
        <v>41</v>
      </c>
      <c r="D144" s="3">
        <v>5</v>
      </c>
      <c r="E144" s="15">
        <f t="array" ref="E144">INDEX('Задание 1'!P6:P39,MATCH(Продажи[[#This Row],[Клиент]]&amp;Продажи[[#This Row],[Столбец1]],'Задание 1'!B6:B39&amp;'Задание 1'!C6:C39,0))</f>
        <v>5605</v>
      </c>
      <c r="F144" s="15">
        <f t="array" ref="F144">INDEX('Задание 1'!Q6:Q39,MATCH(Продажи[[#This Row],[Клиент]]&amp;Продажи[[#This Row],[Столбец1]],'Задание 1'!B6:B39&amp;'Задание 1'!C6:C39,0))</f>
        <v>4932400</v>
      </c>
      <c r="G144" s="15">
        <f>Продажи[[#This Row],[выручка с НДС]]/(1+0.1)</f>
        <v>4484000</v>
      </c>
      <c r="H144" s="15">
        <f t="array" ref="H144">INDEX('Задание 1'!R6:R39,MATCH(Продажи[[#This Row],[Клиент]]&amp;Продажи[[#This Row],[Столбец1]],'Задание 1'!B6:B39&amp;'Задание 1'!C6:C39,0))</f>
        <v>2073850</v>
      </c>
      <c r="I144" s="48">
        <f>Продажи[[#This Row],[выручка с НДС]]-Продажи[[#This Row],[Себестоимость]]</f>
        <v>2858550</v>
      </c>
    </row>
    <row r="145" spans="1:9" x14ac:dyDescent="0.2">
      <c r="A145" s="47" t="s">
        <v>33</v>
      </c>
      <c r="B145" s="40" t="str">
        <f>VLOOKUP(A145,'Задание 1'!$B$53:$C$59,2,FALSE)</f>
        <v>Московская</v>
      </c>
      <c r="C145" s="38" t="s">
        <v>42</v>
      </c>
      <c r="D145" s="3">
        <v>5</v>
      </c>
      <c r="E145" s="15">
        <f t="array" ref="E145">INDEX('Задание 1'!P7:P40,MATCH(Продажи[[#This Row],[Клиент]]&amp;Продажи[[#This Row],[Столбец1]],'Задание 1'!B7:B40&amp;'Задание 1'!C7:C40,0))</f>
        <v>767</v>
      </c>
      <c r="F145" s="15">
        <f t="array" ref="F145">INDEX('Задание 1'!Q7:Q40,MATCH(Продажи[[#This Row],[Клиент]]&amp;Продажи[[#This Row],[Столбец1]],'Задание 1'!B7:B40&amp;'Задание 1'!C7:C40,0))</f>
        <v>268450</v>
      </c>
      <c r="G145" s="15">
        <f>Продажи[[#This Row],[выручка с НДС]]/(1+0.1)</f>
        <v>244045.45454545453</v>
      </c>
      <c r="H145" s="15">
        <f t="array" ref="H145">INDEX('Задание 1'!R7:R40,MATCH(Продажи[[#This Row],[Клиент]]&amp;Продажи[[#This Row],[Столбец1]],'Задание 1'!B7:B40&amp;'Задание 1'!C7:C40,0))</f>
        <v>184080</v>
      </c>
      <c r="I145" s="48">
        <f>Продажи[[#This Row],[выручка с НДС]]-Продажи[[#This Row],[Себестоимость]]</f>
        <v>84370</v>
      </c>
    </row>
    <row r="146" spans="1:9" x14ac:dyDescent="0.2">
      <c r="A146" s="47" t="s">
        <v>33</v>
      </c>
      <c r="B146" s="40" t="str">
        <f>VLOOKUP(A146,'Задание 1'!$B$53:$C$59,2,FALSE)</f>
        <v>Московская</v>
      </c>
      <c r="C146" s="38" t="s">
        <v>43</v>
      </c>
      <c r="D146" s="3">
        <v>5</v>
      </c>
      <c r="E146" s="15">
        <f t="array" ref="E146">INDEX('Задание 1'!P8:P41,MATCH(Продажи[[#This Row],[Клиент]]&amp;Продажи[[#This Row],[Столбец1]],'Задание 1'!B8:B41&amp;'Задание 1'!C8:C41,0))</f>
        <v>4602</v>
      </c>
      <c r="F146" s="15">
        <f t="array" ref="F146">INDEX('Задание 1'!Q8:Q41,MATCH(Продажи[[#This Row],[Клиент]]&amp;Продажи[[#This Row],[Столбец1]],'Задание 1'!B8:B41&amp;'Задание 1'!C8:C41,0))</f>
        <v>2070900</v>
      </c>
      <c r="G146" s="15">
        <f>Продажи[[#This Row],[выручка с НДС]]/(1+0.1)</f>
        <v>1882636.3636363635</v>
      </c>
      <c r="H146" s="15">
        <f t="array" ref="H146">INDEX('Задание 1'!R8:R41,MATCH(Продажи[[#This Row],[Клиент]]&amp;Продажи[[#This Row],[Столбец1]],'Задание 1'!B8:B41&amp;'Задание 1'!C8:C41,0))</f>
        <v>1564680</v>
      </c>
      <c r="I146" s="48">
        <f>Продажи[[#This Row],[выручка с НДС]]-Продажи[[#This Row],[Себестоимость]]</f>
        <v>506220</v>
      </c>
    </row>
    <row r="147" spans="1:9" x14ac:dyDescent="0.2">
      <c r="A147" s="47" t="s">
        <v>33</v>
      </c>
      <c r="B147" s="40" t="str">
        <f>VLOOKUP(A147,'Задание 1'!$B$53:$C$59,2,FALSE)</f>
        <v>Московская</v>
      </c>
      <c r="C147" s="38" t="s">
        <v>44</v>
      </c>
      <c r="D147" s="3">
        <v>5</v>
      </c>
      <c r="E147" s="15">
        <f t="array" ref="E147">INDEX('Задание 1'!P9:P42,MATCH(Продажи[[#This Row],[Клиент]]&amp;Продажи[[#This Row],[Столбец1]],'Задание 1'!B9:B42&amp;'Задание 1'!C9:C42,0))</f>
        <v>3186</v>
      </c>
      <c r="F147" s="15">
        <f t="array" ref="F147">INDEX('Задание 1'!Q9:Q42,MATCH(Продажи[[#This Row],[Клиент]]&amp;Продажи[[#This Row],[Столбец1]],'Задание 1'!B9:B42&amp;'Задание 1'!C9:C42,0))</f>
        <v>541620</v>
      </c>
      <c r="G147" s="15">
        <f>Продажи[[#This Row],[выручка с НДС]]/(1+0.1)</f>
        <v>492381.81818181812</v>
      </c>
      <c r="H147" s="15">
        <f t="array" ref="H147">INDEX('Задание 1'!R9:R42,MATCH(Продажи[[#This Row],[Клиент]]&amp;Продажи[[#This Row],[Столбец1]],'Задание 1'!B9:B42&amp;'Задание 1'!C9:C42,0))</f>
        <v>382320</v>
      </c>
      <c r="I147" s="48">
        <f>Продажи[[#This Row],[выручка с НДС]]-Продажи[[#This Row],[Себестоимость]]</f>
        <v>159300</v>
      </c>
    </row>
    <row r="148" spans="1:9" x14ac:dyDescent="0.2">
      <c r="A148" s="47" t="s">
        <v>34</v>
      </c>
      <c r="B148" s="40" t="str">
        <f>VLOOKUP(A148,'Задание 1'!$B$53:$C$59,2,FALSE)</f>
        <v>Московская</v>
      </c>
      <c r="C148" s="38" t="s">
        <v>40</v>
      </c>
      <c r="D148" s="3">
        <v>5</v>
      </c>
      <c r="E148" s="15">
        <f t="array" ref="E148">INDEX('Задание 1'!P10:P43,MATCH(Продажи[[#This Row],[Клиент]]&amp;Продажи[[#This Row],[Столбец1]],'Задание 1'!B10:B43&amp;'Задание 1'!C10:C43,0))</f>
        <v>1888</v>
      </c>
      <c r="F148" s="15">
        <f t="array" ref="F148">INDEX('Задание 1'!Q10:Q43,MATCH(Продажи[[#This Row],[Клиент]]&amp;Продажи[[#This Row],[Столбец1]],'Задание 1'!B10:B43&amp;'Задание 1'!C10:C43,0))</f>
        <v>528640</v>
      </c>
      <c r="G148" s="15">
        <f>Продажи[[#This Row],[выручка с НДС]]/(1+0.1)</f>
        <v>480581.81818181812</v>
      </c>
      <c r="H148" s="15">
        <f t="array" ref="H148">INDEX('Задание 1'!R10:R43,MATCH(Продажи[[#This Row],[Клиент]]&amp;Продажи[[#This Row],[Столбец1]],'Задание 1'!B10:B43&amp;'Задание 1'!C10:C43,0))</f>
        <v>377600</v>
      </c>
      <c r="I148" s="48">
        <f>Продажи[[#This Row],[выручка с НДС]]-Продажи[[#This Row],[Себестоимость]]</f>
        <v>151040</v>
      </c>
    </row>
    <row r="149" spans="1:9" x14ac:dyDescent="0.2">
      <c r="A149" s="47" t="s">
        <v>34</v>
      </c>
      <c r="B149" s="40" t="str">
        <f>VLOOKUP(A149,'Задание 1'!$B$53:$C$59,2,FALSE)</f>
        <v>Московская</v>
      </c>
      <c r="C149" s="38" t="s">
        <v>41</v>
      </c>
      <c r="D149" s="3">
        <v>5</v>
      </c>
      <c r="E149" s="15">
        <f t="array" ref="E149">INDEX('Задание 1'!P11:P44,MATCH(Продажи[[#This Row],[Клиент]]&amp;Продажи[[#This Row],[Столбец1]],'Задание 1'!B11:B44&amp;'Задание 1'!C11:C44,0))</f>
        <v>5192</v>
      </c>
      <c r="F149" s="15">
        <f t="array" ref="F149">INDEX('Задание 1'!Q11:Q44,MATCH(Продажи[[#This Row],[Клиент]]&amp;Продажи[[#This Row],[Столбец1]],'Задание 1'!B11:B44&amp;'Задание 1'!C11:C44,0))</f>
        <v>4568960</v>
      </c>
      <c r="G149" s="15">
        <f>Продажи[[#This Row],[выручка с НДС]]/(1+0.1)</f>
        <v>4153599.9999999995</v>
      </c>
      <c r="H149" s="15">
        <f t="array" ref="H149">INDEX('Задание 1'!R11:R44,MATCH(Продажи[[#This Row],[Клиент]]&amp;Продажи[[#This Row],[Столбец1]],'Задание 1'!B11:B44&amp;'Задание 1'!C11:C44,0))</f>
        <v>1921040</v>
      </c>
      <c r="I149" s="48">
        <f>Продажи[[#This Row],[выручка с НДС]]-Продажи[[#This Row],[Себестоимость]]</f>
        <v>2647920</v>
      </c>
    </row>
    <row r="150" spans="1:9" x14ac:dyDescent="0.2">
      <c r="A150" s="47" t="s">
        <v>34</v>
      </c>
      <c r="B150" s="40" t="str">
        <f>VLOOKUP(A150,'Задание 1'!$B$53:$C$59,2,FALSE)</f>
        <v>Московская</v>
      </c>
      <c r="C150" s="38" t="s">
        <v>42</v>
      </c>
      <c r="D150" s="3">
        <v>5</v>
      </c>
      <c r="E150" s="15">
        <f t="array" ref="E150">INDEX('Задание 1'!P12:P45,MATCH(Продажи[[#This Row],[Клиент]]&amp;Продажи[[#This Row],[Столбец1]],'Задание 1'!B12:B45&amp;'Задание 1'!C12:C45,0))</f>
        <v>5251</v>
      </c>
      <c r="F150" s="15">
        <f t="array" ref="F150">INDEX('Задание 1'!Q12:Q45,MATCH(Продажи[[#This Row],[Клиент]]&amp;Продажи[[#This Row],[Столбец1]],'Задание 1'!B12:B45&amp;'Задание 1'!C12:C45,0))</f>
        <v>1837850</v>
      </c>
      <c r="G150" s="15">
        <f>Продажи[[#This Row],[выручка с НДС]]/(1+0.1)</f>
        <v>1670772.7272727271</v>
      </c>
      <c r="H150" s="15">
        <f t="array" ref="H150">INDEX('Задание 1'!R12:R45,MATCH(Продажи[[#This Row],[Клиент]]&amp;Продажи[[#This Row],[Столбец1]],'Задание 1'!B12:B45&amp;'Задание 1'!C12:C45,0))</f>
        <v>1260240</v>
      </c>
      <c r="I150" s="48">
        <f>Продажи[[#This Row],[выручка с НДС]]-Продажи[[#This Row],[Себестоимость]]</f>
        <v>577610</v>
      </c>
    </row>
    <row r="151" spans="1:9" x14ac:dyDescent="0.2">
      <c r="A151" s="47" t="s">
        <v>34</v>
      </c>
      <c r="B151" s="40" t="str">
        <f>VLOOKUP(A151,'Задание 1'!$B$53:$C$59,2,FALSE)</f>
        <v>Московская</v>
      </c>
      <c r="C151" s="38" t="s">
        <v>43</v>
      </c>
      <c r="D151" s="3">
        <v>5</v>
      </c>
      <c r="E151" s="15">
        <f t="array" ref="E151">INDEX('Задание 1'!P13:P46,MATCH(Продажи[[#This Row],[Клиент]]&amp;Продажи[[#This Row],[Столбец1]],'Задание 1'!B13:B46&amp;'Задание 1'!C13:C46,0))</f>
        <v>767</v>
      </c>
      <c r="F151" s="15">
        <f t="array" ref="F151">INDEX('Задание 1'!Q13:Q46,MATCH(Продажи[[#This Row],[Клиент]]&amp;Продажи[[#This Row],[Столбец1]],'Задание 1'!B13:B46&amp;'Задание 1'!C13:C46,0))</f>
        <v>345150</v>
      </c>
      <c r="G151" s="15">
        <f>Продажи[[#This Row],[выручка с НДС]]/(1+0.1)</f>
        <v>313772.72727272724</v>
      </c>
      <c r="H151" s="15">
        <f t="array" ref="H151">INDEX('Задание 1'!R13:R46,MATCH(Продажи[[#This Row],[Клиент]]&amp;Продажи[[#This Row],[Столбец1]],'Задание 1'!B13:B46&amp;'Задание 1'!C13:C46,0))</f>
        <v>260780</v>
      </c>
      <c r="I151" s="48">
        <f>Продажи[[#This Row],[выручка с НДС]]-Продажи[[#This Row],[Себестоимость]]</f>
        <v>84370</v>
      </c>
    </row>
    <row r="152" spans="1:9" x14ac:dyDescent="0.2">
      <c r="A152" s="47" t="s">
        <v>34</v>
      </c>
      <c r="B152" s="40" t="str">
        <f>VLOOKUP(A152,'Задание 1'!$B$53:$C$59,2,FALSE)</f>
        <v>Московская</v>
      </c>
      <c r="C152" s="38" t="s">
        <v>44</v>
      </c>
      <c r="D152" s="3">
        <v>5</v>
      </c>
      <c r="E152" s="15">
        <f t="array" ref="E152">INDEX('Задание 1'!P14:P47,MATCH(Продажи[[#This Row],[Клиент]]&amp;Продажи[[#This Row],[Столбец1]],'Задание 1'!B14:B47&amp;'Задание 1'!C14:C47,0))</f>
        <v>5782</v>
      </c>
      <c r="F152" s="15">
        <f t="array" ref="F152">INDEX('Задание 1'!Q14:Q47,MATCH(Продажи[[#This Row],[Клиент]]&amp;Продажи[[#This Row],[Столбец1]],'Задание 1'!B14:B47&amp;'Задание 1'!C14:C47,0))</f>
        <v>982940</v>
      </c>
      <c r="G152" s="15">
        <f>Продажи[[#This Row],[выручка с НДС]]/(1+0.1)</f>
        <v>893581.81818181812</v>
      </c>
      <c r="H152" s="15">
        <f t="array" ref="H152">INDEX('Задание 1'!R14:R47,MATCH(Продажи[[#This Row],[Клиент]]&amp;Продажи[[#This Row],[Столбец1]],'Задание 1'!B14:B47&amp;'Задание 1'!C14:C47,0))</f>
        <v>693840</v>
      </c>
      <c r="I152" s="48">
        <f>Продажи[[#This Row],[выручка с НДС]]-Продажи[[#This Row],[Себестоимость]]</f>
        <v>289100</v>
      </c>
    </row>
    <row r="153" spans="1:9" x14ac:dyDescent="0.2">
      <c r="A153" s="47" t="s">
        <v>35</v>
      </c>
      <c r="B153" s="40" t="str">
        <f>VLOOKUP(A153,'Задание 1'!$B$53:$C$59,2,FALSE)</f>
        <v>Тульская</v>
      </c>
      <c r="C153" s="38" t="s">
        <v>40</v>
      </c>
      <c r="D153" s="3">
        <v>5</v>
      </c>
      <c r="E153" s="15">
        <f t="array" ref="E153">INDEX('Задание 1'!P15:P48,MATCH(Продажи[[#This Row],[Клиент]]&amp;Продажи[[#This Row],[Столбец1]],'Задание 1'!B15:B48&amp;'Задание 1'!C15:C48,0))</f>
        <v>1711</v>
      </c>
      <c r="F153" s="15">
        <f t="array" ref="F153">INDEX('Задание 1'!Q15:Q48,MATCH(Продажи[[#This Row],[Клиент]]&amp;Продажи[[#This Row],[Столбец1]],'Задание 1'!B15:B48&amp;'Задание 1'!C15:C48,0))</f>
        <v>479080</v>
      </c>
      <c r="G153" s="15">
        <f>Продажи[[#This Row],[выручка с НДС]]/(1+0.1)</f>
        <v>435527.27272727271</v>
      </c>
      <c r="H153" s="15">
        <f t="array" ref="H153">INDEX('Задание 1'!R15:R48,MATCH(Продажи[[#This Row],[Клиент]]&amp;Продажи[[#This Row],[Столбец1]],'Задание 1'!B15:B48&amp;'Задание 1'!C15:C48,0))</f>
        <v>342200</v>
      </c>
      <c r="I153" s="48">
        <f>Продажи[[#This Row],[выручка с НДС]]-Продажи[[#This Row],[Себестоимость]]</f>
        <v>136880</v>
      </c>
    </row>
    <row r="154" spans="1:9" x14ac:dyDescent="0.2">
      <c r="A154" s="47" t="s">
        <v>35</v>
      </c>
      <c r="B154" s="40" t="str">
        <f>VLOOKUP(A154,'Задание 1'!$B$53:$C$59,2,FALSE)</f>
        <v>Тульская</v>
      </c>
      <c r="C154" s="38" t="s">
        <v>41</v>
      </c>
      <c r="D154" s="3">
        <v>5</v>
      </c>
      <c r="E154" s="15">
        <f t="array" ref="E154">INDEX('Задание 1'!P16:P49,MATCH(Продажи[[#This Row],[Клиент]]&amp;Продажи[[#This Row],[Столбец1]],'Задание 1'!B16:B49&amp;'Задание 1'!C16:C49,0))</f>
        <v>1357</v>
      </c>
      <c r="F154" s="15">
        <f t="array" ref="F154">INDEX('Задание 1'!Q16:Q49,MATCH(Продажи[[#This Row],[Клиент]]&amp;Продажи[[#This Row],[Столбец1]],'Задание 1'!B16:B49&amp;'Задание 1'!C16:C49,0))</f>
        <v>1194160</v>
      </c>
      <c r="G154" s="15">
        <f>Продажи[[#This Row],[выручка с НДС]]/(1+0.1)</f>
        <v>1085600</v>
      </c>
      <c r="H154" s="15">
        <f t="array" ref="H154">INDEX('Задание 1'!R16:R49,MATCH(Продажи[[#This Row],[Клиент]]&amp;Продажи[[#This Row],[Столбец1]],'Задание 1'!B16:B49&amp;'Задание 1'!C16:C49,0))</f>
        <v>502090</v>
      </c>
      <c r="I154" s="48">
        <f>Продажи[[#This Row],[выручка с НДС]]-Продажи[[#This Row],[Себестоимость]]</f>
        <v>692070</v>
      </c>
    </row>
    <row r="155" spans="1:9" x14ac:dyDescent="0.2">
      <c r="A155" s="47" t="s">
        <v>35</v>
      </c>
      <c r="B155" s="40" t="str">
        <f>VLOOKUP(A155,'Задание 1'!$B$53:$C$59,2,FALSE)</f>
        <v>Тульская</v>
      </c>
      <c r="C155" s="38" t="s">
        <v>42</v>
      </c>
      <c r="D155" s="3">
        <v>5</v>
      </c>
      <c r="E155" s="15">
        <f t="array" ref="E155">INDEX('Задание 1'!P17:P50,MATCH(Продажи[[#This Row],[Клиент]]&amp;Продажи[[#This Row],[Столбец1]],'Задание 1'!B17:B50&amp;'Задание 1'!C17:C50,0))</f>
        <v>4602</v>
      </c>
      <c r="F155" s="15">
        <f t="array" ref="F155">INDEX('Задание 1'!Q17:Q50,MATCH(Продажи[[#This Row],[Клиент]]&amp;Продажи[[#This Row],[Столбец1]],'Задание 1'!B17:B50&amp;'Задание 1'!C17:C50,0))</f>
        <v>1610700</v>
      </c>
      <c r="G155" s="15">
        <f>Продажи[[#This Row],[выручка с НДС]]/(1+0.1)</f>
        <v>1464272.7272727271</v>
      </c>
      <c r="H155" s="15">
        <f t="array" ref="H155">INDEX('Задание 1'!R17:R50,MATCH(Продажи[[#This Row],[Клиент]]&amp;Продажи[[#This Row],[Столбец1]],'Задание 1'!B17:B50&amp;'Задание 1'!C17:C50,0))</f>
        <v>1104480</v>
      </c>
      <c r="I155" s="48">
        <f>Продажи[[#This Row],[выручка с НДС]]-Продажи[[#This Row],[Себестоимость]]</f>
        <v>506220</v>
      </c>
    </row>
    <row r="156" spans="1:9" x14ac:dyDescent="0.2">
      <c r="A156" s="47" t="s">
        <v>35</v>
      </c>
      <c r="B156" s="40" t="str">
        <f>VLOOKUP(A156,'Задание 1'!$B$53:$C$59,2,FALSE)</f>
        <v>Тульская</v>
      </c>
      <c r="C156" s="38" t="s">
        <v>43</v>
      </c>
      <c r="D156" s="3">
        <v>5</v>
      </c>
      <c r="E156" s="15">
        <f t="array" ref="E156">INDEX('Задание 1'!P18:P51,MATCH(Продажи[[#This Row],[Клиент]]&amp;Продажи[[#This Row],[Столбец1]],'Задание 1'!B18:B51&amp;'Задание 1'!C18:C51,0))</f>
        <v>5723</v>
      </c>
      <c r="F156" s="15">
        <f t="array" ref="F156">INDEX('Задание 1'!Q18:Q51,MATCH(Продажи[[#This Row],[Клиент]]&amp;Продажи[[#This Row],[Столбец1]],'Задание 1'!B18:B51&amp;'Задание 1'!C18:C51,0))</f>
        <v>2575350</v>
      </c>
      <c r="G156" s="15">
        <f>Продажи[[#This Row],[выручка с НДС]]/(1+0.1)</f>
        <v>2341227.2727272725</v>
      </c>
      <c r="H156" s="15">
        <f t="array" ref="H156">INDEX('Задание 1'!R18:R51,MATCH(Продажи[[#This Row],[Клиент]]&amp;Продажи[[#This Row],[Столбец1]],'Задание 1'!B18:B51&amp;'Задание 1'!C18:C51,0))</f>
        <v>1945820</v>
      </c>
      <c r="I156" s="48">
        <f>Продажи[[#This Row],[выручка с НДС]]-Продажи[[#This Row],[Себестоимость]]</f>
        <v>629530</v>
      </c>
    </row>
    <row r="157" spans="1:9" x14ac:dyDescent="0.2">
      <c r="A157" s="47" t="s">
        <v>35</v>
      </c>
      <c r="B157" s="40" t="str">
        <f>VLOOKUP(A157,'Задание 1'!$B$53:$C$59,2,FALSE)</f>
        <v>Тульская</v>
      </c>
      <c r="C157" s="38" t="s">
        <v>44</v>
      </c>
      <c r="D157" s="3">
        <v>5</v>
      </c>
      <c r="E157" s="15">
        <f t="array" ref="E157">INDEX('Задание 1'!P19:P52,MATCH(Продажи[[#This Row],[Клиент]]&amp;Продажи[[#This Row],[Столбец1]],'Задание 1'!B19:B52&amp;'Задание 1'!C19:C52,0))</f>
        <v>4720</v>
      </c>
      <c r="F157" s="15">
        <f t="array" ref="F157">INDEX('Задание 1'!Q19:Q52,MATCH(Продажи[[#This Row],[Клиент]]&amp;Продажи[[#This Row],[Столбец1]],'Задание 1'!B19:B52&amp;'Задание 1'!C19:C52,0))</f>
        <v>802400</v>
      </c>
      <c r="G157" s="15">
        <f>Продажи[[#This Row],[выручка с НДС]]/(1+0.1)</f>
        <v>729454.54545454541</v>
      </c>
      <c r="H157" s="15">
        <f t="array" ref="H157">INDEX('Задание 1'!R19:R52,MATCH(Продажи[[#This Row],[Клиент]]&amp;Продажи[[#This Row],[Столбец1]],'Задание 1'!B19:B52&amp;'Задание 1'!C19:C52,0))</f>
        <v>566400</v>
      </c>
      <c r="I157" s="48">
        <f>Продажи[[#This Row],[выручка с НДС]]-Продажи[[#This Row],[Себестоимость]]</f>
        <v>236000</v>
      </c>
    </row>
    <row r="158" spans="1:9" x14ac:dyDescent="0.2">
      <c r="A158" s="47" t="s">
        <v>36</v>
      </c>
      <c r="B158" s="40" t="str">
        <f>VLOOKUP(A158,'Задание 1'!$B$53:$C$59,2,FALSE)</f>
        <v>Рязанская</v>
      </c>
      <c r="C158" s="38" t="s">
        <v>40</v>
      </c>
      <c r="D158" s="3">
        <v>5</v>
      </c>
      <c r="E158" s="15">
        <f t="array" ref="E158">INDEX('Задание 1'!P20:P53,MATCH(Продажи[[#This Row],[Клиент]]&amp;Продажи[[#This Row],[Столбец1]],'Задание 1'!B20:B53&amp;'Задание 1'!C20:C53,0))</f>
        <v>5900</v>
      </c>
      <c r="F158" s="15">
        <f t="array" ref="F158">INDEX('Задание 1'!Q20:Q53,MATCH(Продажи[[#This Row],[Клиент]]&amp;Продажи[[#This Row],[Столбец1]],'Задание 1'!B20:B53&amp;'Задание 1'!C20:C53,0))</f>
        <v>1652000</v>
      </c>
      <c r="G158" s="15">
        <f>Продажи[[#This Row],[выручка с НДС]]/(1+0.1)</f>
        <v>1501818.1818181816</v>
      </c>
      <c r="H158" s="15">
        <f t="array" ref="H158">INDEX('Задание 1'!R20:R53,MATCH(Продажи[[#This Row],[Клиент]]&amp;Продажи[[#This Row],[Столбец1]],'Задание 1'!B20:B53&amp;'Задание 1'!C20:C53,0))</f>
        <v>1180000</v>
      </c>
      <c r="I158" s="48">
        <f>Продажи[[#This Row],[выручка с НДС]]-Продажи[[#This Row],[Себестоимость]]</f>
        <v>472000</v>
      </c>
    </row>
    <row r="159" spans="1:9" x14ac:dyDescent="0.2">
      <c r="A159" s="47" t="s">
        <v>36</v>
      </c>
      <c r="B159" s="40" t="str">
        <f>VLOOKUP(A159,'Задание 1'!$B$53:$C$59,2,FALSE)</f>
        <v>Рязанская</v>
      </c>
      <c r="C159" s="38" t="s">
        <v>41</v>
      </c>
      <c r="D159" s="3">
        <v>5</v>
      </c>
      <c r="E159" s="15">
        <f t="array" ref="E159">INDEX('Задание 1'!P21:P54,MATCH(Продажи[[#This Row],[Клиент]]&amp;Продажи[[#This Row],[Столбец1]],'Задание 1'!B21:B54&amp;'Задание 1'!C21:C54,0))</f>
        <v>2419</v>
      </c>
      <c r="F159" s="15">
        <f t="array" ref="F159">INDEX('Задание 1'!Q21:Q54,MATCH(Продажи[[#This Row],[Клиент]]&amp;Продажи[[#This Row],[Столбец1]],'Задание 1'!B21:B54&amp;'Задание 1'!C21:C54,0))</f>
        <v>2128720</v>
      </c>
      <c r="G159" s="15">
        <f>Продажи[[#This Row],[выручка с НДС]]/(1+0.1)</f>
        <v>1935199.9999999998</v>
      </c>
      <c r="H159" s="15">
        <f t="array" ref="H159">INDEX('Задание 1'!R21:R54,MATCH(Продажи[[#This Row],[Клиент]]&amp;Продажи[[#This Row],[Столбец1]],'Задание 1'!B21:B54&amp;'Задание 1'!C21:C54,0))</f>
        <v>895030</v>
      </c>
      <c r="I159" s="48">
        <f>Продажи[[#This Row],[выручка с НДС]]-Продажи[[#This Row],[Себестоимость]]</f>
        <v>1233690</v>
      </c>
    </row>
    <row r="160" spans="1:9" x14ac:dyDescent="0.2">
      <c r="A160" s="47" t="s">
        <v>36</v>
      </c>
      <c r="B160" s="40" t="str">
        <f>VLOOKUP(A160,'Задание 1'!$B$53:$C$59,2,FALSE)</f>
        <v>Рязанская</v>
      </c>
      <c r="C160" s="38" t="s">
        <v>42</v>
      </c>
      <c r="D160" s="3">
        <v>5</v>
      </c>
      <c r="E160" s="15">
        <f t="array" ref="E160">INDEX('Задание 1'!P22:P55,MATCH(Продажи[[#This Row],[Клиент]]&amp;Продажи[[#This Row],[Столбец1]],'Задание 1'!B22:B55&amp;'Задание 1'!C22:C55,0))</f>
        <v>3776</v>
      </c>
      <c r="F160" s="15">
        <f t="array" ref="F160">INDEX('Задание 1'!Q22:Q55,MATCH(Продажи[[#This Row],[Клиент]]&amp;Продажи[[#This Row],[Столбец1]],'Задание 1'!B22:B55&amp;'Задание 1'!C22:C55,0))</f>
        <v>1321600</v>
      </c>
      <c r="G160" s="15">
        <f>Продажи[[#This Row],[выручка с НДС]]/(1+0.1)</f>
        <v>1201454.5454545454</v>
      </c>
      <c r="H160" s="15">
        <f t="array" ref="H160">INDEX('Задание 1'!R22:R55,MATCH(Продажи[[#This Row],[Клиент]]&amp;Продажи[[#This Row],[Столбец1]],'Задание 1'!B22:B55&amp;'Задание 1'!C22:C55,0))</f>
        <v>906240</v>
      </c>
      <c r="I160" s="48">
        <f>Продажи[[#This Row],[выручка с НДС]]-Продажи[[#This Row],[Себестоимость]]</f>
        <v>415360</v>
      </c>
    </row>
    <row r="161" spans="1:14" x14ac:dyDescent="0.2">
      <c r="A161" s="47" t="s">
        <v>36</v>
      </c>
      <c r="B161" s="40" t="str">
        <f>VLOOKUP(A161,'Задание 1'!$B$53:$C$59,2,FALSE)</f>
        <v>Рязанская</v>
      </c>
      <c r="C161" s="38" t="s">
        <v>43</v>
      </c>
      <c r="D161" s="3">
        <v>5</v>
      </c>
      <c r="E161" s="15">
        <f t="array" ref="E161">INDEX('Задание 1'!P23:P56,MATCH(Продажи[[#This Row],[Клиент]]&amp;Продажи[[#This Row],[Столбец1]],'Задание 1'!B23:B56&amp;'Задание 1'!C23:C56,0))</f>
        <v>885</v>
      </c>
      <c r="F161" s="15">
        <f t="array" ref="F161">INDEX('Задание 1'!Q23:Q56,MATCH(Продажи[[#This Row],[Клиент]]&amp;Продажи[[#This Row],[Столбец1]],'Задание 1'!B23:B56&amp;'Задание 1'!C23:C56,0))</f>
        <v>398250</v>
      </c>
      <c r="G161" s="15">
        <f>Продажи[[#This Row],[выручка с НДС]]/(1+0.1)</f>
        <v>362045.45454545453</v>
      </c>
      <c r="H161" s="15">
        <f t="array" ref="H161">INDEX('Задание 1'!R23:R56,MATCH(Продажи[[#This Row],[Клиент]]&amp;Продажи[[#This Row],[Столбец1]],'Задание 1'!B23:B56&amp;'Задание 1'!C23:C56,0))</f>
        <v>300900</v>
      </c>
      <c r="I161" s="48">
        <f>Продажи[[#This Row],[выручка с НДС]]-Продажи[[#This Row],[Себестоимость]]</f>
        <v>97350</v>
      </c>
    </row>
    <row r="162" spans="1:14" x14ac:dyDescent="0.2">
      <c r="A162" s="47" t="s">
        <v>37</v>
      </c>
      <c r="B162" s="40" t="str">
        <f>VLOOKUP(A162,'Задание 1'!$B$53:$C$59,2,FALSE)</f>
        <v>Московская</v>
      </c>
      <c r="C162" s="38" t="s">
        <v>44</v>
      </c>
      <c r="D162" s="3">
        <v>5</v>
      </c>
      <c r="E162" s="15">
        <f t="array" ref="E162">INDEX('Задание 1'!P24:P57,MATCH(Продажи[[#This Row],[Клиент]]&amp;Продажи[[#This Row],[Столбец1]],'Задание 1'!B24:B57&amp;'Задание 1'!C24:C57,0))</f>
        <v>1652</v>
      </c>
      <c r="F162" s="15">
        <f t="array" ref="F162">INDEX('Задание 1'!Q24:Q57,MATCH(Продажи[[#This Row],[Клиент]]&amp;Продажи[[#This Row],[Столбец1]],'Задание 1'!B24:B57&amp;'Задание 1'!C24:C57,0))</f>
        <v>280840</v>
      </c>
      <c r="G162" s="15">
        <f>Продажи[[#This Row],[выручка с НДС]]/(1+0.1)</f>
        <v>255309.09090909088</v>
      </c>
      <c r="H162" s="15">
        <f t="array" ref="H162">INDEX('Задание 1'!R24:R57,MATCH(Продажи[[#This Row],[Клиент]]&amp;Продажи[[#This Row],[Столбец1]],'Задание 1'!B24:B57&amp;'Задание 1'!C24:C57,0))</f>
        <v>198240</v>
      </c>
      <c r="I162" s="48">
        <f>Продажи[[#This Row],[выручка с НДС]]-Продажи[[#This Row],[Себестоимость]]</f>
        <v>82600</v>
      </c>
    </row>
    <row r="163" spans="1:14" x14ac:dyDescent="0.2">
      <c r="A163" s="47" t="s">
        <v>37</v>
      </c>
      <c r="B163" s="40" t="str">
        <f>VLOOKUP(A163,'Задание 1'!$B$53:$C$59,2,FALSE)</f>
        <v>Московская</v>
      </c>
      <c r="C163" s="38" t="s">
        <v>40</v>
      </c>
      <c r="D163" s="3">
        <v>5</v>
      </c>
      <c r="E163" s="15">
        <f t="array" ref="E163">INDEX('Задание 1'!P25:P58,MATCH(Продажи[[#This Row],[Клиент]]&amp;Продажи[[#This Row],[Столбец1]],'Задание 1'!B25:B58&amp;'Задание 1'!C25:C58,0))</f>
        <v>2183</v>
      </c>
      <c r="F163" s="15">
        <f t="array" ref="F163">INDEX('Задание 1'!Q25:Q58,MATCH(Продажи[[#This Row],[Клиент]]&amp;Продажи[[#This Row],[Столбец1]],'Задание 1'!B25:B58&amp;'Задание 1'!C25:C58,0))</f>
        <v>611240</v>
      </c>
      <c r="G163" s="15">
        <f>Продажи[[#This Row],[выручка с НДС]]/(1+0.1)</f>
        <v>555672.72727272718</v>
      </c>
      <c r="H163" s="15">
        <f t="array" ref="H163">INDEX('Задание 1'!R25:R58,MATCH(Продажи[[#This Row],[Клиент]]&amp;Продажи[[#This Row],[Столбец1]],'Задание 1'!B25:B58&amp;'Задание 1'!C25:C58,0))</f>
        <v>436600</v>
      </c>
      <c r="I163" s="48">
        <f>Продажи[[#This Row],[выручка с НДС]]-Продажи[[#This Row],[Себестоимость]]</f>
        <v>174640</v>
      </c>
    </row>
    <row r="164" spans="1:14" x14ac:dyDescent="0.2">
      <c r="A164" s="47" t="s">
        <v>37</v>
      </c>
      <c r="B164" s="40" t="str">
        <f>VLOOKUP(A164,'Задание 1'!$B$53:$C$59,2,FALSE)</f>
        <v>Московская</v>
      </c>
      <c r="C164" s="38" t="s">
        <v>41</v>
      </c>
      <c r="D164" s="3">
        <v>5</v>
      </c>
      <c r="E164" s="15">
        <f t="array" ref="E164">INDEX('Задание 1'!P26:P59,MATCH(Продажи[[#This Row],[Клиент]]&amp;Продажи[[#This Row],[Столбец1]],'Задание 1'!B26:B59&amp;'Задание 1'!C26:C59,0))</f>
        <v>4484</v>
      </c>
      <c r="F164" s="15">
        <f t="array" ref="F164">INDEX('Задание 1'!Q26:Q59,MATCH(Продажи[[#This Row],[Клиент]]&amp;Продажи[[#This Row],[Столбец1]],'Задание 1'!B26:B59&amp;'Задание 1'!C26:C59,0))</f>
        <v>3945920</v>
      </c>
      <c r="G164" s="15">
        <f>Продажи[[#This Row],[выручка с НДС]]/(1+0.1)</f>
        <v>3587199.9999999995</v>
      </c>
      <c r="H164" s="15">
        <f t="array" ref="H164">INDEX('Задание 1'!R26:R59,MATCH(Продажи[[#This Row],[Клиент]]&amp;Продажи[[#This Row],[Столбец1]],'Задание 1'!B26:B59&amp;'Задание 1'!C26:C59,0))</f>
        <v>1659080</v>
      </c>
      <c r="I164" s="48">
        <f>Продажи[[#This Row],[выручка с НДС]]-Продажи[[#This Row],[Себестоимость]]</f>
        <v>2286840</v>
      </c>
    </row>
    <row r="165" spans="1:14" x14ac:dyDescent="0.2">
      <c r="A165" s="47" t="s">
        <v>37</v>
      </c>
      <c r="B165" s="40" t="str">
        <f>VLOOKUP(A165,'Задание 1'!$B$53:$C$59,2,FALSE)</f>
        <v>Московская</v>
      </c>
      <c r="C165" s="38" t="s">
        <v>42</v>
      </c>
      <c r="D165" s="3">
        <v>5</v>
      </c>
      <c r="E165" s="15">
        <f t="array" ref="E165">INDEX('Задание 1'!P27:P60,MATCH(Продажи[[#This Row],[Клиент]]&amp;Продажи[[#This Row],[Столбец1]],'Задание 1'!B27:B60&amp;'Задание 1'!C27:C60,0))</f>
        <v>1298</v>
      </c>
      <c r="F165" s="15">
        <f t="array" ref="F165">INDEX('Задание 1'!Q27:Q60,MATCH(Продажи[[#This Row],[Клиент]]&amp;Продажи[[#This Row],[Столбец1]],'Задание 1'!B27:B60&amp;'Задание 1'!C27:C60,0))</f>
        <v>454300</v>
      </c>
      <c r="G165" s="15">
        <f>Продажи[[#This Row],[выручка с НДС]]/(1+0.1)</f>
        <v>412999.99999999994</v>
      </c>
      <c r="H165" s="15">
        <f t="array" ref="H165">INDEX('Задание 1'!R27:R60,MATCH(Продажи[[#This Row],[Клиент]]&amp;Продажи[[#This Row],[Столбец1]],'Задание 1'!B27:B60&amp;'Задание 1'!C27:C60,0))</f>
        <v>311520</v>
      </c>
      <c r="I165" s="48">
        <f>Продажи[[#This Row],[выручка с НДС]]-Продажи[[#This Row],[Себестоимость]]</f>
        <v>142780</v>
      </c>
    </row>
    <row r="166" spans="1:14" x14ac:dyDescent="0.2">
      <c r="A166" s="47" t="s">
        <v>37</v>
      </c>
      <c r="B166" s="40" t="str">
        <f>VLOOKUP(A166,'Задание 1'!$B$53:$C$59,2,FALSE)</f>
        <v>Московская</v>
      </c>
      <c r="C166" s="38" t="s">
        <v>43</v>
      </c>
      <c r="D166" s="3">
        <v>5</v>
      </c>
      <c r="E166" s="15">
        <f t="array" ref="E166">INDEX('Задание 1'!P28:P61,MATCH(Продажи[[#This Row],[Клиент]]&amp;Продажи[[#This Row],[Столбец1]],'Задание 1'!B28:B61&amp;'Задание 1'!C28:C61,0))</f>
        <v>5369</v>
      </c>
      <c r="F166" s="15">
        <f t="array" ref="F166">INDEX('Задание 1'!Q28:Q61,MATCH(Продажи[[#This Row],[Клиент]]&amp;Продажи[[#This Row],[Столбец1]],'Задание 1'!B28:B61&amp;'Задание 1'!C28:C61,0))</f>
        <v>2416050</v>
      </c>
      <c r="G166" s="15">
        <f>Продажи[[#This Row],[выручка с НДС]]/(1+0.1)</f>
        <v>2196409.0909090908</v>
      </c>
      <c r="H166" s="15">
        <f t="array" ref="H166">INDEX('Задание 1'!R28:R61,MATCH(Продажи[[#This Row],[Клиент]]&amp;Продажи[[#This Row],[Столбец1]],'Задание 1'!B28:B61&amp;'Задание 1'!C28:C61,0))</f>
        <v>1825460</v>
      </c>
      <c r="I166" s="48">
        <f>Продажи[[#This Row],[выручка с НДС]]-Продажи[[#This Row],[Себестоимость]]</f>
        <v>590590</v>
      </c>
    </row>
    <row r="167" spans="1:14" x14ac:dyDescent="0.2">
      <c r="A167" s="47" t="s">
        <v>38</v>
      </c>
      <c r="B167" s="40" t="str">
        <f>VLOOKUP(A167,'Задание 1'!$B$53:$C$59,2,FALSE)</f>
        <v>Курская</v>
      </c>
      <c r="C167" s="38" t="s">
        <v>44</v>
      </c>
      <c r="D167" s="3">
        <v>5</v>
      </c>
      <c r="E167" s="15">
        <f t="array" ref="E167">INDEX('Задание 1'!P29:P62,MATCH(Продажи[[#This Row],[Клиент]]&amp;Продажи[[#This Row],[Столбец1]],'Задание 1'!B29:B62&amp;'Задание 1'!C29:C62,0))</f>
        <v>0</v>
      </c>
      <c r="F167" s="15">
        <f t="array" ref="F167">INDEX('Задание 1'!Q29:Q62,MATCH(Продажи[[#This Row],[Клиент]]&amp;Продажи[[#This Row],[Столбец1]],'Задание 1'!B29:B62&amp;'Задание 1'!C29:C62,0))</f>
        <v>0</v>
      </c>
      <c r="G167" s="15">
        <f>Продажи[[#This Row],[выручка с НДС]]/(1+0.1)</f>
        <v>0</v>
      </c>
      <c r="H167" s="15">
        <f t="array" ref="H167">INDEX('Задание 1'!R29:R62,MATCH(Продажи[[#This Row],[Клиент]]&amp;Продажи[[#This Row],[Столбец1]],'Задание 1'!B29:B62&amp;'Задание 1'!C29:C62,0))</f>
        <v>0</v>
      </c>
      <c r="I167" s="48">
        <f>Продажи[[#This Row],[выручка с НДС]]-Продажи[[#This Row],[Себестоимость]]</f>
        <v>0</v>
      </c>
    </row>
    <row r="168" spans="1:14" x14ac:dyDescent="0.2">
      <c r="A168" s="47" t="s">
        <v>38</v>
      </c>
      <c r="B168" s="40" t="str">
        <f>VLOOKUP(A168,'Задание 1'!$B$53:$C$59,2,FALSE)</f>
        <v>Курская</v>
      </c>
      <c r="C168" s="38" t="s">
        <v>40</v>
      </c>
      <c r="D168" s="3">
        <v>5</v>
      </c>
      <c r="E168" s="15">
        <f t="array" ref="E168">INDEX('Задание 1'!P30:P63,MATCH(Продажи[[#This Row],[Клиент]]&amp;Продажи[[#This Row],[Столбец1]],'Задание 1'!B30:B63&amp;'Задание 1'!C30:C63,0))</f>
        <v>0</v>
      </c>
      <c r="F168" s="15">
        <f t="array" ref="F168">INDEX('Задание 1'!Q30:Q63,MATCH(Продажи[[#This Row],[Клиент]]&amp;Продажи[[#This Row],[Столбец1]],'Задание 1'!B30:B63&amp;'Задание 1'!C30:C63,0))</f>
        <v>0</v>
      </c>
      <c r="G168" s="15">
        <f>Продажи[[#This Row],[выручка с НДС]]/(1+0.1)</f>
        <v>0</v>
      </c>
      <c r="H168" s="15">
        <f t="array" ref="H168">INDEX('Задание 1'!R30:R63,MATCH(Продажи[[#This Row],[Клиент]]&amp;Продажи[[#This Row],[Столбец1]],'Задание 1'!B30:B63&amp;'Задание 1'!C30:C63,0))</f>
        <v>0</v>
      </c>
      <c r="I168" s="48">
        <f>Продажи[[#This Row],[выручка с НДС]]-Продажи[[#This Row],[Себестоимость]]</f>
        <v>0</v>
      </c>
    </row>
    <row r="169" spans="1:14" x14ac:dyDescent="0.2">
      <c r="A169" s="47" t="s">
        <v>38</v>
      </c>
      <c r="B169" s="40" t="str">
        <f>VLOOKUP(A169,'Задание 1'!$B$53:$C$59,2,FALSE)</f>
        <v>Курская</v>
      </c>
      <c r="C169" s="38" t="s">
        <v>41</v>
      </c>
      <c r="D169" s="3">
        <v>5</v>
      </c>
      <c r="E169" s="15">
        <f t="array" ref="E169">INDEX('Задание 1'!P31:P64,MATCH(Продажи[[#This Row],[Клиент]]&amp;Продажи[[#This Row],[Столбец1]],'Задание 1'!B31:B64&amp;'Задание 1'!C31:C64,0))</f>
        <v>0</v>
      </c>
      <c r="F169" s="15">
        <f t="array" ref="F169">INDEX('Задание 1'!Q31:Q64,MATCH(Продажи[[#This Row],[Клиент]]&amp;Продажи[[#This Row],[Столбец1]],'Задание 1'!B31:B64&amp;'Задание 1'!C31:C64,0))</f>
        <v>0</v>
      </c>
      <c r="G169" s="15">
        <f>Продажи[[#This Row],[выручка с НДС]]/(1+0.1)</f>
        <v>0</v>
      </c>
      <c r="H169" s="15">
        <f t="array" ref="H169">INDEX('Задание 1'!R31:R64,MATCH(Продажи[[#This Row],[Клиент]]&amp;Продажи[[#This Row],[Столбец1]],'Задание 1'!B31:B64&amp;'Задание 1'!C31:C64,0))</f>
        <v>0</v>
      </c>
      <c r="I169" s="48">
        <f>Продажи[[#This Row],[выручка с НДС]]-Продажи[[#This Row],[Себестоимость]]</f>
        <v>0</v>
      </c>
    </row>
    <row r="170" spans="1:14" x14ac:dyDescent="0.2">
      <c r="A170" s="47" t="s">
        <v>38</v>
      </c>
      <c r="B170" s="40" t="str">
        <f>VLOOKUP(A170,'Задание 1'!$B$53:$C$59,2,FALSE)</f>
        <v>Курская</v>
      </c>
      <c r="C170" s="38" t="s">
        <v>42</v>
      </c>
      <c r="D170" s="3">
        <v>5</v>
      </c>
      <c r="E170" s="15">
        <f t="array" ref="E170">INDEX('Задание 1'!P32:P65,MATCH(Продажи[[#This Row],[Клиент]]&amp;Продажи[[#This Row],[Столбец1]],'Задание 1'!B32:B65&amp;'Задание 1'!C32:C65,0))</f>
        <v>0</v>
      </c>
      <c r="F170" s="15">
        <f t="array" ref="F170">INDEX('Задание 1'!Q32:Q65,MATCH(Продажи[[#This Row],[Клиент]]&amp;Продажи[[#This Row],[Столбец1]],'Задание 1'!B32:B65&amp;'Задание 1'!C32:C65,0))</f>
        <v>0</v>
      </c>
      <c r="G170" s="15">
        <f>Продажи[[#This Row],[выручка с НДС]]/(1+0.1)</f>
        <v>0</v>
      </c>
      <c r="H170" s="15">
        <f t="array" ref="H170">INDEX('Задание 1'!R32:R65,MATCH(Продажи[[#This Row],[Клиент]]&amp;Продажи[[#This Row],[Столбец1]],'Задание 1'!B32:B65&amp;'Задание 1'!C32:C65,0))</f>
        <v>0</v>
      </c>
      <c r="I170" s="48">
        <f>Продажи[[#This Row],[выручка с НДС]]-Продажи[[#This Row],[Себестоимость]]</f>
        <v>0</v>
      </c>
    </row>
    <row r="171" spans="1:14" x14ac:dyDescent="0.2">
      <c r="A171" s="47" t="s">
        <v>38</v>
      </c>
      <c r="B171" s="40" t="str">
        <f>VLOOKUP(A171,'Задание 1'!$B$53:$C$59,2,FALSE)</f>
        <v>Курская</v>
      </c>
      <c r="C171" s="38" t="s">
        <v>43</v>
      </c>
      <c r="D171" s="3">
        <v>5</v>
      </c>
      <c r="E171" s="15">
        <f t="array" ref="E171">INDEX('Задание 1'!P33:P66,MATCH(Продажи[[#This Row],[Клиент]]&amp;Продажи[[#This Row],[Столбец1]],'Задание 1'!B33:B66&amp;'Задание 1'!C33:C66,0))</f>
        <v>0</v>
      </c>
      <c r="F171" s="15">
        <f t="array" ref="F171">INDEX('Задание 1'!Q33:Q66,MATCH(Продажи[[#This Row],[Клиент]]&amp;Продажи[[#This Row],[Столбец1]],'Задание 1'!B33:B66&amp;'Задание 1'!C33:C66,0))</f>
        <v>0</v>
      </c>
      <c r="G171" s="15">
        <f>Продажи[[#This Row],[выручка с НДС]]/(1+0.1)</f>
        <v>0</v>
      </c>
      <c r="H171" s="15">
        <f t="array" ref="H171">INDEX('Задание 1'!R33:R66,MATCH(Продажи[[#This Row],[Клиент]]&amp;Продажи[[#This Row],[Столбец1]],'Задание 1'!B33:B66&amp;'Задание 1'!C33:C66,0))</f>
        <v>0</v>
      </c>
      <c r="I171" s="48">
        <f>Продажи[[#This Row],[выручка с НДС]]-Продажи[[#This Row],[Себестоимость]]</f>
        <v>0</v>
      </c>
    </row>
    <row r="172" spans="1:14" x14ac:dyDescent="0.2">
      <c r="A172" s="47" t="s">
        <v>39</v>
      </c>
      <c r="B172" s="40" t="str">
        <f>VLOOKUP(A172,'Задание 1'!$B$53:$C$59,2,FALSE)</f>
        <v>Самарская</v>
      </c>
      <c r="C172" s="38" t="s">
        <v>44</v>
      </c>
      <c r="D172" s="3">
        <v>5</v>
      </c>
      <c r="E172" s="15">
        <f t="array" ref="E172">INDEX('Задание 1'!P34:P67,MATCH(Продажи[[#This Row],[Клиент]]&amp;Продажи[[#This Row],[Столбец1]],'Задание 1'!B34:B67&amp;'Задание 1'!C34:C67,0))</f>
        <v>1888</v>
      </c>
      <c r="F172" s="15">
        <f t="array" ref="F172">INDEX('Задание 1'!Q34:Q67,MATCH(Продажи[[#This Row],[Клиент]]&amp;Продажи[[#This Row],[Столбец1]],'Задание 1'!B34:B67&amp;'Задание 1'!C34:C67,0))</f>
        <v>320960</v>
      </c>
      <c r="G172" s="15">
        <f>Продажи[[#This Row],[выручка с НДС]]/(1+0.1)</f>
        <v>291781.81818181818</v>
      </c>
      <c r="H172" s="15">
        <f t="array" ref="H172">INDEX('Задание 1'!R34:R67,MATCH(Продажи[[#This Row],[Клиент]]&amp;Продажи[[#This Row],[Столбец1]],'Задание 1'!B34:B67&amp;'Задание 1'!C34:C67,0))</f>
        <v>226560</v>
      </c>
      <c r="I172" s="48">
        <f>Продажи[[#This Row],[выручка с НДС]]-Продажи[[#This Row],[Себестоимость]]</f>
        <v>94400</v>
      </c>
    </row>
    <row r="173" spans="1:14" x14ac:dyDescent="0.2">
      <c r="A173" s="47" t="s">
        <v>39</v>
      </c>
      <c r="B173" s="40" t="str">
        <f>VLOOKUP(A173,'Задание 1'!$B$53:$C$59,2,FALSE)</f>
        <v>Самарская</v>
      </c>
      <c r="C173" s="38" t="s">
        <v>40</v>
      </c>
      <c r="D173" s="3">
        <v>5</v>
      </c>
      <c r="E173" s="15">
        <f t="array" ref="E173">INDEX('Задание 1'!P35:P68,MATCH(Продажи[[#This Row],[Клиент]]&amp;Продажи[[#This Row],[Столбец1]],'Задание 1'!B35:B68&amp;'Задание 1'!C35:C68,0))</f>
        <v>5723</v>
      </c>
      <c r="F173" s="15">
        <f t="array" ref="F173">INDEX('Задание 1'!Q35:Q68,MATCH(Продажи[[#This Row],[Клиент]]&amp;Продажи[[#This Row],[Столбец1]],'Задание 1'!B35:B68&amp;'Задание 1'!C35:C68,0))</f>
        <v>1602440</v>
      </c>
      <c r="G173" s="15">
        <f>Продажи[[#This Row],[выручка с НДС]]/(1+0.1)</f>
        <v>1456763.6363636362</v>
      </c>
      <c r="H173" s="15">
        <f t="array" ref="H173">INDEX('Задание 1'!R35:R68,MATCH(Продажи[[#This Row],[Клиент]]&amp;Продажи[[#This Row],[Столбец1]],'Задание 1'!B35:B68&amp;'Задание 1'!C35:C68,0))</f>
        <v>1144600</v>
      </c>
      <c r="I173" s="48">
        <f>Продажи[[#This Row],[выручка с НДС]]-Продажи[[#This Row],[Себестоимость]]</f>
        <v>457840</v>
      </c>
    </row>
    <row r="174" spans="1:14" x14ac:dyDescent="0.2">
      <c r="A174" s="47" t="s">
        <v>39</v>
      </c>
      <c r="B174" s="40" t="str">
        <f>VLOOKUP(A174,'Задание 1'!$B$53:$C$59,2,FALSE)</f>
        <v>Самарская</v>
      </c>
      <c r="C174" s="38" t="s">
        <v>41</v>
      </c>
      <c r="D174" s="3">
        <v>5</v>
      </c>
      <c r="E174" s="15">
        <f t="array" ref="E174">INDEX('Задание 1'!P36:P69,MATCH(Продажи[[#This Row],[Клиент]]&amp;Продажи[[#This Row],[Столбец1]],'Задание 1'!B36:B69&amp;'Задание 1'!C36:C69,0))</f>
        <v>2301</v>
      </c>
      <c r="F174" s="15">
        <f t="array" ref="F174">INDEX('Задание 1'!Q36:Q69,MATCH(Продажи[[#This Row],[Клиент]]&amp;Продажи[[#This Row],[Столбец1]],'Задание 1'!B36:B69&amp;'Задание 1'!C36:C69,0))</f>
        <v>2024880</v>
      </c>
      <c r="G174" s="15">
        <f>Продажи[[#This Row],[выручка с НДС]]/(1+0.1)</f>
        <v>1840799.9999999998</v>
      </c>
      <c r="H174" s="15">
        <f t="array" ref="H174">INDEX('Задание 1'!R36:R69,MATCH(Продажи[[#This Row],[Клиент]]&amp;Продажи[[#This Row],[Столбец1]],'Задание 1'!B36:B69&amp;'Задание 1'!C36:C69,0))</f>
        <v>851370</v>
      </c>
      <c r="I174" s="48">
        <f>Продажи[[#This Row],[выручка с НДС]]-Продажи[[#This Row],[Себестоимость]]</f>
        <v>1173510</v>
      </c>
    </row>
    <row r="175" spans="1:14" x14ac:dyDescent="0.2">
      <c r="A175" s="47" t="s">
        <v>39</v>
      </c>
      <c r="B175" s="40" t="str">
        <f>VLOOKUP(A175,'Задание 1'!$B$53:$C$59,2,FALSE)</f>
        <v>Самарская</v>
      </c>
      <c r="C175" s="38" t="s">
        <v>42</v>
      </c>
      <c r="D175" s="3">
        <v>5</v>
      </c>
      <c r="E175" s="15">
        <f t="array" ref="E175">INDEX('Задание 1'!P37:P70,MATCH(Продажи[[#This Row],[Клиент]]&amp;Продажи[[#This Row],[Столбец1]],'Задание 1'!B37:B70&amp;'Задание 1'!C37:C70,0))</f>
        <v>826</v>
      </c>
      <c r="F175" s="15">
        <f t="array" ref="F175">INDEX('Задание 1'!Q37:Q70,MATCH(Продажи[[#This Row],[Клиент]]&amp;Продажи[[#This Row],[Столбец1]],'Задание 1'!B37:B70&amp;'Задание 1'!C37:C70,0))</f>
        <v>289100</v>
      </c>
      <c r="G175" s="15">
        <f>Продажи[[#This Row],[выручка с НДС]]/(1+0.1)</f>
        <v>262818.18181818182</v>
      </c>
      <c r="H175" s="15">
        <f t="array" ref="H175">INDEX('Задание 1'!R37:R70,MATCH(Продажи[[#This Row],[Клиент]]&amp;Продажи[[#This Row],[Столбец1]],'Задание 1'!B37:B70&amp;'Задание 1'!C37:C70,0))</f>
        <v>198240</v>
      </c>
      <c r="I175" s="48">
        <f>Продажи[[#This Row],[выручка с НДС]]-Продажи[[#This Row],[Себестоимость]]</f>
        <v>90860</v>
      </c>
      <c r="N175">
        <v>1</v>
      </c>
    </row>
    <row r="176" spans="1:14" x14ac:dyDescent="0.2">
      <c r="A176" s="52" t="s">
        <v>39</v>
      </c>
      <c r="B176" s="53" t="str">
        <f>VLOOKUP(A176,'Задание 1'!$B$53:$C$59,2,FALSE)</f>
        <v>Самарская</v>
      </c>
      <c r="C176" s="54" t="s">
        <v>43</v>
      </c>
      <c r="D176" s="55">
        <v>5</v>
      </c>
      <c r="E176" s="15">
        <f t="array" ref="E176">INDEX('Задание 1'!P38:P71,MATCH(Продажи[[#This Row],[Клиент]]&amp;Продажи[[#This Row],[Столбец1]],'Задание 1'!B38:B71&amp;'Задание 1'!C38:C71,0))</f>
        <v>2183</v>
      </c>
      <c r="F176" s="15">
        <f t="array" ref="F176">INDEX('Задание 1'!Q38:Q71,MATCH(Продажи[[#This Row],[Клиент]]&amp;Продажи[[#This Row],[Столбец1]],'Задание 1'!B38:B71&amp;'Задание 1'!C38:C71,0))</f>
        <v>982350</v>
      </c>
      <c r="G176" s="56">
        <f>Продажи[[#This Row],[выручка с НДС]]/(1+0.1)</f>
        <v>893045.45454545447</v>
      </c>
      <c r="H176" s="15">
        <f t="array" ref="H176">INDEX('Задание 1'!R38:R71,MATCH(Продажи[[#This Row],[Клиент]]&amp;Продажи[[#This Row],[Столбец1]],'Задание 1'!B38:B71&amp;'Задание 1'!C38:C71,0))</f>
        <v>742220</v>
      </c>
      <c r="I176" s="57">
        <f>Продажи[[#This Row],[выручка с НДС]]-Продажи[[#This Row],[Себестоимость]]</f>
        <v>240130</v>
      </c>
    </row>
    <row r="177" spans="1:9" x14ac:dyDescent="0.2">
      <c r="A177" s="25"/>
      <c r="B177" s="25"/>
      <c r="C177" s="25"/>
      <c r="D177" s="26"/>
      <c r="E177" s="27"/>
      <c r="F177" s="27"/>
      <c r="G177" s="27"/>
      <c r="H177" s="27"/>
      <c r="I177" s="27"/>
    </row>
    <row r="178" spans="1:9" x14ac:dyDescent="0.2">
      <c r="A178" s="25"/>
      <c r="B178" s="25"/>
      <c r="C178" s="25"/>
      <c r="D178" s="26"/>
      <c r="E178" s="27"/>
      <c r="F178" s="27"/>
      <c r="G178" s="27"/>
      <c r="H178" s="27"/>
      <c r="I178" s="27"/>
    </row>
    <row r="179" spans="1:9" ht="18" customHeight="1" x14ac:dyDescent="0.2">
      <c r="A179" s="1" t="s">
        <v>46</v>
      </c>
      <c r="B179" s="1"/>
      <c r="E179" s="16">
        <f>SUM(E7:E176)-'Задание 1'!S39</f>
        <v>0</v>
      </c>
      <c r="F179" s="16">
        <f>SUM(F7:F176)-'Задание 1'!T39</f>
        <v>0</v>
      </c>
      <c r="G179" s="16"/>
      <c r="H179" s="16">
        <f>SUM(H7:H176)-'Задание 1'!U39</f>
        <v>0</v>
      </c>
      <c r="I179" s="16"/>
    </row>
  </sheetData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8"/>
  <sheetViews>
    <sheetView workbookViewId="0">
      <pane ySplit="3" topLeftCell="A4" activePane="bottomLeft" state="frozen"/>
      <selection pane="bottomLeft" activeCell="B14" sqref="B14"/>
    </sheetView>
  </sheetViews>
  <sheetFormatPr defaultRowHeight="11.25" x14ac:dyDescent="0.2"/>
  <cols>
    <col min="1" max="1" width="28.1640625" bestFit="1" customWidth="1"/>
    <col min="2" max="2" width="19.6640625" style="14" customWidth="1"/>
    <col min="3" max="3" width="19.6640625" customWidth="1"/>
  </cols>
  <sheetData>
    <row r="2" spans="1:3" x14ac:dyDescent="0.2">
      <c r="C2" s="17">
        <f>SUM(C4:C38)</f>
        <v>170434080</v>
      </c>
    </row>
    <row r="3" spans="1:3" ht="18.75" customHeight="1" x14ac:dyDescent="0.2">
      <c r="A3" s="5" t="s">
        <v>0</v>
      </c>
      <c r="B3" s="5" t="s">
        <v>18</v>
      </c>
      <c r="C3" s="19" t="s">
        <v>26</v>
      </c>
    </row>
    <row r="4" spans="1:3" x14ac:dyDescent="0.2">
      <c r="A4" s="8" t="s">
        <v>33</v>
      </c>
      <c r="B4" s="3">
        <v>1</v>
      </c>
      <c r="C4" s="20">
        <v>3570540</v>
      </c>
    </row>
    <row r="5" spans="1:3" x14ac:dyDescent="0.2">
      <c r="A5" s="8" t="s">
        <v>34</v>
      </c>
      <c r="B5" s="3">
        <v>1</v>
      </c>
      <c r="C5" s="20">
        <v>800000</v>
      </c>
    </row>
    <row r="6" spans="1:3" x14ac:dyDescent="0.2">
      <c r="A6" s="8" t="s">
        <v>35</v>
      </c>
      <c r="B6" s="3">
        <v>1</v>
      </c>
      <c r="C6" s="20">
        <v>5000000</v>
      </c>
    </row>
    <row r="7" spans="1:3" x14ac:dyDescent="0.2">
      <c r="A7" s="8" t="s">
        <v>36</v>
      </c>
      <c r="B7" s="3">
        <v>1</v>
      </c>
      <c r="C7" s="20">
        <v>2000000</v>
      </c>
    </row>
    <row r="8" spans="1:3" x14ac:dyDescent="0.2">
      <c r="A8" s="8" t="s">
        <v>37</v>
      </c>
      <c r="B8" s="3">
        <v>1</v>
      </c>
      <c r="C8" s="20">
        <v>100000</v>
      </c>
    </row>
    <row r="9" spans="1:3" x14ac:dyDescent="0.2">
      <c r="A9" s="8" t="s">
        <v>38</v>
      </c>
      <c r="B9" s="3">
        <v>1</v>
      </c>
      <c r="C9" s="20">
        <v>8000000</v>
      </c>
    </row>
    <row r="10" spans="1:3" x14ac:dyDescent="0.2">
      <c r="A10" s="8" t="s">
        <v>39</v>
      </c>
      <c r="B10" s="3">
        <v>1</v>
      </c>
      <c r="C10" s="20">
        <v>292603</v>
      </c>
    </row>
    <row r="11" spans="1:3" x14ac:dyDescent="0.2">
      <c r="A11" s="8" t="s">
        <v>33</v>
      </c>
      <c r="B11" s="3">
        <f>B10+1</f>
        <v>2</v>
      </c>
      <c r="C11" s="20">
        <v>7000000</v>
      </c>
    </row>
    <row r="12" spans="1:3" x14ac:dyDescent="0.2">
      <c r="A12" s="8" t="s">
        <v>34</v>
      </c>
      <c r="B12" s="3">
        <v>2</v>
      </c>
      <c r="C12" s="20">
        <v>586340</v>
      </c>
    </row>
    <row r="13" spans="1:3" x14ac:dyDescent="0.2">
      <c r="A13" s="8" t="s">
        <v>35</v>
      </c>
      <c r="B13" s="3">
        <v>2</v>
      </c>
      <c r="C13" s="20">
        <v>2456250</v>
      </c>
    </row>
    <row r="14" spans="1:3" x14ac:dyDescent="0.2">
      <c r="A14" s="8" t="s">
        <v>36</v>
      </c>
      <c r="B14" s="3">
        <v>2</v>
      </c>
      <c r="C14" s="20">
        <v>5458140</v>
      </c>
    </row>
    <row r="15" spans="1:3" x14ac:dyDescent="0.2">
      <c r="A15" s="8" t="s">
        <v>37</v>
      </c>
      <c r="B15" s="3">
        <v>2</v>
      </c>
      <c r="C15" s="20">
        <v>828500</v>
      </c>
    </row>
    <row r="16" spans="1:3" x14ac:dyDescent="0.2">
      <c r="A16" s="8" t="s">
        <v>38</v>
      </c>
      <c r="B16" s="3">
        <v>2</v>
      </c>
      <c r="C16" s="20">
        <v>2337840</v>
      </c>
    </row>
    <row r="17" spans="1:3" x14ac:dyDescent="0.2">
      <c r="A17" s="8" t="s">
        <v>39</v>
      </c>
      <c r="B17" s="3">
        <v>2</v>
      </c>
      <c r="C17" s="20">
        <v>3296347</v>
      </c>
    </row>
    <row r="18" spans="1:3" x14ac:dyDescent="0.2">
      <c r="A18" s="8" t="s">
        <v>33</v>
      </c>
      <c r="B18" s="3">
        <f>B17+1</f>
        <v>3</v>
      </c>
      <c r="C18" s="20">
        <v>638150</v>
      </c>
    </row>
    <row r="19" spans="1:3" x14ac:dyDescent="0.2">
      <c r="A19" s="8" t="s">
        <v>34</v>
      </c>
      <c r="B19" s="3">
        <f>B18</f>
        <v>3</v>
      </c>
      <c r="C19" s="20">
        <v>16000000</v>
      </c>
    </row>
    <row r="20" spans="1:3" x14ac:dyDescent="0.2">
      <c r="A20" s="8" t="s">
        <v>35</v>
      </c>
      <c r="B20" s="3">
        <f t="shared" ref="B20:B24" si="0">B19</f>
        <v>3</v>
      </c>
      <c r="C20" s="20">
        <v>3000000</v>
      </c>
    </row>
    <row r="21" spans="1:3" x14ac:dyDescent="0.2">
      <c r="A21" s="8" t="s">
        <v>36</v>
      </c>
      <c r="B21" s="3">
        <f t="shared" si="0"/>
        <v>3</v>
      </c>
      <c r="C21" s="20">
        <v>5000000</v>
      </c>
    </row>
    <row r="22" spans="1:3" x14ac:dyDescent="0.2">
      <c r="A22" s="8" t="s">
        <v>37</v>
      </c>
      <c r="B22" s="3">
        <f t="shared" si="0"/>
        <v>3</v>
      </c>
      <c r="C22" s="20">
        <f>9588180+3000000</f>
        <v>12588180</v>
      </c>
    </row>
    <row r="23" spans="1:3" x14ac:dyDescent="0.2">
      <c r="A23" s="8" t="s">
        <v>38</v>
      </c>
      <c r="B23" s="3">
        <f t="shared" si="0"/>
        <v>3</v>
      </c>
      <c r="C23" s="20">
        <v>15000000</v>
      </c>
    </row>
    <row r="24" spans="1:3" x14ac:dyDescent="0.2">
      <c r="A24" s="8" t="s">
        <v>39</v>
      </c>
      <c r="B24" s="3">
        <f t="shared" si="0"/>
        <v>3</v>
      </c>
      <c r="C24" s="20">
        <v>9677430</v>
      </c>
    </row>
    <row r="25" spans="1:3" x14ac:dyDescent="0.2">
      <c r="A25" s="8" t="s">
        <v>33</v>
      </c>
      <c r="B25" s="3">
        <f>B24+1</f>
        <v>4</v>
      </c>
      <c r="C25" s="20">
        <v>13511280</v>
      </c>
    </row>
    <row r="26" spans="1:3" x14ac:dyDescent="0.2">
      <c r="A26" s="8" t="s">
        <v>34</v>
      </c>
      <c r="B26" s="3">
        <f>B25</f>
        <v>4</v>
      </c>
      <c r="C26" s="20">
        <v>6179420</v>
      </c>
    </row>
    <row r="27" spans="1:3" x14ac:dyDescent="0.2">
      <c r="A27" s="8" t="s">
        <v>35</v>
      </c>
      <c r="B27" s="3">
        <f t="shared" ref="B27:B31" si="1">B26</f>
        <v>4</v>
      </c>
      <c r="C27" s="20">
        <v>5513730</v>
      </c>
    </row>
    <row r="28" spans="1:3" x14ac:dyDescent="0.2">
      <c r="A28" s="8" t="s">
        <v>36</v>
      </c>
      <c r="B28" s="3">
        <f t="shared" si="1"/>
        <v>4</v>
      </c>
      <c r="C28" s="20">
        <v>687160</v>
      </c>
    </row>
    <row r="29" spans="1:3" x14ac:dyDescent="0.2">
      <c r="A29" s="8" t="s">
        <v>37</v>
      </c>
      <c r="B29" s="3">
        <f t="shared" si="1"/>
        <v>4</v>
      </c>
      <c r="C29" s="20">
        <v>2000000</v>
      </c>
    </row>
    <row r="30" spans="1:3" x14ac:dyDescent="0.2">
      <c r="A30" s="8" t="s">
        <v>38</v>
      </c>
      <c r="B30" s="3">
        <f t="shared" si="1"/>
        <v>4</v>
      </c>
      <c r="C30" s="20">
        <v>185650</v>
      </c>
    </row>
    <row r="31" spans="1:3" x14ac:dyDescent="0.2">
      <c r="A31" s="8" t="s">
        <v>39</v>
      </c>
      <c r="B31" s="3">
        <f t="shared" si="1"/>
        <v>4</v>
      </c>
      <c r="C31" s="20">
        <v>6071500</v>
      </c>
    </row>
    <row r="32" spans="1:3" x14ac:dyDescent="0.2">
      <c r="A32" s="8" t="s">
        <v>33</v>
      </c>
      <c r="B32" s="3">
        <f>B31+1</f>
        <v>5</v>
      </c>
      <c r="C32" s="20">
        <v>821090</v>
      </c>
    </row>
    <row r="33" spans="1:3" x14ac:dyDescent="0.2">
      <c r="A33" s="8" t="s">
        <v>34</v>
      </c>
      <c r="B33" s="3">
        <f>B32</f>
        <v>5</v>
      </c>
      <c r="C33" s="20">
        <v>8263540</v>
      </c>
    </row>
    <row r="34" spans="1:3" x14ac:dyDescent="0.2">
      <c r="A34" s="8" t="s">
        <v>35</v>
      </c>
      <c r="B34" s="3">
        <f t="shared" ref="B34:B38" si="2">B33</f>
        <v>5</v>
      </c>
      <c r="C34" s="20">
        <v>6641690</v>
      </c>
    </row>
    <row r="35" spans="1:3" x14ac:dyDescent="0.2">
      <c r="A35" s="8" t="s">
        <v>36</v>
      </c>
      <c r="B35" s="3">
        <f t="shared" si="2"/>
        <v>5</v>
      </c>
      <c r="C35" s="20">
        <v>11000570</v>
      </c>
    </row>
    <row r="36" spans="1:3" x14ac:dyDescent="0.2">
      <c r="A36" s="8" t="s">
        <v>37</v>
      </c>
      <c r="B36" s="3">
        <f t="shared" si="2"/>
        <v>5</v>
      </c>
      <c r="C36" s="20">
        <v>708350</v>
      </c>
    </row>
    <row r="37" spans="1:3" x14ac:dyDescent="0.2">
      <c r="A37" s="8" t="s">
        <v>38</v>
      </c>
      <c r="B37" s="3">
        <f t="shared" si="2"/>
        <v>5</v>
      </c>
      <c r="C37" s="20">
        <v>0</v>
      </c>
    </row>
    <row r="38" spans="1:3" x14ac:dyDescent="0.2">
      <c r="A38" s="8" t="s">
        <v>39</v>
      </c>
      <c r="B38" s="3">
        <f t="shared" si="2"/>
        <v>5</v>
      </c>
      <c r="C38" s="20">
        <v>5219780</v>
      </c>
    </row>
  </sheetData>
  <autoFilter ref="A3:C39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0"/>
  <sheetViews>
    <sheetView workbookViewId="0">
      <selection activeCell="E44" sqref="E44"/>
    </sheetView>
  </sheetViews>
  <sheetFormatPr defaultRowHeight="11.25" x14ac:dyDescent="0.2"/>
  <cols>
    <col min="1" max="1" width="27.1640625" bestFit="1" customWidth="1"/>
    <col min="2" max="2" width="25.83203125" bestFit="1" customWidth="1"/>
    <col min="3" max="3" width="15.5" customWidth="1"/>
    <col min="4" max="9" width="15.83203125" customWidth="1"/>
    <col min="10" max="10" width="16.1640625" customWidth="1"/>
    <col min="11" max="11" width="14.1640625" bestFit="1" customWidth="1"/>
    <col min="12" max="12" width="10.5" bestFit="1" customWidth="1"/>
  </cols>
  <sheetData>
    <row r="2" spans="1:12" x14ac:dyDescent="0.2">
      <c r="E2">
        <v>1</v>
      </c>
      <c r="F2">
        <v>2</v>
      </c>
      <c r="G2">
        <v>3</v>
      </c>
      <c r="H2">
        <v>4</v>
      </c>
      <c r="I2">
        <v>5</v>
      </c>
    </row>
    <row r="3" spans="1:12" ht="22.5" x14ac:dyDescent="0.2">
      <c r="D3" s="28" t="s">
        <v>54</v>
      </c>
      <c r="E3" s="13" t="s">
        <v>48</v>
      </c>
      <c r="F3" s="13" t="s">
        <v>49</v>
      </c>
      <c r="G3" s="13" t="s">
        <v>50</v>
      </c>
      <c r="H3" s="13" t="s">
        <v>51</v>
      </c>
      <c r="I3" s="13" t="s">
        <v>52</v>
      </c>
      <c r="J3" s="13" t="s">
        <v>53</v>
      </c>
    </row>
    <row r="4" spans="1:12" x14ac:dyDescent="0.2">
      <c r="A4" s="16"/>
      <c r="B4" s="46" t="s">
        <v>33</v>
      </c>
      <c r="C4" s="21" t="s">
        <v>27</v>
      </c>
      <c r="D4" s="21"/>
      <c r="E4" s="21">
        <v>8382</v>
      </c>
      <c r="F4" s="21">
        <f>SUMIFS(Продажи[вес],Продажи[Клиент],'Сводный отчет'!$B$4,Продажи[Неделя],'Сводный отчет'!F2)</f>
        <v>14352</v>
      </c>
      <c r="G4" s="21">
        <f>SUMIFS(Продажи[вес],Продажи[Клиент],'Сводный отчет'!$B$4,Продажи[Неделя],'Сводный отчет'!G2)</f>
        <v>13209</v>
      </c>
      <c r="H4" s="21">
        <f>SUMIFS(Продажи[вес],Продажи[Клиент],'Сводный отчет'!$B$4,Продажи[Неделя],'Сводный отчет'!H2)</f>
        <v>14331</v>
      </c>
      <c r="I4" s="21">
        <f>SUMIFS(Продажи[вес],Продажи[Клиент],'Сводный отчет'!$B$4,Продажи[Неделя],'Сводный отчет'!I2)</f>
        <v>17759</v>
      </c>
      <c r="J4" s="21">
        <f>SUM(E4:I4)</f>
        <v>68033</v>
      </c>
    </row>
    <row r="5" spans="1:12" x14ac:dyDescent="0.2">
      <c r="A5" s="16"/>
      <c r="B5" s="46"/>
      <c r="C5" s="22" t="s">
        <v>28</v>
      </c>
      <c r="D5" s="22"/>
      <c r="E5" s="22">
        <v>4030950</v>
      </c>
      <c r="F5" s="22">
        <f>SUMIFS(Продажи[выручка с НДС],Продажи[Клиент],'Сводный отчет'!$B$4,Продажи[Неделя],'Сводный отчет'!F2)</f>
        <v>6585280</v>
      </c>
      <c r="G5" s="22">
        <f>SUMIFS(Продажи[выручка с НДС],Продажи[Клиент],'Сводный отчет'!$B$4,Продажи[Неделя],'Сводный отчет'!G2)</f>
        <v>6092460</v>
      </c>
      <c r="H5" s="22">
        <f>SUMIFS(Продажи[выручка с НДС],Продажи[Клиент],'Сводный отчет'!$B$4,Продажи[Неделя],'Сводный отчет'!H2)</f>
        <v>7511280</v>
      </c>
      <c r="I5" s="22">
        <f>SUMIFS(Продажи[выручка с НДС],Продажи[Клиент],'Сводный отчет'!$B$4,Продажи[Неделя],'Сводный отчет'!I2)</f>
        <v>8821090</v>
      </c>
      <c r="J5" s="22">
        <f t="shared" ref="J5:J35" si="0">SUM(E5:I5)</f>
        <v>33041060</v>
      </c>
    </row>
    <row r="6" spans="1:12" x14ac:dyDescent="0.2">
      <c r="A6" s="16"/>
      <c r="B6" s="46"/>
      <c r="C6" s="23" t="s">
        <v>29</v>
      </c>
      <c r="D6" s="23"/>
      <c r="E6" s="23">
        <v>3570540</v>
      </c>
      <c r="F6" s="23">
        <f t="array" ref="F6">INDEX(ДДС!C4:C38,MATCH('Сводный отчет'!$B$4&amp;'Сводный отчет'!F2,ДДС!A4:A38&amp;ДДС!B4:B38,0))</f>
        <v>7000000</v>
      </c>
      <c r="G6" s="23">
        <f t="array" ref="G6">INDEX(ДДС!C4:C38,MATCH('Сводный отчет'!$B$4&amp;'Сводный отчет'!G2,ДДС!A4:A38&amp;ДДС!B4:B38,0))</f>
        <v>638150</v>
      </c>
      <c r="H6" s="23">
        <f t="array" ref="H6">INDEX(ДДС!C4:C38,MATCH('Сводный отчет'!$B$4&amp;'Сводный отчет'!H2,ДДС!A4:A38&amp;ДДС!B4:B38,0))</f>
        <v>13511280</v>
      </c>
      <c r="I6" s="23">
        <f t="array" ref="I6">INDEX(ДДС!C4:C38,MATCH('Сводный отчет'!$B$4&amp;'Сводный отчет'!I2,ДДС!A4:A38&amp;ДДС!B4:B38,0))</f>
        <v>821090</v>
      </c>
      <c r="J6" s="23">
        <f t="shared" si="0"/>
        <v>25541060</v>
      </c>
    </row>
    <row r="7" spans="1:12" x14ac:dyDescent="0.2">
      <c r="A7" s="16"/>
      <c r="B7" s="46"/>
      <c r="C7" s="24" t="s">
        <v>30</v>
      </c>
      <c r="D7" s="24">
        <v>500000</v>
      </c>
      <c r="E7" s="24">
        <v>960410</v>
      </c>
      <c r="F7" s="24">
        <f>E7+(F5-F6)</f>
        <v>545690</v>
      </c>
      <c r="G7" s="24">
        <f t="shared" ref="G7:I7" si="1">F7+(G5-G6)</f>
        <v>6000000</v>
      </c>
      <c r="H7" s="24">
        <f t="shared" si="1"/>
        <v>0</v>
      </c>
      <c r="I7" s="24">
        <f t="shared" si="1"/>
        <v>8000000</v>
      </c>
      <c r="J7" s="24">
        <f t="shared" si="0"/>
        <v>15506100</v>
      </c>
    </row>
    <row r="8" spans="1:12" x14ac:dyDescent="0.2">
      <c r="A8" s="16"/>
      <c r="B8" s="46" t="s">
        <v>34</v>
      </c>
      <c r="C8" s="21" t="s">
        <v>27</v>
      </c>
      <c r="D8" s="21"/>
      <c r="E8" s="21">
        <v>10395</v>
      </c>
      <c r="F8" s="21">
        <f>SUMIFS(Продажи[вес],Продажи[Клиент],'Сводный отчет'!$B$8,Продажи[Неделя],'Сводный отчет'!F2)</f>
        <v>16276</v>
      </c>
      <c r="G8" s="21">
        <f>SUMIFS(Продажи[вес],Продажи[Клиент],'Сводный отчет'!$B$8,Продажи[Неделя],'Сводный отчет'!G2)</f>
        <v>14841</v>
      </c>
      <c r="H8" s="21">
        <f>SUMIFS(Продажи[вес],Продажи[Клиент],'Сводный отчет'!$B$8,Продажи[Неделя],'Сводный отчет'!H2)</f>
        <v>11577</v>
      </c>
      <c r="I8" s="21">
        <f>SUMIFS(Продажи[вес],Продажи[Клиент],'Сводный отчет'!$B$8,Продажи[Неделя],'Сводный отчет'!I2)</f>
        <v>18880</v>
      </c>
      <c r="J8" s="21">
        <f t="shared" si="0"/>
        <v>71969</v>
      </c>
      <c r="L8" s="16"/>
    </row>
    <row r="9" spans="1:12" x14ac:dyDescent="0.2">
      <c r="A9" s="16"/>
      <c r="B9" s="46"/>
      <c r="C9" s="22" t="s">
        <v>28</v>
      </c>
      <c r="D9" s="22"/>
      <c r="E9" s="22">
        <v>4016100</v>
      </c>
      <c r="F9" s="22">
        <f>SUMIFS(Продажи[выручка с НДС],Продажи[Клиент],'Сводный отчет'!$B$8,Продажи[Неделя],'Сводный отчет'!F2)</f>
        <v>5570240</v>
      </c>
      <c r="G9" s="22">
        <f>SUMIFS(Продажи[выручка с НДС],Продажи[Клиент],'Сводный отчет'!$B$8,Продажи[Неделя],'Сводный отчет'!G2)</f>
        <v>7366950</v>
      </c>
      <c r="H9" s="22">
        <f>SUMIFS(Продажи[выручка с НДС],Продажи[Клиент],'Сводный отчет'!$B$8,Продажи[Неделя],'Сводный отчет'!H2)</f>
        <v>5812470</v>
      </c>
      <c r="I9" s="22">
        <f>SUMIFS(Продажи[выручка с НДС],Продажи[Клиент],'Сводный отчет'!$B$8,Продажи[Неделя],'Сводный отчет'!I2)</f>
        <v>8263540</v>
      </c>
      <c r="J9" s="22">
        <f t="shared" si="0"/>
        <v>31029300</v>
      </c>
    </row>
    <row r="10" spans="1:12" x14ac:dyDescent="0.2">
      <c r="A10" s="16"/>
      <c r="B10" s="46"/>
      <c r="C10" s="23" t="s">
        <v>29</v>
      </c>
      <c r="D10" s="23"/>
      <c r="E10" s="23">
        <v>800000</v>
      </c>
      <c r="F10" s="23">
        <f t="array" ref="F10">INDEX(ДДС!C4:C38,MATCH('Сводный отчет'!$B$8&amp;'Сводный отчет'!F2,ДДС!A4:A38&amp;ДДС!B4:B38,0))</f>
        <v>586340</v>
      </c>
      <c r="G10" s="23">
        <f t="array" ref="G10">INDEX(ДДС!C4:C38,MATCH('Сводный отчет'!$B$8&amp;'Сводный отчет'!G2,ДДС!A4:A38&amp;ДДС!B4:B38,0))</f>
        <v>16000000</v>
      </c>
      <c r="H10" s="23">
        <f t="array" ref="H10">INDEX(ДДС!C4:C38,MATCH('Сводный отчет'!$B$8&amp;'Сводный отчет'!H2,ДДС!A4:A38&amp;ДДС!B4:B38,0))</f>
        <v>6179420</v>
      </c>
      <c r="I10" s="23">
        <f t="array" ref="I10">INDEX(ДДС!C4:C38,MATCH('Сводный отчет'!$B$8&amp;'Сводный отчет'!I2,ДДС!A4:A38&amp;ДДС!B4:B38,0))</f>
        <v>8263540</v>
      </c>
      <c r="J10" s="23">
        <f t="shared" si="0"/>
        <v>31829300</v>
      </c>
    </row>
    <row r="11" spans="1:12" x14ac:dyDescent="0.2">
      <c r="A11" s="16"/>
      <c r="B11" s="46"/>
      <c r="C11" s="24" t="s">
        <v>30</v>
      </c>
      <c r="D11" s="24">
        <v>800000</v>
      </c>
      <c r="E11" s="24">
        <v>4016100</v>
      </c>
      <c r="F11" s="24">
        <f>E11+(F9-F10)</f>
        <v>9000000</v>
      </c>
      <c r="G11" s="24">
        <f t="shared" ref="G11:I11" si="2">F11+(G9-G10)</f>
        <v>366950</v>
      </c>
      <c r="H11" s="24">
        <f t="shared" si="2"/>
        <v>0</v>
      </c>
      <c r="I11" s="24">
        <f t="shared" si="2"/>
        <v>0</v>
      </c>
      <c r="J11" s="24">
        <f t="shared" si="0"/>
        <v>13383050</v>
      </c>
    </row>
    <row r="12" spans="1:12" x14ac:dyDescent="0.2">
      <c r="A12" s="16"/>
      <c r="B12" s="46" t="s">
        <v>35</v>
      </c>
      <c r="C12" s="21" t="s">
        <v>27</v>
      </c>
      <c r="D12" s="21"/>
      <c r="E12" s="21">
        <v>10956</v>
      </c>
      <c r="F12" s="21">
        <f>SUMIFS(Продажи[вес],Продажи[Клиент],'Сводный отчет'!$B$12,Продажи[Неделя],'Сводный отчет'!F2)</f>
        <v>8268</v>
      </c>
      <c r="G12" s="21">
        <f>SUMIFS(Продажи[вес],Продажи[Клиент],'Сводный отчет'!$B$12,Продажи[Неделя],'Сводный отчет'!G2)</f>
        <v>13260</v>
      </c>
      <c r="H12" s="21">
        <f>SUMIFS(Продажи[вес],Продажи[Клиент],'Сводный отчет'!$B$12,Продажи[Неделя],'Сводный отчет'!H2)</f>
        <v>14586</v>
      </c>
      <c r="I12" s="21">
        <f>SUMIFS(Продажи[вес],Продажи[Клиент],'Сводный отчет'!$B$12,Продажи[Неделя],'Сводный отчет'!I2)</f>
        <v>18113</v>
      </c>
      <c r="J12" s="21">
        <f t="shared" si="0"/>
        <v>65183</v>
      </c>
    </row>
    <row r="13" spans="1:12" x14ac:dyDescent="0.2">
      <c r="A13" s="16"/>
      <c r="B13" s="46"/>
      <c r="C13" s="22" t="s">
        <v>28</v>
      </c>
      <c r="D13" s="22"/>
      <c r="E13" s="22">
        <v>3584790</v>
      </c>
      <c r="F13" s="22">
        <f>SUMIFS(Продажи[выручка с НДС],Продажи[Клиент],'Сводный отчет'!$B$12,Продажи[Неделя],'Сводный отчет'!F2)</f>
        <v>3024320</v>
      </c>
      <c r="G13" s="22">
        <f>SUMIFS(Продажи[выручка с НДС],Продажи[Клиент],'Сводный отчет'!$B$12,Продажи[Неделя],'Сводный отчет'!G2)</f>
        <v>6637140</v>
      </c>
      <c r="H13" s="22">
        <f>SUMIFS(Продажи[выручка с НДС],Продажи[Клиент],'Сводный отчет'!$B$12,Продажи[Неделя],'Сводный отчет'!H2)</f>
        <v>5723730</v>
      </c>
      <c r="I13" s="22">
        <f>SUMIFS(Продажи[выручка с НДС],Продажи[Клиент],'Сводный отчет'!$B$12,Продажи[Неделя],'Сводный отчет'!I2)</f>
        <v>6661690</v>
      </c>
      <c r="J13" s="22">
        <f t="shared" si="0"/>
        <v>25631670</v>
      </c>
    </row>
    <row r="14" spans="1:12" x14ac:dyDescent="0.2">
      <c r="A14" s="16"/>
      <c r="B14" s="46"/>
      <c r="C14" s="23" t="s">
        <v>29</v>
      </c>
      <c r="D14" s="23"/>
      <c r="E14" s="23">
        <v>5000000</v>
      </c>
      <c r="F14" s="23">
        <f t="array" ref="F14">INDEX(ДДС!C4:C38,MATCH('Сводный отчет'!$B$12&amp;'Сводный отчет'!F2,ДДС!A4:A38&amp;ДДС!B4:B38,0))</f>
        <v>2456250</v>
      </c>
      <c r="G14" s="23">
        <f t="array" ref="G14">INDEX(ДДС!C4:C38,MATCH('Сводный отчет'!$B$12&amp;'Сводный отчет'!G2,ДДС!A4:A38&amp;ДДС!B4:B38,0))</f>
        <v>3000000</v>
      </c>
      <c r="H14" s="23">
        <f t="array" ref="H14">INDEX(ДДС!C4:C38,MATCH('Сводный отчет'!$B$12&amp;'Сводный отчет'!H2,ДДС!A4:A38&amp;ДДС!B4:B38,0))</f>
        <v>5513730</v>
      </c>
      <c r="I14" s="23">
        <f t="array" ref="I14">INDEX(ДДС!C4:C38,MATCH('Сводный отчет'!$B$12&amp;'Сводный отчет'!I2,ДДС!A4:A38&amp;ДДС!B4:B38,0))</f>
        <v>6641690</v>
      </c>
      <c r="J14" s="23">
        <f t="shared" si="0"/>
        <v>22611670</v>
      </c>
    </row>
    <row r="15" spans="1:12" x14ac:dyDescent="0.2">
      <c r="A15" s="16"/>
      <c r="B15" s="46"/>
      <c r="C15" s="24" t="s">
        <v>30</v>
      </c>
      <c r="D15" s="24">
        <v>-3000000</v>
      </c>
      <c r="E15" s="24">
        <v>-4415210</v>
      </c>
      <c r="F15" s="24">
        <f>E15+(F13-F14)</f>
        <v>-3847140</v>
      </c>
      <c r="G15" s="24">
        <f t="shared" ref="G15:I15" si="3">F15+(G13-G14)</f>
        <v>-210000</v>
      </c>
      <c r="H15" s="24">
        <f t="shared" si="3"/>
        <v>0</v>
      </c>
      <c r="I15" s="24">
        <f t="shared" si="3"/>
        <v>20000</v>
      </c>
      <c r="J15" s="24">
        <f t="shared" si="0"/>
        <v>-8452350</v>
      </c>
    </row>
    <row r="16" spans="1:12" x14ac:dyDescent="0.2">
      <c r="A16" s="16"/>
      <c r="B16" s="46" t="s">
        <v>36</v>
      </c>
      <c r="C16" s="21" t="s">
        <v>27</v>
      </c>
      <c r="D16" s="21"/>
      <c r="E16" s="21">
        <v>6303</v>
      </c>
      <c r="F16" s="21">
        <f>SUMIFS(Продажи[вес],Продажи[Клиент],'Сводный отчет'!$B$16,Продажи[Неделя],'Сводный отчет'!F2)</f>
        <v>10348</v>
      </c>
      <c r="G16" s="21">
        <f>SUMIFS(Продажи[вес],Продажи[Клиент],'Сводный отчет'!$B$16,Продажи[Неделя],'Сводный отчет'!G2)</f>
        <v>10659</v>
      </c>
      <c r="H16" s="21">
        <f>SUMIFS(Продажи[вес],Продажи[Клиент],'Сводный отчет'!$B$16,Продажи[Неделя],'Сводный отчет'!H2)</f>
        <v>14433</v>
      </c>
      <c r="I16" s="21">
        <f>SUMIFS(Продажи[вес],Продажи[Клиент],'Сводный отчет'!$B$16,Продажи[Неделя],'Сводный отчет'!I2)</f>
        <v>12980</v>
      </c>
      <c r="J16" s="21">
        <f t="shared" si="0"/>
        <v>54723</v>
      </c>
    </row>
    <row r="17" spans="1:11" x14ac:dyDescent="0.2">
      <c r="A17" s="16"/>
      <c r="B17" s="46"/>
      <c r="C17" s="22" t="s">
        <v>28</v>
      </c>
      <c r="D17" s="22"/>
      <c r="E17" s="22">
        <v>2788500</v>
      </c>
      <c r="F17" s="22">
        <f>SUMIFS(Продажи[выручка с НДС],Продажи[Клиент],'Сводный отчет'!$B$16,Продажи[Неделя],'Сводный отчет'!F2)</f>
        <v>4969640</v>
      </c>
      <c r="G17" s="22">
        <f>SUMIFS(Продажи[выручка с НДС],Продажи[Клиент],'Сводный отчет'!$B$16,Продажи[Неделя],'Сводный отчет'!G2)</f>
        <v>4123860</v>
      </c>
      <c r="H17" s="22">
        <f>SUMIFS(Продажи[выручка с НДС],Продажи[Клиент],'Сводный отчет'!$B$16,Продажи[Неделя],'Сводный отчет'!H2)</f>
        <v>7563300</v>
      </c>
      <c r="I17" s="22">
        <f>SUMIFS(Продажи[выручка с НДС],Продажи[Клиент],'Сводный отчет'!$B$16,Продажи[Неделя],'Сводный отчет'!I2)</f>
        <v>5500570</v>
      </c>
      <c r="J17" s="22">
        <f t="shared" si="0"/>
        <v>24945870</v>
      </c>
    </row>
    <row r="18" spans="1:11" x14ac:dyDescent="0.2">
      <c r="A18" s="16"/>
      <c r="B18" s="46"/>
      <c r="C18" s="23" t="s">
        <v>29</v>
      </c>
      <c r="D18" s="23"/>
      <c r="E18" s="23">
        <v>2000000</v>
      </c>
      <c r="F18" s="23">
        <f t="array" ref="F18">INDEX(ДДС!C4:C38,MATCH('Сводный отчет'!$B$16&amp;'Сводный отчет'!F2,ДДС!A4:A38&amp;ДДС!B4:B38,0))</f>
        <v>5458140</v>
      </c>
      <c r="G18" s="23">
        <f t="array" ref="G18">INDEX(ДДС!C4:C38,MATCH('Сводный отчет'!$B$16&amp;'Сводный отчет'!G2,ДДС!A4:A38&amp;ДДС!B4:B38,0))</f>
        <v>5000000</v>
      </c>
      <c r="H18" s="23">
        <f t="array" ref="H18">INDEX(ДДС!C4:C38,MATCH('Сводный отчет'!$B$16&amp;'Сводный отчет'!H2,ДДС!A4:A38&amp;ДДС!B4:B38,0))</f>
        <v>687160</v>
      </c>
      <c r="I18" s="23">
        <f t="array" ref="I18">INDEX(ДДС!C4:C38,MATCH('Сводный отчет'!$B$16&amp;'Сводный отчет'!I2,ДДС!A4:A38&amp;ДДС!B4:B38,0))</f>
        <v>11000570</v>
      </c>
      <c r="J18" s="23">
        <f t="shared" si="0"/>
        <v>24145870</v>
      </c>
    </row>
    <row r="19" spans="1:11" x14ac:dyDescent="0.2">
      <c r="A19" s="16"/>
      <c r="B19" s="46"/>
      <c r="C19" s="24" t="s">
        <v>30</v>
      </c>
      <c r="D19" s="24">
        <v>-300000</v>
      </c>
      <c r="E19" s="24">
        <v>488500</v>
      </c>
      <c r="F19" s="24">
        <f>E19+(F17-F18)</f>
        <v>0</v>
      </c>
      <c r="G19" s="24">
        <f t="shared" ref="G19:I19" si="4">F19+(G17-G18)</f>
        <v>-876140</v>
      </c>
      <c r="H19" s="24">
        <f t="shared" si="4"/>
        <v>6000000</v>
      </c>
      <c r="I19" s="24">
        <f t="shared" si="4"/>
        <v>500000</v>
      </c>
      <c r="J19" s="24">
        <f t="shared" si="0"/>
        <v>6112360</v>
      </c>
    </row>
    <row r="20" spans="1:11" x14ac:dyDescent="0.2">
      <c r="A20" s="16"/>
      <c r="B20" s="46" t="s">
        <v>37</v>
      </c>
      <c r="C20" s="21" t="s">
        <v>27</v>
      </c>
      <c r="D20" s="21"/>
      <c r="E20" s="21">
        <v>9537</v>
      </c>
      <c r="F20" s="21">
        <f>SUMIFS(Продажи[вес],Продажи[Клиент],'Сводный отчет'!$B$20,Продажи[Неделя],'Сводный отчет'!F2)</f>
        <v>14716</v>
      </c>
      <c r="G20" s="21">
        <f>SUMIFS(Продажи[вес],Продажи[Клиент],'Сводный отчет'!$B$20,Продажи[Неделя],'Сводный отчет'!G2)</f>
        <v>10404</v>
      </c>
      <c r="H20" s="21">
        <f>SUMIFS(Продажи[вес],Продажи[Клиент],'Сводный отчет'!$B$20,Продажи[Неделя],'Сводный отчет'!H2)</f>
        <v>11067</v>
      </c>
      <c r="I20" s="21">
        <f>SUMIFS(Продажи[вес],Продажи[Клиент],'Сводный отчет'!$B$20,Продажи[Неделя],'Сводный отчет'!I2)</f>
        <v>14986</v>
      </c>
      <c r="J20" s="21">
        <f t="shared" si="0"/>
        <v>60710</v>
      </c>
    </row>
    <row r="21" spans="1:11" x14ac:dyDescent="0.2">
      <c r="A21" s="16"/>
      <c r="B21" s="46"/>
      <c r="C21" s="22" t="s">
        <v>28</v>
      </c>
      <c r="D21" s="22"/>
      <c r="E21" s="22">
        <v>3211560</v>
      </c>
      <c r="F21" s="22">
        <f>SUMIFS(Продажи[выручка с НДС],Продажи[Клиент],'Сводный отчет'!$B$20,Продажи[Неделя],'Сводный отчет'!F2)</f>
        <v>4695080</v>
      </c>
      <c r="G21" s="22">
        <f>SUMIFS(Продажи[выручка с НДС],Продажи[Клиент],'Сводный отчет'!$B$20,Продажи[Неделя],'Сводный отчет'!G2)</f>
        <v>4021860</v>
      </c>
      <c r="H21" s="22">
        <f>SUMIFS(Продажи[выручка с НДС],Продажи[Клиент],'Сводный отчет'!$B$20,Продажи[Неделя],'Сводный отчет'!H2)</f>
        <v>6588180</v>
      </c>
      <c r="I21" s="22">
        <f>SUMIFS(Продажи[выручка с НДС],Продажи[Клиент],'Сводный отчет'!$B$20,Продажи[Неделя],'Сводный отчет'!I2)</f>
        <v>7708350</v>
      </c>
      <c r="J21" s="22">
        <f t="shared" si="0"/>
        <v>26225030</v>
      </c>
    </row>
    <row r="22" spans="1:11" x14ac:dyDescent="0.2">
      <c r="A22" s="16"/>
      <c r="B22" s="46"/>
      <c r="C22" s="23" t="s">
        <v>29</v>
      </c>
      <c r="D22" s="23"/>
      <c r="E22" s="23">
        <v>100000</v>
      </c>
      <c r="F22" s="23">
        <f t="array" ref="F22">INDEX(ДДС!C4:C38,MATCH('Сводный отчет'!$B$20&amp;'Сводный отчет'!F2,ДДС!A4:A38&amp;ДДС!B4:B38,0))</f>
        <v>828500</v>
      </c>
      <c r="G22" s="23">
        <f t="array" ref="G22">INDEX(ДДС!C4:C38,MATCH('Сводный отчет'!$B$20&amp;'Сводный отчет'!G2,ДДС!A4:A38&amp;ДДС!B4:B38,0))</f>
        <v>12588180</v>
      </c>
      <c r="H22" s="23">
        <f t="array" ref="H22">INDEX(ДДС!C4:C38,MATCH('Сводный отчет'!$B$20&amp;'Сводный отчет'!H2,ДДС!A4:A38&amp;ДДС!B4:B38,0))</f>
        <v>2000000</v>
      </c>
      <c r="I22" s="23">
        <f t="array" ref="I22">INDEX(ДДС!C4:C38,MATCH('Сводный отчет'!$B$20&amp;'Сводный отчет'!I2,ДДС!A4:A38&amp;ДДС!B4:B38,0))</f>
        <v>708350</v>
      </c>
      <c r="J22" s="23">
        <f t="shared" si="0"/>
        <v>16225030</v>
      </c>
    </row>
    <row r="23" spans="1:11" x14ac:dyDescent="0.2">
      <c r="A23" s="16"/>
      <c r="B23" s="46"/>
      <c r="C23" s="24" t="s">
        <v>30</v>
      </c>
      <c r="D23" s="24">
        <v>-8000000</v>
      </c>
      <c r="E23" s="24">
        <v>-4888440</v>
      </c>
      <c r="F23" s="24">
        <f>E23+(F21-F22)</f>
        <v>-1021860</v>
      </c>
      <c r="G23" s="24">
        <f t="shared" ref="G23:I23" si="5">F23+(G21-G22)</f>
        <v>-9588180</v>
      </c>
      <c r="H23" s="24">
        <f t="shared" si="5"/>
        <v>-5000000</v>
      </c>
      <c r="I23" s="24">
        <f t="shared" si="5"/>
        <v>2000000</v>
      </c>
      <c r="J23" s="24">
        <f t="shared" si="0"/>
        <v>-18498480</v>
      </c>
    </row>
    <row r="24" spans="1:11" x14ac:dyDescent="0.2">
      <c r="A24" s="16"/>
      <c r="B24" s="46" t="s">
        <v>38</v>
      </c>
      <c r="C24" s="21" t="s">
        <v>27</v>
      </c>
      <c r="D24" s="21"/>
      <c r="E24" s="21">
        <v>6633</v>
      </c>
      <c r="F24" s="21">
        <f>SUMIFS(Продажи[вес],Продажи[Клиент],'Сводный отчет'!$B$24,Продажи[Неделя],'Сводный отчет'!F2)</f>
        <v>12636</v>
      </c>
      <c r="G24" s="21">
        <f>SUMIFS(Продажи[вес],Продажи[Клиент],'Сводный отчет'!$B$24,Продажи[Неделя],'Сводный отчет'!G2)</f>
        <v>13617</v>
      </c>
      <c r="H24" s="21">
        <f>SUMIFS(Продажи[вес],Продажи[Клиент],'Сводный отчет'!$B$24,Продажи[Неделя],'Сводный отчет'!H2)</f>
        <v>15402</v>
      </c>
      <c r="I24" s="21">
        <f>SUMIFS(Продажи[вес],Продажи[Клиент],'Сводный отчет'!$B$24,Продажи[Неделя],'Сводный отчет'!I2)</f>
        <v>0</v>
      </c>
      <c r="J24" s="21">
        <f t="shared" si="0"/>
        <v>48288</v>
      </c>
    </row>
    <row r="25" spans="1:11" x14ac:dyDescent="0.2">
      <c r="A25" s="16"/>
      <c r="B25" s="46"/>
      <c r="C25" s="22" t="s">
        <v>28</v>
      </c>
      <c r="D25" s="22"/>
      <c r="E25" s="22">
        <v>2373360</v>
      </c>
      <c r="F25" s="22">
        <f>SUMIFS(Продажи[выручка с НДС],Продажи[Клиент],'Сводный отчет'!$B$24,Продажи[Неделя],'Сводный отчет'!F2)</f>
        <v>3964480</v>
      </c>
      <c r="G25" s="22">
        <f>SUMIFS(Продажи[выручка с НДС],Продажи[Клиент],'Сводный отчет'!$B$24,Продажи[Неделя],'Сводный отчет'!G2)</f>
        <v>6509640</v>
      </c>
      <c r="H25" s="22">
        <f>SUMIFS(Продажи[выручка с НДС],Продажи[Клиент],'Сводный отчет'!$B$24,Продажи[Неделя],'Сводный отчет'!H2)</f>
        <v>7676010</v>
      </c>
      <c r="I25" s="22">
        <f>SUMIFS(Продажи[выручка с НДС],Продажи[Клиент],'Сводный отчет'!$B$24,Продажи[Неделя],'Сводный отчет'!I2)</f>
        <v>0</v>
      </c>
      <c r="J25" s="22">
        <f t="shared" si="0"/>
        <v>20523490</v>
      </c>
    </row>
    <row r="26" spans="1:11" x14ac:dyDescent="0.2">
      <c r="A26" s="16"/>
      <c r="B26" s="46"/>
      <c r="C26" s="23" t="s">
        <v>29</v>
      </c>
      <c r="D26" s="23"/>
      <c r="E26" s="23">
        <v>8000000</v>
      </c>
      <c r="F26" s="23">
        <f t="array" ref="F26">INDEX(ДДС!C4:C38,MATCH('Сводный отчет'!$B$24&amp;'Сводный отчет'!F2,ДДС!A4:A38&amp;ДДС!B4:B38,0))</f>
        <v>2337840</v>
      </c>
      <c r="G26" s="23">
        <f t="array" ref="G26">INDEX(ДДС!C4:C38,MATCH('Сводный отчет'!$B$24&amp;'Сводный отчет'!G2,ДДС!A4:A38&amp;ДДС!B4:B38,0))</f>
        <v>15000000</v>
      </c>
      <c r="H26" s="23">
        <f t="array" ref="H26">INDEX(ДДС!C4:C38,MATCH('Сводный отчет'!$B$24&amp;'Сводный отчет'!H2,ДДС!A4:A38&amp;ДДС!B4:B38,0))</f>
        <v>185650</v>
      </c>
      <c r="I26" s="23">
        <f t="array" ref="I26">INDEX(ДДС!C4:C38,MATCH('Сводный отчет'!$B$24&amp;'Сводный отчет'!I2,ДДС!A4:A38&amp;ДДС!B4:B38,0))</f>
        <v>0</v>
      </c>
      <c r="J26" s="23">
        <f t="shared" si="0"/>
        <v>25523490</v>
      </c>
    </row>
    <row r="27" spans="1:11" x14ac:dyDescent="0.2">
      <c r="A27" s="16"/>
      <c r="B27" s="46"/>
      <c r="C27" s="24" t="s">
        <v>30</v>
      </c>
      <c r="D27" s="24">
        <v>5000000</v>
      </c>
      <c r="E27" s="24">
        <v>-626640</v>
      </c>
      <c r="F27" s="24">
        <f>E27+(F25-F26)</f>
        <v>1000000</v>
      </c>
      <c r="G27" s="24">
        <f t="shared" ref="G27:I27" si="6">F27+(G25-G26)</f>
        <v>-7490360</v>
      </c>
      <c r="H27" s="24">
        <f t="shared" si="6"/>
        <v>0</v>
      </c>
      <c r="I27" s="24">
        <f t="shared" si="6"/>
        <v>0</v>
      </c>
      <c r="J27" s="24">
        <f t="shared" si="0"/>
        <v>-7117000</v>
      </c>
    </row>
    <row r="28" spans="1:11" x14ac:dyDescent="0.2">
      <c r="A28" s="16"/>
      <c r="B28" s="46" t="s">
        <v>39</v>
      </c>
      <c r="C28" s="21" t="s">
        <v>27</v>
      </c>
      <c r="D28" s="21"/>
      <c r="E28" s="21">
        <v>7920</v>
      </c>
      <c r="F28" s="21">
        <f>SUMIFS(Продажи[вес],Продажи[Клиент],'Сводный отчет'!$B$28,Продажи[Неделя],'Сводный отчет'!F2)</f>
        <v>9464</v>
      </c>
      <c r="G28" s="21">
        <f>SUMIFS(Продажи[вес],Продажи[Клиент],'Сводный отчет'!$B$28,Продажи[Неделя],'Сводный отчет'!G2)</f>
        <v>13209</v>
      </c>
      <c r="H28" s="21">
        <f>SUMIFS(Продажи[вес],Продажи[Клиент],'Сводный отчет'!$B$28,Продажи[Неделя],'Сводный отчет'!H2)</f>
        <v>12138</v>
      </c>
      <c r="I28" s="21">
        <f>SUMIFS(Продажи[вес],Продажи[Клиент],'Сводный отчет'!$B$28,Продажи[Неделя],'Сводный отчет'!I2)</f>
        <v>12921</v>
      </c>
      <c r="J28" s="21">
        <f t="shared" si="0"/>
        <v>55652</v>
      </c>
    </row>
    <row r="29" spans="1:11" x14ac:dyDescent="0.2">
      <c r="A29" s="16"/>
      <c r="B29" s="46"/>
      <c r="C29" s="22" t="s">
        <v>28</v>
      </c>
      <c r="D29" s="22"/>
      <c r="E29" s="22">
        <v>2533740</v>
      </c>
      <c r="F29" s="22">
        <f>SUMIFS(Продажи[выручка с НДС],Продажи[Клиент],'Сводный отчет'!$B$28,Продажи[Неделя],'Сводный отчет'!F2)</f>
        <v>4054960</v>
      </c>
      <c r="G29" s="22">
        <f>SUMIFS(Продажи[выручка с НДС],Продажи[Клиент],'Сводный отчет'!$B$28,Продажи[Неделя],'Сводный отчет'!G2)</f>
        <v>6677430</v>
      </c>
      <c r="H29" s="22">
        <f>SUMIFS(Продажи[выручка с НДС],Продажи[Клиент],'Сводный отчет'!$B$28,Продажи[Неделя],'Сводный отчет'!H2)</f>
        <v>6071550</v>
      </c>
      <c r="I29" s="22">
        <f>SUMIFS(Продажи[выручка с НДС],Продажи[Клиент],'Сводный отчет'!$B$28,Продажи[Неделя],'Сводный отчет'!I2)</f>
        <v>5219730</v>
      </c>
      <c r="J29" s="22">
        <f t="shared" si="0"/>
        <v>24557410</v>
      </c>
    </row>
    <row r="30" spans="1:11" x14ac:dyDescent="0.2">
      <c r="A30" s="16"/>
      <c r="B30" s="46"/>
      <c r="C30" s="23" t="s">
        <v>29</v>
      </c>
      <c r="D30" s="23"/>
      <c r="E30" s="23">
        <v>292603</v>
      </c>
      <c r="F30" s="23">
        <f t="array" ref="F30">INDEX(ДДС!C4:C38,MATCH('Сводный отчет'!$B$28&amp;'Сводный отчет'!F2,ДДС!A4:A38&amp;ДДС!B4:B38,0))</f>
        <v>3296347</v>
      </c>
      <c r="G30" s="23">
        <f t="array" ref="G30">INDEX(ДДС!C4:C38,MATCH('Сводный отчет'!$B$28&amp;'Сводный отчет'!G2,ДДС!A4:A38&amp;ДДС!B4:B38,0))</f>
        <v>9677430</v>
      </c>
      <c r="H30" s="23">
        <f t="array" ref="H30">INDEX(ДДС!C4:C38,MATCH('Сводный отчет'!$B$28&amp;'Сводный отчет'!H2,ДДС!A4:A38&amp;ДДС!B4:B38,0))</f>
        <v>6071500</v>
      </c>
      <c r="I30" s="23">
        <f t="array" ref="I30">INDEX(ДДС!C4:C38,MATCH('Сводный отчет'!$B$28&amp;'Сводный отчет'!I2,ДДС!A4:A38&amp;ДДС!B4:B38,0))</f>
        <v>5219780</v>
      </c>
      <c r="J30" s="23">
        <f t="shared" si="0"/>
        <v>24557660</v>
      </c>
    </row>
    <row r="31" spans="1:11" x14ac:dyDescent="0.2">
      <c r="A31" s="16"/>
      <c r="B31" s="46"/>
      <c r="C31" s="24" t="s">
        <v>30</v>
      </c>
      <c r="D31" s="24">
        <v>250</v>
      </c>
      <c r="E31" s="24">
        <v>2241387</v>
      </c>
      <c r="F31" s="24">
        <f>E31+(F29-F30)</f>
        <v>3000000</v>
      </c>
      <c r="G31" s="24">
        <f t="shared" ref="G31:I31" si="7">F31+(G29-G30)</f>
        <v>0</v>
      </c>
      <c r="H31" s="24">
        <f t="shared" si="7"/>
        <v>50</v>
      </c>
      <c r="I31" s="24">
        <f t="shared" si="7"/>
        <v>0</v>
      </c>
      <c r="J31" s="24">
        <f t="shared" si="0"/>
        <v>5241437</v>
      </c>
    </row>
    <row r="32" spans="1:11" x14ac:dyDescent="0.2">
      <c r="A32" s="16"/>
      <c r="B32" s="46" t="s">
        <v>31</v>
      </c>
      <c r="C32" s="21" t="s">
        <v>27</v>
      </c>
      <c r="D32" s="21"/>
      <c r="E32" s="21">
        <v>60126</v>
      </c>
      <c r="F32" s="21">
        <f>SUM(F4,F8,F12,F16,F20,F24,F28)</f>
        <v>86060</v>
      </c>
      <c r="G32" s="21">
        <f t="shared" ref="G32:I32" si="8">SUM(G4,G8,G12,G16,G20,G24,G28)</f>
        <v>89199</v>
      </c>
      <c r="H32" s="21">
        <f t="shared" si="8"/>
        <v>93534</v>
      </c>
      <c r="I32" s="21">
        <f t="shared" si="8"/>
        <v>95639</v>
      </c>
      <c r="J32" s="21">
        <f t="shared" si="0"/>
        <v>424558</v>
      </c>
      <c r="K32" s="16"/>
    </row>
    <row r="33" spans="1:10" x14ac:dyDescent="0.2">
      <c r="A33" s="16"/>
      <c r="B33" s="46"/>
      <c r="C33" s="22" t="s">
        <v>28</v>
      </c>
      <c r="D33" s="22"/>
      <c r="E33" s="22">
        <v>22539000</v>
      </c>
      <c r="F33" s="22">
        <f>SUM(F5,F9,F13,F17,F21,F25,F29)</f>
        <v>32864000</v>
      </c>
      <c r="G33" s="22">
        <f t="shared" ref="G33:I33" si="9">SUM(G5,G9,G13,G17,G21,G25,G29)</f>
        <v>41429340</v>
      </c>
      <c r="H33" s="22">
        <f t="shared" si="9"/>
        <v>46946520</v>
      </c>
      <c r="I33" s="22">
        <f>SUM(I5,I9,I13,I17,I21,I25,I29)</f>
        <v>42174970</v>
      </c>
      <c r="J33" s="22">
        <f>SUM(E33:I33)</f>
        <v>185953830</v>
      </c>
    </row>
    <row r="34" spans="1:10" x14ac:dyDescent="0.2">
      <c r="A34" s="16"/>
      <c r="B34" s="46"/>
      <c r="C34" s="23" t="s">
        <v>29</v>
      </c>
      <c r="D34" s="23"/>
      <c r="E34" s="23">
        <v>19763143</v>
      </c>
      <c r="F34" s="23">
        <f>SUM(F6,F10,F14,F18,F22,F26,F30)</f>
        <v>21963417</v>
      </c>
      <c r="G34" s="23">
        <f t="shared" ref="G34:I34" si="10">SUM(G6,G10,G14,G18,G22,G26,G30)</f>
        <v>61903760</v>
      </c>
      <c r="H34" s="23">
        <f t="shared" si="10"/>
        <v>34148740</v>
      </c>
      <c r="I34" s="23">
        <f t="shared" si="10"/>
        <v>32655020</v>
      </c>
      <c r="J34" s="23">
        <f>SUM(E34:I34)</f>
        <v>170434080</v>
      </c>
    </row>
    <row r="35" spans="1:10" x14ac:dyDescent="0.2">
      <c r="A35" s="16"/>
      <c r="B35" s="46"/>
      <c r="C35" s="24" t="s">
        <v>30</v>
      </c>
      <c r="D35" s="24">
        <v>-4999750</v>
      </c>
      <c r="E35" s="24">
        <v>-2223893</v>
      </c>
      <c r="F35" s="24">
        <f>SUM(F7,F11,F15,F19,F23,F27,F31)</f>
        <v>8676690</v>
      </c>
      <c r="G35" s="24">
        <f t="shared" ref="G35:I35" si="11">SUM(G7,G11,G15,G19,G23,G27,G31)</f>
        <v>-11797730</v>
      </c>
      <c r="H35" s="24">
        <f t="shared" si="11"/>
        <v>1000050</v>
      </c>
      <c r="I35" s="24">
        <f t="shared" si="11"/>
        <v>10520000</v>
      </c>
      <c r="J35" s="24">
        <f t="shared" si="0"/>
        <v>6175117</v>
      </c>
    </row>
    <row r="37" spans="1:10" x14ac:dyDescent="0.2">
      <c r="B37" t="s">
        <v>55</v>
      </c>
      <c r="E37" s="16">
        <f>D35+E33-E34-E35</f>
        <v>0</v>
      </c>
      <c r="F37" s="16">
        <f>E35+F33-F34-F35</f>
        <v>0</v>
      </c>
      <c r="G37" s="16">
        <f t="shared" ref="G37" si="12">F35+G33-G34-G35</f>
        <v>0</v>
      </c>
      <c r="H37" s="16">
        <f>G35+H33-H34-H35</f>
        <v>0</v>
      </c>
      <c r="I37" s="16">
        <f>H35+I33-I34-I35</f>
        <v>0</v>
      </c>
      <c r="J37" s="16"/>
    </row>
    <row r="38" spans="1:10" x14ac:dyDescent="0.2">
      <c r="B38" t="s">
        <v>56</v>
      </c>
      <c r="E38" s="16">
        <f>'Задание 1'!D39-E32</f>
        <v>0</v>
      </c>
      <c r="F38" s="16">
        <f>'Задание 1'!G39-F32</f>
        <v>0</v>
      </c>
      <c r="G38" s="16">
        <f>'Задание 1'!J39-G32</f>
        <v>0</v>
      </c>
      <c r="H38" s="16">
        <f>'Задание 1'!M39-H32</f>
        <v>0</v>
      </c>
      <c r="I38" s="16">
        <f>'Задание 1'!P39-I32</f>
        <v>0</v>
      </c>
      <c r="J38" s="16">
        <f>'Задание 1'!S39-J32</f>
        <v>0</v>
      </c>
    </row>
    <row r="39" spans="1:10" x14ac:dyDescent="0.2">
      <c r="B39" t="s">
        <v>58</v>
      </c>
      <c r="E39" s="16">
        <f>'Задание 1'!E39-E33</f>
        <v>0</v>
      </c>
      <c r="F39" s="16">
        <f>'Задание 1'!H39-F33</f>
        <v>0</v>
      </c>
      <c r="G39" s="16">
        <f>'Задание 1'!K39-G33</f>
        <v>0</v>
      </c>
      <c r="H39" s="16">
        <f>'Задание 1'!N39-H33</f>
        <v>0</v>
      </c>
      <c r="I39" s="16">
        <f>'Задание 1'!Q39-'Сводный отчет'!I33</f>
        <v>0</v>
      </c>
      <c r="J39" s="16">
        <f>'Задание 1'!T39-J33</f>
        <v>0</v>
      </c>
    </row>
    <row r="40" spans="1:10" x14ac:dyDescent="0.2">
      <c r="B40" t="s">
        <v>57</v>
      </c>
      <c r="J40" s="16">
        <f>J34-ДДС!C2</f>
        <v>0</v>
      </c>
    </row>
  </sheetData>
  <autoFilter ref="A3:K35"/>
  <mergeCells count="8">
    <mergeCell ref="B28:B31"/>
    <mergeCell ref="B32:B35"/>
    <mergeCell ref="B4:B7"/>
    <mergeCell ref="B8:B11"/>
    <mergeCell ref="B12:B15"/>
    <mergeCell ref="B16:B19"/>
    <mergeCell ref="B20:B23"/>
    <mergeCell ref="B24:B2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23"/>
  <sheetViews>
    <sheetView topLeftCell="A13" zoomScale="145" zoomScaleNormal="145" workbookViewId="0">
      <selection activeCell="B27" sqref="B27"/>
    </sheetView>
  </sheetViews>
  <sheetFormatPr defaultRowHeight="11.25" x14ac:dyDescent="0.2"/>
  <cols>
    <col min="2" max="2" width="95" customWidth="1"/>
  </cols>
  <sheetData>
    <row r="3" spans="2:2" x14ac:dyDescent="0.2">
      <c r="B3" s="1" t="s">
        <v>72</v>
      </c>
    </row>
    <row r="5" spans="2:2" ht="45.75" customHeight="1" x14ac:dyDescent="0.2">
      <c r="B5" s="29" t="s">
        <v>65</v>
      </c>
    </row>
    <row r="7" spans="2:2" x14ac:dyDescent="0.2">
      <c r="B7" s="1" t="s">
        <v>62</v>
      </c>
    </row>
    <row r="9" spans="2:2" ht="22.5" x14ac:dyDescent="0.2">
      <c r="B9" s="29" t="s">
        <v>68</v>
      </c>
    </row>
    <row r="10" spans="2:2" ht="25.5" customHeight="1" x14ac:dyDescent="0.2">
      <c r="B10" s="29" t="s">
        <v>63</v>
      </c>
    </row>
    <row r="13" spans="2:2" x14ac:dyDescent="0.2">
      <c r="B13" s="1" t="s">
        <v>64</v>
      </c>
    </row>
    <row r="15" spans="2:2" ht="44.25" customHeight="1" x14ac:dyDescent="0.2">
      <c r="B15" s="37" t="s">
        <v>66</v>
      </c>
    </row>
    <row r="17" spans="2:2" x14ac:dyDescent="0.2">
      <c r="B17" s="1" t="s">
        <v>67</v>
      </c>
    </row>
    <row r="19" spans="2:2" ht="12.75" customHeight="1" x14ac:dyDescent="0.2">
      <c r="B19" s="39" t="s">
        <v>69</v>
      </c>
    </row>
    <row r="22" spans="2:2" x14ac:dyDescent="0.2">
      <c r="B22" s="1" t="s">
        <v>70</v>
      </c>
    </row>
    <row r="23" spans="2:2" ht="22.5" x14ac:dyDescent="0.2">
      <c r="B23" s="29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Задание 1</vt:lpstr>
      <vt:lpstr>Лист1</vt:lpstr>
      <vt:lpstr>Задание 2</vt:lpstr>
      <vt:lpstr>ДДС</vt:lpstr>
      <vt:lpstr>Сводный отчет</vt:lpstr>
      <vt:lpstr>Задание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Abg</dc:creator>
  <cp:lastModifiedBy>Антон Горностаев</cp:lastModifiedBy>
  <dcterms:created xsi:type="dcterms:W3CDTF">2016-02-03T14:24:57Z</dcterms:created>
  <dcterms:modified xsi:type="dcterms:W3CDTF">2016-12-10T16:09:23Z</dcterms:modified>
</cp:coreProperties>
</file>