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6" r:id="rId2"/>
    <sheet name="Лист3" sheetId="5" r:id="rId3"/>
  </sheets>
  <definedNames>
    <definedName name="_xlnm._FilterDatabase" localSheetId="0" hidden="1">Лист1!$A$1:$E$62</definedName>
  </definedNames>
  <calcPr calcId="124519"/>
</workbook>
</file>

<file path=xl/calcChain.xml><?xml version="1.0" encoding="utf-8"?>
<calcChain xmlns="http://schemas.openxmlformats.org/spreadsheetml/2006/main">
  <c r="L1" i="6"/>
  <c r="E80" i="1"/>
  <c r="E78"/>
  <c r="E11" i="5" s="1"/>
  <c r="E5"/>
  <c r="F5" s="1"/>
  <c r="E45" i="1"/>
  <c r="E44"/>
  <c r="E27"/>
  <c r="E70"/>
  <c r="E76"/>
  <c r="E73"/>
  <c r="E64"/>
  <c r="E14" i="5"/>
  <c r="E13"/>
  <c r="E12"/>
  <c r="E7"/>
  <c r="E3"/>
  <c r="E68" i="1"/>
  <c r="E4" l="1"/>
  <c r="E25"/>
  <c r="F13" i="5"/>
  <c r="F14"/>
  <c r="F11"/>
  <c r="F12"/>
  <c r="F3"/>
  <c r="F7"/>
  <c r="E59" i="1" l="1"/>
  <c r="E62" l="1"/>
  <c r="E57" l="1"/>
  <c r="E55"/>
  <c r="E31"/>
  <c r="E47"/>
  <c r="E53"/>
  <c r="E50"/>
  <c r="E43"/>
  <c r="E41"/>
  <c r="E38"/>
  <c r="E35"/>
  <c r="E6" i="5" s="1"/>
  <c r="F6" s="1"/>
  <c r="E29" i="1"/>
  <c r="E22"/>
  <c r="E20"/>
  <c r="E17"/>
  <c r="E15"/>
  <c r="E13"/>
  <c r="E10"/>
  <c r="E7"/>
  <c r="E8" i="5" l="1"/>
  <c r="F8" s="1"/>
  <c r="E9"/>
  <c r="F9" s="1"/>
  <c r="E10"/>
  <c r="F10" s="1"/>
  <c r="E4"/>
  <c r="F4" s="1"/>
</calcChain>
</file>

<file path=xl/comments1.xml><?xml version="1.0" encoding="utf-8"?>
<comments xmlns="http://schemas.openxmlformats.org/spreadsheetml/2006/main">
  <authors>
    <author>Автор</author>
  </authors>
  <commentList>
    <comment ref="A2" authorId="0">
      <text>
        <r>
          <rPr>
            <sz val="9"/>
            <color indexed="81"/>
            <rFont val="Tahoma"/>
            <family val="2"/>
            <charset val="204"/>
          </rPr>
          <t xml:space="preserve">В этом столбце нужны ВСЕ номера ДТ из КОНТРОЛЯ, по которым были платёжки с номером из ячейки A1
</t>
        </r>
      </text>
    </comment>
    <comment ref="C2" authorId="0">
      <text>
        <r>
          <rPr>
            <sz val="9"/>
            <color indexed="81"/>
            <rFont val="Tahoma"/>
            <family val="2"/>
            <charset val="204"/>
          </rPr>
          <t>В этом столбце нужны соответствующие размеры платежей по платёжке номер из ячейки A1</t>
        </r>
      </text>
    </comment>
  </commentList>
</comments>
</file>

<file path=xl/sharedStrings.xml><?xml version="1.0" encoding="utf-8"?>
<sst xmlns="http://schemas.openxmlformats.org/spreadsheetml/2006/main" count="123" uniqueCount="47">
  <si>
    <t>Особенности / ДТ</t>
  </si>
  <si>
    <t>Платежи</t>
  </si>
  <si>
    <t>Выпуск</t>
  </si>
  <si>
    <t>Номер</t>
  </si>
  <si>
    <t>Факт</t>
  </si>
  <si>
    <t>Сумма</t>
  </si>
  <si>
    <t>пошлина</t>
  </si>
  <si>
    <t>ндс</t>
  </si>
  <si>
    <t>Балтика</t>
  </si>
  <si>
    <t>Платёжка</t>
  </si>
  <si>
    <t>Дата</t>
  </si>
  <si>
    <t>Остаток</t>
  </si>
  <si>
    <t>Снято</t>
  </si>
  <si>
    <t>СПб</t>
  </si>
  <si>
    <t>спецпош.</t>
  </si>
  <si>
    <t>назначение</t>
  </si>
  <si>
    <t>ДТ 1</t>
  </si>
  <si>
    <t>ДТ 2</t>
  </si>
  <si>
    <t>ДТ 3</t>
  </si>
  <si>
    <t>ДТ 4</t>
  </si>
  <si>
    <t>ДТ 5</t>
  </si>
  <si>
    <t>ДТ 6</t>
  </si>
  <si>
    <t>ДТ 7</t>
  </si>
  <si>
    <t>ДТ 8</t>
  </si>
  <si>
    <t>ДТ 9</t>
  </si>
  <si>
    <t>ДТ 10</t>
  </si>
  <si>
    <t>ДТ 11</t>
  </si>
  <si>
    <t>ДТ 12</t>
  </si>
  <si>
    <t>ДТ 13</t>
  </si>
  <si>
    <t>ДТ 15</t>
  </si>
  <si>
    <t>ДТ 16</t>
  </si>
  <si>
    <t>ДТ 14</t>
  </si>
  <si>
    <t>ДТ 17</t>
  </si>
  <si>
    <t>ДТ 18</t>
  </si>
  <si>
    <t>ДТ 19</t>
  </si>
  <si>
    <t>ДТ 20</t>
  </si>
  <si>
    <t>ДТ 21</t>
  </si>
  <si>
    <t>ДТ 22</t>
  </si>
  <si>
    <t>ДТ 23</t>
  </si>
  <si>
    <t>ДТ 24</t>
  </si>
  <si>
    <t>ДТ 25</t>
  </si>
  <si>
    <t>ДТ 26</t>
  </si>
  <si>
    <t>ДТ 27</t>
  </si>
  <si>
    <t>ДТ 28</t>
  </si>
  <si>
    <t>ДТ 29</t>
  </si>
  <si>
    <t>ДТ 30</t>
  </si>
  <si>
    <t>ДТ 31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</si>
</sst>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4" fontId="1" fillId="0" borderId="4" xfId="0" applyNumberFormat="1" applyFont="1" applyBorder="1" applyAlignment="1">
      <alignment horizontal="center"/>
    </xf>
    <xf numFmtId="0" fontId="0" fillId="0" borderId="6" xfId="0" applyBorder="1"/>
    <xf numFmtId="14" fontId="0" fillId="0" borderId="6" xfId="0" applyNumberFormat="1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0" xfId="0" applyBorder="1"/>
    <xf numFmtId="14" fontId="0" fillId="0" borderId="0" xfId="0" applyNumberFormat="1" applyBorder="1"/>
    <xf numFmtId="0" fontId="0" fillId="0" borderId="0" xfId="0" applyFill="1" applyBorder="1"/>
    <xf numFmtId="0" fontId="0" fillId="0" borderId="6" xfId="0" applyFill="1" applyBorder="1"/>
    <xf numFmtId="4" fontId="0" fillId="2" borderId="6" xfId="0" applyNumberFormat="1" applyFill="1" applyBorder="1"/>
    <xf numFmtId="4" fontId="0" fillId="2" borderId="7" xfId="0" applyNumberFormat="1" applyFill="1" applyBorder="1"/>
    <xf numFmtId="4" fontId="0" fillId="0" borderId="0" xfId="0" applyNumberFormat="1"/>
    <xf numFmtId="14" fontId="0" fillId="0" borderId="0" xfId="0" applyNumberFormat="1"/>
    <xf numFmtId="0" fontId="0" fillId="2" borderId="6" xfId="0" applyFill="1" applyBorder="1" applyAlignment="1">
      <alignment horizontal="center" wrapText="1"/>
    </xf>
    <xf numFmtId="14" fontId="0" fillId="0" borderId="6" xfId="0" applyNumberFormat="1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2" borderId="7" xfId="0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0" xfId="0" applyFont="1"/>
    <xf numFmtId="4" fontId="3" fillId="0" borderId="0" xfId="0" applyNumberFormat="1" applyFont="1"/>
    <xf numFmtId="0" fontId="0" fillId="0" borderId="0" xfId="0" applyAlignment="1">
      <alignment horizontal="left" indent="1"/>
    </xf>
    <xf numFmtId="14" fontId="0" fillId="0" borderId="6" xfId="0" applyNumberFormat="1" applyFont="1" applyBorder="1" applyAlignment="1">
      <alignment horizontal="right"/>
    </xf>
    <xf numFmtId="4" fontId="0" fillId="2" borderId="0" xfId="0" applyNumberFormat="1" applyFill="1" applyBorder="1"/>
    <xf numFmtId="0" fontId="1" fillId="0" borderId="3" xfId="0" applyFont="1" applyBorder="1" applyAlignment="1">
      <alignment horizontal="center" wrapText="1"/>
    </xf>
    <xf numFmtId="14" fontId="0" fillId="2" borderId="0" xfId="0" applyNumberFormat="1" applyFill="1" applyBorder="1"/>
    <xf numFmtId="0" fontId="0" fillId="2" borderId="0" xfId="0" applyFill="1" applyBorder="1"/>
    <xf numFmtId="4" fontId="0" fillId="2" borderId="0" xfId="0" applyNumberFormat="1" applyFill="1"/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5"/>
  <sheetViews>
    <sheetView tabSelected="1" zoomScale="85" zoomScaleNormal="85" workbookViewId="0">
      <pane ySplit="2" topLeftCell="A3" activePane="bottomLeft" state="frozen"/>
      <selection pane="bottomLeft" activeCell="A80" sqref="A80"/>
    </sheetView>
  </sheetViews>
  <sheetFormatPr defaultRowHeight="15"/>
  <cols>
    <col min="1" max="1" width="31.85546875" style="27" customWidth="1"/>
    <col min="2" max="2" width="10.85546875" customWidth="1"/>
    <col min="3" max="3" width="11.28515625" customWidth="1"/>
    <col min="5" max="5" width="13" style="14" customWidth="1"/>
  </cols>
  <sheetData>
    <row r="1" spans="1:5" ht="15" customHeight="1">
      <c r="A1" s="40" t="s">
        <v>0</v>
      </c>
      <c r="B1" s="33" t="s">
        <v>10</v>
      </c>
      <c r="C1" s="37" t="s">
        <v>1</v>
      </c>
      <c r="D1" s="38"/>
      <c r="E1" s="39"/>
    </row>
    <row r="2" spans="1:5" ht="15.75" thickBot="1">
      <c r="A2" s="41"/>
      <c r="B2" s="2" t="s">
        <v>2</v>
      </c>
      <c r="C2" s="1" t="s">
        <v>15</v>
      </c>
      <c r="D2" s="1" t="s">
        <v>3</v>
      </c>
      <c r="E2" s="3" t="s">
        <v>4</v>
      </c>
    </row>
    <row r="3" spans="1:5">
      <c r="A3" s="23" t="s">
        <v>16</v>
      </c>
      <c r="B3" s="5">
        <v>42705</v>
      </c>
      <c r="C3" s="4" t="s">
        <v>6</v>
      </c>
      <c r="D3" s="4">
        <v>18190</v>
      </c>
      <c r="E3" s="12">
        <v>234922.41</v>
      </c>
    </row>
    <row r="4" spans="1:5">
      <c r="A4" s="24"/>
      <c r="B4" s="9"/>
      <c r="C4" s="8" t="s">
        <v>7</v>
      </c>
      <c r="D4" s="8">
        <v>18191</v>
      </c>
      <c r="E4" s="32">
        <f>394868.6+4125</f>
        <v>398993.6</v>
      </c>
    </row>
    <row r="5" spans="1:5">
      <c r="A5" s="25"/>
      <c r="B5" s="7"/>
      <c r="E5" s="36"/>
    </row>
    <row r="6" spans="1:5" ht="15" customHeight="1">
      <c r="A6" s="16" t="s">
        <v>17</v>
      </c>
      <c r="B6" s="5">
        <v>42705</v>
      </c>
      <c r="C6" s="4" t="s">
        <v>6</v>
      </c>
      <c r="D6" s="4">
        <v>18190</v>
      </c>
      <c r="E6" s="12">
        <v>248701.62</v>
      </c>
    </row>
    <row r="7" spans="1:5">
      <c r="A7" s="26"/>
      <c r="B7" s="9"/>
      <c r="C7" s="8" t="s">
        <v>7</v>
      </c>
      <c r="D7" s="8">
        <v>18191</v>
      </c>
      <c r="E7" s="32">
        <f>417818.73+4125</f>
        <v>421943.73</v>
      </c>
    </row>
    <row r="8" spans="1:5">
      <c r="A8" s="20"/>
      <c r="B8" s="7"/>
      <c r="E8" s="36"/>
    </row>
    <row r="9" spans="1:5" ht="15" customHeight="1">
      <c r="A9" s="16" t="s">
        <v>18</v>
      </c>
      <c r="B9" s="5">
        <v>42706</v>
      </c>
      <c r="C9" s="4" t="s">
        <v>6</v>
      </c>
      <c r="D9" s="4">
        <v>18190</v>
      </c>
      <c r="E9" s="12">
        <v>427232.11</v>
      </c>
    </row>
    <row r="10" spans="1:5">
      <c r="A10" s="22"/>
      <c r="B10" s="7"/>
      <c r="C10" s="7" t="s">
        <v>7</v>
      </c>
      <c r="D10" s="7">
        <v>18191</v>
      </c>
      <c r="E10" s="13">
        <f>718170.31+5625</f>
        <v>723795.31</v>
      </c>
    </row>
    <row r="11" spans="1:5" ht="15" customHeight="1">
      <c r="A11" s="19" t="s">
        <v>19</v>
      </c>
      <c r="B11" s="5">
        <v>42706</v>
      </c>
      <c r="C11" s="4" t="s">
        <v>6</v>
      </c>
      <c r="D11" s="4">
        <v>17158</v>
      </c>
      <c r="E11" s="12">
        <v>339324.94</v>
      </c>
    </row>
    <row r="12" spans="1:5">
      <c r="A12" s="21"/>
      <c r="B12" s="9"/>
      <c r="C12" s="8" t="s">
        <v>6</v>
      </c>
      <c r="D12" s="8">
        <v>18190</v>
      </c>
      <c r="E12" s="32">
        <v>5359.11</v>
      </c>
    </row>
    <row r="13" spans="1:5">
      <c r="A13" s="20"/>
      <c r="B13" s="7"/>
      <c r="C13" s="7" t="s">
        <v>7</v>
      </c>
      <c r="D13" s="7">
        <v>18191</v>
      </c>
      <c r="E13" s="13">
        <f>651080.85+5625</f>
        <v>656705.85</v>
      </c>
    </row>
    <row r="14" spans="1:5" ht="15" customHeight="1">
      <c r="A14" s="16" t="s">
        <v>20</v>
      </c>
      <c r="B14" s="5">
        <v>42710</v>
      </c>
      <c r="C14" s="4" t="s">
        <v>6</v>
      </c>
      <c r="D14" s="4">
        <v>18190</v>
      </c>
      <c r="E14" s="12">
        <v>229564.01</v>
      </c>
    </row>
    <row r="15" spans="1:5">
      <c r="A15" s="20"/>
      <c r="B15" s="7"/>
      <c r="C15" s="7" t="s">
        <v>7</v>
      </c>
      <c r="D15" s="7">
        <v>18191</v>
      </c>
      <c r="E15" s="13">
        <f>385667.56+4125</f>
        <v>389792.56</v>
      </c>
    </row>
    <row r="16" spans="1:5" ht="15" customHeight="1">
      <c r="A16" s="16" t="s">
        <v>20</v>
      </c>
      <c r="B16" s="5">
        <v>42710</v>
      </c>
      <c r="C16" s="4" t="s">
        <v>6</v>
      </c>
      <c r="D16" s="4">
        <v>18190</v>
      </c>
      <c r="E16" s="12">
        <v>213180.77</v>
      </c>
    </row>
    <row r="17" spans="1:5">
      <c r="A17" s="26"/>
      <c r="B17" s="9"/>
      <c r="C17" s="8" t="s">
        <v>7</v>
      </c>
      <c r="D17" s="8">
        <v>17159</v>
      </c>
      <c r="E17" s="32">
        <f>92789.92+5625</f>
        <v>98414.92</v>
      </c>
    </row>
    <row r="18" spans="1:5">
      <c r="A18" s="20"/>
      <c r="B18" s="7"/>
      <c r="C18" s="7" t="s">
        <v>7</v>
      </c>
      <c r="D18" s="7">
        <v>18191</v>
      </c>
      <c r="E18" s="13">
        <v>607645.85</v>
      </c>
    </row>
    <row r="19" spans="1:5" ht="15" customHeight="1">
      <c r="A19" s="16" t="s">
        <v>21</v>
      </c>
      <c r="B19" s="5">
        <v>42710</v>
      </c>
      <c r="C19" s="4" t="s">
        <v>6</v>
      </c>
      <c r="D19" s="4">
        <v>18190</v>
      </c>
      <c r="E19" s="12">
        <v>518735.24</v>
      </c>
    </row>
    <row r="20" spans="1:5">
      <c r="A20" s="22"/>
      <c r="B20" s="7"/>
      <c r="C20" s="7" t="s">
        <v>7</v>
      </c>
      <c r="D20" s="7">
        <v>18191</v>
      </c>
      <c r="E20" s="13">
        <f>820492.25+5625</f>
        <v>826117.25</v>
      </c>
    </row>
    <row r="21" spans="1:5" ht="15" customHeight="1">
      <c r="A21" s="16" t="s">
        <v>22</v>
      </c>
      <c r="B21" s="15">
        <v>42711</v>
      </c>
      <c r="C21" s="4" t="s">
        <v>6</v>
      </c>
      <c r="D21" s="4">
        <v>18190</v>
      </c>
      <c r="E21" s="12">
        <v>199896.26</v>
      </c>
    </row>
    <row r="22" spans="1:5">
      <c r="A22" s="20"/>
      <c r="B22" s="7"/>
      <c r="C22" s="7" t="s">
        <v>7</v>
      </c>
      <c r="D22" s="7">
        <v>18191</v>
      </c>
      <c r="E22" s="13">
        <f>337878.11+4125</f>
        <v>342003.11</v>
      </c>
    </row>
    <row r="23" spans="1:5" ht="15" customHeight="1">
      <c r="A23" s="16" t="s">
        <v>23</v>
      </c>
      <c r="B23" s="15">
        <v>42712</v>
      </c>
      <c r="C23" s="4" t="s">
        <v>6</v>
      </c>
      <c r="D23" s="4">
        <v>18190</v>
      </c>
      <c r="E23" s="12">
        <v>154938.93</v>
      </c>
    </row>
    <row r="24" spans="1:5">
      <c r="A24" s="26"/>
      <c r="B24" s="15"/>
      <c r="C24" s="10" t="s">
        <v>7</v>
      </c>
      <c r="D24" s="10">
        <v>18191</v>
      </c>
      <c r="E24" s="32">
        <v>4125</v>
      </c>
    </row>
    <row r="25" spans="1:5">
      <c r="A25" s="20"/>
      <c r="B25" s="7"/>
      <c r="C25" s="7"/>
      <c r="D25" s="7">
        <v>19095</v>
      </c>
      <c r="E25" s="13">
        <f>331030.4</f>
        <v>331030.40000000002</v>
      </c>
    </row>
    <row r="26" spans="1:5" ht="15" customHeight="1">
      <c r="A26" s="16" t="s">
        <v>24</v>
      </c>
      <c r="B26" s="5">
        <v>42712</v>
      </c>
      <c r="C26" s="4" t="s">
        <v>6</v>
      </c>
      <c r="D26" s="4">
        <v>18190</v>
      </c>
      <c r="E26" s="12">
        <v>142025.14000000001</v>
      </c>
    </row>
    <row r="27" spans="1:5">
      <c r="A27" s="22"/>
      <c r="B27" s="7"/>
      <c r="C27" s="7" t="s">
        <v>7</v>
      </c>
      <c r="D27" s="7">
        <v>19095</v>
      </c>
      <c r="E27" s="13">
        <f>243096.1+4125</f>
        <v>247221.1</v>
      </c>
    </row>
    <row r="28" spans="1:5">
      <c r="A28" s="16" t="s">
        <v>25</v>
      </c>
      <c r="B28" s="5">
        <v>42712</v>
      </c>
      <c r="C28" s="4" t="s">
        <v>6</v>
      </c>
      <c r="D28" s="4">
        <v>18190</v>
      </c>
      <c r="E28" s="12">
        <v>1688.84</v>
      </c>
    </row>
    <row r="29" spans="1:5">
      <c r="A29" s="20"/>
      <c r="B29" s="7"/>
      <c r="C29" s="7" t="s">
        <v>7</v>
      </c>
      <c r="D29" s="7">
        <v>19095</v>
      </c>
      <c r="E29" s="13">
        <f>10437+375</f>
        <v>10812</v>
      </c>
    </row>
    <row r="30" spans="1:5">
      <c r="A30" s="16" t="s">
        <v>26</v>
      </c>
      <c r="B30" s="5">
        <v>42712</v>
      </c>
      <c r="C30" s="4" t="s">
        <v>6</v>
      </c>
      <c r="D30" s="11">
        <v>19096</v>
      </c>
      <c r="E30" s="12">
        <v>307355.25</v>
      </c>
    </row>
    <row r="31" spans="1:5">
      <c r="A31" s="26"/>
      <c r="B31" s="9"/>
      <c r="C31" s="10" t="s">
        <v>7</v>
      </c>
      <c r="D31" s="10">
        <v>19095</v>
      </c>
      <c r="E31" s="32">
        <f>516356.81+5625</f>
        <v>521981.81</v>
      </c>
    </row>
    <row r="32" spans="1:5">
      <c r="A32" s="20"/>
      <c r="B32" s="7"/>
      <c r="C32" s="7"/>
      <c r="D32" s="7"/>
      <c r="E32" s="13"/>
    </row>
    <row r="33" spans="1:5">
      <c r="A33" s="19" t="s">
        <v>27</v>
      </c>
      <c r="B33" s="5">
        <v>42713</v>
      </c>
      <c r="C33" s="4" t="s">
        <v>6</v>
      </c>
      <c r="D33" s="4">
        <v>17922</v>
      </c>
      <c r="E33" s="12">
        <v>1017392.36</v>
      </c>
    </row>
    <row r="34" spans="1:5">
      <c r="A34" s="21"/>
      <c r="B34" s="8"/>
      <c r="C34" s="8"/>
      <c r="D34" s="8">
        <v>19195</v>
      </c>
      <c r="E34" s="32">
        <v>969529.59</v>
      </c>
    </row>
    <row r="35" spans="1:5">
      <c r="A35" s="21"/>
      <c r="B35" s="8"/>
      <c r="C35" s="10" t="s">
        <v>7</v>
      </c>
      <c r="D35" s="8">
        <v>17923</v>
      </c>
      <c r="E35" s="32">
        <f>1734113.08+22500</f>
        <v>1756613.08</v>
      </c>
    </row>
    <row r="36" spans="1:5">
      <c r="A36" s="21"/>
      <c r="B36" s="8"/>
      <c r="C36" s="8"/>
      <c r="D36" s="10">
        <v>19194</v>
      </c>
      <c r="E36" s="32">
        <v>2199992.38</v>
      </c>
    </row>
    <row r="37" spans="1:5">
      <c r="A37" s="16" t="s">
        <v>28</v>
      </c>
      <c r="B37" s="5">
        <v>42713</v>
      </c>
      <c r="C37" s="4" t="s">
        <v>6</v>
      </c>
      <c r="D37" s="4">
        <v>18190</v>
      </c>
      <c r="E37" s="12">
        <v>275719.44</v>
      </c>
    </row>
    <row r="38" spans="1:5">
      <c r="A38" s="20"/>
      <c r="B38" s="7"/>
      <c r="C38" s="7" t="s">
        <v>7</v>
      </c>
      <c r="D38" s="7">
        <v>19095</v>
      </c>
      <c r="E38" s="13">
        <f>486390.53+4125</f>
        <v>490515.53</v>
      </c>
    </row>
    <row r="39" spans="1:5">
      <c r="A39" s="16" t="s">
        <v>31</v>
      </c>
      <c r="B39" s="5">
        <v>42713</v>
      </c>
      <c r="C39" s="4" t="s">
        <v>6</v>
      </c>
      <c r="D39" s="4">
        <v>19096</v>
      </c>
      <c r="E39" s="12">
        <v>300541.44</v>
      </c>
    </row>
    <row r="40" spans="1:5">
      <c r="C40" s="10" t="s">
        <v>7</v>
      </c>
      <c r="D40" s="10">
        <v>18191</v>
      </c>
      <c r="E40" s="36">
        <v>2373.79</v>
      </c>
    </row>
    <row r="41" spans="1:5">
      <c r="A41" s="20"/>
      <c r="B41" s="7"/>
      <c r="C41" s="7" t="s">
        <v>7</v>
      </c>
      <c r="D41" s="7">
        <v>19095</v>
      </c>
      <c r="E41" s="13">
        <f>540735.2+5625</f>
        <v>546360.19999999995</v>
      </c>
    </row>
    <row r="42" spans="1:5">
      <c r="A42" s="16" t="s">
        <v>29</v>
      </c>
      <c r="B42" s="31">
        <v>42714</v>
      </c>
      <c r="C42" s="4" t="s">
        <v>6</v>
      </c>
      <c r="D42" s="4">
        <v>19096</v>
      </c>
      <c r="E42" s="12">
        <v>19863.419999999998</v>
      </c>
    </row>
    <row r="43" spans="1:5">
      <c r="A43" s="20"/>
      <c r="B43" s="7"/>
      <c r="C43" s="7" t="s">
        <v>7</v>
      </c>
      <c r="D43" s="7">
        <v>19095</v>
      </c>
      <c r="E43" s="13">
        <f>75083.73+750</f>
        <v>75833.73</v>
      </c>
    </row>
    <row r="44" spans="1:5">
      <c r="A44" s="16" t="s">
        <v>30</v>
      </c>
      <c r="B44" s="5">
        <v>42714</v>
      </c>
      <c r="C44" s="4" t="s">
        <v>6</v>
      </c>
      <c r="D44" s="4">
        <v>19096</v>
      </c>
      <c r="E44" s="12">
        <f>5152.25+238298.25</f>
        <v>243450.5</v>
      </c>
    </row>
    <row r="45" spans="1:5">
      <c r="A45" s="20" t="s">
        <v>32</v>
      </c>
      <c r="B45" s="7"/>
      <c r="C45" s="7" t="s">
        <v>7</v>
      </c>
      <c r="D45" s="7">
        <v>19095</v>
      </c>
      <c r="E45" s="13">
        <f>13292.79+375+411220.95+4125</f>
        <v>429013.74</v>
      </c>
    </row>
    <row r="46" spans="1:5">
      <c r="A46" s="16" t="s">
        <v>33</v>
      </c>
      <c r="B46" s="17">
        <v>42718</v>
      </c>
      <c r="C46" s="4" t="s">
        <v>6</v>
      </c>
      <c r="D46" s="4">
        <v>19096</v>
      </c>
      <c r="E46" s="12">
        <v>15901.27</v>
      </c>
    </row>
    <row r="47" spans="1:5">
      <c r="A47" s="21"/>
      <c r="B47" s="18"/>
      <c r="C47" s="10" t="s">
        <v>7</v>
      </c>
      <c r="D47" s="10">
        <v>19095</v>
      </c>
      <c r="E47" s="32">
        <f>33973.41+375</f>
        <v>34348.410000000003</v>
      </c>
    </row>
    <row r="48" spans="1:5">
      <c r="A48" s="20"/>
      <c r="B48" s="6"/>
      <c r="C48" s="7"/>
      <c r="D48" s="7"/>
      <c r="E48" s="13"/>
    </row>
    <row r="49" spans="1:5">
      <c r="A49" s="26" t="s">
        <v>34</v>
      </c>
      <c r="B49" s="18">
        <v>42718</v>
      </c>
      <c r="C49" s="8" t="s">
        <v>6</v>
      </c>
      <c r="D49" s="8">
        <v>19096</v>
      </c>
      <c r="E49" s="32">
        <v>256040.79</v>
      </c>
    </row>
    <row r="50" spans="1:5">
      <c r="A50" s="20"/>
      <c r="B50" s="6"/>
      <c r="C50" s="7" t="s">
        <v>7</v>
      </c>
      <c r="D50" s="7">
        <v>19095</v>
      </c>
      <c r="E50" s="13">
        <f>430148.53+4125</f>
        <v>434273.53</v>
      </c>
    </row>
    <row r="51" spans="1:5">
      <c r="A51" s="16" t="s">
        <v>35</v>
      </c>
      <c r="B51" s="5">
        <v>42718</v>
      </c>
      <c r="C51" s="4" t="s">
        <v>6</v>
      </c>
      <c r="D51" s="4">
        <v>18190</v>
      </c>
      <c r="E51" s="12">
        <v>4700.96</v>
      </c>
    </row>
    <row r="52" spans="1:5">
      <c r="C52" s="10" t="s">
        <v>6</v>
      </c>
      <c r="D52" s="10">
        <v>19096</v>
      </c>
      <c r="E52" s="36">
        <v>220400.66</v>
      </c>
    </row>
    <row r="53" spans="1:5">
      <c r="A53" s="20"/>
      <c r="B53" s="7"/>
      <c r="C53" s="7" t="s">
        <v>7</v>
      </c>
      <c r="D53" s="7">
        <v>19095</v>
      </c>
      <c r="E53" s="13">
        <f>378170.72+4125</f>
        <v>382295.72</v>
      </c>
    </row>
    <row r="54" spans="1:5">
      <c r="A54" s="16" t="s">
        <v>36</v>
      </c>
      <c r="B54" s="5">
        <v>42719</v>
      </c>
      <c r="C54" s="4" t="s">
        <v>6</v>
      </c>
      <c r="D54" s="4">
        <v>19096</v>
      </c>
      <c r="E54" s="12">
        <v>267589.31</v>
      </c>
    </row>
    <row r="55" spans="1:5">
      <c r="A55" s="20"/>
      <c r="B55" s="7"/>
      <c r="C55" s="7" t="s">
        <v>7</v>
      </c>
      <c r="D55" s="7">
        <v>19095</v>
      </c>
      <c r="E55" s="13">
        <f>460542.71+4125</f>
        <v>464667.71</v>
      </c>
    </row>
    <row r="56" spans="1:5">
      <c r="A56" s="16" t="s">
        <v>37</v>
      </c>
      <c r="B56" s="5">
        <v>42719</v>
      </c>
      <c r="C56" s="4" t="s">
        <v>6</v>
      </c>
      <c r="D56" s="4">
        <v>19096</v>
      </c>
      <c r="E56" s="12">
        <v>311464.40999999997</v>
      </c>
    </row>
    <row r="57" spans="1:5">
      <c r="A57" s="20"/>
      <c r="B57" s="7"/>
      <c r="C57" s="7" t="s">
        <v>7</v>
      </c>
      <c r="D57" s="7">
        <v>19095</v>
      </c>
      <c r="E57" s="13">
        <f>541110.25+5625</f>
        <v>546735.25</v>
      </c>
    </row>
    <row r="58" spans="1:5">
      <c r="A58" s="16" t="s">
        <v>38</v>
      </c>
      <c r="B58" s="5">
        <v>42720</v>
      </c>
      <c r="C58" s="4" t="s">
        <v>6</v>
      </c>
      <c r="D58" s="4">
        <v>19096</v>
      </c>
      <c r="E58" s="12">
        <v>336770.72</v>
      </c>
    </row>
    <row r="59" spans="1:5">
      <c r="A59" s="26"/>
      <c r="B59" s="9"/>
      <c r="C59" s="10" t="s">
        <v>7</v>
      </c>
      <c r="D59" s="10">
        <v>19095</v>
      </c>
      <c r="E59" s="32">
        <f>588061.87+5625</f>
        <v>593686.87</v>
      </c>
    </row>
    <row r="60" spans="1:5">
      <c r="A60" s="20"/>
      <c r="B60" s="7"/>
      <c r="C60" s="7"/>
      <c r="D60" s="7"/>
      <c r="E60" s="13"/>
    </row>
    <row r="61" spans="1:5">
      <c r="A61" s="16" t="s">
        <v>39</v>
      </c>
      <c r="B61" s="5">
        <v>42720</v>
      </c>
      <c r="C61" s="4" t="s">
        <v>6</v>
      </c>
      <c r="D61" s="4">
        <v>19096</v>
      </c>
      <c r="E61" s="12">
        <v>42067.23</v>
      </c>
    </row>
    <row r="62" spans="1:5">
      <c r="A62" s="22"/>
      <c r="B62" s="7"/>
      <c r="C62" s="7" t="s">
        <v>7</v>
      </c>
      <c r="D62" s="7">
        <v>19095</v>
      </c>
      <c r="E62" s="13">
        <f>142028.61+1500</f>
        <v>143528.60999999999</v>
      </c>
    </row>
    <row r="63" spans="1:5">
      <c r="A63" s="16" t="s">
        <v>40</v>
      </c>
      <c r="B63" s="5">
        <v>42723</v>
      </c>
      <c r="C63" s="4" t="s">
        <v>6</v>
      </c>
      <c r="D63" s="4">
        <v>19096</v>
      </c>
      <c r="E63" s="12">
        <v>229866.9</v>
      </c>
    </row>
    <row r="64" spans="1:5">
      <c r="A64" s="26"/>
      <c r="B64" s="9"/>
      <c r="C64" s="10" t="s">
        <v>7</v>
      </c>
      <c r="D64" s="10">
        <v>19095</v>
      </c>
      <c r="E64" s="32">
        <f>387466.31+4125</f>
        <v>391591.31</v>
      </c>
    </row>
    <row r="65" spans="1:5">
      <c r="A65" s="20"/>
      <c r="B65" s="7"/>
      <c r="C65" s="7"/>
      <c r="D65" s="7"/>
      <c r="E65" s="13"/>
    </row>
    <row r="66" spans="1:5">
      <c r="A66" s="16" t="s">
        <v>41</v>
      </c>
      <c r="B66" s="5">
        <v>42723</v>
      </c>
      <c r="C66" s="4" t="s">
        <v>6</v>
      </c>
      <c r="D66" s="4">
        <v>19096</v>
      </c>
      <c r="E66" s="12">
        <v>7329.74</v>
      </c>
    </row>
    <row r="67" spans="1:5">
      <c r="A67" s="26"/>
      <c r="B67" s="9"/>
      <c r="C67" s="10" t="s">
        <v>14</v>
      </c>
      <c r="D67" s="8">
        <v>732</v>
      </c>
      <c r="E67" s="32">
        <v>12033.78</v>
      </c>
    </row>
    <row r="68" spans="1:5">
      <c r="A68" s="20"/>
      <c r="B68" s="7"/>
      <c r="C68" s="7" t="s">
        <v>7</v>
      </c>
      <c r="D68" s="7">
        <v>19095</v>
      </c>
      <c r="E68" s="13">
        <f>21050.51+375</f>
        <v>21425.51</v>
      </c>
    </row>
    <row r="69" spans="1:5">
      <c r="A69" s="16" t="s">
        <v>42</v>
      </c>
      <c r="B69" s="5">
        <v>42724</v>
      </c>
      <c r="C69" s="4" t="s">
        <v>6</v>
      </c>
      <c r="D69" s="4">
        <v>19096</v>
      </c>
      <c r="E69" s="12">
        <v>270645</v>
      </c>
    </row>
    <row r="70" spans="1:5">
      <c r="A70" s="26"/>
      <c r="B70" s="9"/>
      <c r="C70" s="10" t="s">
        <v>7</v>
      </c>
      <c r="D70" s="10">
        <v>19095</v>
      </c>
      <c r="E70" s="32">
        <f>479386.29+4125</f>
        <v>483511.29</v>
      </c>
    </row>
    <row r="71" spans="1:5">
      <c r="A71" s="20"/>
      <c r="B71" s="7"/>
      <c r="C71" s="7"/>
      <c r="D71" s="7"/>
      <c r="E71" s="13"/>
    </row>
    <row r="72" spans="1:5">
      <c r="A72" s="16" t="s">
        <v>43</v>
      </c>
      <c r="B72" s="5">
        <v>42725</v>
      </c>
      <c r="C72" s="4" t="s">
        <v>6</v>
      </c>
      <c r="D72" s="4">
        <v>19193</v>
      </c>
      <c r="E72" s="12">
        <v>17242.86</v>
      </c>
    </row>
    <row r="73" spans="1:5">
      <c r="A73" s="20"/>
      <c r="B73" s="7"/>
      <c r="C73" s="7" t="s">
        <v>7</v>
      </c>
      <c r="D73" s="7">
        <v>19095</v>
      </c>
      <c r="E73" s="13">
        <f>28968.01+375</f>
        <v>29343.01</v>
      </c>
    </row>
    <row r="74" spans="1:5">
      <c r="A74" s="16" t="s">
        <v>44</v>
      </c>
      <c r="B74" s="5">
        <v>42725</v>
      </c>
      <c r="C74" s="4" t="s">
        <v>6</v>
      </c>
      <c r="D74" s="4">
        <v>19096</v>
      </c>
      <c r="E74" s="12">
        <v>170713.36</v>
      </c>
    </row>
    <row r="75" spans="1:5">
      <c r="A75" s="26"/>
      <c r="B75" s="8"/>
      <c r="C75" s="8"/>
      <c r="D75" s="8">
        <v>19193</v>
      </c>
      <c r="E75" s="32">
        <v>54256.06</v>
      </c>
    </row>
    <row r="76" spans="1:5">
      <c r="A76" s="20"/>
      <c r="B76" s="7"/>
      <c r="C76" s="7" t="s">
        <v>7</v>
      </c>
      <c r="D76" s="7">
        <v>19095</v>
      </c>
      <c r="E76" s="13">
        <f>377948.63+4125</f>
        <v>382073.63</v>
      </c>
    </row>
    <row r="77" spans="1:5">
      <c r="A77" s="16" t="s">
        <v>45</v>
      </c>
      <c r="B77" s="5">
        <v>42726</v>
      </c>
      <c r="C77" s="4" t="s">
        <v>6</v>
      </c>
      <c r="D77" s="4">
        <v>19193</v>
      </c>
      <c r="E77" s="12">
        <v>255052.53</v>
      </c>
    </row>
    <row r="78" spans="1:5">
      <c r="A78" s="20"/>
      <c r="B78" s="7"/>
      <c r="C78" s="7" t="s">
        <v>7</v>
      </c>
      <c r="D78" s="7">
        <v>19192</v>
      </c>
      <c r="E78" s="13">
        <f>429791.27+4125</f>
        <v>433916.27</v>
      </c>
    </row>
    <row r="79" spans="1:5">
      <c r="A79" s="26" t="s">
        <v>46</v>
      </c>
      <c r="B79" s="9">
        <v>42726</v>
      </c>
      <c r="C79" s="8" t="s">
        <v>6</v>
      </c>
      <c r="D79">
        <v>19193</v>
      </c>
      <c r="E79" s="36">
        <v>474089.51</v>
      </c>
    </row>
    <row r="80" spans="1:5">
      <c r="A80" s="21"/>
      <c r="B80" s="8"/>
      <c r="C80" s="10" t="s">
        <v>7</v>
      </c>
      <c r="D80">
        <v>19095</v>
      </c>
      <c r="E80" s="36">
        <f>434125.64+5625</f>
        <v>439750.64</v>
      </c>
    </row>
    <row r="81" spans="1:5">
      <c r="A81" s="20"/>
      <c r="B81" s="7"/>
      <c r="C81" s="7"/>
      <c r="D81" s="7">
        <v>19192</v>
      </c>
      <c r="E81" s="13">
        <v>441839.3</v>
      </c>
    </row>
    <row r="85" spans="1:5" ht="15" customHeight="1"/>
    <row r="86" spans="1:5">
      <c r="A86" s="26"/>
      <c r="B86" s="34"/>
      <c r="C86" s="35"/>
      <c r="D86" s="35"/>
      <c r="E86" s="32"/>
    </row>
    <row r="87" spans="1:5">
      <c r="A87" s="26"/>
      <c r="B87" s="35"/>
      <c r="C87" s="35"/>
      <c r="D87" s="35"/>
      <c r="E87" s="32"/>
    </row>
    <row r="88" spans="1:5">
      <c r="A88" s="26"/>
      <c r="B88" s="34"/>
      <c r="C88" s="35"/>
      <c r="D88" s="35"/>
      <c r="E88" s="32"/>
    </row>
    <row r="89" spans="1:5">
      <c r="A89" s="26"/>
      <c r="B89" s="35"/>
      <c r="C89" s="35"/>
      <c r="D89" s="35"/>
      <c r="E89" s="32"/>
    </row>
    <row r="90" spans="1:5">
      <c r="A90" s="26"/>
      <c r="B90" s="35"/>
      <c r="C90" s="35"/>
      <c r="D90" s="35"/>
      <c r="E90" s="32"/>
    </row>
    <row r="91" spans="1:5">
      <c r="A91" s="26"/>
      <c r="B91" s="35"/>
      <c r="C91" s="35"/>
      <c r="D91" s="35"/>
      <c r="E91" s="32"/>
    </row>
    <row r="92" spans="1:5">
      <c r="A92" s="26"/>
      <c r="B92" s="35"/>
      <c r="C92" s="35"/>
      <c r="D92" s="35"/>
      <c r="E92" s="32"/>
    </row>
    <row r="93" spans="1:5">
      <c r="A93" s="26"/>
      <c r="B93" s="35"/>
      <c r="C93" s="35"/>
      <c r="D93" s="35"/>
      <c r="E93" s="32"/>
    </row>
    <row r="94" spans="1:5">
      <c r="A94" s="26"/>
      <c r="B94" s="34"/>
      <c r="C94" s="35"/>
      <c r="D94" s="35"/>
      <c r="E94" s="32"/>
    </row>
    <row r="95" spans="1:5">
      <c r="A95" s="26"/>
      <c r="B95" s="35"/>
      <c r="C95" s="35"/>
      <c r="D95" s="35"/>
      <c r="E95" s="32"/>
    </row>
  </sheetData>
  <mergeCells count="2">
    <mergeCell ref="C1:E1"/>
    <mergeCell ref="A1:A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7"/>
  <sheetViews>
    <sheetView workbookViewId="0">
      <selection activeCell="C17" sqref="C17"/>
    </sheetView>
  </sheetViews>
  <sheetFormatPr defaultRowHeight="15"/>
  <cols>
    <col min="1" max="2" width="12.140625" customWidth="1"/>
    <col min="3" max="3" width="17.42578125" style="14" customWidth="1"/>
  </cols>
  <sheetData>
    <row r="1" spans="1:12">
      <c r="A1">
        <v>18191</v>
      </c>
      <c r="B1" s="15">
        <v>42695</v>
      </c>
      <c r="C1" s="14">
        <v>7000000</v>
      </c>
      <c r="L1" s="14">
        <f>INDEX(Лист1!$A$2:$E$9941,MATCH(Лист2!A1,Лист1!$D$2:$D$9941,0),1)</f>
        <v>0</v>
      </c>
    </row>
    <row r="2" spans="1:12"/>
    <row r="17" spans="1:3">
      <c r="A17">
        <v>18190</v>
      </c>
      <c r="B17" s="15">
        <v>42695</v>
      </c>
      <c r="C17" s="14">
        <v>3000000</v>
      </c>
    </row>
  </sheetData>
  <pageMargins left="0.7" right="0.7" top="0.75" bottom="0.75" header="0.3" footer="0.3"/>
  <pageSetup paperSize="9" orientation="portrait" horizontalDpi="0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B2:G14"/>
  <sheetViews>
    <sheetView workbookViewId="0">
      <selection activeCell="E7" sqref="E7"/>
    </sheetView>
  </sheetViews>
  <sheetFormatPr defaultRowHeight="15"/>
  <cols>
    <col min="2" max="2" width="13.85546875" customWidth="1"/>
    <col min="3" max="3" width="12.5703125" customWidth="1"/>
    <col min="4" max="4" width="17.140625" style="14" customWidth="1"/>
    <col min="5" max="5" width="16.85546875" style="14" customWidth="1"/>
    <col min="6" max="6" width="16.42578125" style="14" customWidth="1"/>
    <col min="7" max="7" width="51.140625" style="30" customWidth="1"/>
  </cols>
  <sheetData>
    <row r="2" spans="2:7" ht="15.75">
      <c r="B2" s="28" t="s">
        <v>9</v>
      </c>
      <c r="C2" s="28" t="s">
        <v>10</v>
      </c>
      <c r="D2" s="29" t="s">
        <v>5</v>
      </c>
      <c r="E2" s="29" t="s">
        <v>12</v>
      </c>
      <c r="F2" s="29" t="s">
        <v>11</v>
      </c>
    </row>
    <row r="3" spans="2:7">
      <c r="B3">
        <v>17158</v>
      </c>
      <c r="C3" s="15">
        <v>42676</v>
      </c>
      <c r="E3" s="14">
        <f>SUMIF(Лист1!$D$3:$D$9970,"17158",Лист1!$E$3:$E$9970)</f>
        <v>339324.94</v>
      </c>
      <c r="F3" s="14">
        <f>D3-E3</f>
        <v>-339324.94</v>
      </c>
      <c r="G3" s="30" t="s">
        <v>13</v>
      </c>
    </row>
    <row r="4" spans="2:7">
      <c r="B4">
        <v>17159</v>
      </c>
      <c r="C4" s="15">
        <v>42676</v>
      </c>
      <c r="E4" s="14">
        <f>SUMIF(Лист1!$D$3:$D$9970,"17159",Лист1!$E$3:$E$9970)</f>
        <v>98414.92</v>
      </c>
      <c r="F4" s="14">
        <f t="shared" ref="F4:F14" si="0">D4-E4</f>
        <v>-98414.92</v>
      </c>
      <c r="G4" s="30" t="s">
        <v>13</v>
      </c>
    </row>
    <row r="5" spans="2:7" hidden="1">
      <c r="B5">
        <v>17922</v>
      </c>
      <c r="C5" s="15">
        <v>42689</v>
      </c>
      <c r="E5" s="14">
        <f>SUMIF(Лист1!$D$3:$D$9970,"17922",Лист1!$E$3:$E$9970)</f>
        <v>1017392.36</v>
      </c>
      <c r="F5" s="14">
        <f>D5-E5</f>
        <v>-1017392.36</v>
      </c>
      <c r="G5" s="30" t="s">
        <v>8</v>
      </c>
    </row>
    <row r="6" spans="2:7" hidden="1">
      <c r="B6">
        <v>17923</v>
      </c>
      <c r="C6" s="15">
        <v>42689</v>
      </c>
      <c r="E6" s="14">
        <f>SUMIF(Лист1!$D$3:$D$9970,"17923",Лист1!$E$3:$E$9970)</f>
        <v>1756613.08</v>
      </c>
      <c r="F6" s="14">
        <f>D6-E6</f>
        <v>-1756613.08</v>
      </c>
      <c r="G6" s="30" t="s">
        <v>8</v>
      </c>
    </row>
    <row r="7" spans="2:7">
      <c r="B7">
        <v>18190</v>
      </c>
      <c r="C7" s="15">
        <v>42695</v>
      </c>
      <c r="D7" s="14">
        <v>3000000</v>
      </c>
      <c r="E7" s="14">
        <f>SUMIF(Лист1!$D$3:$D$9970,"18190",Лист1!$E$3:$E$9970)</f>
        <v>2656664.84</v>
      </c>
      <c r="F7" s="14">
        <f t="shared" si="0"/>
        <v>343335.16000000015</v>
      </c>
      <c r="G7" s="30" t="s">
        <v>13</v>
      </c>
    </row>
    <row r="8" spans="2:7">
      <c r="B8">
        <v>18191</v>
      </c>
      <c r="C8" s="15">
        <v>42695</v>
      </c>
      <c r="D8" s="14">
        <v>7000000</v>
      </c>
      <c r="E8" s="14">
        <f>SUMIF(Лист1!$D$3:$D$9970,"18191",Лист1!$E$3:$E$9970)</f>
        <v>4373496.0500000007</v>
      </c>
      <c r="F8" s="14">
        <f t="shared" si="0"/>
        <v>2626503.9499999993</v>
      </c>
      <c r="G8" s="30" t="s">
        <v>13</v>
      </c>
    </row>
    <row r="9" spans="2:7">
      <c r="B9">
        <v>19095</v>
      </c>
      <c r="C9" s="15">
        <v>42711</v>
      </c>
      <c r="D9" s="14">
        <v>7000000</v>
      </c>
      <c r="E9" s="14">
        <f>SUMIF(Лист1!$D$3:$D$9970,"19095",Лист1!$E$3:$E$9970)</f>
        <v>6999999.9999999991</v>
      </c>
      <c r="F9" s="14">
        <f t="shared" si="0"/>
        <v>0</v>
      </c>
      <c r="G9" s="30" t="s">
        <v>13</v>
      </c>
    </row>
    <row r="10" spans="2:7">
      <c r="B10">
        <v>19096</v>
      </c>
      <c r="C10" s="15">
        <v>42711</v>
      </c>
      <c r="D10" s="14">
        <v>3000000</v>
      </c>
      <c r="E10" s="14">
        <f>SUMIF(Лист1!$D$3:$D$9970,"19096",Лист1!$E$3:$E$9970)</f>
        <v>2999999.9999999995</v>
      </c>
      <c r="F10" s="14">
        <f t="shared" si="0"/>
        <v>0</v>
      </c>
      <c r="G10" s="30" t="s">
        <v>13</v>
      </c>
    </row>
    <row r="11" spans="2:7">
      <c r="B11">
        <v>19192</v>
      </c>
      <c r="C11" s="15">
        <v>42712</v>
      </c>
      <c r="D11" s="14">
        <v>7000000</v>
      </c>
      <c r="E11" s="14">
        <f>SUMIF(Лист1!$D$3:$D$9970,"19192",Лист1!$E$3:$E$9970)</f>
        <v>875755.57000000007</v>
      </c>
      <c r="F11" s="14">
        <f t="shared" si="0"/>
        <v>6124244.4299999997</v>
      </c>
      <c r="G11" s="30" t="s">
        <v>13</v>
      </c>
    </row>
    <row r="12" spans="2:7">
      <c r="B12">
        <v>19193</v>
      </c>
      <c r="C12" s="15">
        <v>42712</v>
      </c>
      <c r="D12" s="14">
        <v>3000000</v>
      </c>
      <c r="E12" s="14">
        <f>SUMIF(Лист1!$D$3:$D$9970,"19193",Лист1!$E$3:$E$9970)</f>
        <v>800640.96</v>
      </c>
      <c r="F12" s="14">
        <f t="shared" si="0"/>
        <v>2199359.04</v>
      </c>
      <c r="G12" s="30" t="s">
        <v>13</v>
      </c>
    </row>
    <row r="13" spans="2:7" hidden="1">
      <c r="B13">
        <v>19194</v>
      </c>
      <c r="C13" s="15">
        <v>42712</v>
      </c>
      <c r="D13" s="14">
        <v>2300000</v>
      </c>
      <c r="E13" s="14">
        <f>SUMIF(Лист1!$D$3:$D$9970,"19194",Лист1!$E$3:$E$9970)</f>
        <v>2199992.38</v>
      </c>
      <c r="F13" s="14">
        <f>D13-E13</f>
        <v>100007.62000000011</v>
      </c>
      <c r="G13" s="30" t="s">
        <v>8</v>
      </c>
    </row>
    <row r="14" spans="2:7" hidden="1">
      <c r="B14">
        <v>19195</v>
      </c>
      <c r="C14" s="15">
        <v>42712</v>
      </c>
      <c r="D14" s="14">
        <v>1100000</v>
      </c>
      <c r="E14" s="14">
        <f>SUMIF(Лист1!$D$3:$D$9970,"19195",Лист1!$E$3:$E$9970)</f>
        <v>969529.59</v>
      </c>
      <c r="F14" s="14">
        <f t="shared" si="0"/>
        <v>130470.41000000003</v>
      </c>
      <c r="G14" s="30" t="s">
        <v>8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2016-12-23T11:41:40Z</dcterms:modified>
</cp:coreProperties>
</file>