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firstSheet="1" activeTab="1"/>
  </bookViews>
  <sheets>
    <sheet name="Основание" sheetId="4" state="hidden" r:id="rId1"/>
    <sheet name="Труба" sheetId="1" r:id="rId2"/>
    <sheet name="Засыпка, герметизация" sheetId="3" state="hidden" r:id="rId3"/>
    <sheet name="Данные" sheetId="2" state="hidden" r:id="rId4"/>
    <sheet name="откуда брать" sheetId="5" r:id="rId5"/>
  </sheets>
  <calcPr calcId="152511"/>
</workbook>
</file>

<file path=xl/calcChain.xml><?xml version="1.0" encoding="utf-8"?>
<calcChain xmlns="http://schemas.openxmlformats.org/spreadsheetml/2006/main">
  <c r="C585" i="1" l="1"/>
  <c r="C582" i="1"/>
  <c r="C600" i="1" l="1"/>
  <c r="J570" i="1" l="1"/>
  <c r="C579" i="1" l="1"/>
  <c r="C597" i="1"/>
  <c r="C594" i="1"/>
  <c r="C591" i="1" l="1"/>
  <c r="C588" i="1"/>
  <c r="E576" i="1" l="1"/>
  <c r="E575" i="1"/>
  <c r="E574" i="1"/>
  <c r="E571" i="1"/>
  <c r="E573" i="1"/>
  <c r="E572" i="1"/>
  <c r="E570" i="1"/>
  <c r="E569" i="1"/>
  <c r="C548" i="1"/>
  <c r="C566" i="1" l="1"/>
  <c r="E542" i="1" s="1"/>
  <c r="C563" i="1"/>
  <c r="E541" i="1" s="1"/>
  <c r="C560" i="1" l="1"/>
  <c r="C557" i="1"/>
  <c r="C554" i="1"/>
  <c r="C551" i="1"/>
  <c r="C545" i="1"/>
  <c r="E540" i="1" l="1"/>
  <c r="E535" i="1"/>
  <c r="E538" i="1"/>
  <c r="E539" i="1"/>
  <c r="E537" i="1"/>
  <c r="E536" i="1"/>
  <c r="C72" i="3" l="1"/>
  <c r="E63" i="3" s="1"/>
  <c r="C69" i="3"/>
  <c r="E62" i="3" s="1"/>
  <c r="C66" i="3"/>
  <c r="E61" i="3"/>
  <c r="C58" i="3"/>
  <c r="E49" i="3" s="1"/>
  <c r="C55" i="3"/>
  <c r="E48" i="3" s="1"/>
  <c r="C52" i="3"/>
  <c r="E47" i="3" s="1"/>
  <c r="C44" i="3" l="1"/>
  <c r="E35" i="3" s="1"/>
  <c r="C41" i="3"/>
  <c r="E34" i="3" s="1"/>
  <c r="C38" i="3"/>
  <c r="E33" i="3"/>
  <c r="C30" i="3"/>
  <c r="E21" i="3" s="1"/>
  <c r="C27" i="3"/>
  <c r="E20" i="3" s="1"/>
  <c r="C24" i="3"/>
  <c r="E19" i="3" s="1"/>
  <c r="C16" i="3" l="1"/>
  <c r="E7" i="3" s="1"/>
  <c r="C13" i="3" l="1"/>
  <c r="E6" i="3" s="1"/>
  <c r="C10" i="3" l="1"/>
  <c r="E5" i="3" s="1"/>
  <c r="C532" i="1" l="1"/>
  <c r="E511" i="1" s="1"/>
  <c r="C529" i="1"/>
  <c r="E508" i="1" s="1"/>
  <c r="C526" i="1"/>
  <c r="E507" i="1" s="1"/>
  <c r="C523" i="1"/>
  <c r="E506" i="1" s="1"/>
  <c r="C520" i="1"/>
  <c r="E505" i="1" s="1"/>
  <c r="C517" i="1"/>
  <c r="E509" i="1" s="1"/>
  <c r="C514" i="1"/>
  <c r="E510" i="1" s="1"/>
  <c r="C502" i="1"/>
  <c r="E484" i="1" s="1"/>
  <c r="C496" i="1"/>
  <c r="E480" i="1" s="1"/>
  <c r="C499" i="1"/>
  <c r="E481" i="1" s="1"/>
  <c r="C493" i="1"/>
  <c r="E479" i="1" s="1"/>
  <c r="C490" i="1"/>
  <c r="E482" i="1" s="1"/>
  <c r="C487" i="1"/>
  <c r="E483" i="1" s="1"/>
  <c r="C476" i="1"/>
  <c r="E455" i="1" s="1"/>
  <c r="C473" i="1"/>
  <c r="E452" i="1" s="1"/>
  <c r="C470" i="1"/>
  <c r="E451" i="1" s="1"/>
  <c r="C467" i="1"/>
  <c r="E450" i="1" s="1"/>
  <c r="C464" i="1"/>
  <c r="E449" i="1" s="1"/>
  <c r="C461" i="1"/>
  <c r="E453" i="1" s="1"/>
  <c r="C458" i="1"/>
  <c r="E454" i="1" s="1"/>
  <c r="C446" i="1"/>
  <c r="C443" i="1"/>
  <c r="C440" i="1"/>
  <c r="C437" i="1"/>
  <c r="C431" i="1"/>
  <c r="C434" i="1"/>
  <c r="C428" i="1"/>
  <c r="E425" i="1" l="1"/>
  <c r="E422" i="1"/>
  <c r="E424" i="1"/>
  <c r="E423" i="1"/>
  <c r="E421" i="1"/>
  <c r="E420" i="1"/>
  <c r="E419" i="1"/>
  <c r="C416" i="1" l="1"/>
  <c r="E389" i="1" s="1"/>
  <c r="C378" i="1"/>
  <c r="E351" i="1" s="1"/>
  <c r="C340" i="1"/>
  <c r="E313" i="1" s="1"/>
  <c r="C302" i="1"/>
  <c r="E275" i="1" s="1"/>
  <c r="C413" i="1"/>
  <c r="E388" i="1" s="1"/>
  <c r="C375" i="1"/>
  <c r="E350" i="1" s="1"/>
  <c r="C337" i="1"/>
  <c r="E312" i="1" s="1"/>
  <c r="C299" i="1"/>
  <c r="E274" i="1" s="1"/>
  <c r="C261" i="1"/>
  <c r="E236" i="1" s="1"/>
  <c r="C264" i="1"/>
  <c r="E237" i="1" s="1"/>
  <c r="C226" i="1"/>
  <c r="E199" i="1" s="1"/>
  <c r="C223" i="1"/>
  <c r="E198" i="1" s="1"/>
  <c r="C410" i="1"/>
  <c r="E387" i="1" s="1"/>
  <c r="C407" i="1"/>
  <c r="E384" i="1" s="1"/>
  <c r="C404" i="1"/>
  <c r="E383" i="1" s="1"/>
  <c r="C401" i="1"/>
  <c r="E382" i="1" s="1"/>
  <c r="C398" i="1"/>
  <c r="E381" i="1" s="1"/>
  <c r="C395" i="1"/>
  <c r="E385" i="1" s="1"/>
  <c r="C392" i="1"/>
  <c r="E386" i="1" s="1"/>
  <c r="C372" i="1"/>
  <c r="E349" i="1" s="1"/>
  <c r="C369" i="1"/>
  <c r="E346" i="1" s="1"/>
  <c r="C366" i="1"/>
  <c r="E345" i="1" s="1"/>
  <c r="C363" i="1"/>
  <c r="E344" i="1" s="1"/>
  <c r="C360" i="1"/>
  <c r="E343" i="1" s="1"/>
  <c r="C357" i="1"/>
  <c r="E347" i="1" s="1"/>
  <c r="C354" i="1"/>
  <c r="E348" i="1" s="1"/>
  <c r="C334" i="1"/>
  <c r="E311" i="1" s="1"/>
  <c r="C331" i="1"/>
  <c r="E308" i="1" s="1"/>
  <c r="C328" i="1"/>
  <c r="E307" i="1" s="1"/>
  <c r="C325" i="1"/>
  <c r="E306" i="1" s="1"/>
  <c r="C322" i="1"/>
  <c r="E305" i="1" s="1"/>
  <c r="C319" i="1"/>
  <c r="E309" i="1" s="1"/>
  <c r="C316" i="1"/>
  <c r="E310" i="1" s="1"/>
  <c r="C296" i="1"/>
  <c r="E273" i="1" s="1"/>
  <c r="C293" i="1"/>
  <c r="E270" i="1" s="1"/>
  <c r="C290" i="1"/>
  <c r="E269" i="1" s="1"/>
  <c r="C287" i="1"/>
  <c r="E268" i="1" s="1"/>
  <c r="C284" i="1"/>
  <c r="E267" i="1" s="1"/>
  <c r="C281" i="1"/>
  <c r="E271" i="1" s="1"/>
  <c r="C278" i="1"/>
  <c r="E272" i="1" s="1"/>
  <c r="C258" i="1"/>
  <c r="E235" i="1" s="1"/>
  <c r="C255" i="1"/>
  <c r="E232" i="1" s="1"/>
  <c r="C252" i="1"/>
  <c r="E231" i="1" s="1"/>
  <c r="C249" i="1"/>
  <c r="E230" i="1" s="1"/>
  <c r="C246" i="1"/>
  <c r="E229" i="1" s="1"/>
  <c r="C243" i="1"/>
  <c r="E233" i="1" s="1"/>
  <c r="C240" i="1"/>
  <c r="E234" i="1" s="1"/>
  <c r="C220" i="1" l="1"/>
  <c r="E197" i="1" s="1"/>
  <c r="C217" i="1"/>
  <c r="E194" i="1" s="1"/>
  <c r="C214" i="1"/>
  <c r="E193" i="1" s="1"/>
  <c r="C211" i="1"/>
  <c r="E192" i="1" s="1"/>
  <c r="C205" i="1"/>
  <c r="E195" i="1" s="1"/>
  <c r="C202" i="1"/>
  <c r="E196" i="1" s="1"/>
  <c r="C208" i="1"/>
  <c r="E191" i="1" s="1"/>
  <c r="C97" i="1" l="1"/>
  <c r="C188" i="1" l="1"/>
  <c r="E167" i="1" s="1"/>
  <c r="C158" i="1"/>
  <c r="E136" i="1" s="1"/>
  <c r="C127" i="1"/>
  <c r="E106" i="1" s="1"/>
  <c r="E76" i="1"/>
  <c r="C94" i="1" l="1"/>
  <c r="C91" i="1"/>
  <c r="C88" i="1"/>
  <c r="C85" i="1"/>
  <c r="C82" i="1"/>
  <c r="C79" i="1"/>
  <c r="B70" i="1"/>
  <c r="C176" i="1" l="1"/>
  <c r="E161" i="1" s="1"/>
  <c r="C185" i="1"/>
  <c r="E164" i="1" s="1"/>
  <c r="C182" i="1"/>
  <c r="E163" i="1" s="1"/>
  <c r="C179" i="1"/>
  <c r="E162" i="1" s="1"/>
  <c r="C173" i="1"/>
  <c r="E165" i="1" s="1"/>
  <c r="C170" i="1"/>
  <c r="E166" i="1" s="1"/>
  <c r="C152" i="1"/>
  <c r="E132" i="1" s="1"/>
  <c r="C155" i="1"/>
  <c r="E133" i="1" s="1"/>
  <c r="C149" i="1"/>
  <c r="E131" i="1" s="1"/>
  <c r="C146" i="1"/>
  <c r="E130" i="1" s="1"/>
  <c r="C143" i="1"/>
  <c r="E134" i="1" s="1"/>
  <c r="C140" i="1"/>
  <c r="E135" i="1" s="1"/>
  <c r="C124" i="1"/>
  <c r="E103" i="1" s="1"/>
  <c r="C121" i="1"/>
  <c r="E102" i="1" s="1"/>
  <c r="C118" i="1"/>
  <c r="E101" i="1" s="1"/>
  <c r="C115" i="1"/>
  <c r="E100" i="1" s="1"/>
  <c r="C112" i="1"/>
  <c r="E104" i="1" s="1"/>
  <c r="C109" i="1"/>
  <c r="E105" i="1" s="1"/>
  <c r="E71" i="1" l="1"/>
  <c r="E70" i="1"/>
  <c r="E74" i="1"/>
  <c r="E75" i="1"/>
  <c r="E73" i="1"/>
  <c r="E72" i="1"/>
</calcChain>
</file>

<file path=xl/sharedStrings.xml><?xml version="1.0" encoding="utf-8"?>
<sst xmlns="http://schemas.openxmlformats.org/spreadsheetml/2006/main" count="959" uniqueCount="90">
  <si>
    <t>№ п.п.</t>
  </si>
  <si>
    <t>Номер изометрии</t>
  </si>
  <si>
    <t>Наименование материала</t>
  </si>
  <si>
    <t>Объем</t>
  </si>
  <si>
    <t>Ед. изм.</t>
  </si>
  <si>
    <t>26500006UF1-TK1-0001</t>
  </si>
  <si>
    <t>Заявка на журнал входного контроля для трубопровода</t>
  </si>
  <si>
    <t>Электрод ОК 55.00 2.5</t>
  </si>
  <si>
    <t>кг</t>
  </si>
  <si>
    <t>Электрод ОК 48.00 3.2</t>
  </si>
  <si>
    <t>Пруток ОК Tigrod 12.61 2.4</t>
  </si>
  <si>
    <t>Грунтовка Densolen Primer-HT</t>
  </si>
  <si>
    <t>Лента Densolen AS40 Plus (100мм х 50 м.п.)</t>
  </si>
  <si>
    <t>шт</t>
  </si>
  <si>
    <t xml:space="preserve">Лента НОВОРАД-Р </t>
  </si>
  <si>
    <t>Лента НОВОРАД-ТЗ</t>
  </si>
  <si>
    <t>Лист металла или полоса толщиной 5 мм</t>
  </si>
  <si>
    <t>Дата заявки</t>
  </si>
  <si>
    <t>26500006UF1-TK1-0003</t>
  </si>
  <si>
    <t>26500006UF1-TK1-0004</t>
  </si>
  <si>
    <t>26500006UF1-TK1-0005</t>
  </si>
  <si>
    <t>УАЙТ-спирит</t>
  </si>
  <si>
    <t>л</t>
  </si>
  <si>
    <t>Кол-во УАЙТ спирит</t>
  </si>
  <si>
    <t>Вольфрамовый электрод</t>
  </si>
  <si>
    <t>Аргон</t>
  </si>
  <si>
    <t>26500006UF1-TK1-0002</t>
  </si>
  <si>
    <t>26200104CUC1-TK1-0001</t>
  </si>
  <si>
    <t>ОК 55.00 2.5</t>
  </si>
  <si>
    <t>ОК Tigrod 12.61 2.4</t>
  </si>
  <si>
    <t>Densolen Primer-HT</t>
  </si>
  <si>
    <t>Densolen AS40 Plus (100мм х 50 м.п.)</t>
  </si>
  <si>
    <t>26200104CUC1-TK1-0002</t>
  </si>
  <si>
    <t>26200104BUC1-TK1-0001</t>
  </si>
  <si>
    <t>26200104AUC1-TK1-0001</t>
  </si>
  <si>
    <t>Диаметр труб, м</t>
  </si>
  <si>
    <t>Толщина стенки, мм</t>
  </si>
  <si>
    <t>Кол-во стыков, шт</t>
  </si>
  <si>
    <t>Ширина покрытия изоляцией, м</t>
  </si>
  <si>
    <t>№ п.п</t>
  </si>
  <si>
    <t>Вольфрамовый электрод WL15 2.4х175</t>
  </si>
  <si>
    <t>21310080UC1-TK1-0001</t>
  </si>
  <si>
    <t>21310084UC1-TK1-0001</t>
  </si>
  <si>
    <t>21310088UC1-TK1-0001</t>
  </si>
  <si>
    <t>21310092UC1-TK1-0001</t>
  </si>
  <si>
    <t>21310096UC1-TK1-0001</t>
  </si>
  <si>
    <t>21310100UC1-TK1-0001</t>
  </si>
  <si>
    <t>Sika Epiter TF-130 Komp. A</t>
  </si>
  <si>
    <t>Sika Epiter TF-130 Komp. В</t>
  </si>
  <si>
    <t>Sika Epiter TF-130 Komp. А</t>
  </si>
  <si>
    <t>26401220US1-TK1-0001</t>
  </si>
  <si>
    <t>26401221US1-TK1-0001</t>
  </si>
  <si>
    <t>26401228US1-TK1-0001</t>
  </si>
  <si>
    <t>26400559US1-TK1-0001</t>
  </si>
  <si>
    <t>Заявка на журнал входного контроля для трубопровода (герметизация, обратная засыпка)</t>
  </si>
  <si>
    <t>Песок гидронамывной</t>
  </si>
  <si>
    <t>м3</t>
  </si>
  <si>
    <t>Аквастоп тип ПНБ 25х15</t>
  </si>
  <si>
    <t>м.п.</t>
  </si>
  <si>
    <t>Sika Grout 318</t>
  </si>
  <si>
    <t>26500503UF1-TK1-0001</t>
  </si>
  <si>
    <t>Заявка на журнал входного контроля для трубопровода (основание под трубопровод)</t>
  </si>
  <si>
    <t xml:space="preserve">Песок </t>
  </si>
  <si>
    <t>Геоткстиль</t>
  </si>
  <si>
    <t>26400831US1-TK1-0001</t>
  </si>
  <si>
    <t>м2</t>
  </si>
  <si>
    <t>26400832US1-TK1-0001</t>
  </si>
  <si>
    <t>26400833US1-TK1-0001</t>
  </si>
  <si>
    <t>Щебень 20-40</t>
  </si>
  <si>
    <t>Длина трубы, м</t>
  </si>
  <si>
    <t>Диаметр трубы, м</t>
  </si>
  <si>
    <t>Ширина сварного стыка, м</t>
  </si>
  <si>
    <t>Грунтовка согласно ВСН, кг</t>
  </si>
  <si>
    <t>Лента согласно ВСН, м2</t>
  </si>
  <si>
    <t>21460251UC1-TK1-0001</t>
  </si>
  <si>
    <t>Длина трубы под покраску, м</t>
  </si>
  <si>
    <t>Длина кожуха, м</t>
  </si>
  <si>
    <t>Диаметр кожуха, м</t>
  </si>
  <si>
    <t>Грунтовка согласно ВСН (кожух), кг</t>
  </si>
  <si>
    <t xml:space="preserve">НОВОРАД-Р </t>
  </si>
  <si>
    <t>НОВОРАД-ТЗ</t>
  </si>
  <si>
    <t>Лента согласно ВСН (кожух), м2</t>
  </si>
  <si>
    <t>"- заполняется вручную"</t>
  </si>
  <si>
    <t>Материал</t>
  </si>
  <si>
    <t>Диаметр трубы, мм</t>
  </si>
  <si>
    <t>Грунтовка</t>
  </si>
  <si>
    <t>Лента</t>
  </si>
  <si>
    <t>в один слой</t>
  </si>
  <si>
    <t>в два слоя</t>
  </si>
  <si>
    <t>когда я ставлю диаметр труб, грунтовка с другого листа сама ставилась, в зависимости от диаметра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</si>
</sst>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textRotation="90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textRotation="90" wrapText="1"/>
    </xf>
    <xf numFmtId="14" fontId="1" fillId="0" borderId="3" xfId="0" applyNumberFormat="1" applyFont="1" applyBorder="1" applyAlignment="1">
      <alignment horizontal="center" vertical="center" textRotation="90" wrapText="1"/>
    </xf>
    <xf numFmtId="14" fontId="1" fillId="0" borderId="4" xfId="0" applyNumberFormat="1" applyFont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textRotation="90" wrapText="1"/>
    </xf>
    <xf numFmtId="0" fontId="3" fillId="7" borderId="0" xfId="0" applyFont="1" applyFill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159123</xdr:colOff>
      <xdr:row>7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9684123" y="268156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159123</xdr:colOff>
      <xdr:row>20</xdr:row>
      <xdr:rowOff>52668</xdr:rowOff>
    </xdr:from>
    <xdr:ext cx="65" cy="172227"/>
    <xdr:sp macro="" textlink="">
      <xdr:nvSpPr>
        <xdr:cNvPr id="2" name="TextBox 1"/>
        <xdr:cNvSpPr txBox="1"/>
      </xdr:nvSpPr>
      <xdr:spPr>
        <a:xfrm>
          <a:off x="10177182" y="40307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zoomScale="85" zoomScaleNormal="85" workbookViewId="0">
      <selection activeCell="I31" sqref="I31"/>
    </sheetView>
  </sheetViews>
  <sheetFormatPr defaultRowHeight="15" x14ac:dyDescent="0.25"/>
  <cols>
    <col min="1" max="1" width="9.140625" style="1"/>
    <col min="2" max="2" width="22.42578125" style="1" bestFit="1" customWidth="1"/>
    <col min="3" max="3" width="46.140625" style="1" customWidth="1"/>
    <col min="4" max="5" width="9.140625" style="1"/>
    <col min="6" max="6" width="10.28515625" style="1" bestFit="1" customWidth="1"/>
    <col min="7" max="16384" width="9.140625" style="1"/>
  </cols>
  <sheetData>
    <row r="2" spans="1:6" x14ac:dyDescent="0.25">
      <c r="A2" s="37" t="s">
        <v>61</v>
      </c>
      <c r="B2" s="37"/>
      <c r="C2" s="37"/>
      <c r="D2" s="37"/>
      <c r="E2" s="37"/>
      <c r="F2" s="37"/>
    </row>
    <row r="4" spans="1:6" ht="28.5" x14ac:dyDescent="0.25">
      <c r="A4" s="3" t="s">
        <v>0</v>
      </c>
      <c r="B4" s="3" t="s">
        <v>1</v>
      </c>
      <c r="C4" s="3" t="s">
        <v>2</v>
      </c>
      <c r="D4" s="3" t="s">
        <v>4</v>
      </c>
      <c r="E4" s="3" t="s">
        <v>3</v>
      </c>
      <c r="F4" s="3" t="s">
        <v>17</v>
      </c>
    </row>
    <row r="5" spans="1:6" x14ac:dyDescent="0.25">
      <c r="A5" s="31">
        <v>1</v>
      </c>
      <c r="B5" s="38" t="s">
        <v>50</v>
      </c>
      <c r="C5" s="31" t="s">
        <v>62</v>
      </c>
      <c r="D5" s="31" t="s">
        <v>56</v>
      </c>
      <c r="E5" s="31">
        <v>3.23</v>
      </c>
      <c r="F5" s="39">
        <v>42695</v>
      </c>
    </row>
    <row r="6" spans="1:6" x14ac:dyDescent="0.25">
      <c r="A6" s="31">
        <v>2</v>
      </c>
      <c r="B6" s="38"/>
      <c r="C6" s="31" t="s">
        <v>63</v>
      </c>
      <c r="D6" s="31" t="s">
        <v>65</v>
      </c>
      <c r="E6" s="31">
        <v>19.350000000000001</v>
      </c>
      <c r="F6" s="39"/>
    </row>
    <row r="8" spans="1:6" ht="28.5" x14ac:dyDescent="0.25">
      <c r="A8" s="3" t="s">
        <v>0</v>
      </c>
      <c r="B8" s="3" t="s">
        <v>1</v>
      </c>
      <c r="C8" s="3" t="s">
        <v>2</v>
      </c>
      <c r="D8" s="3" t="s">
        <v>4</v>
      </c>
      <c r="E8" s="3" t="s">
        <v>3</v>
      </c>
      <c r="F8" s="3" t="s">
        <v>17</v>
      </c>
    </row>
    <row r="9" spans="1:6" x14ac:dyDescent="0.25">
      <c r="A9" s="31">
        <v>1</v>
      </c>
      <c r="B9" s="38" t="s">
        <v>51</v>
      </c>
      <c r="C9" s="31" t="s">
        <v>62</v>
      </c>
      <c r="D9" s="31" t="s">
        <v>56</v>
      </c>
      <c r="E9" s="31">
        <v>4.87</v>
      </c>
      <c r="F9" s="39">
        <v>42695</v>
      </c>
    </row>
    <row r="10" spans="1:6" x14ac:dyDescent="0.25">
      <c r="A10" s="31">
        <v>2</v>
      </c>
      <c r="B10" s="38"/>
      <c r="C10" s="31" t="s">
        <v>63</v>
      </c>
      <c r="D10" s="31" t="s">
        <v>65</v>
      </c>
      <c r="E10" s="31">
        <v>29.92</v>
      </c>
      <c r="F10" s="39"/>
    </row>
    <row r="12" spans="1:6" ht="28.5" x14ac:dyDescent="0.25">
      <c r="A12" s="3" t="s">
        <v>0</v>
      </c>
      <c r="B12" s="3" t="s">
        <v>1</v>
      </c>
      <c r="C12" s="3" t="s">
        <v>2</v>
      </c>
      <c r="D12" s="3" t="s">
        <v>4</v>
      </c>
      <c r="E12" s="3" t="s">
        <v>3</v>
      </c>
      <c r="F12" s="3" t="s">
        <v>17</v>
      </c>
    </row>
    <row r="13" spans="1:6" x14ac:dyDescent="0.25">
      <c r="A13" s="31">
        <v>1</v>
      </c>
      <c r="B13" s="38" t="s">
        <v>64</v>
      </c>
      <c r="C13" s="31" t="s">
        <v>62</v>
      </c>
      <c r="D13" s="31" t="s">
        <v>56</v>
      </c>
      <c r="E13" s="31">
        <v>1.07</v>
      </c>
      <c r="F13" s="39">
        <v>42695</v>
      </c>
    </row>
    <row r="14" spans="1:6" x14ac:dyDescent="0.25">
      <c r="A14" s="31">
        <v>2</v>
      </c>
      <c r="B14" s="38"/>
      <c r="C14" s="31" t="s">
        <v>63</v>
      </c>
      <c r="D14" s="31" t="s">
        <v>65</v>
      </c>
      <c r="E14" s="31">
        <v>8.1300000000000008</v>
      </c>
      <c r="F14" s="39"/>
    </row>
    <row r="16" spans="1:6" ht="28.5" x14ac:dyDescent="0.25">
      <c r="A16" s="3" t="s">
        <v>0</v>
      </c>
      <c r="B16" s="3" t="s">
        <v>1</v>
      </c>
      <c r="C16" s="3" t="s">
        <v>2</v>
      </c>
      <c r="D16" s="3" t="s">
        <v>4</v>
      </c>
      <c r="E16" s="3" t="s">
        <v>3</v>
      </c>
      <c r="F16" s="3" t="s">
        <v>17</v>
      </c>
    </row>
    <row r="17" spans="1:6" x14ac:dyDescent="0.25">
      <c r="A17" s="31">
        <v>1</v>
      </c>
      <c r="B17" s="38" t="s">
        <v>66</v>
      </c>
      <c r="C17" s="31" t="s">
        <v>62</v>
      </c>
      <c r="D17" s="31" t="s">
        <v>56</v>
      </c>
      <c r="E17" s="31">
        <v>0.15</v>
      </c>
      <c r="F17" s="39">
        <v>42695</v>
      </c>
    </row>
    <row r="18" spans="1:6" x14ac:dyDescent="0.25">
      <c r="A18" s="31">
        <v>2</v>
      </c>
      <c r="B18" s="38"/>
      <c r="C18" s="31" t="s">
        <v>63</v>
      </c>
      <c r="D18" s="31" t="s">
        <v>65</v>
      </c>
      <c r="E18" s="31">
        <v>1.1499999999999999</v>
      </c>
      <c r="F18" s="39"/>
    </row>
    <row r="20" spans="1:6" ht="28.5" x14ac:dyDescent="0.25">
      <c r="A20" s="3" t="s">
        <v>0</v>
      </c>
      <c r="B20" s="3" t="s">
        <v>1</v>
      </c>
      <c r="C20" s="3" t="s">
        <v>2</v>
      </c>
      <c r="D20" s="3" t="s">
        <v>4</v>
      </c>
      <c r="E20" s="3" t="s">
        <v>3</v>
      </c>
      <c r="F20" s="3" t="s">
        <v>17</v>
      </c>
    </row>
    <row r="21" spans="1:6" x14ac:dyDescent="0.25">
      <c r="A21" s="31">
        <v>1</v>
      </c>
      <c r="B21" s="38" t="s">
        <v>67</v>
      </c>
      <c r="C21" s="31" t="s">
        <v>62</v>
      </c>
      <c r="D21" s="31" t="s">
        <v>56</v>
      </c>
      <c r="E21" s="31">
        <v>0.48</v>
      </c>
      <c r="F21" s="39">
        <v>42695</v>
      </c>
    </row>
    <row r="22" spans="1:6" x14ac:dyDescent="0.25">
      <c r="A22" s="31">
        <v>2</v>
      </c>
      <c r="B22" s="38"/>
      <c r="C22" s="31" t="s">
        <v>63</v>
      </c>
      <c r="D22" s="31" t="s">
        <v>65</v>
      </c>
      <c r="E22" s="31">
        <v>3.69</v>
      </c>
      <c r="F22" s="39"/>
    </row>
    <row r="24" spans="1:6" ht="28.5" x14ac:dyDescent="0.25">
      <c r="A24" s="3" t="s">
        <v>0</v>
      </c>
      <c r="B24" s="3" t="s">
        <v>1</v>
      </c>
      <c r="C24" s="3" t="s">
        <v>2</v>
      </c>
      <c r="D24" s="3" t="s">
        <v>4</v>
      </c>
      <c r="E24" s="3" t="s">
        <v>3</v>
      </c>
      <c r="F24" s="3" t="s">
        <v>17</v>
      </c>
    </row>
    <row r="25" spans="1:6" x14ac:dyDescent="0.25">
      <c r="A25" s="31">
        <v>1</v>
      </c>
      <c r="B25" s="38" t="s">
        <v>53</v>
      </c>
      <c r="C25" s="31" t="s">
        <v>62</v>
      </c>
      <c r="D25" s="31" t="s">
        <v>56</v>
      </c>
      <c r="E25" s="31">
        <v>2.7</v>
      </c>
      <c r="F25" s="39">
        <v>42695</v>
      </c>
    </row>
    <row r="26" spans="1:6" x14ac:dyDescent="0.25">
      <c r="A26" s="31">
        <v>2</v>
      </c>
      <c r="B26" s="38"/>
      <c r="C26" s="31" t="s">
        <v>68</v>
      </c>
      <c r="D26" s="31" t="s">
        <v>56</v>
      </c>
      <c r="E26" s="31">
        <v>6.5</v>
      </c>
      <c r="F26" s="39"/>
    </row>
    <row r="27" spans="1:6" x14ac:dyDescent="0.25">
      <c r="A27" s="31">
        <v>3</v>
      </c>
      <c r="B27" s="38"/>
      <c r="C27" s="31" t="s">
        <v>63</v>
      </c>
      <c r="D27" s="31" t="s">
        <v>65</v>
      </c>
      <c r="E27" s="31">
        <v>17.739999999999998</v>
      </c>
      <c r="F27" s="39"/>
    </row>
    <row r="29" spans="1:6" ht="28.5" x14ac:dyDescent="0.25">
      <c r="A29" s="3" t="s">
        <v>0</v>
      </c>
      <c r="B29" s="3" t="s">
        <v>1</v>
      </c>
      <c r="C29" s="3" t="s">
        <v>2</v>
      </c>
      <c r="D29" s="3" t="s">
        <v>4</v>
      </c>
      <c r="E29" s="3" t="s">
        <v>3</v>
      </c>
      <c r="F29" s="3" t="s">
        <v>17</v>
      </c>
    </row>
    <row r="30" spans="1:6" x14ac:dyDescent="0.25">
      <c r="A30" s="31">
        <v>1</v>
      </c>
      <c r="B30" s="38" t="s">
        <v>52</v>
      </c>
      <c r="C30" s="31" t="s">
        <v>62</v>
      </c>
      <c r="D30" s="31" t="s">
        <v>56</v>
      </c>
      <c r="E30" s="31">
        <v>0.8</v>
      </c>
      <c r="F30" s="39">
        <v>42695</v>
      </c>
    </row>
    <row r="31" spans="1:6" x14ac:dyDescent="0.25">
      <c r="A31" s="31">
        <v>2</v>
      </c>
      <c r="B31" s="38"/>
      <c r="C31" s="31" t="s">
        <v>63</v>
      </c>
      <c r="D31" s="31" t="s">
        <v>65</v>
      </c>
      <c r="E31" s="31">
        <v>4.91</v>
      </c>
      <c r="F31" s="39"/>
    </row>
  </sheetData>
  <mergeCells count="15">
    <mergeCell ref="B25:B27"/>
    <mergeCell ref="F25:F27"/>
    <mergeCell ref="B30:B31"/>
    <mergeCell ref="F30:F31"/>
    <mergeCell ref="B13:B14"/>
    <mergeCell ref="F13:F14"/>
    <mergeCell ref="B17:B18"/>
    <mergeCell ref="F17:F18"/>
    <mergeCell ref="B21:B22"/>
    <mergeCell ref="F21:F22"/>
    <mergeCell ref="A2:F2"/>
    <mergeCell ref="B5:B6"/>
    <mergeCell ref="F5:F6"/>
    <mergeCell ref="B9:B10"/>
    <mergeCell ref="F9:F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0"/>
  <sheetViews>
    <sheetView tabSelected="1" topLeftCell="G1" zoomScale="85" zoomScaleNormal="85" workbookViewId="0">
      <selection activeCell="L581" sqref="L581"/>
    </sheetView>
  </sheetViews>
  <sheetFormatPr defaultColWidth="9.140625" defaultRowHeight="15" x14ac:dyDescent="0.25"/>
  <cols>
    <col min="1" max="1" width="7.42578125" style="1" hidden="1" customWidth="1"/>
    <col min="2" max="2" width="23.7109375" style="1" hidden="1" customWidth="1"/>
    <col min="3" max="3" width="42" style="1" hidden="1" customWidth="1"/>
    <col min="4" max="4" width="8.85546875" style="1" hidden="1" customWidth="1"/>
    <col min="5" max="5" width="0" style="1" hidden="1" customWidth="1"/>
    <col min="6" max="6" width="10.140625" style="1" hidden="1" customWidth="1"/>
    <col min="7" max="7" width="9.140625" style="1"/>
    <col min="8" max="8" width="30.42578125" style="1" customWidth="1"/>
    <col min="9" max="9" width="18.7109375" style="1" customWidth="1"/>
    <col min="10" max="10" width="35.5703125" style="1" customWidth="1"/>
    <col min="11" max="11" width="35.7109375" style="1" customWidth="1"/>
    <col min="12" max="12" width="32.28515625" style="1" customWidth="1"/>
    <col min="13" max="13" width="46.28515625" style="1" customWidth="1"/>
    <col min="14" max="14" width="23.5703125" style="1" bestFit="1" customWidth="1"/>
    <col min="15" max="15" width="44.7109375" style="1" bestFit="1" customWidth="1"/>
    <col min="16" max="16384" width="9.140625" style="1"/>
  </cols>
  <sheetData>
    <row r="1" spans="1:6" ht="15.75" customHeight="1" x14ac:dyDescent="0.25"/>
    <row r="2" spans="1:6" ht="15.75" customHeight="1" x14ac:dyDescent="0.25">
      <c r="A2" s="37" t="s">
        <v>6</v>
      </c>
      <c r="B2" s="37"/>
      <c r="C2" s="37"/>
      <c r="D2" s="37"/>
      <c r="E2" s="37"/>
      <c r="F2" s="37"/>
    </row>
    <row r="3" spans="1:6" ht="15.75" hidden="1" customHeight="1" x14ac:dyDescent="0.25"/>
    <row r="4" spans="1:6" ht="26.25" hidden="1" customHeight="1" x14ac:dyDescent="0.25">
      <c r="A4" s="3" t="s">
        <v>0</v>
      </c>
      <c r="B4" s="3" t="s">
        <v>1</v>
      </c>
      <c r="C4" s="3" t="s">
        <v>2</v>
      </c>
      <c r="D4" s="3" t="s">
        <v>4</v>
      </c>
      <c r="E4" s="3" t="s">
        <v>3</v>
      </c>
      <c r="F4" s="3" t="s">
        <v>17</v>
      </c>
    </row>
    <row r="5" spans="1:6" ht="15.75" hidden="1" customHeight="1" x14ac:dyDescent="0.25">
      <c r="A5" s="5">
        <v>1</v>
      </c>
      <c r="B5" s="41" t="s">
        <v>5</v>
      </c>
      <c r="C5" s="5" t="s">
        <v>7</v>
      </c>
      <c r="D5" s="5" t="s">
        <v>8</v>
      </c>
      <c r="E5" s="5">
        <v>18</v>
      </c>
      <c r="F5" s="44">
        <v>42658</v>
      </c>
    </row>
    <row r="6" spans="1:6" ht="15.75" hidden="1" customHeight="1" x14ac:dyDescent="0.25">
      <c r="A6" s="5">
        <v>2</v>
      </c>
      <c r="B6" s="42"/>
      <c r="C6" s="5" t="s">
        <v>9</v>
      </c>
      <c r="D6" s="5" t="s">
        <v>8</v>
      </c>
      <c r="E6" s="5">
        <v>17</v>
      </c>
      <c r="F6" s="45"/>
    </row>
    <row r="7" spans="1:6" ht="15.75" hidden="1" customHeight="1" x14ac:dyDescent="0.25">
      <c r="A7" s="5">
        <v>3</v>
      </c>
      <c r="B7" s="42"/>
      <c r="C7" s="5" t="s">
        <v>10</v>
      </c>
      <c r="D7" s="5" t="s">
        <v>8</v>
      </c>
      <c r="E7" s="5">
        <v>1.8</v>
      </c>
      <c r="F7" s="45"/>
    </row>
    <row r="8" spans="1:6" ht="15.75" hidden="1" customHeight="1" x14ac:dyDescent="0.25">
      <c r="A8" s="5">
        <v>4</v>
      </c>
      <c r="B8" s="42"/>
      <c r="C8" s="5" t="s">
        <v>11</v>
      </c>
      <c r="D8" s="5" t="s">
        <v>8</v>
      </c>
      <c r="E8" s="5">
        <v>1.3</v>
      </c>
      <c r="F8" s="45"/>
    </row>
    <row r="9" spans="1:6" ht="15.75" hidden="1" customHeight="1" x14ac:dyDescent="0.25">
      <c r="A9" s="5">
        <v>5</v>
      </c>
      <c r="B9" s="42"/>
      <c r="C9" s="5" t="s">
        <v>12</v>
      </c>
      <c r="D9" s="5" t="s">
        <v>13</v>
      </c>
      <c r="E9" s="5">
        <v>9</v>
      </c>
      <c r="F9" s="45"/>
    </row>
    <row r="10" spans="1:6" ht="15.75" hidden="1" customHeight="1" x14ac:dyDescent="0.25">
      <c r="A10" s="5">
        <v>6</v>
      </c>
      <c r="B10" s="42"/>
      <c r="C10" s="5" t="s">
        <v>14</v>
      </c>
      <c r="D10" s="5" t="s">
        <v>8</v>
      </c>
      <c r="E10" s="5">
        <v>15.4</v>
      </c>
      <c r="F10" s="45"/>
    </row>
    <row r="11" spans="1:6" ht="15.75" hidden="1" customHeight="1" x14ac:dyDescent="0.25">
      <c r="A11" s="5">
        <v>7</v>
      </c>
      <c r="B11" s="42"/>
      <c r="C11" s="5" t="s">
        <v>15</v>
      </c>
      <c r="D11" s="5" t="s">
        <v>8</v>
      </c>
      <c r="E11" s="5">
        <v>15.4</v>
      </c>
      <c r="F11" s="45"/>
    </row>
    <row r="12" spans="1:6" ht="15.75" hidden="1" customHeight="1" x14ac:dyDescent="0.25">
      <c r="A12" s="5">
        <v>8</v>
      </c>
      <c r="B12" s="42"/>
      <c r="C12" s="5" t="s">
        <v>16</v>
      </c>
      <c r="D12" s="5" t="s">
        <v>8</v>
      </c>
      <c r="E12" s="5">
        <v>6.3</v>
      </c>
      <c r="F12" s="45"/>
    </row>
    <row r="13" spans="1:6" ht="15.75" hidden="1" customHeight="1" x14ac:dyDescent="0.25">
      <c r="A13" s="5">
        <v>9</v>
      </c>
      <c r="B13" s="42"/>
      <c r="C13" s="5" t="s">
        <v>21</v>
      </c>
      <c r="D13" s="5" t="s">
        <v>22</v>
      </c>
      <c r="E13" s="4">
        <v>1.2</v>
      </c>
      <c r="F13" s="45"/>
    </row>
    <row r="14" spans="1:6" ht="15.75" hidden="1" customHeight="1" x14ac:dyDescent="0.25">
      <c r="A14" s="5">
        <v>10</v>
      </c>
      <c r="B14" s="42"/>
      <c r="C14" s="5" t="s">
        <v>25</v>
      </c>
      <c r="D14" s="5" t="s">
        <v>22</v>
      </c>
      <c r="E14" s="4">
        <v>5660</v>
      </c>
      <c r="F14" s="45"/>
    </row>
    <row r="15" spans="1:6" ht="15.75" hidden="1" customHeight="1" x14ac:dyDescent="0.25">
      <c r="A15" s="23">
        <v>11</v>
      </c>
      <c r="B15" s="43"/>
      <c r="C15" s="27" t="s">
        <v>40</v>
      </c>
      <c r="D15" s="27" t="s">
        <v>13</v>
      </c>
      <c r="E15" s="27">
        <v>3</v>
      </c>
      <c r="F15" s="46"/>
    </row>
    <row r="16" spans="1:6" ht="15.75" hidden="1" customHeight="1" x14ac:dyDescent="0.25">
      <c r="A16" s="23"/>
      <c r="B16" s="23"/>
      <c r="C16" s="23"/>
      <c r="D16" s="23"/>
      <c r="E16" s="4"/>
      <c r="F16" s="24"/>
    </row>
    <row r="17" spans="1:6" ht="15.75" hidden="1" customHeight="1" x14ac:dyDescent="0.25">
      <c r="A17" s="5"/>
      <c r="B17" s="5"/>
      <c r="C17" s="5"/>
      <c r="D17" s="5"/>
      <c r="E17" s="4"/>
      <c r="F17" s="6"/>
    </row>
    <row r="18" spans="1:6" ht="33.75" hidden="1" customHeight="1" x14ac:dyDescent="0.25">
      <c r="A18" s="3" t="s">
        <v>0</v>
      </c>
      <c r="B18" s="3" t="s">
        <v>1</v>
      </c>
      <c r="C18" s="3" t="s">
        <v>2</v>
      </c>
      <c r="D18" s="3" t="s">
        <v>4</v>
      </c>
      <c r="E18" s="3" t="s">
        <v>3</v>
      </c>
      <c r="F18" s="3" t="s">
        <v>17</v>
      </c>
    </row>
    <row r="19" spans="1:6" ht="15.75" hidden="1" customHeight="1" x14ac:dyDescent="0.25">
      <c r="A19" s="23">
        <v>1</v>
      </c>
      <c r="B19" s="38" t="s">
        <v>26</v>
      </c>
      <c r="C19" s="23" t="s">
        <v>7</v>
      </c>
      <c r="D19" s="23" t="s">
        <v>8</v>
      </c>
      <c r="E19" s="23">
        <v>18</v>
      </c>
      <c r="F19" s="40">
        <v>42658</v>
      </c>
    </row>
    <row r="20" spans="1:6" ht="15.75" hidden="1" customHeight="1" x14ac:dyDescent="0.25">
      <c r="A20" s="23">
        <v>2</v>
      </c>
      <c r="B20" s="38"/>
      <c r="C20" s="23" t="s">
        <v>10</v>
      </c>
      <c r="D20" s="23" t="s">
        <v>8</v>
      </c>
      <c r="E20" s="23">
        <v>1.8</v>
      </c>
      <c r="F20" s="40"/>
    </row>
    <row r="21" spans="1:6" ht="15.75" hidden="1" customHeight="1" x14ac:dyDescent="0.25">
      <c r="A21" s="23">
        <v>3</v>
      </c>
      <c r="B21" s="38"/>
      <c r="C21" s="23" t="s">
        <v>11</v>
      </c>
      <c r="D21" s="23" t="s">
        <v>8</v>
      </c>
      <c r="E21" s="23">
        <v>1.3</v>
      </c>
      <c r="F21" s="40"/>
    </row>
    <row r="22" spans="1:6" ht="15.75" hidden="1" customHeight="1" x14ac:dyDescent="0.25">
      <c r="A22" s="23">
        <v>4</v>
      </c>
      <c r="B22" s="38"/>
      <c r="C22" s="23" t="s">
        <v>12</v>
      </c>
      <c r="D22" s="23" t="s">
        <v>13</v>
      </c>
      <c r="E22" s="23">
        <v>9</v>
      </c>
      <c r="F22" s="40"/>
    </row>
    <row r="23" spans="1:6" ht="15.75" hidden="1" customHeight="1" x14ac:dyDescent="0.25">
      <c r="A23" s="23">
        <v>5</v>
      </c>
      <c r="B23" s="38"/>
      <c r="C23" s="23" t="s">
        <v>21</v>
      </c>
      <c r="D23" s="23" t="s">
        <v>22</v>
      </c>
      <c r="E23" s="4">
        <v>0.6</v>
      </c>
      <c r="F23" s="40"/>
    </row>
    <row r="24" spans="1:6" ht="15.75" hidden="1" customHeight="1" x14ac:dyDescent="0.25">
      <c r="A24" s="23">
        <v>6</v>
      </c>
      <c r="B24" s="38"/>
      <c r="C24" s="23" t="s">
        <v>25</v>
      </c>
      <c r="D24" s="23" t="s">
        <v>22</v>
      </c>
      <c r="E24" s="4">
        <v>2952</v>
      </c>
      <c r="F24" s="40"/>
    </row>
    <row r="25" spans="1:6" ht="15.75" hidden="1" customHeight="1" x14ac:dyDescent="0.25">
      <c r="A25" s="23">
        <v>7</v>
      </c>
      <c r="B25" s="38"/>
      <c r="C25" s="27" t="s">
        <v>40</v>
      </c>
      <c r="D25" s="27" t="s">
        <v>13</v>
      </c>
      <c r="E25" s="27">
        <v>2</v>
      </c>
      <c r="F25" s="40"/>
    </row>
    <row r="26" spans="1:6" ht="15.75" hidden="1" customHeight="1" x14ac:dyDescent="0.25">
      <c r="A26" s="17"/>
      <c r="B26" s="17"/>
      <c r="C26" s="17"/>
      <c r="D26" s="17"/>
      <c r="E26" s="26"/>
      <c r="F26" s="19"/>
    </row>
    <row r="27" spans="1:6" ht="15.75" hidden="1" customHeight="1" x14ac:dyDescent="0.25"/>
    <row r="28" spans="1:6" ht="32.25" hidden="1" customHeight="1" x14ac:dyDescent="0.25">
      <c r="A28" s="3" t="s">
        <v>0</v>
      </c>
      <c r="B28" s="3" t="s">
        <v>1</v>
      </c>
      <c r="C28" s="3" t="s">
        <v>2</v>
      </c>
      <c r="D28" s="3" t="s">
        <v>4</v>
      </c>
      <c r="E28" s="3" t="s">
        <v>3</v>
      </c>
      <c r="F28" s="3" t="s">
        <v>17</v>
      </c>
    </row>
    <row r="29" spans="1:6" ht="15.75" hidden="1" customHeight="1" x14ac:dyDescent="0.25">
      <c r="A29" s="23">
        <v>1</v>
      </c>
      <c r="B29" s="38" t="s">
        <v>18</v>
      </c>
      <c r="C29" s="23" t="s">
        <v>7</v>
      </c>
      <c r="D29" s="23" t="s">
        <v>8</v>
      </c>
      <c r="E29" s="4">
        <v>13</v>
      </c>
      <c r="F29" s="40">
        <v>42658</v>
      </c>
    </row>
    <row r="30" spans="1:6" ht="15.75" hidden="1" customHeight="1" x14ac:dyDescent="0.25">
      <c r="A30" s="23">
        <v>2</v>
      </c>
      <c r="B30" s="38"/>
      <c r="C30" s="23" t="s">
        <v>9</v>
      </c>
      <c r="D30" s="23" t="s">
        <v>8</v>
      </c>
      <c r="E30" s="4">
        <v>9</v>
      </c>
      <c r="F30" s="40"/>
    </row>
    <row r="31" spans="1:6" ht="15.75" hidden="1" customHeight="1" x14ac:dyDescent="0.25">
      <c r="A31" s="23">
        <v>3</v>
      </c>
      <c r="B31" s="38"/>
      <c r="C31" s="23" t="s">
        <v>10</v>
      </c>
      <c r="D31" s="23" t="s">
        <v>8</v>
      </c>
      <c r="E31" s="4">
        <v>1.3</v>
      </c>
      <c r="F31" s="40"/>
    </row>
    <row r="32" spans="1:6" ht="15.75" hidden="1" customHeight="1" x14ac:dyDescent="0.25">
      <c r="A32" s="23">
        <v>4</v>
      </c>
      <c r="B32" s="38"/>
      <c r="C32" s="23" t="s">
        <v>11</v>
      </c>
      <c r="D32" s="23" t="s">
        <v>8</v>
      </c>
      <c r="E32" s="4">
        <v>1.1000000000000001</v>
      </c>
      <c r="F32" s="40"/>
    </row>
    <row r="33" spans="1:6" ht="15.75" hidden="1" customHeight="1" x14ac:dyDescent="0.25">
      <c r="A33" s="23">
        <v>5</v>
      </c>
      <c r="B33" s="38"/>
      <c r="C33" s="23" t="s">
        <v>12</v>
      </c>
      <c r="D33" s="23" t="s">
        <v>13</v>
      </c>
      <c r="E33" s="4">
        <v>6</v>
      </c>
      <c r="F33" s="40"/>
    </row>
    <row r="34" spans="1:6" ht="15.75" hidden="1" customHeight="1" x14ac:dyDescent="0.25">
      <c r="A34" s="23">
        <v>6</v>
      </c>
      <c r="B34" s="38"/>
      <c r="C34" s="23" t="s">
        <v>14</v>
      </c>
      <c r="D34" s="23" t="s">
        <v>8</v>
      </c>
      <c r="E34" s="4">
        <v>8.4</v>
      </c>
      <c r="F34" s="40"/>
    </row>
    <row r="35" spans="1:6" ht="15.75" hidden="1" customHeight="1" x14ac:dyDescent="0.25">
      <c r="A35" s="23">
        <v>7</v>
      </c>
      <c r="B35" s="38"/>
      <c r="C35" s="23" t="s">
        <v>15</v>
      </c>
      <c r="D35" s="23" t="s">
        <v>8</v>
      </c>
      <c r="E35" s="4">
        <v>8.4</v>
      </c>
      <c r="F35" s="40"/>
    </row>
    <row r="36" spans="1:6" ht="15.75" hidden="1" customHeight="1" x14ac:dyDescent="0.25">
      <c r="A36" s="23">
        <v>8</v>
      </c>
      <c r="B36" s="38"/>
      <c r="C36" s="23" t="s">
        <v>16</v>
      </c>
      <c r="D36" s="23" t="s">
        <v>8</v>
      </c>
      <c r="E36" s="4">
        <v>3.5</v>
      </c>
      <c r="F36" s="40"/>
    </row>
    <row r="37" spans="1:6" ht="15.75" hidden="1" customHeight="1" x14ac:dyDescent="0.25">
      <c r="A37" s="23">
        <v>9</v>
      </c>
      <c r="B37" s="38"/>
      <c r="C37" s="23" t="s">
        <v>21</v>
      </c>
      <c r="D37" s="23" t="s">
        <v>22</v>
      </c>
      <c r="E37" s="4">
        <v>0.5</v>
      </c>
      <c r="F37" s="40"/>
    </row>
    <row r="38" spans="1:6" ht="15.75" hidden="1" customHeight="1" x14ac:dyDescent="0.25">
      <c r="A38" s="23">
        <v>10</v>
      </c>
      <c r="B38" s="38"/>
      <c r="C38" s="23" t="s">
        <v>25</v>
      </c>
      <c r="D38" s="23" t="s">
        <v>22</v>
      </c>
      <c r="E38" s="4">
        <v>2214</v>
      </c>
      <c r="F38" s="40"/>
    </row>
    <row r="39" spans="1:6" ht="15.75" hidden="1" customHeight="1" x14ac:dyDescent="0.25">
      <c r="A39" s="23">
        <v>11</v>
      </c>
      <c r="B39" s="38"/>
      <c r="C39" s="27" t="s">
        <v>40</v>
      </c>
      <c r="D39" s="27" t="s">
        <v>13</v>
      </c>
      <c r="E39" s="27">
        <v>1</v>
      </c>
      <c r="F39" s="40"/>
    </row>
    <row r="40" spans="1:6" ht="15.75" hidden="1" customHeight="1" x14ac:dyDescent="0.25">
      <c r="A40" s="17"/>
      <c r="B40" s="17"/>
      <c r="C40" s="17"/>
      <c r="D40" s="17"/>
      <c r="E40" s="26"/>
      <c r="F40" s="19"/>
    </row>
    <row r="41" spans="1:6" ht="15.75" hidden="1" customHeight="1" x14ac:dyDescent="0.25"/>
    <row r="42" spans="1:6" ht="32.25" hidden="1" customHeight="1" x14ac:dyDescent="0.25">
      <c r="A42" s="3" t="s">
        <v>0</v>
      </c>
      <c r="B42" s="3" t="s">
        <v>1</v>
      </c>
      <c r="C42" s="3" t="s">
        <v>2</v>
      </c>
      <c r="D42" s="3" t="s">
        <v>4</v>
      </c>
      <c r="E42" s="3" t="s">
        <v>3</v>
      </c>
      <c r="F42" s="3" t="s">
        <v>17</v>
      </c>
    </row>
    <row r="43" spans="1:6" ht="15.75" hidden="1" customHeight="1" x14ac:dyDescent="0.25">
      <c r="A43" s="5">
        <v>1</v>
      </c>
      <c r="B43" s="38" t="s">
        <v>19</v>
      </c>
      <c r="C43" s="5" t="s">
        <v>7</v>
      </c>
      <c r="D43" s="5" t="s">
        <v>8</v>
      </c>
      <c r="E43" s="4">
        <v>12</v>
      </c>
      <c r="F43" s="40">
        <v>42658</v>
      </c>
    </row>
    <row r="44" spans="1:6" ht="15.75" hidden="1" customHeight="1" x14ac:dyDescent="0.25">
      <c r="A44" s="5">
        <v>2</v>
      </c>
      <c r="B44" s="38"/>
      <c r="C44" s="5" t="s">
        <v>9</v>
      </c>
      <c r="D44" s="5" t="s">
        <v>8</v>
      </c>
      <c r="E44" s="2">
        <v>17</v>
      </c>
      <c r="F44" s="40"/>
    </row>
    <row r="45" spans="1:6" ht="15.75" hidden="1" customHeight="1" x14ac:dyDescent="0.25">
      <c r="A45" s="5">
        <v>3</v>
      </c>
      <c r="B45" s="38"/>
      <c r="C45" s="5" t="s">
        <v>10</v>
      </c>
      <c r="D45" s="5" t="s">
        <v>8</v>
      </c>
      <c r="E45" s="4">
        <v>1.2</v>
      </c>
      <c r="F45" s="40"/>
    </row>
    <row r="46" spans="1:6" ht="15.75" hidden="1" customHeight="1" x14ac:dyDescent="0.25">
      <c r="A46" s="5">
        <v>4</v>
      </c>
      <c r="B46" s="38"/>
      <c r="C46" s="5" t="s">
        <v>11</v>
      </c>
      <c r="D46" s="5" t="s">
        <v>8</v>
      </c>
      <c r="E46" s="2">
        <v>1.3</v>
      </c>
      <c r="F46" s="40"/>
    </row>
    <row r="47" spans="1:6" ht="15.75" hidden="1" customHeight="1" x14ac:dyDescent="0.25">
      <c r="A47" s="5">
        <v>5</v>
      </c>
      <c r="B47" s="38"/>
      <c r="C47" s="5" t="s">
        <v>12</v>
      </c>
      <c r="D47" s="5" t="s">
        <v>13</v>
      </c>
      <c r="E47" s="2">
        <v>7</v>
      </c>
      <c r="F47" s="40"/>
    </row>
    <row r="48" spans="1:6" ht="15.75" hidden="1" customHeight="1" x14ac:dyDescent="0.25">
      <c r="A48" s="5">
        <v>6</v>
      </c>
      <c r="B48" s="38"/>
      <c r="C48" s="5" t="s">
        <v>14</v>
      </c>
      <c r="D48" s="5" t="s">
        <v>8</v>
      </c>
      <c r="E48" s="4">
        <v>16</v>
      </c>
      <c r="F48" s="40"/>
    </row>
    <row r="49" spans="1:6" ht="15.75" hidden="1" customHeight="1" x14ac:dyDescent="0.25">
      <c r="A49" s="5">
        <v>7</v>
      </c>
      <c r="B49" s="38"/>
      <c r="C49" s="5" t="s">
        <v>15</v>
      </c>
      <c r="D49" s="5" t="s">
        <v>8</v>
      </c>
      <c r="E49" s="4">
        <v>16</v>
      </c>
      <c r="F49" s="40"/>
    </row>
    <row r="50" spans="1:6" ht="15.75" hidden="1" customHeight="1" x14ac:dyDescent="0.25">
      <c r="A50" s="5">
        <v>8</v>
      </c>
      <c r="B50" s="38"/>
      <c r="C50" s="5" t="s">
        <v>16</v>
      </c>
      <c r="D50" s="5" t="s">
        <v>8</v>
      </c>
      <c r="E50" s="4">
        <v>6.5</v>
      </c>
      <c r="F50" s="40"/>
    </row>
    <row r="51" spans="1:6" ht="15.75" hidden="1" customHeight="1" x14ac:dyDescent="0.25">
      <c r="A51" s="5">
        <v>9</v>
      </c>
      <c r="B51" s="38"/>
      <c r="C51" s="5" t="s">
        <v>21</v>
      </c>
      <c r="D51" s="5" t="s">
        <v>22</v>
      </c>
      <c r="E51" s="5">
        <v>0.5</v>
      </c>
      <c r="F51" s="40"/>
    </row>
    <row r="52" spans="1:6" ht="15.75" hidden="1" customHeight="1" x14ac:dyDescent="0.25">
      <c r="A52" s="5">
        <v>10</v>
      </c>
      <c r="B52" s="38"/>
      <c r="C52" s="5" t="s">
        <v>24</v>
      </c>
      <c r="D52" s="5" t="s">
        <v>13</v>
      </c>
      <c r="E52" s="4">
        <v>1</v>
      </c>
      <c r="F52" s="40"/>
    </row>
    <row r="53" spans="1:6" ht="15.75" hidden="1" customHeight="1" x14ac:dyDescent="0.25">
      <c r="A53" s="5">
        <v>11</v>
      </c>
      <c r="B53" s="38"/>
      <c r="C53" s="5" t="s">
        <v>25</v>
      </c>
      <c r="D53" s="5" t="s">
        <v>22</v>
      </c>
      <c r="E53" s="4">
        <v>2214</v>
      </c>
      <c r="F53" s="40"/>
    </row>
    <row r="54" spans="1:6" ht="15.75" hidden="1" customHeight="1" x14ac:dyDescent="0.25"/>
    <row r="55" spans="1:6" ht="31.5" hidden="1" customHeight="1" x14ac:dyDescent="0.25">
      <c r="A55" s="3" t="s">
        <v>0</v>
      </c>
      <c r="B55" s="3" t="s">
        <v>1</v>
      </c>
      <c r="C55" s="3" t="s">
        <v>2</v>
      </c>
      <c r="D55" s="3" t="s">
        <v>4</v>
      </c>
      <c r="E55" s="3" t="s">
        <v>3</v>
      </c>
      <c r="F55" s="3" t="s">
        <v>17</v>
      </c>
    </row>
    <row r="56" spans="1:6" ht="15.75" hidden="1" customHeight="1" x14ac:dyDescent="0.25">
      <c r="A56" s="23">
        <v>1</v>
      </c>
      <c r="B56" s="38" t="s">
        <v>20</v>
      </c>
      <c r="C56" s="23" t="s">
        <v>7</v>
      </c>
      <c r="D56" s="23" t="s">
        <v>8</v>
      </c>
      <c r="E56" s="4">
        <v>18</v>
      </c>
      <c r="F56" s="40">
        <v>42658</v>
      </c>
    </row>
    <row r="57" spans="1:6" ht="15.75" hidden="1" customHeight="1" x14ac:dyDescent="0.25">
      <c r="A57" s="23">
        <v>2</v>
      </c>
      <c r="B57" s="38"/>
      <c r="C57" s="23" t="s">
        <v>9</v>
      </c>
      <c r="D57" s="23" t="s">
        <v>8</v>
      </c>
      <c r="E57" s="4">
        <v>70</v>
      </c>
      <c r="F57" s="40"/>
    </row>
    <row r="58" spans="1:6" ht="15.75" hidden="1" customHeight="1" x14ac:dyDescent="0.25">
      <c r="A58" s="23">
        <v>3</v>
      </c>
      <c r="B58" s="38"/>
      <c r="C58" s="23" t="s">
        <v>10</v>
      </c>
      <c r="D58" s="23" t="s">
        <v>8</v>
      </c>
      <c r="E58" s="4">
        <v>1.8</v>
      </c>
      <c r="F58" s="40"/>
    </row>
    <row r="59" spans="1:6" ht="15.75" hidden="1" customHeight="1" x14ac:dyDescent="0.25">
      <c r="A59" s="23">
        <v>4</v>
      </c>
      <c r="B59" s="38"/>
      <c r="C59" s="23" t="s">
        <v>11</v>
      </c>
      <c r="D59" s="23" t="s">
        <v>8</v>
      </c>
      <c r="E59" s="4">
        <v>1.8</v>
      </c>
      <c r="F59" s="40"/>
    </row>
    <row r="60" spans="1:6" ht="15.75" hidden="1" customHeight="1" x14ac:dyDescent="0.25">
      <c r="A60" s="23">
        <v>5</v>
      </c>
      <c r="B60" s="38"/>
      <c r="C60" s="23" t="s">
        <v>12</v>
      </c>
      <c r="D60" s="23" t="s">
        <v>13</v>
      </c>
      <c r="E60" s="4">
        <v>9</v>
      </c>
      <c r="F60" s="40"/>
    </row>
    <row r="61" spans="1:6" ht="15.75" hidden="1" customHeight="1" x14ac:dyDescent="0.25">
      <c r="A61" s="23">
        <v>6</v>
      </c>
      <c r="B61" s="38"/>
      <c r="C61" s="23" t="s">
        <v>14</v>
      </c>
      <c r="D61" s="23" t="s">
        <v>8</v>
      </c>
      <c r="E61" s="4">
        <v>8.4</v>
      </c>
      <c r="F61" s="40"/>
    </row>
    <row r="62" spans="1:6" ht="15.75" hidden="1" customHeight="1" x14ac:dyDescent="0.25">
      <c r="A62" s="23">
        <v>7</v>
      </c>
      <c r="B62" s="38"/>
      <c r="C62" s="23" t="s">
        <v>15</v>
      </c>
      <c r="D62" s="23" t="s">
        <v>8</v>
      </c>
      <c r="E62" s="4">
        <v>8.4</v>
      </c>
      <c r="F62" s="40"/>
    </row>
    <row r="63" spans="1:6" ht="15.75" hidden="1" customHeight="1" x14ac:dyDescent="0.25">
      <c r="A63" s="23">
        <v>8</v>
      </c>
      <c r="B63" s="38"/>
      <c r="C63" s="23" t="s">
        <v>16</v>
      </c>
      <c r="D63" s="23" t="s">
        <v>8</v>
      </c>
      <c r="E63" s="4">
        <v>27</v>
      </c>
      <c r="F63" s="40"/>
    </row>
    <row r="64" spans="1:6" ht="15.75" hidden="1" customHeight="1" x14ac:dyDescent="0.25">
      <c r="A64" s="23">
        <v>9</v>
      </c>
      <c r="B64" s="38"/>
      <c r="C64" s="23" t="s">
        <v>21</v>
      </c>
      <c r="D64" s="23" t="s">
        <v>22</v>
      </c>
      <c r="E64" s="4">
        <v>0.7</v>
      </c>
      <c r="F64" s="40"/>
    </row>
    <row r="65" spans="1:6" ht="15.75" hidden="1" customHeight="1" x14ac:dyDescent="0.25">
      <c r="A65" s="23">
        <v>10</v>
      </c>
      <c r="B65" s="38"/>
      <c r="C65" s="23" t="s">
        <v>25</v>
      </c>
      <c r="D65" s="23" t="s">
        <v>22</v>
      </c>
      <c r="E65" s="4">
        <v>3444</v>
      </c>
      <c r="F65" s="40"/>
    </row>
    <row r="66" spans="1:6" ht="15.75" hidden="1" customHeight="1" x14ac:dyDescent="0.25">
      <c r="A66" s="23">
        <v>11</v>
      </c>
      <c r="B66" s="38"/>
      <c r="C66" s="27" t="s">
        <v>40</v>
      </c>
      <c r="D66" s="27" t="s">
        <v>13</v>
      </c>
      <c r="E66" s="27">
        <v>2</v>
      </c>
      <c r="F66" s="40"/>
    </row>
    <row r="67" spans="1:6" ht="15.75" hidden="1" customHeight="1" x14ac:dyDescent="0.25">
      <c r="A67" s="17"/>
      <c r="B67" s="17"/>
      <c r="C67" s="17"/>
      <c r="D67" s="17"/>
      <c r="E67" s="26"/>
      <c r="F67" s="19"/>
    </row>
    <row r="68" spans="1:6" ht="15.75" hidden="1" customHeight="1" x14ac:dyDescent="0.25"/>
    <row r="69" spans="1:6" ht="27" hidden="1" customHeight="1" x14ac:dyDescent="0.25">
      <c r="A69" s="3" t="s">
        <v>0</v>
      </c>
      <c r="B69" s="3" t="s">
        <v>1</v>
      </c>
      <c r="C69" s="3" t="s">
        <v>2</v>
      </c>
      <c r="D69" s="3" t="s">
        <v>4</v>
      </c>
      <c r="E69" s="3" t="s">
        <v>3</v>
      </c>
      <c r="F69" s="3" t="s">
        <v>17</v>
      </c>
    </row>
    <row r="70" spans="1:6" ht="15.75" hidden="1" customHeight="1" x14ac:dyDescent="0.25">
      <c r="A70" s="16">
        <v>1</v>
      </c>
      <c r="B70" s="38" t="str">
        <f>Данные!B3</f>
        <v>26200104CUC1-TK1-0001</v>
      </c>
      <c r="C70" s="16" t="s">
        <v>7</v>
      </c>
      <c r="D70" s="16" t="s">
        <v>8</v>
      </c>
      <c r="E70" s="12">
        <f>C85</f>
        <v>131</v>
      </c>
      <c r="F70" s="40">
        <v>42667</v>
      </c>
    </row>
    <row r="71" spans="1:6" ht="15.75" hidden="1" customHeight="1" x14ac:dyDescent="0.25">
      <c r="A71" s="16">
        <v>2</v>
      </c>
      <c r="B71" s="38"/>
      <c r="C71" s="16" t="s">
        <v>10</v>
      </c>
      <c r="D71" s="16" t="s">
        <v>8</v>
      </c>
      <c r="E71" s="12">
        <f>C88</f>
        <v>7</v>
      </c>
      <c r="F71" s="40"/>
    </row>
    <row r="72" spans="1:6" ht="15.75" hidden="1" customHeight="1" x14ac:dyDescent="0.25">
      <c r="A72" s="16">
        <v>3</v>
      </c>
      <c r="B72" s="38"/>
      <c r="C72" s="16" t="s">
        <v>11</v>
      </c>
      <c r="D72" s="16" t="s">
        <v>8</v>
      </c>
      <c r="E72" s="12">
        <f>C91</f>
        <v>26</v>
      </c>
      <c r="F72" s="40"/>
    </row>
    <row r="73" spans="1:6" ht="15.75" hidden="1" customHeight="1" x14ac:dyDescent="0.25">
      <c r="A73" s="16">
        <v>4</v>
      </c>
      <c r="B73" s="38"/>
      <c r="C73" s="16" t="s">
        <v>12</v>
      </c>
      <c r="D73" s="16" t="s">
        <v>13</v>
      </c>
      <c r="E73" s="12">
        <f>C94</f>
        <v>120</v>
      </c>
      <c r="F73" s="40"/>
    </row>
    <row r="74" spans="1:6" ht="15.75" hidden="1" customHeight="1" x14ac:dyDescent="0.25">
      <c r="A74" s="16">
        <v>5</v>
      </c>
      <c r="B74" s="38"/>
      <c r="C74" s="16" t="s">
        <v>21</v>
      </c>
      <c r="D74" s="16" t="s">
        <v>22</v>
      </c>
      <c r="E74" s="13">
        <f>C82</f>
        <v>7</v>
      </c>
      <c r="F74" s="40"/>
    </row>
    <row r="75" spans="1:6" ht="15.75" hidden="1" customHeight="1" x14ac:dyDescent="0.25">
      <c r="A75" s="16">
        <v>6</v>
      </c>
      <c r="B75" s="38"/>
      <c r="C75" s="16" t="s">
        <v>25</v>
      </c>
      <c r="D75" s="16" t="s">
        <v>22</v>
      </c>
      <c r="E75" s="12">
        <f>C79</f>
        <v>12546</v>
      </c>
      <c r="F75" s="40"/>
    </row>
    <row r="76" spans="1:6" ht="15.75" hidden="1" customHeight="1" x14ac:dyDescent="0.25">
      <c r="A76" s="16">
        <v>7</v>
      </c>
      <c r="B76" s="38"/>
      <c r="C76" s="16" t="s">
        <v>40</v>
      </c>
      <c r="D76" s="16" t="s">
        <v>13</v>
      </c>
      <c r="E76" s="12">
        <f>C97</f>
        <v>7</v>
      </c>
      <c r="F76" s="40"/>
    </row>
    <row r="77" spans="1:6" ht="15.75" hidden="1" customHeight="1" x14ac:dyDescent="0.25"/>
    <row r="78" spans="1:6" ht="15.75" hidden="1" customHeight="1" x14ac:dyDescent="0.25">
      <c r="C78" s="9" t="s">
        <v>25</v>
      </c>
    </row>
    <row r="79" spans="1:6" ht="15.75" hidden="1" customHeight="1" x14ac:dyDescent="0.25">
      <c r="C79" s="10">
        <f>ROUND(Данные!C3*3.14*Данные!E3*192.8, 0)</f>
        <v>12546</v>
      </c>
      <c r="D79" s="7" t="s">
        <v>22</v>
      </c>
    </row>
    <row r="80" spans="1:6" ht="15.75" hidden="1" customHeight="1" x14ac:dyDescent="0.25"/>
    <row r="81" spans="3:4" ht="15.75" hidden="1" customHeight="1" x14ac:dyDescent="0.25">
      <c r="C81" s="9" t="s">
        <v>23</v>
      </c>
    </row>
    <row r="82" spans="3:4" ht="15.75" hidden="1" customHeight="1" x14ac:dyDescent="0.25">
      <c r="C82" s="8">
        <f>ROUND(Данные!C3*3.14*Данные!E3*0.2*0.5, 0)</f>
        <v>7</v>
      </c>
      <c r="D82" s="7" t="s">
        <v>22</v>
      </c>
    </row>
    <row r="83" spans="3:4" ht="15.75" hidden="1" customHeight="1" x14ac:dyDescent="0.25"/>
    <row r="84" spans="3:4" ht="15.75" hidden="1" customHeight="1" x14ac:dyDescent="0.25">
      <c r="C84" s="9" t="s">
        <v>28</v>
      </c>
    </row>
    <row r="85" spans="3:4" ht="15.75" hidden="1" customHeight="1" x14ac:dyDescent="0.25">
      <c r="C85" s="10">
        <f>ROUND(Данные!C3*3.14*Данные!E3*2.018, 0)</f>
        <v>131</v>
      </c>
      <c r="D85" s="7" t="s">
        <v>8</v>
      </c>
    </row>
    <row r="86" spans="3:4" ht="15.75" hidden="1" customHeight="1" x14ac:dyDescent="0.25"/>
    <row r="87" spans="3:4" ht="15.75" hidden="1" customHeight="1" x14ac:dyDescent="0.25">
      <c r="C87" s="9" t="s">
        <v>29</v>
      </c>
    </row>
    <row r="88" spans="3:4" ht="15.75" hidden="1" customHeight="1" x14ac:dyDescent="0.25">
      <c r="C88" s="10">
        <f>ROUND(Данные!C3*3.14*Данные!E3*0.1, 0)</f>
        <v>7</v>
      </c>
      <c r="D88" s="7" t="s">
        <v>8</v>
      </c>
    </row>
    <row r="89" spans="3:4" ht="15.75" hidden="1" customHeight="1" x14ac:dyDescent="0.25"/>
    <row r="90" spans="3:4" ht="15.75" hidden="1" customHeight="1" x14ac:dyDescent="0.25">
      <c r="C90" s="9" t="s">
        <v>30</v>
      </c>
    </row>
    <row r="91" spans="3:4" ht="15.75" hidden="1" customHeight="1" x14ac:dyDescent="0.25">
      <c r="C91" s="10">
        <f>ROUND(0.5*Данные!E3*Данные!C3*3.14*784/1000, 0)</f>
        <v>26</v>
      </c>
      <c r="D91" s="7" t="s">
        <v>8</v>
      </c>
    </row>
    <row r="92" spans="3:4" ht="15.75" hidden="1" customHeight="1" x14ac:dyDescent="0.25"/>
    <row r="93" spans="3:4" ht="15.75" hidden="1" customHeight="1" x14ac:dyDescent="0.25">
      <c r="C93" s="9" t="s">
        <v>31</v>
      </c>
    </row>
    <row r="94" spans="3:4" ht="15.75" hidden="1" customHeight="1" x14ac:dyDescent="0.25">
      <c r="C94" s="10">
        <f>ROUND(0.5*Данные!E3*Данные!C3*3.14*9.25*2/5, 0)</f>
        <v>120</v>
      </c>
      <c r="D94" s="7" t="s">
        <v>13</v>
      </c>
    </row>
    <row r="95" spans="3:4" ht="15.75" hidden="1" customHeight="1" x14ac:dyDescent="0.25">
      <c r="C95" s="20"/>
      <c r="D95" s="17"/>
    </row>
    <row r="96" spans="3:4" ht="15.75" hidden="1" customHeight="1" x14ac:dyDescent="0.25">
      <c r="C96" s="9" t="s">
        <v>40</v>
      </c>
    </row>
    <row r="97" spans="1:6" ht="15.75" hidden="1" customHeight="1" x14ac:dyDescent="0.25">
      <c r="C97" s="10">
        <f>ROUND(1.219*3.14*17*1.556/14.93, 0)</f>
        <v>7</v>
      </c>
      <c r="D97" s="16" t="s">
        <v>13</v>
      </c>
    </row>
    <row r="98" spans="1:6" ht="15.75" hidden="1" customHeight="1" x14ac:dyDescent="0.25"/>
    <row r="99" spans="1:6" ht="27" hidden="1" customHeight="1" x14ac:dyDescent="0.25">
      <c r="A99" s="3" t="s">
        <v>0</v>
      </c>
      <c r="B99" s="3" t="s">
        <v>1</v>
      </c>
      <c r="C99" s="3" t="s">
        <v>2</v>
      </c>
      <c r="D99" s="3" t="s">
        <v>4</v>
      </c>
      <c r="E99" s="3" t="s">
        <v>3</v>
      </c>
      <c r="F99" s="3" t="s">
        <v>17</v>
      </c>
    </row>
    <row r="100" spans="1:6" ht="15.75" hidden="1" customHeight="1" x14ac:dyDescent="0.25">
      <c r="A100" s="16">
        <v>1</v>
      </c>
      <c r="B100" s="38" t="s">
        <v>32</v>
      </c>
      <c r="C100" s="16" t="s">
        <v>7</v>
      </c>
      <c r="D100" s="16" t="s">
        <v>8</v>
      </c>
      <c r="E100" s="12">
        <f>C115</f>
        <v>46</v>
      </c>
      <c r="F100" s="40">
        <v>42667</v>
      </c>
    </row>
    <row r="101" spans="1:6" ht="15.75" hidden="1" customHeight="1" x14ac:dyDescent="0.25">
      <c r="A101" s="16">
        <v>2</v>
      </c>
      <c r="B101" s="38"/>
      <c r="C101" s="16" t="s">
        <v>10</v>
      </c>
      <c r="D101" s="16" t="s">
        <v>8</v>
      </c>
      <c r="E101" s="12">
        <f>C118</f>
        <v>2</v>
      </c>
      <c r="F101" s="40"/>
    </row>
    <row r="102" spans="1:6" ht="15.75" hidden="1" customHeight="1" x14ac:dyDescent="0.25">
      <c r="A102" s="16">
        <v>3</v>
      </c>
      <c r="B102" s="38"/>
      <c r="C102" s="16" t="s">
        <v>11</v>
      </c>
      <c r="D102" s="16" t="s">
        <v>8</v>
      </c>
      <c r="E102" s="12">
        <f>C121</f>
        <v>9.0026563200000016</v>
      </c>
      <c r="F102" s="40"/>
    </row>
    <row r="103" spans="1:6" ht="15.75" hidden="1" customHeight="1" x14ac:dyDescent="0.25">
      <c r="A103" s="16">
        <v>4</v>
      </c>
      <c r="B103" s="38"/>
      <c r="C103" s="16" t="s">
        <v>12</v>
      </c>
      <c r="D103" s="16" t="s">
        <v>13</v>
      </c>
      <c r="E103" s="12">
        <f>C124</f>
        <v>42</v>
      </c>
      <c r="F103" s="40"/>
    </row>
    <row r="104" spans="1:6" ht="15.75" hidden="1" customHeight="1" x14ac:dyDescent="0.25">
      <c r="A104" s="16">
        <v>5</v>
      </c>
      <c r="B104" s="38"/>
      <c r="C104" s="16" t="s">
        <v>21</v>
      </c>
      <c r="D104" s="16" t="s">
        <v>22</v>
      </c>
      <c r="E104" s="13">
        <f>C112</f>
        <v>2</v>
      </c>
      <c r="F104" s="40"/>
    </row>
    <row r="105" spans="1:6" ht="15.75" hidden="1" customHeight="1" x14ac:dyDescent="0.25">
      <c r="A105" s="16">
        <v>6</v>
      </c>
      <c r="B105" s="38"/>
      <c r="C105" s="16" t="s">
        <v>25</v>
      </c>
      <c r="D105" s="16" t="s">
        <v>22</v>
      </c>
      <c r="E105" s="12">
        <f>C109</f>
        <v>4428</v>
      </c>
      <c r="F105" s="40"/>
    </row>
    <row r="106" spans="1:6" ht="15.75" hidden="1" customHeight="1" x14ac:dyDescent="0.25">
      <c r="A106" s="16">
        <v>7</v>
      </c>
      <c r="B106" s="38"/>
      <c r="C106" s="16" t="s">
        <v>40</v>
      </c>
      <c r="D106" s="16" t="s">
        <v>13</v>
      </c>
      <c r="E106" s="12">
        <f>C127</f>
        <v>2</v>
      </c>
      <c r="F106" s="40"/>
    </row>
    <row r="107" spans="1:6" ht="15.75" hidden="1" customHeight="1" x14ac:dyDescent="0.25"/>
    <row r="108" spans="1:6" ht="15.75" hidden="1" customHeight="1" x14ac:dyDescent="0.25">
      <c r="C108" s="9" t="s">
        <v>25</v>
      </c>
    </row>
    <row r="109" spans="1:6" ht="15.75" hidden="1" customHeight="1" x14ac:dyDescent="0.25">
      <c r="C109" s="10">
        <f>ROUND(1.219*3.14*6*192.8, 0)</f>
        <v>4428</v>
      </c>
      <c r="D109" s="11" t="s">
        <v>22</v>
      </c>
    </row>
    <row r="110" spans="1:6" ht="15.75" hidden="1" customHeight="1" x14ac:dyDescent="0.25"/>
    <row r="111" spans="1:6" ht="15.75" hidden="1" customHeight="1" x14ac:dyDescent="0.25">
      <c r="C111" s="9" t="s">
        <v>23</v>
      </c>
    </row>
    <row r="112" spans="1:6" ht="15.75" hidden="1" customHeight="1" x14ac:dyDescent="0.25">
      <c r="C112" s="8">
        <f>ROUND(1.219*3.14*6*0.2*0.5, 0)</f>
        <v>2</v>
      </c>
      <c r="D112" s="11" t="s">
        <v>22</v>
      </c>
    </row>
    <row r="113" spans="3:4" ht="15.75" hidden="1" customHeight="1" x14ac:dyDescent="0.25"/>
    <row r="114" spans="3:4" ht="15.75" hidden="1" customHeight="1" x14ac:dyDescent="0.25">
      <c r="C114" s="9" t="s">
        <v>28</v>
      </c>
    </row>
    <row r="115" spans="3:4" ht="15.75" hidden="1" customHeight="1" x14ac:dyDescent="0.25">
      <c r="C115" s="10">
        <f>ROUND(1.219*3.14*6*2.018, 0)</f>
        <v>46</v>
      </c>
      <c r="D115" s="11" t="s">
        <v>8</v>
      </c>
    </row>
    <row r="116" spans="3:4" ht="15.75" hidden="1" customHeight="1" x14ac:dyDescent="0.25"/>
    <row r="117" spans="3:4" ht="15.75" hidden="1" customHeight="1" x14ac:dyDescent="0.25">
      <c r="C117" s="9" t="s">
        <v>29</v>
      </c>
    </row>
    <row r="118" spans="3:4" ht="15.75" hidden="1" customHeight="1" x14ac:dyDescent="0.25">
      <c r="C118" s="10">
        <f>ROUND(1.219*3.14*6*0.1, 0)</f>
        <v>2</v>
      </c>
      <c r="D118" s="11" t="s">
        <v>8</v>
      </c>
    </row>
    <row r="119" spans="3:4" ht="15.75" hidden="1" customHeight="1" x14ac:dyDescent="0.25"/>
    <row r="120" spans="3:4" ht="15.75" hidden="1" customHeight="1" x14ac:dyDescent="0.25">
      <c r="C120" s="9" t="s">
        <v>30</v>
      </c>
    </row>
    <row r="121" spans="3:4" ht="15.75" hidden="1" customHeight="1" x14ac:dyDescent="0.25">
      <c r="C121" s="10">
        <f>0.5*6*1.219*3.14*784/1000</f>
        <v>9.0026563200000016</v>
      </c>
      <c r="D121" s="11" t="s">
        <v>8</v>
      </c>
    </row>
    <row r="122" spans="3:4" ht="15.75" hidden="1" customHeight="1" x14ac:dyDescent="0.25"/>
    <row r="123" spans="3:4" ht="15.75" hidden="1" customHeight="1" x14ac:dyDescent="0.25">
      <c r="C123" s="9" t="s">
        <v>31</v>
      </c>
    </row>
    <row r="124" spans="3:4" ht="15.75" hidden="1" customHeight="1" x14ac:dyDescent="0.25">
      <c r="C124" s="10">
        <f>ROUND(0.5*6*1.219*3.14*9.25*2/5, 0)</f>
        <v>42</v>
      </c>
      <c r="D124" s="11" t="s">
        <v>13</v>
      </c>
    </row>
    <row r="125" spans="3:4" ht="15.75" hidden="1" customHeight="1" x14ac:dyDescent="0.25">
      <c r="C125" s="20"/>
      <c r="D125" s="17"/>
    </row>
    <row r="126" spans="3:4" ht="15.75" hidden="1" customHeight="1" x14ac:dyDescent="0.25">
      <c r="C126" s="9" t="s">
        <v>40</v>
      </c>
    </row>
    <row r="127" spans="3:4" ht="15.75" hidden="1" customHeight="1" x14ac:dyDescent="0.25">
      <c r="C127" s="10">
        <f>ROUND(1.219*3.14*6*1.556/14.93, 0)</f>
        <v>2</v>
      </c>
      <c r="D127" s="16" t="s">
        <v>13</v>
      </c>
    </row>
    <row r="128" spans="3:4" ht="15.75" hidden="1" customHeight="1" x14ac:dyDescent="0.25"/>
    <row r="129" spans="1:6" ht="28.5" hidden="1" x14ac:dyDescent="0.25">
      <c r="A129" s="3" t="s">
        <v>0</v>
      </c>
      <c r="B129" s="3" t="s">
        <v>1</v>
      </c>
      <c r="C129" s="3" t="s">
        <v>2</v>
      </c>
      <c r="D129" s="3" t="s">
        <v>4</v>
      </c>
      <c r="E129" s="3" t="s">
        <v>3</v>
      </c>
      <c r="F129" s="3" t="s">
        <v>17</v>
      </c>
    </row>
    <row r="130" spans="1:6" ht="15.75" hidden="1" customHeight="1" x14ac:dyDescent="0.25">
      <c r="A130" s="16">
        <v>1</v>
      </c>
      <c r="B130" s="38" t="s">
        <v>33</v>
      </c>
      <c r="C130" s="16" t="s">
        <v>7</v>
      </c>
      <c r="D130" s="16" t="s">
        <v>8</v>
      </c>
      <c r="E130" s="12">
        <f>C146</f>
        <v>39</v>
      </c>
      <c r="F130" s="40">
        <v>42667</v>
      </c>
    </row>
    <row r="131" spans="1:6" ht="15.75" hidden="1" customHeight="1" x14ac:dyDescent="0.25">
      <c r="A131" s="16">
        <v>2</v>
      </c>
      <c r="B131" s="38"/>
      <c r="C131" s="16" t="s">
        <v>10</v>
      </c>
      <c r="D131" s="16" t="s">
        <v>8</v>
      </c>
      <c r="E131" s="12">
        <f>C149</f>
        <v>2</v>
      </c>
      <c r="F131" s="40"/>
    </row>
    <row r="132" spans="1:6" ht="15.75" hidden="1" customHeight="1" x14ac:dyDescent="0.25">
      <c r="A132" s="16">
        <v>3</v>
      </c>
      <c r="B132" s="38"/>
      <c r="C132" s="16" t="s">
        <v>11</v>
      </c>
      <c r="D132" s="16" t="s">
        <v>8</v>
      </c>
      <c r="E132" s="12">
        <f>C152</f>
        <v>8</v>
      </c>
      <c r="F132" s="40"/>
    </row>
    <row r="133" spans="1:6" ht="15.75" hidden="1" customHeight="1" x14ac:dyDescent="0.25">
      <c r="A133" s="16">
        <v>4</v>
      </c>
      <c r="B133" s="38"/>
      <c r="C133" s="16" t="s">
        <v>12</v>
      </c>
      <c r="D133" s="16" t="s">
        <v>13</v>
      </c>
      <c r="E133" s="12">
        <f>C155</f>
        <v>35</v>
      </c>
      <c r="F133" s="40"/>
    </row>
    <row r="134" spans="1:6" ht="15.75" hidden="1" customHeight="1" x14ac:dyDescent="0.25">
      <c r="A134" s="16">
        <v>5</v>
      </c>
      <c r="B134" s="38"/>
      <c r="C134" s="16" t="s">
        <v>21</v>
      </c>
      <c r="D134" s="16" t="s">
        <v>22</v>
      </c>
      <c r="E134" s="13">
        <f>C143</f>
        <v>2</v>
      </c>
      <c r="F134" s="40"/>
    </row>
    <row r="135" spans="1:6" ht="15.75" hidden="1" customHeight="1" x14ac:dyDescent="0.25">
      <c r="A135" s="16">
        <v>6</v>
      </c>
      <c r="B135" s="38"/>
      <c r="C135" s="16" t="s">
        <v>25</v>
      </c>
      <c r="D135" s="16" t="s">
        <v>22</v>
      </c>
      <c r="E135" s="12">
        <f>C140</f>
        <v>3690</v>
      </c>
      <c r="F135" s="40"/>
    </row>
    <row r="136" spans="1:6" ht="15.75" hidden="1" customHeight="1" x14ac:dyDescent="0.25">
      <c r="A136" s="16">
        <v>7</v>
      </c>
      <c r="B136" s="38"/>
      <c r="C136" s="16" t="s">
        <v>40</v>
      </c>
      <c r="D136" s="16" t="s">
        <v>13</v>
      </c>
      <c r="E136" s="12">
        <f>C158</f>
        <v>2</v>
      </c>
      <c r="F136" s="40"/>
    </row>
    <row r="137" spans="1:6" ht="15.75" hidden="1" customHeight="1" x14ac:dyDescent="0.25">
      <c r="A137" s="17"/>
      <c r="B137" s="17"/>
      <c r="C137" s="17"/>
      <c r="D137" s="17"/>
      <c r="E137" s="18"/>
      <c r="F137" s="19"/>
    </row>
    <row r="138" spans="1:6" ht="15.75" hidden="1" customHeight="1" x14ac:dyDescent="0.25"/>
    <row r="139" spans="1:6" ht="15.75" hidden="1" customHeight="1" x14ac:dyDescent="0.25">
      <c r="C139" s="9" t="s">
        <v>25</v>
      </c>
    </row>
    <row r="140" spans="1:6" ht="15.75" hidden="1" customHeight="1" x14ac:dyDescent="0.25">
      <c r="C140" s="10">
        <f>ROUND(1.016*3.14*6*192.8, 0)</f>
        <v>3690</v>
      </c>
      <c r="D140" s="11" t="s">
        <v>22</v>
      </c>
    </row>
    <row r="141" spans="1:6" ht="15.75" hidden="1" customHeight="1" x14ac:dyDescent="0.25"/>
    <row r="142" spans="1:6" ht="15.75" hidden="1" customHeight="1" x14ac:dyDescent="0.25">
      <c r="C142" s="9" t="s">
        <v>23</v>
      </c>
    </row>
    <row r="143" spans="1:6" ht="15.75" hidden="1" customHeight="1" x14ac:dyDescent="0.25">
      <c r="C143" s="8">
        <f>ROUND(1.016*3.14*6*0.2*0.5, 0)</f>
        <v>2</v>
      </c>
      <c r="D143" s="11" t="s">
        <v>22</v>
      </c>
    </row>
    <row r="144" spans="1:6" ht="15.75" hidden="1" customHeight="1" x14ac:dyDescent="0.25"/>
    <row r="145" spans="1:6" ht="15.75" hidden="1" customHeight="1" x14ac:dyDescent="0.25">
      <c r="C145" s="9" t="s">
        <v>28</v>
      </c>
    </row>
    <row r="146" spans="1:6" ht="15.75" hidden="1" customHeight="1" x14ac:dyDescent="0.25">
      <c r="C146" s="10">
        <f>ROUND(1.016*3.14*6*2.018, 0)</f>
        <v>39</v>
      </c>
      <c r="D146" s="11" t="s">
        <v>8</v>
      </c>
    </row>
    <row r="147" spans="1:6" ht="15.75" hidden="1" customHeight="1" x14ac:dyDescent="0.25"/>
    <row r="148" spans="1:6" ht="15.75" hidden="1" customHeight="1" x14ac:dyDescent="0.25">
      <c r="C148" s="9" t="s">
        <v>29</v>
      </c>
    </row>
    <row r="149" spans="1:6" ht="15.75" hidden="1" customHeight="1" x14ac:dyDescent="0.25">
      <c r="C149" s="10">
        <f>ROUND(1.016*3.14*6*0.1, 0)</f>
        <v>2</v>
      </c>
      <c r="D149" s="11" t="s">
        <v>8</v>
      </c>
    </row>
    <row r="150" spans="1:6" ht="15.75" hidden="1" customHeight="1" x14ac:dyDescent="0.25"/>
    <row r="151" spans="1:6" ht="15.75" hidden="1" customHeight="1" x14ac:dyDescent="0.25">
      <c r="C151" s="9" t="s">
        <v>30</v>
      </c>
    </row>
    <row r="152" spans="1:6" ht="15.75" hidden="1" customHeight="1" x14ac:dyDescent="0.25">
      <c r="C152" s="10">
        <f>ROUND(0.5*6*1.016*3.14*784/1000, 0)</f>
        <v>8</v>
      </c>
      <c r="D152" s="11" t="s">
        <v>8</v>
      </c>
    </row>
    <row r="153" spans="1:6" ht="15.75" hidden="1" customHeight="1" x14ac:dyDescent="0.25"/>
    <row r="154" spans="1:6" ht="15.75" hidden="1" customHeight="1" x14ac:dyDescent="0.25">
      <c r="C154" s="9" t="s">
        <v>31</v>
      </c>
    </row>
    <row r="155" spans="1:6" ht="15.75" hidden="1" customHeight="1" x14ac:dyDescent="0.25">
      <c r="C155" s="10">
        <f>ROUND(0.5*6*1.016*3.14*9.25*2/5, 0)</f>
        <v>35</v>
      </c>
      <c r="D155" s="11" t="s">
        <v>13</v>
      </c>
    </row>
    <row r="156" spans="1:6" ht="15.75" hidden="1" customHeight="1" x14ac:dyDescent="0.25">
      <c r="C156" s="20"/>
      <c r="D156" s="17"/>
    </row>
    <row r="157" spans="1:6" ht="15.75" hidden="1" customHeight="1" x14ac:dyDescent="0.25">
      <c r="C157" s="9" t="s">
        <v>40</v>
      </c>
    </row>
    <row r="158" spans="1:6" ht="15.75" hidden="1" customHeight="1" x14ac:dyDescent="0.25">
      <c r="C158" s="10">
        <f>ROUND(1.016*3.14*6*1.556/14.93, 0)</f>
        <v>2</v>
      </c>
      <c r="D158" s="16" t="s">
        <v>13</v>
      </c>
    </row>
    <row r="159" spans="1:6" ht="15.75" hidden="1" customHeight="1" x14ac:dyDescent="0.25"/>
    <row r="160" spans="1:6" ht="28.5" hidden="1" x14ac:dyDescent="0.25">
      <c r="A160" s="3" t="s">
        <v>0</v>
      </c>
      <c r="B160" s="3" t="s">
        <v>1</v>
      </c>
      <c r="C160" s="3" t="s">
        <v>2</v>
      </c>
      <c r="D160" s="3" t="s">
        <v>4</v>
      </c>
      <c r="E160" s="3" t="s">
        <v>3</v>
      </c>
      <c r="F160" s="3" t="s">
        <v>17</v>
      </c>
    </row>
    <row r="161" spans="1:6" ht="15.75" hidden="1" customHeight="1" x14ac:dyDescent="0.25">
      <c r="A161" s="16">
        <v>1</v>
      </c>
      <c r="B161" s="38" t="s">
        <v>34</v>
      </c>
      <c r="C161" s="16" t="s">
        <v>7</v>
      </c>
      <c r="D161" s="16" t="s">
        <v>8</v>
      </c>
      <c r="E161" s="12">
        <f>C176</f>
        <v>35</v>
      </c>
      <c r="F161" s="40">
        <v>42667</v>
      </c>
    </row>
    <row r="162" spans="1:6" ht="15.75" hidden="1" customHeight="1" x14ac:dyDescent="0.25">
      <c r="A162" s="16">
        <v>2</v>
      </c>
      <c r="B162" s="38"/>
      <c r="C162" s="16" t="s">
        <v>10</v>
      </c>
      <c r="D162" s="16" t="s">
        <v>8</v>
      </c>
      <c r="E162" s="12">
        <f>C179</f>
        <v>2</v>
      </c>
      <c r="F162" s="40"/>
    </row>
    <row r="163" spans="1:6" ht="15.75" hidden="1" customHeight="1" x14ac:dyDescent="0.25">
      <c r="A163" s="16">
        <v>3</v>
      </c>
      <c r="B163" s="38"/>
      <c r="C163" s="16" t="s">
        <v>11</v>
      </c>
      <c r="D163" s="16" t="s">
        <v>8</v>
      </c>
      <c r="E163" s="12">
        <f>C182</f>
        <v>9</v>
      </c>
      <c r="F163" s="40"/>
    </row>
    <row r="164" spans="1:6" ht="15.75" hidden="1" customHeight="1" x14ac:dyDescent="0.25">
      <c r="A164" s="16">
        <v>4</v>
      </c>
      <c r="B164" s="38"/>
      <c r="C164" s="16" t="s">
        <v>12</v>
      </c>
      <c r="D164" s="16" t="s">
        <v>13</v>
      </c>
      <c r="E164" s="12">
        <f>C185</f>
        <v>42</v>
      </c>
      <c r="F164" s="40"/>
    </row>
    <row r="165" spans="1:6" ht="15.75" hidden="1" customHeight="1" x14ac:dyDescent="0.25">
      <c r="A165" s="16">
        <v>5</v>
      </c>
      <c r="B165" s="38"/>
      <c r="C165" s="16" t="s">
        <v>21</v>
      </c>
      <c r="D165" s="16" t="s">
        <v>22</v>
      </c>
      <c r="E165" s="13">
        <f>C173</f>
        <v>2</v>
      </c>
      <c r="F165" s="40"/>
    </row>
    <row r="166" spans="1:6" ht="15.75" hidden="1" customHeight="1" x14ac:dyDescent="0.25">
      <c r="A166" s="16">
        <v>6</v>
      </c>
      <c r="B166" s="38"/>
      <c r="C166" s="16" t="s">
        <v>25</v>
      </c>
      <c r="D166" s="16" t="s">
        <v>22</v>
      </c>
      <c r="E166" s="12">
        <f>C170</f>
        <v>4427</v>
      </c>
      <c r="F166" s="40"/>
    </row>
    <row r="167" spans="1:6" ht="15.75" hidden="1" customHeight="1" x14ac:dyDescent="0.25">
      <c r="A167" s="16">
        <v>7</v>
      </c>
      <c r="B167" s="38"/>
      <c r="C167" s="16" t="s">
        <v>40</v>
      </c>
      <c r="D167" s="16" t="s">
        <v>13</v>
      </c>
      <c r="E167" s="12">
        <f>C188</f>
        <v>2</v>
      </c>
      <c r="F167" s="40"/>
    </row>
    <row r="168" spans="1:6" ht="15.75" hidden="1" customHeight="1" x14ac:dyDescent="0.25"/>
    <row r="169" spans="1:6" ht="15.75" hidden="1" customHeight="1" x14ac:dyDescent="0.25">
      <c r="C169" s="9" t="s">
        <v>25</v>
      </c>
    </row>
    <row r="170" spans="1:6" ht="15.75" hidden="1" customHeight="1" x14ac:dyDescent="0.25">
      <c r="C170" s="10">
        <f>ROUND(0.914*3.14*8*192.8, 0)</f>
        <v>4427</v>
      </c>
      <c r="D170" s="11" t="s">
        <v>22</v>
      </c>
    </row>
    <row r="171" spans="1:6" ht="15.75" hidden="1" customHeight="1" x14ac:dyDescent="0.25"/>
    <row r="172" spans="1:6" ht="15.75" hidden="1" customHeight="1" x14ac:dyDescent="0.25">
      <c r="C172" s="9" t="s">
        <v>23</v>
      </c>
    </row>
    <row r="173" spans="1:6" ht="15.75" hidden="1" customHeight="1" x14ac:dyDescent="0.25">
      <c r="C173" s="8">
        <f>ROUND(0.914*3.14*8*0.2*0.5, 0)</f>
        <v>2</v>
      </c>
      <c r="D173" s="11" t="s">
        <v>22</v>
      </c>
    </row>
    <row r="174" spans="1:6" ht="15.75" hidden="1" customHeight="1" x14ac:dyDescent="0.25"/>
    <row r="175" spans="1:6" ht="15.75" hidden="1" customHeight="1" x14ac:dyDescent="0.25">
      <c r="C175" s="9" t="s">
        <v>28</v>
      </c>
    </row>
    <row r="176" spans="1:6" ht="15.75" hidden="1" customHeight="1" x14ac:dyDescent="0.25">
      <c r="C176" s="10">
        <f>ROUND(0.914*3.14*8*1.515, 0)</f>
        <v>35</v>
      </c>
      <c r="D176" s="11" t="s">
        <v>8</v>
      </c>
    </row>
    <row r="177" spans="1:6" ht="15.75" hidden="1" customHeight="1" x14ac:dyDescent="0.25"/>
    <row r="178" spans="1:6" ht="15.75" hidden="1" customHeight="1" x14ac:dyDescent="0.25">
      <c r="C178" s="9" t="s">
        <v>29</v>
      </c>
    </row>
    <row r="179" spans="1:6" ht="15.75" hidden="1" customHeight="1" x14ac:dyDescent="0.25">
      <c r="C179" s="10">
        <f>ROUND(0.914*3.14*8*0.1, 0)</f>
        <v>2</v>
      </c>
      <c r="D179" s="11" t="s">
        <v>8</v>
      </c>
    </row>
    <row r="180" spans="1:6" ht="15.75" hidden="1" customHeight="1" x14ac:dyDescent="0.25"/>
    <row r="181" spans="1:6" ht="15.75" hidden="1" customHeight="1" x14ac:dyDescent="0.25">
      <c r="C181" s="9" t="s">
        <v>30</v>
      </c>
    </row>
    <row r="182" spans="1:6" ht="15.75" hidden="1" customHeight="1" x14ac:dyDescent="0.25">
      <c r="C182" s="10">
        <f>ROUND(0.5*8*0.914*3.14*784/1000, 0)</f>
        <v>9</v>
      </c>
      <c r="D182" s="11" t="s">
        <v>8</v>
      </c>
    </row>
    <row r="183" spans="1:6" ht="15.75" hidden="1" customHeight="1" x14ac:dyDescent="0.25"/>
    <row r="184" spans="1:6" ht="15.75" hidden="1" customHeight="1" x14ac:dyDescent="0.25">
      <c r="C184" s="9" t="s">
        <v>31</v>
      </c>
    </row>
    <row r="185" spans="1:6" ht="15.75" hidden="1" customHeight="1" x14ac:dyDescent="0.25">
      <c r="C185" s="10">
        <f>ROUND(0.5*8*0.914*3.14*9.25*2/5, 0)</f>
        <v>42</v>
      </c>
      <c r="D185" s="11" t="s">
        <v>13</v>
      </c>
    </row>
    <row r="186" spans="1:6" ht="15.75" hidden="1" customHeight="1" x14ac:dyDescent="0.25"/>
    <row r="187" spans="1:6" ht="15.75" hidden="1" customHeight="1" x14ac:dyDescent="0.25">
      <c r="C187" s="9" t="s">
        <v>40</v>
      </c>
    </row>
    <row r="188" spans="1:6" ht="15.75" hidden="1" customHeight="1" x14ac:dyDescent="0.25">
      <c r="C188" s="10">
        <f>ROUND(0.914*3.14*8*1.556/14.93, 0)</f>
        <v>2</v>
      </c>
      <c r="D188" s="16" t="s">
        <v>13</v>
      </c>
    </row>
    <row r="189" spans="1:6" ht="15.75" hidden="1" customHeight="1" x14ac:dyDescent="0.25"/>
    <row r="190" spans="1:6" ht="28.5" hidden="1" x14ac:dyDescent="0.25">
      <c r="A190" s="3" t="s">
        <v>0</v>
      </c>
      <c r="B190" s="3" t="s">
        <v>1</v>
      </c>
      <c r="C190" s="3" t="s">
        <v>2</v>
      </c>
      <c r="D190" s="3" t="s">
        <v>4</v>
      </c>
      <c r="E190" s="3" t="s">
        <v>3</v>
      </c>
      <c r="F190" s="3" t="s">
        <v>17</v>
      </c>
    </row>
    <row r="191" spans="1:6" ht="15.75" hidden="1" customHeight="1" x14ac:dyDescent="0.25">
      <c r="A191" s="21">
        <v>1</v>
      </c>
      <c r="B191" s="38" t="s">
        <v>41</v>
      </c>
      <c r="C191" s="21" t="s">
        <v>7</v>
      </c>
      <c r="D191" s="21" t="s">
        <v>8</v>
      </c>
      <c r="E191" s="12">
        <f>C208</f>
        <v>7</v>
      </c>
      <c r="F191" s="40">
        <v>42669</v>
      </c>
    </row>
    <row r="192" spans="1:6" ht="15.75" hidden="1" customHeight="1" x14ac:dyDescent="0.25">
      <c r="A192" s="21">
        <v>2</v>
      </c>
      <c r="B192" s="38"/>
      <c r="C192" s="21" t="s">
        <v>10</v>
      </c>
      <c r="D192" s="21" t="s">
        <v>8</v>
      </c>
      <c r="E192" s="12">
        <f>C211</f>
        <v>1</v>
      </c>
      <c r="F192" s="40"/>
    </row>
    <row r="193" spans="1:6" ht="15.75" hidden="1" customHeight="1" x14ac:dyDescent="0.25">
      <c r="A193" s="21">
        <v>3</v>
      </c>
      <c r="B193" s="38"/>
      <c r="C193" s="21" t="s">
        <v>11</v>
      </c>
      <c r="D193" s="21" t="s">
        <v>8</v>
      </c>
      <c r="E193" s="12">
        <f>C214</f>
        <v>1</v>
      </c>
      <c r="F193" s="40"/>
    </row>
    <row r="194" spans="1:6" ht="15.75" hidden="1" customHeight="1" x14ac:dyDescent="0.25">
      <c r="A194" s="21">
        <v>4</v>
      </c>
      <c r="B194" s="38"/>
      <c r="C194" s="21" t="s">
        <v>12</v>
      </c>
      <c r="D194" s="21" t="s">
        <v>13</v>
      </c>
      <c r="E194" s="12">
        <f>C217</f>
        <v>3</v>
      </c>
      <c r="F194" s="40"/>
    </row>
    <row r="195" spans="1:6" ht="15.75" hidden="1" customHeight="1" x14ac:dyDescent="0.25">
      <c r="A195" s="21">
        <v>5</v>
      </c>
      <c r="B195" s="38"/>
      <c r="C195" s="21" t="s">
        <v>21</v>
      </c>
      <c r="D195" s="21" t="s">
        <v>22</v>
      </c>
      <c r="E195" s="13">
        <f>C205</f>
        <v>0.5</v>
      </c>
      <c r="F195" s="40"/>
    </row>
    <row r="196" spans="1:6" ht="15.75" hidden="1" customHeight="1" x14ac:dyDescent="0.25">
      <c r="A196" s="21">
        <v>6</v>
      </c>
      <c r="B196" s="38"/>
      <c r="C196" s="21" t="s">
        <v>25</v>
      </c>
      <c r="D196" s="21" t="s">
        <v>22</v>
      </c>
      <c r="E196" s="12">
        <f>C202</f>
        <v>1476</v>
      </c>
      <c r="F196" s="40"/>
    </row>
    <row r="197" spans="1:6" ht="15.75" hidden="1" customHeight="1" x14ac:dyDescent="0.25">
      <c r="A197" s="21">
        <v>7</v>
      </c>
      <c r="B197" s="38"/>
      <c r="C197" s="21" t="s">
        <v>40</v>
      </c>
      <c r="D197" s="21" t="s">
        <v>13</v>
      </c>
      <c r="E197" s="12">
        <f>C220</f>
        <v>1</v>
      </c>
      <c r="F197" s="40"/>
    </row>
    <row r="198" spans="1:6" ht="15.75" hidden="1" customHeight="1" x14ac:dyDescent="0.25">
      <c r="A198" s="21">
        <v>8</v>
      </c>
      <c r="B198" s="38"/>
      <c r="C198" s="21" t="s">
        <v>47</v>
      </c>
      <c r="D198" s="21" t="s">
        <v>8</v>
      </c>
      <c r="E198" s="12">
        <f>C223</f>
        <v>2</v>
      </c>
      <c r="F198" s="40"/>
    </row>
    <row r="199" spans="1:6" ht="15.75" hidden="1" customHeight="1" x14ac:dyDescent="0.25">
      <c r="A199" s="21">
        <v>9</v>
      </c>
      <c r="B199" s="38"/>
      <c r="C199" s="21" t="s">
        <v>48</v>
      </c>
      <c r="D199" s="21" t="s">
        <v>8</v>
      </c>
      <c r="E199" s="12">
        <f>C226</f>
        <v>1</v>
      </c>
      <c r="F199" s="40"/>
    </row>
    <row r="200" spans="1:6" ht="15.75" hidden="1" customHeight="1" x14ac:dyDescent="0.25"/>
    <row r="201" spans="1:6" ht="15.75" hidden="1" customHeight="1" x14ac:dyDescent="0.25">
      <c r="C201" s="9" t="s">
        <v>25</v>
      </c>
    </row>
    <row r="202" spans="1:6" ht="15.75" hidden="1" customHeight="1" x14ac:dyDescent="0.25">
      <c r="C202" s="10">
        <f>ROUND(0.4064*3.14*6*192.8, 0)</f>
        <v>1476</v>
      </c>
      <c r="D202" s="21" t="s">
        <v>22</v>
      </c>
    </row>
    <row r="203" spans="1:6" ht="15.75" hidden="1" customHeight="1" x14ac:dyDescent="0.25"/>
    <row r="204" spans="1:6" ht="15.75" hidden="1" customHeight="1" x14ac:dyDescent="0.25">
      <c r="C204" s="9" t="s">
        <v>23</v>
      </c>
    </row>
    <row r="205" spans="1:6" ht="15.75" hidden="1" customHeight="1" x14ac:dyDescent="0.25">
      <c r="C205" s="8">
        <f>ROUND(0.4064*3.14*6*0.2*0.3, 1)</f>
        <v>0.5</v>
      </c>
      <c r="D205" s="21" t="s">
        <v>22</v>
      </c>
    </row>
    <row r="206" spans="1:6" ht="15.75" hidden="1" customHeight="1" x14ac:dyDescent="0.25"/>
    <row r="207" spans="1:6" ht="15.75" hidden="1" customHeight="1" x14ac:dyDescent="0.25">
      <c r="C207" s="9" t="s">
        <v>28</v>
      </c>
    </row>
    <row r="208" spans="1:6" ht="15.75" hidden="1" customHeight="1" x14ac:dyDescent="0.25">
      <c r="C208" s="10">
        <f>ROUND(0.4064*3.14*6*0.973, 0)</f>
        <v>7</v>
      </c>
      <c r="D208" s="21" t="s">
        <v>8</v>
      </c>
    </row>
    <row r="209" spans="3:4" ht="15.75" hidden="1" customHeight="1" x14ac:dyDescent="0.25"/>
    <row r="210" spans="3:4" ht="15.75" hidden="1" customHeight="1" x14ac:dyDescent="0.25">
      <c r="C210" s="9" t="s">
        <v>29</v>
      </c>
    </row>
    <row r="211" spans="3:4" ht="15.75" hidden="1" customHeight="1" x14ac:dyDescent="0.25">
      <c r="C211" s="10">
        <f>ROUND(0.4064*3.14*6*0.098, 0)</f>
        <v>1</v>
      </c>
      <c r="D211" s="21" t="s">
        <v>8</v>
      </c>
    </row>
    <row r="212" spans="3:4" ht="15.75" hidden="1" customHeight="1" x14ac:dyDescent="0.25"/>
    <row r="213" spans="3:4" ht="15.75" hidden="1" customHeight="1" x14ac:dyDescent="0.25">
      <c r="C213" s="9" t="s">
        <v>30</v>
      </c>
    </row>
    <row r="214" spans="3:4" ht="15.75" hidden="1" customHeight="1" x14ac:dyDescent="0.25">
      <c r="C214" s="10">
        <f>ROUND(0.3*6*0.4064*3.14*271/1000, 0)</f>
        <v>1</v>
      </c>
      <c r="D214" s="21" t="s">
        <v>8</v>
      </c>
    </row>
    <row r="215" spans="3:4" ht="15.75" hidden="1" customHeight="1" x14ac:dyDescent="0.25"/>
    <row r="216" spans="3:4" ht="15.75" hidden="1" customHeight="1" x14ac:dyDescent="0.25">
      <c r="C216" s="9" t="s">
        <v>31</v>
      </c>
    </row>
    <row r="217" spans="3:4" ht="15.75" hidden="1" customHeight="1" x14ac:dyDescent="0.25">
      <c r="C217" s="10">
        <f>ROUND(0.3*6*0.4064*3.14*3.18*2/5, 0)</f>
        <v>3</v>
      </c>
      <c r="D217" s="21" t="s">
        <v>13</v>
      </c>
    </row>
    <row r="218" spans="3:4" ht="15.75" hidden="1" customHeight="1" x14ac:dyDescent="0.25"/>
    <row r="219" spans="3:4" ht="15.75" hidden="1" customHeight="1" x14ac:dyDescent="0.25">
      <c r="C219" s="9" t="s">
        <v>40</v>
      </c>
    </row>
    <row r="220" spans="3:4" ht="15.75" hidden="1" customHeight="1" x14ac:dyDescent="0.25">
      <c r="C220" s="10">
        <f>ROUND(0.4064*3.14*6*1.556/14.93, 0)</f>
        <v>1</v>
      </c>
      <c r="D220" s="21" t="s">
        <v>13</v>
      </c>
    </row>
    <row r="221" spans="3:4" ht="15.75" hidden="1" customHeight="1" x14ac:dyDescent="0.25"/>
    <row r="222" spans="3:4" ht="15.75" hidden="1" customHeight="1" x14ac:dyDescent="0.25">
      <c r="C222" s="9" t="s">
        <v>47</v>
      </c>
    </row>
    <row r="223" spans="3:4" ht="15.75" hidden="1" customHeight="1" x14ac:dyDescent="0.25">
      <c r="C223" s="10">
        <f>ROUND(0.4064*3.14*1.896*1.12*0.75, 0)</f>
        <v>2</v>
      </c>
      <c r="D223" s="21" t="s">
        <v>8</v>
      </c>
    </row>
    <row r="224" spans="3:4" ht="15.75" hidden="1" customHeight="1" x14ac:dyDescent="0.25">
      <c r="C224" s="20"/>
      <c r="D224" s="17"/>
    </row>
    <row r="225" spans="1:6" ht="15.75" hidden="1" customHeight="1" x14ac:dyDescent="0.25">
      <c r="C225" s="9" t="s">
        <v>48</v>
      </c>
    </row>
    <row r="226" spans="1:6" ht="15.75" hidden="1" customHeight="1" x14ac:dyDescent="0.25">
      <c r="C226" s="10">
        <f>ROUND(0.4064*3.14*1.896*1.12*0.25, 0)</f>
        <v>1</v>
      </c>
      <c r="D226" s="21" t="s">
        <v>8</v>
      </c>
    </row>
    <row r="227" spans="1:6" ht="15.75" hidden="1" customHeight="1" x14ac:dyDescent="0.25"/>
    <row r="228" spans="1:6" ht="28.5" hidden="1" x14ac:dyDescent="0.25">
      <c r="A228" s="3" t="s">
        <v>0</v>
      </c>
      <c r="B228" s="3" t="s">
        <v>1</v>
      </c>
      <c r="C228" s="3" t="s">
        <v>2</v>
      </c>
      <c r="D228" s="3" t="s">
        <v>4</v>
      </c>
      <c r="E228" s="3" t="s">
        <v>3</v>
      </c>
      <c r="F228" s="3" t="s">
        <v>17</v>
      </c>
    </row>
    <row r="229" spans="1:6" ht="15.75" hidden="1" customHeight="1" x14ac:dyDescent="0.25">
      <c r="A229" s="21">
        <v>1</v>
      </c>
      <c r="B229" s="38" t="s">
        <v>42</v>
      </c>
      <c r="C229" s="21" t="s">
        <v>7</v>
      </c>
      <c r="D229" s="21" t="s">
        <v>8</v>
      </c>
      <c r="E229" s="12">
        <f>C246</f>
        <v>7</v>
      </c>
      <c r="F229" s="40">
        <v>42669</v>
      </c>
    </row>
    <row r="230" spans="1:6" ht="15.75" hidden="1" customHeight="1" x14ac:dyDescent="0.25">
      <c r="A230" s="21">
        <v>2</v>
      </c>
      <c r="B230" s="38"/>
      <c r="C230" s="21" t="s">
        <v>10</v>
      </c>
      <c r="D230" s="21" t="s">
        <v>8</v>
      </c>
      <c r="E230" s="12">
        <f>C249</f>
        <v>1</v>
      </c>
      <c r="F230" s="40"/>
    </row>
    <row r="231" spans="1:6" ht="15.75" hidden="1" customHeight="1" x14ac:dyDescent="0.25">
      <c r="A231" s="21">
        <v>3</v>
      </c>
      <c r="B231" s="38"/>
      <c r="C231" s="21" t="s">
        <v>11</v>
      </c>
      <c r="D231" s="21" t="s">
        <v>8</v>
      </c>
      <c r="E231" s="12">
        <f>C252</f>
        <v>1</v>
      </c>
      <c r="F231" s="40"/>
    </row>
    <row r="232" spans="1:6" ht="15.75" hidden="1" customHeight="1" x14ac:dyDescent="0.25">
      <c r="A232" s="21">
        <v>4</v>
      </c>
      <c r="B232" s="38"/>
      <c r="C232" s="21" t="s">
        <v>12</v>
      </c>
      <c r="D232" s="21" t="s">
        <v>13</v>
      </c>
      <c r="E232" s="12">
        <f>C255</f>
        <v>3</v>
      </c>
      <c r="F232" s="40"/>
    </row>
    <row r="233" spans="1:6" ht="15.75" hidden="1" customHeight="1" x14ac:dyDescent="0.25">
      <c r="A233" s="21">
        <v>5</v>
      </c>
      <c r="B233" s="38"/>
      <c r="C233" s="21" t="s">
        <v>21</v>
      </c>
      <c r="D233" s="21" t="s">
        <v>22</v>
      </c>
      <c r="E233" s="13">
        <f>C243</f>
        <v>0.5</v>
      </c>
      <c r="F233" s="40"/>
    </row>
    <row r="234" spans="1:6" ht="15.75" hidden="1" customHeight="1" x14ac:dyDescent="0.25">
      <c r="A234" s="21">
        <v>6</v>
      </c>
      <c r="B234" s="38"/>
      <c r="C234" s="21" t="s">
        <v>25</v>
      </c>
      <c r="D234" s="21" t="s">
        <v>22</v>
      </c>
      <c r="E234" s="12">
        <f>C240</f>
        <v>1476</v>
      </c>
      <c r="F234" s="40"/>
    </row>
    <row r="235" spans="1:6" ht="15.75" hidden="1" customHeight="1" x14ac:dyDescent="0.25">
      <c r="A235" s="21">
        <v>7</v>
      </c>
      <c r="B235" s="38"/>
      <c r="C235" s="21" t="s">
        <v>40</v>
      </c>
      <c r="D235" s="21" t="s">
        <v>13</v>
      </c>
      <c r="E235" s="12">
        <f>C258</f>
        <v>1</v>
      </c>
      <c r="F235" s="40"/>
    </row>
    <row r="236" spans="1:6" ht="15.75" hidden="1" customHeight="1" x14ac:dyDescent="0.25">
      <c r="A236" s="21">
        <v>8</v>
      </c>
      <c r="B236" s="38"/>
      <c r="C236" s="21" t="s">
        <v>49</v>
      </c>
      <c r="D236" s="21" t="s">
        <v>8</v>
      </c>
      <c r="E236" s="12">
        <f>C261</f>
        <v>2</v>
      </c>
      <c r="F236" s="40"/>
    </row>
    <row r="237" spans="1:6" ht="15.75" hidden="1" customHeight="1" x14ac:dyDescent="0.25">
      <c r="A237" s="21">
        <v>9</v>
      </c>
      <c r="B237" s="38"/>
      <c r="C237" s="21" t="s">
        <v>48</v>
      </c>
      <c r="D237" s="21" t="s">
        <v>8</v>
      </c>
      <c r="E237" s="12">
        <f>C264</f>
        <v>1</v>
      </c>
      <c r="F237" s="40"/>
    </row>
    <row r="238" spans="1:6" ht="15.75" hidden="1" customHeight="1" x14ac:dyDescent="0.25"/>
    <row r="239" spans="1:6" ht="15.75" hidden="1" customHeight="1" x14ac:dyDescent="0.25">
      <c r="C239" s="9" t="s">
        <v>25</v>
      </c>
    </row>
    <row r="240" spans="1:6" ht="15.75" hidden="1" customHeight="1" x14ac:dyDescent="0.25">
      <c r="C240" s="10">
        <f>ROUND(0.4064*3.14*6*192.8, 0)</f>
        <v>1476</v>
      </c>
      <c r="D240" s="21" t="s">
        <v>22</v>
      </c>
    </row>
    <row r="241" spans="3:4" ht="15.75" hidden="1" customHeight="1" x14ac:dyDescent="0.25"/>
    <row r="242" spans="3:4" ht="15.75" hidden="1" customHeight="1" x14ac:dyDescent="0.25">
      <c r="C242" s="9" t="s">
        <v>23</v>
      </c>
    </row>
    <row r="243" spans="3:4" ht="15.75" hidden="1" customHeight="1" x14ac:dyDescent="0.25">
      <c r="C243" s="8">
        <f>ROUND(0.4064*3.14*6*0.2*0.3, 1)</f>
        <v>0.5</v>
      </c>
      <c r="D243" s="21" t="s">
        <v>22</v>
      </c>
    </row>
    <row r="244" spans="3:4" ht="15.75" hidden="1" customHeight="1" x14ac:dyDescent="0.25"/>
    <row r="245" spans="3:4" ht="15.75" hidden="1" customHeight="1" x14ac:dyDescent="0.25">
      <c r="C245" s="9" t="s">
        <v>28</v>
      </c>
    </row>
    <row r="246" spans="3:4" ht="15.75" hidden="1" customHeight="1" x14ac:dyDescent="0.25">
      <c r="C246" s="10">
        <f>ROUND(0.4064*3.14*6*0.973, 0)</f>
        <v>7</v>
      </c>
      <c r="D246" s="21" t="s">
        <v>8</v>
      </c>
    </row>
    <row r="247" spans="3:4" ht="15.75" hidden="1" customHeight="1" x14ac:dyDescent="0.25"/>
    <row r="248" spans="3:4" ht="15.75" hidden="1" customHeight="1" x14ac:dyDescent="0.25">
      <c r="C248" s="9" t="s">
        <v>29</v>
      </c>
    </row>
    <row r="249" spans="3:4" ht="15.75" hidden="1" customHeight="1" x14ac:dyDescent="0.25">
      <c r="C249" s="10">
        <f>ROUND(0.4064*3.14*6*0.098, 0)</f>
        <v>1</v>
      </c>
      <c r="D249" s="21" t="s">
        <v>8</v>
      </c>
    </row>
    <row r="250" spans="3:4" ht="15.75" hidden="1" customHeight="1" x14ac:dyDescent="0.25"/>
    <row r="251" spans="3:4" ht="15.75" hidden="1" customHeight="1" x14ac:dyDescent="0.25">
      <c r="C251" s="9" t="s">
        <v>30</v>
      </c>
    </row>
    <row r="252" spans="3:4" ht="15.75" hidden="1" customHeight="1" x14ac:dyDescent="0.25">
      <c r="C252" s="10">
        <f>ROUND(0.3*6*0.4064*3.14*271/1000, 0)</f>
        <v>1</v>
      </c>
      <c r="D252" s="21" t="s">
        <v>8</v>
      </c>
    </row>
    <row r="253" spans="3:4" ht="15.75" hidden="1" customHeight="1" x14ac:dyDescent="0.25"/>
    <row r="254" spans="3:4" ht="15.75" hidden="1" customHeight="1" x14ac:dyDescent="0.25">
      <c r="C254" s="9" t="s">
        <v>31</v>
      </c>
    </row>
    <row r="255" spans="3:4" ht="15.75" hidden="1" customHeight="1" x14ac:dyDescent="0.25">
      <c r="C255" s="10">
        <f>ROUND(0.3*6*0.4064*3.14*3.18*2/5, 0)</f>
        <v>3</v>
      </c>
      <c r="D255" s="21" t="s">
        <v>13</v>
      </c>
    </row>
    <row r="256" spans="3:4" ht="15.75" hidden="1" customHeight="1" x14ac:dyDescent="0.25"/>
    <row r="257" spans="1:6" ht="15.75" hidden="1" customHeight="1" x14ac:dyDescent="0.25">
      <c r="C257" s="9" t="s">
        <v>40</v>
      </c>
    </row>
    <row r="258" spans="1:6" ht="15.75" hidden="1" customHeight="1" x14ac:dyDescent="0.25">
      <c r="C258" s="10">
        <f>ROUND(0.4064*3.14*6*1.556/14.93, 0)</f>
        <v>1</v>
      </c>
      <c r="D258" s="21" t="s">
        <v>13</v>
      </c>
    </row>
    <row r="259" spans="1:6" ht="15.75" hidden="1" customHeight="1" x14ac:dyDescent="0.25"/>
    <row r="260" spans="1:6" ht="15.75" hidden="1" customHeight="1" x14ac:dyDescent="0.25">
      <c r="C260" s="9" t="s">
        <v>49</v>
      </c>
    </row>
    <row r="261" spans="1:6" ht="15.75" hidden="1" customHeight="1" x14ac:dyDescent="0.25">
      <c r="C261" s="10">
        <f>ROUND(0.4064*3.14*1.896*1.12*0.75, 0)</f>
        <v>2</v>
      </c>
      <c r="D261" s="21" t="s">
        <v>8</v>
      </c>
    </row>
    <row r="262" spans="1:6" ht="15.75" hidden="1" customHeight="1" x14ac:dyDescent="0.25">
      <c r="C262" s="20"/>
      <c r="D262" s="17"/>
    </row>
    <row r="263" spans="1:6" ht="15.75" hidden="1" customHeight="1" x14ac:dyDescent="0.25">
      <c r="C263" s="9" t="s">
        <v>48</v>
      </c>
    </row>
    <row r="264" spans="1:6" ht="15.75" hidden="1" customHeight="1" x14ac:dyDescent="0.25">
      <c r="C264" s="10">
        <f>ROUND(0.4064*3.14*1.896*1.12*0.25, 0)</f>
        <v>1</v>
      </c>
      <c r="D264" s="21" t="s">
        <v>8</v>
      </c>
    </row>
    <row r="265" spans="1:6" ht="15.75" hidden="1" customHeight="1" x14ac:dyDescent="0.25"/>
    <row r="266" spans="1:6" ht="28.5" hidden="1" x14ac:dyDescent="0.25">
      <c r="A266" s="3" t="s">
        <v>0</v>
      </c>
      <c r="B266" s="3" t="s">
        <v>1</v>
      </c>
      <c r="C266" s="3" t="s">
        <v>2</v>
      </c>
      <c r="D266" s="3" t="s">
        <v>4</v>
      </c>
      <c r="E266" s="3" t="s">
        <v>3</v>
      </c>
      <c r="F266" s="3" t="s">
        <v>17</v>
      </c>
    </row>
    <row r="267" spans="1:6" ht="15.75" hidden="1" customHeight="1" x14ac:dyDescent="0.25">
      <c r="A267" s="21">
        <v>1</v>
      </c>
      <c r="B267" s="38" t="s">
        <v>43</v>
      </c>
      <c r="C267" s="21" t="s">
        <v>7</v>
      </c>
      <c r="D267" s="21" t="s">
        <v>8</v>
      </c>
      <c r="E267" s="12">
        <f>C284</f>
        <v>8</v>
      </c>
      <c r="F267" s="40">
        <v>42669</v>
      </c>
    </row>
    <row r="268" spans="1:6" ht="15.75" hidden="1" customHeight="1" x14ac:dyDescent="0.25">
      <c r="A268" s="21">
        <v>2</v>
      </c>
      <c r="B268" s="38"/>
      <c r="C268" s="21" t="s">
        <v>10</v>
      </c>
      <c r="D268" s="21" t="s">
        <v>8</v>
      </c>
      <c r="E268" s="12">
        <f>C287</f>
        <v>1</v>
      </c>
      <c r="F268" s="40"/>
    </row>
    <row r="269" spans="1:6" ht="15.75" hidden="1" customHeight="1" x14ac:dyDescent="0.25">
      <c r="A269" s="21">
        <v>3</v>
      </c>
      <c r="B269" s="38"/>
      <c r="C269" s="21" t="s">
        <v>11</v>
      </c>
      <c r="D269" s="21" t="s">
        <v>8</v>
      </c>
      <c r="E269" s="12">
        <f>C290</f>
        <v>1</v>
      </c>
      <c r="F269" s="40"/>
    </row>
    <row r="270" spans="1:6" ht="15.75" hidden="1" customHeight="1" x14ac:dyDescent="0.25">
      <c r="A270" s="21">
        <v>4</v>
      </c>
      <c r="B270" s="38"/>
      <c r="C270" s="21" t="s">
        <v>12</v>
      </c>
      <c r="D270" s="21" t="s">
        <v>13</v>
      </c>
      <c r="E270" s="12">
        <f>C293</f>
        <v>3</v>
      </c>
      <c r="F270" s="40"/>
    </row>
    <row r="271" spans="1:6" ht="15.75" hidden="1" customHeight="1" x14ac:dyDescent="0.25">
      <c r="A271" s="21">
        <v>5</v>
      </c>
      <c r="B271" s="38"/>
      <c r="C271" s="21" t="s">
        <v>21</v>
      </c>
      <c r="D271" s="21" t="s">
        <v>22</v>
      </c>
      <c r="E271" s="13">
        <f>C281</f>
        <v>0.5</v>
      </c>
      <c r="F271" s="40"/>
    </row>
    <row r="272" spans="1:6" ht="15.75" hidden="1" customHeight="1" x14ac:dyDescent="0.25">
      <c r="A272" s="21">
        <v>6</v>
      </c>
      <c r="B272" s="38"/>
      <c r="C272" s="21" t="s">
        <v>25</v>
      </c>
      <c r="D272" s="21" t="s">
        <v>22</v>
      </c>
      <c r="E272" s="12">
        <f>C278</f>
        <v>1660</v>
      </c>
      <c r="F272" s="40"/>
    </row>
    <row r="273" spans="1:6" ht="15.75" hidden="1" customHeight="1" x14ac:dyDescent="0.25">
      <c r="A273" s="21">
        <v>7</v>
      </c>
      <c r="B273" s="38"/>
      <c r="C273" s="21" t="s">
        <v>40</v>
      </c>
      <c r="D273" s="21" t="s">
        <v>13</v>
      </c>
      <c r="E273" s="12">
        <f>C296</f>
        <v>1</v>
      </c>
      <c r="F273" s="40"/>
    </row>
    <row r="274" spans="1:6" ht="15.75" hidden="1" customHeight="1" x14ac:dyDescent="0.25">
      <c r="A274" s="21">
        <v>8</v>
      </c>
      <c r="B274" s="38"/>
      <c r="C274" s="21" t="s">
        <v>49</v>
      </c>
      <c r="D274" s="21" t="s">
        <v>8</v>
      </c>
      <c r="E274" s="12">
        <f>C299</f>
        <v>2</v>
      </c>
      <c r="F274" s="40"/>
    </row>
    <row r="275" spans="1:6" ht="15.75" hidden="1" customHeight="1" x14ac:dyDescent="0.25">
      <c r="A275" s="21">
        <v>9</v>
      </c>
      <c r="B275" s="38"/>
      <c r="C275" s="21" t="s">
        <v>48</v>
      </c>
      <c r="D275" s="21" t="s">
        <v>8</v>
      </c>
      <c r="E275" s="12">
        <f>C302</f>
        <v>1</v>
      </c>
      <c r="F275" s="40"/>
    </row>
    <row r="276" spans="1:6" ht="15.75" hidden="1" customHeight="1" x14ac:dyDescent="0.25"/>
    <row r="277" spans="1:6" ht="15.75" hidden="1" customHeight="1" x14ac:dyDescent="0.25">
      <c r="C277" s="9" t="s">
        <v>25</v>
      </c>
    </row>
    <row r="278" spans="1:6" ht="15.75" hidden="1" customHeight="1" x14ac:dyDescent="0.25">
      <c r="C278" s="10">
        <f>ROUND(0.457*3.14*6*192.8, 0)</f>
        <v>1660</v>
      </c>
      <c r="D278" s="21" t="s">
        <v>22</v>
      </c>
    </row>
    <row r="279" spans="1:6" ht="15.75" hidden="1" customHeight="1" x14ac:dyDescent="0.25"/>
    <row r="280" spans="1:6" ht="15.75" hidden="1" customHeight="1" x14ac:dyDescent="0.25">
      <c r="C280" s="9" t="s">
        <v>23</v>
      </c>
    </row>
    <row r="281" spans="1:6" ht="15.75" hidden="1" customHeight="1" x14ac:dyDescent="0.25">
      <c r="C281" s="8">
        <f>ROUND(0.457*3.14*6*0.2*0.3, 1)</f>
        <v>0.5</v>
      </c>
      <c r="D281" s="21" t="s">
        <v>22</v>
      </c>
    </row>
    <row r="282" spans="1:6" ht="15.75" hidden="1" customHeight="1" x14ac:dyDescent="0.25"/>
    <row r="283" spans="1:6" ht="15.75" hidden="1" customHeight="1" x14ac:dyDescent="0.25">
      <c r="C283" s="9" t="s">
        <v>28</v>
      </c>
    </row>
    <row r="284" spans="1:6" ht="15.75" hidden="1" customHeight="1" x14ac:dyDescent="0.25">
      <c r="C284" s="10">
        <f>ROUND(0.457*3.14*6*0.973, 0)</f>
        <v>8</v>
      </c>
      <c r="D284" s="21" t="s">
        <v>8</v>
      </c>
    </row>
    <row r="285" spans="1:6" ht="15.75" hidden="1" customHeight="1" x14ac:dyDescent="0.25"/>
    <row r="286" spans="1:6" ht="15.75" hidden="1" customHeight="1" x14ac:dyDescent="0.25">
      <c r="C286" s="9" t="s">
        <v>29</v>
      </c>
    </row>
    <row r="287" spans="1:6" ht="15.75" hidden="1" customHeight="1" x14ac:dyDescent="0.25">
      <c r="C287" s="10">
        <f>ROUND(0.457*3.14*6*0.098, 0)</f>
        <v>1</v>
      </c>
      <c r="D287" s="21" t="s">
        <v>8</v>
      </c>
    </row>
    <row r="288" spans="1:6" ht="15.75" hidden="1" customHeight="1" x14ac:dyDescent="0.25"/>
    <row r="289" spans="1:6" ht="15.75" hidden="1" customHeight="1" x14ac:dyDescent="0.25">
      <c r="C289" s="9" t="s">
        <v>30</v>
      </c>
    </row>
    <row r="290" spans="1:6" ht="15.75" hidden="1" customHeight="1" x14ac:dyDescent="0.25">
      <c r="C290" s="10">
        <f>ROUND(0.3*6*0.457*3.14*271/1000, 0)</f>
        <v>1</v>
      </c>
      <c r="D290" s="21" t="s">
        <v>8</v>
      </c>
    </row>
    <row r="291" spans="1:6" ht="15.75" hidden="1" customHeight="1" x14ac:dyDescent="0.25"/>
    <row r="292" spans="1:6" ht="15.75" hidden="1" customHeight="1" x14ac:dyDescent="0.25">
      <c r="C292" s="9" t="s">
        <v>31</v>
      </c>
    </row>
    <row r="293" spans="1:6" ht="15.75" hidden="1" customHeight="1" x14ac:dyDescent="0.25">
      <c r="C293" s="10">
        <f>ROUND(0.3*6*0.457*3.14*3.18*2/5, 0)</f>
        <v>3</v>
      </c>
      <c r="D293" s="21" t="s">
        <v>13</v>
      </c>
    </row>
    <row r="294" spans="1:6" ht="15.75" hidden="1" customHeight="1" x14ac:dyDescent="0.25"/>
    <row r="295" spans="1:6" ht="15.75" hidden="1" customHeight="1" x14ac:dyDescent="0.25">
      <c r="C295" s="9" t="s">
        <v>40</v>
      </c>
    </row>
    <row r="296" spans="1:6" ht="15.75" hidden="1" customHeight="1" x14ac:dyDescent="0.25">
      <c r="C296" s="10">
        <f>ROUND(0.457*3.14*6*1.556/14.93, 0)</f>
        <v>1</v>
      </c>
      <c r="D296" s="21" t="s">
        <v>13</v>
      </c>
    </row>
    <row r="297" spans="1:6" ht="15.75" hidden="1" customHeight="1" x14ac:dyDescent="0.25"/>
    <row r="298" spans="1:6" ht="15.75" hidden="1" customHeight="1" x14ac:dyDescent="0.25">
      <c r="C298" s="9" t="s">
        <v>49</v>
      </c>
    </row>
    <row r="299" spans="1:6" ht="15.75" hidden="1" customHeight="1" x14ac:dyDescent="0.25">
      <c r="C299" s="10">
        <f>ROUND(0.457*3.14*1.672*1.12*0.75, 0)</f>
        <v>2</v>
      </c>
      <c r="D299" s="21" t="s">
        <v>8</v>
      </c>
    </row>
    <row r="300" spans="1:6" ht="15.75" hidden="1" customHeight="1" x14ac:dyDescent="0.25">
      <c r="C300" s="20"/>
      <c r="D300" s="17"/>
    </row>
    <row r="301" spans="1:6" ht="15.75" hidden="1" customHeight="1" x14ac:dyDescent="0.25">
      <c r="C301" s="9" t="s">
        <v>48</v>
      </c>
    </row>
    <row r="302" spans="1:6" ht="15.75" hidden="1" customHeight="1" x14ac:dyDescent="0.25">
      <c r="C302" s="10">
        <f>ROUND(0.4064*3.14*1.672*1.12*0.25, 0)</f>
        <v>1</v>
      </c>
      <c r="D302" s="21" t="s">
        <v>8</v>
      </c>
    </row>
    <row r="303" spans="1:6" ht="15.75" hidden="1" customHeight="1" x14ac:dyDescent="0.25"/>
    <row r="304" spans="1:6" ht="28.5" hidden="1" x14ac:dyDescent="0.25">
      <c r="A304" s="3" t="s">
        <v>0</v>
      </c>
      <c r="B304" s="3" t="s">
        <v>1</v>
      </c>
      <c r="C304" s="3" t="s">
        <v>2</v>
      </c>
      <c r="D304" s="3" t="s">
        <v>4</v>
      </c>
      <c r="E304" s="3" t="s">
        <v>3</v>
      </c>
      <c r="F304" s="3" t="s">
        <v>17</v>
      </c>
    </row>
    <row r="305" spans="1:6" ht="15.75" hidden="1" customHeight="1" x14ac:dyDescent="0.25">
      <c r="A305" s="21">
        <v>1</v>
      </c>
      <c r="B305" s="38" t="s">
        <v>44</v>
      </c>
      <c r="C305" s="21" t="s">
        <v>7</v>
      </c>
      <c r="D305" s="21" t="s">
        <v>8</v>
      </c>
      <c r="E305" s="12">
        <f>C322</f>
        <v>8</v>
      </c>
      <c r="F305" s="40">
        <v>42669</v>
      </c>
    </row>
    <row r="306" spans="1:6" ht="15.75" hidden="1" customHeight="1" x14ac:dyDescent="0.25">
      <c r="A306" s="21">
        <v>2</v>
      </c>
      <c r="B306" s="38"/>
      <c r="C306" s="21" t="s">
        <v>10</v>
      </c>
      <c r="D306" s="21" t="s">
        <v>8</v>
      </c>
      <c r="E306" s="12">
        <f>C325</f>
        <v>1</v>
      </c>
      <c r="F306" s="40"/>
    </row>
    <row r="307" spans="1:6" ht="15.75" hidden="1" customHeight="1" x14ac:dyDescent="0.25">
      <c r="A307" s="21">
        <v>3</v>
      </c>
      <c r="B307" s="38"/>
      <c r="C307" s="21" t="s">
        <v>11</v>
      </c>
      <c r="D307" s="21" t="s">
        <v>8</v>
      </c>
      <c r="E307" s="12">
        <f>C328</f>
        <v>1</v>
      </c>
      <c r="F307" s="40"/>
    </row>
    <row r="308" spans="1:6" ht="15.75" hidden="1" customHeight="1" x14ac:dyDescent="0.25">
      <c r="A308" s="21">
        <v>4</v>
      </c>
      <c r="B308" s="38"/>
      <c r="C308" s="21" t="s">
        <v>12</v>
      </c>
      <c r="D308" s="21" t="s">
        <v>13</v>
      </c>
      <c r="E308" s="12">
        <f>C331</f>
        <v>3</v>
      </c>
      <c r="F308" s="40"/>
    </row>
    <row r="309" spans="1:6" ht="15.75" hidden="1" customHeight="1" x14ac:dyDescent="0.25">
      <c r="A309" s="21">
        <v>5</v>
      </c>
      <c r="B309" s="38"/>
      <c r="C309" s="21" t="s">
        <v>21</v>
      </c>
      <c r="D309" s="21" t="s">
        <v>22</v>
      </c>
      <c r="E309" s="13">
        <f>C319</f>
        <v>0.5</v>
      </c>
      <c r="F309" s="40"/>
    </row>
    <row r="310" spans="1:6" ht="15.75" hidden="1" customHeight="1" x14ac:dyDescent="0.25">
      <c r="A310" s="21">
        <v>6</v>
      </c>
      <c r="B310" s="38"/>
      <c r="C310" s="21" t="s">
        <v>25</v>
      </c>
      <c r="D310" s="21" t="s">
        <v>22</v>
      </c>
      <c r="E310" s="12">
        <f>C316</f>
        <v>1660</v>
      </c>
      <c r="F310" s="40"/>
    </row>
    <row r="311" spans="1:6" ht="15.75" hidden="1" customHeight="1" x14ac:dyDescent="0.25">
      <c r="A311" s="21">
        <v>7</v>
      </c>
      <c r="B311" s="38"/>
      <c r="C311" s="21" t="s">
        <v>40</v>
      </c>
      <c r="D311" s="21" t="s">
        <v>13</v>
      </c>
      <c r="E311" s="12">
        <f>C334</f>
        <v>1</v>
      </c>
      <c r="F311" s="40"/>
    </row>
    <row r="312" spans="1:6" ht="15.75" hidden="1" customHeight="1" x14ac:dyDescent="0.25">
      <c r="A312" s="21">
        <v>8</v>
      </c>
      <c r="B312" s="38"/>
      <c r="C312" s="21" t="s">
        <v>49</v>
      </c>
      <c r="D312" s="21" t="s">
        <v>8</v>
      </c>
      <c r="E312" s="12">
        <f>C337</f>
        <v>2</v>
      </c>
      <c r="F312" s="40"/>
    </row>
    <row r="313" spans="1:6" ht="15.75" hidden="1" customHeight="1" x14ac:dyDescent="0.25">
      <c r="A313" s="21">
        <v>9</v>
      </c>
      <c r="B313" s="38"/>
      <c r="C313" s="21" t="s">
        <v>48</v>
      </c>
      <c r="D313" s="21" t="s">
        <v>8</v>
      </c>
      <c r="E313" s="12">
        <f>C340</f>
        <v>1</v>
      </c>
      <c r="F313" s="40"/>
    </row>
    <row r="314" spans="1:6" ht="15.75" hidden="1" customHeight="1" x14ac:dyDescent="0.25"/>
    <row r="315" spans="1:6" ht="15.75" hidden="1" customHeight="1" x14ac:dyDescent="0.25">
      <c r="C315" s="9" t="s">
        <v>25</v>
      </c>
    </row>
    <row r="316" spans="1:6" hidden="1" x14ac:dyDescent="0.25">
      <c r="C316" s="10">
        <f>ROUND(0.457*3.14*6*192.8, 0)</f>
        <v>1660</v>
      </c>
      <c r="D316" s="21" t="s">
        <v>22</v>
      </c>
    </row>
    <row r="317" spans="1:6" hidden="1" x14ac:dyDescent="0.25"/>
    <row r="318" spans="1:6" hidden="1" x14ac:dyDescent="0.25">
      <c r="C318" s="9" t="s">
        <v>23</v>
      </c>
    </row>
    <row r="319" spans="1:6" hidden="1" x14ac:dyDescent="0.25">
      <c r="C319" s="8">
        <f>ROUND(0.457*3.14*6*0.2*0.3, 1)</f>
        <v>0.5</v>
      </c>
      <c r="D319" s="21" t="s">
        <v>22</v>
      </c>
    </row>
    <row r="320" spans="1:6" hidden="1" x14ac:dyDescent="0.25"/>
    <row r="321" spans="3:4" hidden="1" x14ac:dyDescent="0.25">
      <c r="C321" s="9" t="s">
        <v>28</v>
      </c>
    </row>
    <row r="322" spans="3:4" hidden="1" x14ac:dyDescent="0.25">
      <c r="C322" s="10">
        <f>ROUND(0.457*3.14*6*0.973, 0)</f>
        <v>8</v>
      </c>
      <c r="D322" s="21" t="s">
        <v>8</v>
      </c>
    </row>
    <row r="323" spans="3:4" hidden="1" x14ac:dyDescent="0.25"/>
    <row r="324" spans="3:4" hidden="1" x14ac:dyDescent="0.25">
      <c r="C324" s="9" t="s">
        <v>29</v>
      </c>
    </row>
    <row r="325" spans="3:4" hidden="1" x14ac:dyDescent="0.25">
      <c r="C325" s="10">
        <f>ROUND(0.457*3.14*6*0.098, 0)</f>
        <v>1</v>
      </c>
      <c r="D325" s="21" t="s">
        <v>8</v>
      </c>
    </row>
    <row r="326" spans="3:4" hidden="1" x14ac:dyDescent="0.25"/>
    <row r="327" spans="3:4" hidden="1" x14ac:dyDescent="0.25">
      <c r="C327" s="9" t="s">
        <v>30</v>
      </c>
    </row>
    <row r="328" spans="3:4" hidden="1" x14ac:dyDescent="0.25">
      <c r="C328" s="10">
        <f>ROUND(0.3*6*0.457*3.14*271/1000, 0)</f>
        <v>1</v>
      </c>
      <c r="D328" s="21" t="s">
        <v>8</v>
      </c>
    </row>
    <row r="329" spans="3:4" hidden="1" x14ac:dyDescent="0.25"/>
    <row r="330" spans="3:4" hidden="1" x14ac:dyDescent="0.25">
      <c r="C330" s="9" t="s">
        <v>31</v>
      </c>
    </row>
    <row r="331" spans="3:4" hidden="1" x14ac:dyDescent="0.25">
      <c r="C331" s="10">
        <f>ROUND(0.3*6*0.457*3.14*3.18*2/5, 0)</f>
        <v>3</v>
      </c>
      <c r="D331" s="21" t="s">
        <v>13</v>
      </c>
    </row>
    <row r="332" spans="3:4" hidden="1" x14ac:dyDescent="0.25"/>
    <row r="333" spans="3:4" hidden="1" x14ac:dyDescent="0.25">
      <c r="C333" s="9" t="s">
        <v>40</v>
      </c>
    </row>
    <row r="334" spans="3:4" hidden="1" x14ac:dyDescent="0.25">
      <c r="C334" s="10">
        <f>ROUND(0.457*3.14*6*1.556/14.93, 0)</f>
        <v>1</v>
      </c>
      <c r="D334" s="21" t="s">
        <v>13</v>
      </c>
    </row>
    <row r="335" spans="3:4" hidden="1" x14ac:dyDescent="0.25"/>
    <row r="336" spans="3:4" hidden="1" x14ac:dyDescent="0.25">
      <c r="C336" s="9" t="s">
        <v>49</v>
      </c>
    </row>
    <row r="337" spans="1:6" hidden="1" x14ac:dyDescent="0.25">
      <c r="C337" s="10">
        <f>ROUND(0.457*3.14*1.671*1.12*0.75, 0)</f>
        <v>2</v>
      </c>
      <c r="D337" s="21" t="s">
        <v>8</v>
      </c>
    </row>
    <row r="338" spans="1:6" hidden="1" x14ac:dyDescent="0.25">
      <c r="C338" s="20"/>
      <c r="D338" s="17"/>
    </row>
    <row r="339" spans="1:6" hidden="1" x14ac:dyDescent="0.25">
      <c r="C339" s="9" t="s">
        <v>48</v>
      </c>
    </row>
    <row r="340" spans="1:6" hidden="1" x14ac:dyDescent="0.25">
      <c r="C340" s="10">
        <f>ROUND(0.4064*3.14*1.671*1.12*0.25, 0)</f>
        <v>1</v>
      </c>
      <c r="D340" s="21" t="s">
        <v>8</v>
      </c>
    </row>
    <row r="341" spans="1:6" hidden="1" x14ac:dyDescent="0.25"/>
    <row r="342" spans="1:6" ht="28.5" hidden="1" x14ac:dyDescent="0.25">
      <c r="A342" s="3" t="s">
        <v>0</v>
      </c>
      <c r="B342" s="3" t="s">
        <v>1</v>
      </c>
      <c r="C342" s="3" t="s">
        <v>2</v>
      </c>
      <c r="D342" s="3" t="s">
        <v>4</v>
      </c>
      <c r="E342" s="3" t="s">
        <v>3</v>
      </c>
      <c r="F342" s="3" t="s">
        <v>17</v>
      </c>
    </row>
    <row r="343" spans="1:6" hidden="1" x14ac:dyDescent="0.25">
      <c r="A343" s="21">
        <v>1</v>
      </c>
      <c r="B343" s="38" t="s">
        <v>45</v>
      </c>
      <c r="C343" s="21" t="s">
        <v>7</v>
      </c>
      <c r="D343" s="21" t="s">
        <v>8</v>
      </c>
      <c r="E343" s="12">
        <f>C360</f>
        <v>10</v>
      </c>
      <c r="F343" s="40">
        <v>42669</v>
      </c>
    </row>
    <row r="344" spans="1:6" hidden="1" x14ac:dyDescent="0.25">
      <c r="A344" s="21">
        <v>2</v>
      </c>
      <c r="B344" s="38"/>
      <c r="C344" s="21" t="s">
        <v>10</v>
      </c>
      <c r="D344" s="21" t="s">
        <v>8</v>
      </c>
      <c r="E344" s="12">
        <f>C363</f>
        <v>1</v>
      </c>
      <c r="F344" s="40"/>
    </row>
    <row r="345" spans="1:6" hidden="1" x14ac:dyDescent="0.25">
      <c r="A345" s="21">
        <v>3</v>
      </c>
      <c r="B345" s="38"/>
      <c r="C345" s="21" t="s">
        <v>11</v>
      </c>
      <c r="D345" s="21" t="s">
        <v>8</v>
      </c>
      <c r="E345" s="12">
        <f>C366</f>
        <v>1</v>
      </c>
      <c r="F345" s="40"/>
    </row>
    <row r="346" spans="1:6" hidden="1" x14ac:dyDescent="0.25">
      <c r="A346" s="21">
        <v>4</v>
      </c>
      <c r="B346" s="38"/>
      <c r="C346" s="21" t="s">
        <v>12</v>
      </c>
      <c r="D346" s="21" t="s">
        <v>13</v>
      </c>
      <c r="E346" s="12">
        <f>C369</f>
        <v>4</v>
      </c>
      <c r="F346" s="40"/>
    </row>
    <row r="347" spans="1:6" hidden="1" x14ac:dyDescent="0.25">
      <c r="A347" s="21">
        <v>5</v>
      </c>
      <c r="B347" s="38"/>
      <c r="C347" s="21" t="s">
        <v>21</v>
      </c>
      <c r="D347" s="21" t="s">
        <v>22</v>
      </c>
      <c r="E347" s="13">
        <f>C357</f>
        <v>0.6</v>
      </c>
      <c r="F347" s="40"/>
    </row>
    <row r="348" spans="1:6" hidden="1" x14ac:dyDescent="0.25">
      <c r="A348" s="21">
        <v>6</v>
      </c>
      <c r="B348" s="38"/>
      <c r="C348" s="21" t="s">
        <v>25</v>
      </c>
      <c r="D348" s="21" t="s">
        <v>22</v>
      </c>
      <c r="E348" s="12">
        <f>C354</f>
        <v>1937</v>
      </c>
      <c r="F348" s="40"/>
    </row>
    <row r="349" spans="1:6" hidden="1" x14ac:dyDescent="0.25">
      <c r="A349" s="21">
        <v>7</v>
      </c>
      <c r="B349" s="38"/>
      <c r="C349" s="21" t="s">
        <v>40</v>
      </c>
      <c r="D349" s="21" t="s">
        <v>13</v>
      </c>
      <c r="E349" s="12">
        <f>C372</f>
        <v>1</v>
      </c>
      <c r="F349" s="40"/>
    </row>
    <row r="350" spans="1:6" hidden="1" x14ac:dyDescent="0.25">
      <c r="A350" s="21">
        <v>8</v>
      </c>
      <c r="B350" s="38"/>
      <c r="C350" s="21" t="s">
        <v>49</v>
      </c>
      <c r="D350" s="21" t="s">
        <v>8</v>
      </c>
      <c r="E350" s="12">
        <f>C375</f>
        <v>2</v>
      </c>
      <c r="F350" s="40"/>
    </row>
    <row r="351" spans="1:6" hidden="1" x14ac:dyDescent="0.25">
      <c r="A351" s="21">
        <v>9</v>
      </c>
      <c r="B351" s="38"/>
      <c r="C351" s="21" t="s">
        <v>48</v>
      </c>
      <c r="D351" s="21" t="s">
        <v>8</v>
      </c>
      <c r="E351" s="12">
        <f>C378</f>
        <v>1</v>
      </c>
      <c r="F351" s="40"/>
    </row>
    <row r="352" spans="1:6" hidden="1" x14ac:dyDescent="0.25"/>
    <row r="353" spans="3:4" hidden="1" x14ac:dyDescent="0.25">
      <c r="C353" s="9" t="s">
        <v>25</v>
      </c>
    </row>
    <row r="354" spans="3:4" hidden="1" x14ac:dyDescent="0.25">
      <c r="C354" s="10">
        <f>ROUND(0.457*3.14*7*192.8, 0)</f>
        <v>1937</v>
      </c>
      <c r="D354" s="21" t="s">
        <v>22</v>
      </c>
    </row>
    <row r="355" spans="3:4" hidden="1" x14ac:dyDescent="0.25"/>
    <row r="356" spans="3:4" hidden="1" x14ac:dyDescent="0.25">
      <c r="C356" s="9" t="s">
        <v>23</v>
      </c>
    </row>
    <row r="357" spans="3:4" hidden="1" x14ac:dyDescent="0.25">
      <c r="C357" s="8">
        <f>ROUND(0.457*3.14*7*0.2*0.3, 1)</f>
        <v>0.6</v>
      </c>
      <c r="D357" s="21" t="s">
        <v>22</v>
      </c>
    </row>
    <row r="358" spans="3:4" hidden="1" x14ac:dyDescent="0.25"/>
    <row r="359" spans="3:4" hidden="1" x14ac:dyDescent="0.25">
      <c r="C359" s="9" t="s">
        <v>28</v>
      </c>
    </row>
    <row r="360" spans="3:4" hidden="1" x14ac:dyDescent="0.25">
      <c r="C360" s="10">
        <f>ROUND(0.457*3.14*7*0.973, 0)</f>
        <v>10</v>
      </c>
      <c r="D360" s="21" t="s">
        <v>8</v>
      </c>
    </row>
    <row r="361" spans="3:4" hidden="1" x14ac:dyDescent="0.25"/>
    <row r="362" spans="3:4" hidden="1" x14ac:dyDescent="0.25">
      <c r="C362" s="9" t="s">
        <v>29</v>
      </c>
    </row>
    <row r="363" spans="3:4" hidden="1" x14ac:dyDescent="0.25">
      <c r="C363" s="10">
        <f>ROUND(0.457*3.14*7*0.098, 0)</f>
        <v>1</v>
      </c>
      <c r="D363" s="21" t="s">
        <v>8</v>
      </c>
    </row>
    <row r="364" spans="3:4" hidden="1" x14ac:dyDescent="0.25"/>
    <row r="365" spans="3:4" hidden="1" x14ac:dyDescent="0.25">
      <c r="C365" s="9" t="s">
        <v>30</v>
      </c>
    </row>
    <row r="366" spans="3:4" hidden="1" x14ac:dyDescent="0.25">
      <c r="C366" s="10">
        <f>ROUND(0.3*7*0.457*3.14*271/1000, 0)</f>
        <v>1</v>
      </c>
      <c r="D366" s="21" t="s">
        <v>8</v>
      </c>
    </row>
    <row r="367" spans="3:4" hidden="1" x14ac:dyDescent="0.25"/>
    <row r="368" spans="3:4" hidden="1" x14ac:dyDescent="0.25">
      <c r="C368" s="9" t="s">
        <v>31</v>
      </c>
    </row>
    <row r="369" spans="1:6" hidden="1" x14ac:dyDescent="0.25">
      <c r="C369" s="10">
        <f>ROUND(0.3*7*0.457*3.14*3.18*2/5, 0)</f>
        <v>4</v>
      </c>
      <c r="D369" s="21" t="s">
        <v>13</v>
      </c>
    </row>
    <row r="370" spans="1:6" hidden="1" x14ac:dyDescent="0.25"/>
    <row r="371" spans="1:6" hidden="1" x14ac:dyDescent="0.25">
      <c r="C371" s="9" t="s">
        <v>40</v>
      </c>
    </row>
    <row r="372" spans="1:6" hidden="1" x14ac:dyDescent="0.25">
      <c r="C372" s="10">
        <f>ROUND(0.457*3.14*7*1.556/14.93, 0)</f>
        <v>1</v>
      </c>
      <c r="D372" s="21" t="s">
        <v>13</v>
      </c>
    </row>
    <row r="373" spans="1:6" hidden="1" x14ac:dyDescent="0.25"/>
    <row r="374" spans="1:6" hidden="1" x14ac:dyDescent="0.25">
      <c r="C374" s="9" t="s">
        <v>49</v>
      </c>
    </row>
    <row r="375" spans="1:6" hidden="1" x14ac:dyDescent="0.25">
      <c r="C375" s="10">
        <f>ROUND(0.457*3.14*1.672*1.12*0.75, 0)</f>
        <v>2</v>
      </c>
      <c r="D375" s="21" t="s">
        <v>8</v>
      </c>
    </row>
    <row r="376" spans="1:6" hidden="1" x14ac:dyDescent="0.25">
      <c r="C376" s="20"/>
      <c r="D376" s="17"/>
    </row>
    <row r="377" spans="1:6" hidden="1" x14ac:dyDescent="0.25">
      <c r="C377" s="9" t="s">
        <v>48</v>
      </c>
    </row>
    <row r="378" spans="1:6" hidden="1" x14ac:dyDescent="0.25">
      <c r="C378" s="10">
        <f>ROUND(0.4064*3.14*1.672*1.12*0.25, 0)</f>
        <v>1</v>
      </c>
      <c r="D378" s="21" t="s">
        <v>8</v>
      </c>
    </row>
    <row r="379" spans="1:6" hidden="1" x14ac:dyDescent="0.25"/>
    <row r="380" spans="1:6" ht="28.5" hidden="1" x14ac:dyDescent="0.25">
      <c r="A380" s="3" t="s">
        <v>0</v>
      </c>
      <c r="B380" s="3" t="s">
        <v>1</v>
      </c>
      <c r="C380" s="3" t="s">
        <v>2</v>
      </c>
      <c r="D380" s="3" t="s">
        <v>4</v>
      </c>
      <c r="E380" s="3" t="s">
        <v>3</v>
      </c>
      <c r="F380" s="3" t="s">
        <v>17</v>
      </c>
    </row>
    <row r="381" spans="1:6" hidden="1" x14ac:dyDescent="0.25">
      <c r="A381" s="21">
        <v>1</v>
      </c>
      <c r="B381" s="38" t="s">
        <v>46</v>
      </c>
      <c r="C381" s="21" t="s">
        <v>7</v>
      </c>
      <c r="D381" s="21" t="s">
        <v>8</v>
      </c>
      <c r="E381" s="12">
        <f>C398</f>
        <v>10</v>
      </c>
      <c r="F381" s="40">
        <v>42669</v>
      </c>
    </row>
    <row r="382" spans="1:6" hidden="1" x14ac:dyDescent="0.25">
      <c r="A382" s="21">
        <v>2</v>
      </c>
      <c r="B382" s="38"/>
      <c r="C382" s="21" t="s">
        <v>10</v>
      </c>
      <c r="D382" s="21" t="s">
        <v>8</v>
      </c>
      <c r="E382" s="12">
        <f>C401</f>
        <v>1</v>
      </c>
      <c r="F382" s="40"/>
    </row>
    <row r="383" spans="1:6" hidden="1" x14ac:dyDescent="0.25">
      <c r="A383" s="21">
        <v>3</v>
      </c>
      <c r="B383" s="38"/>
      <c r="C383" s="21" t="s">
        <v>11</v>
      </c>
      <c r="D383" s="21" t="s">
        <v>8</v>
      </c>
      <c r="E383" s="12">
        <f>C404</f>
        <v>1</v>
      </c>
      <c r="F383" s="40"/>
    </row>
    <row r="384" spans="1:6" hidden="1" x14ac:dyDescent="0.25">
      <c r="A384" s="21">
        <v>4</v>
      </c>
      <c r="B384" s="38"/>
      <c r="C384" s="21" t="s">
        <v>12</v>
      </c>
      <c r="D384" s="21" t="s">
        <v>13</v>
      </c>
      <c r="E384" s="12">
        <f>C407</f>
        <v>4</v>
      </c>
      <c r="F384" s="40"/>
    </row>
    <row r="385" spans="1:6" hidden="1" x14ac:dyDescent="0.25">
      <c r="A385" s="21">
        <v>5</v>
      </c>
      <c r="B385" s="38"/>
      <c r="C385" s="21" t="s">
        <v>21</v>
      </c>
      <c r="D385" s="21" t="s">
        <v>22</v>
      </c>
      <c r="E385" s="13">
        <f>C395</f>
        <v>0.6</v>
      </c>
      <c r="F385" s="40"/>
    </row>
    <row r="386" spans="1:6" hidden="1" x14ac:dyDescent="0.25">
      <c r="A386" s="21">
        <v>6</v>
      </c>
      <c r="B386" s="38"/>
      <c r="C386" s="21" t="s">
        <v>25</v>
      </c>
      <c r="D386" s="21" t="s">
        <v>22</v>
      </c>
      <c r="E386" s="12">
        <f>C392</f>
        <v>1937</v>
      </c>
      <c r="F386" s="40"/>
    </row>
    <row r="387" spans="1:6" hidden="1" x14ac:dyDescent="0.25">
      <c r="A387" s="21">
        <v>7</v>
      </c>
      <c r="B387" s="38"/>
      <c r="C387" s="21" t="s">
        <v>40</v>
      </c>
      <c r="D387" s="21" t="s">
        <v>13</v>
      </c>
      <c r="E387" s="12">
        <f>C410</f>
        <v>1</v>
      </c>
      <c r="F387" s="40"/>
    </row>
    <row r="388" spans="1:6" hidden="1" x14ac:dyDescent="0.25">
      <c r="A388" s="21">
        <v>8</v>
      </c>
      <c r="B388" s="38"/>
      <c r="C388" s="21" t="s">
        <v>49</v>
      </c>
      <c r="D388" s="21" t="s">
        <v>8</v>
      </c>
      <c r="E388" s="12">
        <f>C413</f>
        <v>2</v>
      </c>
      <c r="F388" s="40"/>
    </row>
    <row r="389" spans="1:6" hidden="1" x14ac:dyDescent="0.25">
      <c r="A389" s="21">
        <v>9</v>
      </c>
      <c r="B389" s="38"/>
      <c r="C389" s="21" t="s">
        <v>48</v>
      </c>
      <c r="D389" s="21" t="s">
        <v>8</v>
      </c>
      <c r="E389" s="12">
        <f>C416</f>
        <v>1</v>
      </c>
      <c r="F389" s="40"/>
    </row>
    <row r="390" spans="1:6" hidden="1" x14ac:dyDescent="0.25"/>
    <row r="391" spans="1:6" hidden="1" x14ac:dyDescent="0.25">
      <c r="C391" s="9" t="s">
        <v>25</v>
      </c>
    </row>
    <row r="392" spans="1:6" hidden="1" x14ac:dyDescent="0.25">
      <c r="C392" s="10">
        <f>ROUND(0.457*3.14*7*192.8, 0)</f>
        <v>1937</v>
      </c>
      <c r="D392" s="21" t="s">
        <v>22</v>
      </c>
    </row>
    <row r="393" spans="1:6" hidden="1" x14ac:dyDescent="0.25"/>
    <row r="394" spans="1:6" hidden="1" x14ac:dyDescent="0.25">
      <c r="C394" s="9" t="s">
        <v>23</v>
      </c>
    </row>
    <row r="395" spans="1:6" hidden="1" x14ac:dyDescent="0.25">
      <c r="C395" s="8">
        <f>ROUND(0.457*3.14*7*0.2*0.3, 1)</f>
        <v>0.6</v>
      </c>
      <c r="D395" s="21" t="s">
        <v>22</v>
      </c>
    </row>
    <row r="396" spans="1:6" hidden="1" x14ac:dyDescent="0.25"/>
    <row r="397" spans="1:6" hidden="1" x14ac:dyDescent="0.25">
      <c r="C397" s="9" t="s">
        <v>28</v>
      </c>
    </row>
    <row r="398" spans="1:6" hidden="1" x14ac:dyDescent="0.25">
      <c r="C398" s="10">
        <f>ROUND(0.457*3.14*7*0.973, 0)</f>
        <v>10</v>
      </c>
      <c r="D398" s="21" t="s">
        <v>8</v>
      </c>
    </row>
    <row r="399" spans="1:6" hidden="1" x14ac:dyDescent="0.25"/>
    <row r="400" spans="1:6" hidden="1" x14ac:dyDescent="0.25">
      <c r="C400" s="9" t="s">
        <v>29</v>
      </c>
    </row>
    <row r="401" spans="3:4" hidden="1" x14ac:dyDescent="0.25">
      <c r="C401" s="10">
        <f>ROUND(0.457*3.14*7*0.098, 0)</f>
        <v>1</v>
      </c>
      <c r="D401" s="21" t="s">
        <v>8</v>
      </c>
    </row>
    <row r="402" spans="3:4" hidden="1" x14ac:dyDescent="0.25"/>
    <row r="403" spans="3:4" hidden="1" x14ac:dyDescent="0.25">
      <c r="C403" s="9" t="s">
        <v>30</v>
      </c>
    </row>
    <row r="404" spans="3:4" hidden="1" x14ac:dyDescent="0.25">
      <c r="C404" s="10">
        <f>ROUND(0.3*7*0.457*3.14*271/1000, 0)</f>
        <v>1</v>
      </c>
      <c r="D404" s="21" t="s">
        <v>8</v>
      </c>
    </row>
    <row r="405" spans="3:4" hidden="1" x14ac:dyDescent="0.25"/>
    <row r="406" spans="3:4" hidden="1" x14ac:dyDescent="0.25">
      <c r="C406" s="9" t="s">
        <v>31</v>
      </c>
    </row>
    <row r="407" spans="3:4" hidden="1" x14ac:dyDescent="0.25">
      <c r="C407" s="10">
        <f>ROUND(0.3*7*0.457*3.14*3.18*2/5, 0)</f>
        <v>4</v>
      </c>
      <c r="D407" s="21" t="s">
        <v>13</v>
      </c>
    </row>
    <row r="408" spans="3:4" hidden="1" x14ac:dyDescent="0.25"/>
    <row r="409" spans="3:4" hidden="1" x14ac:dyDescent="0.25">
      <c r="C409" s="9" t="s">
        <v>40</v>
      </c>
    </row>
    <row r="410" spans="3:4" hidden="1" x14ac:dyDescent="0.25">
      <c r="C410" s="10">
        <f>ROUND(0.457*3.14*7*1.556/14.93, 0)</f>
        <v>1</v>
      </c>
      <c r="D410" s="21" t="s">
        <v>13</v>
      </c>
    </row>
    <row r="411" spans="3:4" hidden="1" x14ac:dyDescent="0.25"/>
    <row r="412" spans="3:4" hidden="1" x14ac:dyDescent="0.25">
      <c r="C412" s="9" t="s">
        <v>49</v>
      </c>
    </row>
    <row r="413" spans="3:4" hidden="1" x14ac:dyDescent="0.25">
      <c r="C413" s="10">
        <f>ROUND(0.457*3.14*1.672*1.12*0.75, 0)</f>
        <v>2</v>
      </c>
      <c r="D413" s="21" t="s">
        <v>8</v>
      </c>
    </row>
    <row r="414" spans="3:4" hidden="1" x14ac:dyDescent="0.25"/>
    <row r="415" spans="3:4" hidden="1" x14ac:dyDescent="0.25">
      <c r="C415" s="9" t="s">
        <v>48</v>
      </c>
    </row>
    <row r="416" spans="3:4" hidden="1" x14ac:dyDescent="0.25">
      <c r="C416" s="10">
        <f>ROUND(0.4064*3.14*1.672*1.12*0.25, 0)</f>
        <v>1</v>
      </c>
      <c r="D416" s="21" t="s">
        <v>8</v>
      </c>
    </row>
    <row r="417" spans="1:6" hidden="1" x14ac:dyDescent="0.25"/>
    <row r="418" spans="1:6" ht="28.5" hidden="1" x14ac:dyDescent="0.25">
      <c r="A418" s="3" t="s">
        <v>0</v>
      </c>
      <c r="B418" s="3" t="s">
        <v>1</v>
      </c>
      <c r="C418" s="3" t="s">
        <v>2</v>
      </c>
      <c r="D418" s="3" t="s">
        <v>4</v>
      </c>
      <c r="E418" s="3" t="s">
        <v>3</v>
      </c>
      <c r="F418" s="3" t="s">
        <v>17</v>
      </c>
    </row>
    <row r="419" spans="1:6" hidden="1" x14ac:dyDescent="0.25">
      <c r="A419" s="22">
        <v>1</v>
      </c>
      <c r="B419" s="38" t="s">
        <v>50</v>
      </c>
      <c r="C419" s="22" t="s">
        <v>7</v>
      </c>
      <c r="D419" s="22" t="s">
        <v>8</v>
      </c>
      <c r="E419" s="12">
        <f>C434</f>
        <v>5</v>
      </c>
      <c r="F419" s="40">
        <v>42672</v>
      </c>
    </row>
    <row r="420" spans="1:6" hidden="1" x14ac:dyDescent="0.25">
      <c r="A420" s="22">
        <v>2</v>
      </c>
      <c r="B420" s="38"/>
      <c r="C420" s="22" t="s">
        <v>10</v>
      </c>
      <c r="D420" s="22" t="s">
        <v>8</v>
      </c>
      <c r="E420" s="12">
        <f>C437</f>
        <v>0.3</v>
      </c>
      <c r="F420" s="40"/>
    </row>
    <row r="421" spans="1:6" hidden="1" x14ac:dyDescent="0.25">
      <c r="A421" s="22">
        <v>3</v>
      </c>
      <c r="B421" s="38"/>
      <c r="C421" s="22" t="s">
        <v>11</v>
      </c>
      <c r="D421" s="22" t="s">
        <v>8</v>
      </c>
      <c r="E421" s="12">
        <f>C440</f>
        <v>0.4</v>
      </c>
      <c r="F421" s="40"/>
    </row>
    <row r="422" spans="1:6" hidden="1" x14ac:dyDescent="0.25">
      <c r="A422" s="22">
        <v>4</v>
      </c>
      <c r="B422" s="38"/>
      <c r="C422" s="22" t="s">
        <v>12</v>
      </c>
      <c r="D422" s="22" t="s">
        <v>13</v>
      </c>
      <c r="E422" s="12">
        <f>C443</f>
        <v>2</v>
      </c>
      <c r="F422" s="40"/>
    </row>
    <row r="423" spans="1:6" hidden="1" x14ac:dyDescent="0.25">
      <c r="A423" s="22">
        <v>5</v>
      </c>
      <c r="B423" s="38"/>
      <c r="C423" s="22" t="s">
        <v>21</v>
      </c>
      <c r="D423" s="22" t="s">
        <v>22</v>
      </c>
      <c r="E423" s="13">
        <f>C431</f>
        <v>0.5</v>
      </c>
      <c r="F423" s="40"/>
    </row>
    <row r="424" spans="1:6" hidden="1" x14ac:dyDescent="0.25">
      <c r="A424" s="22">
        <v>6</v>
      </c>
      <c r="B424" s="38"/>
      <c r="C424" s="22" t="s">
        <v>25</v>
      </c>
      <c r="D424" s="22" t="s">
        <v>22</v>
      </c>
      <c r="E424" s="12">
        <f>C428</f>
        <v>588</v>
      </c>
      <c r="F424" s="40"/>
    </row>
    <row r="425" spans="1:6" hidden="1" x14ac:dyDescent="0.25">
      <c r="A425" s="22">
        <v>7</v>
      </c>
      <c r="B425" s="38"/>
      <c r="C425" s="22" t="s">
        <v>40</v>
      </c>
      <c r="D425" s="22" t="s">
        <v>13</v>
      </c>
      <c r="E425" s="12">
        <f>C446</f>
        <v>1</v>
      </c>
      <c r="F425" s="40"/>
    </row>
    <row r="426" spans="1:6" hidden="1" x14ac:dyDescent="0.25"/>
    <row r="427" spans="1:6" hidden="1" x14ac:dyDescent="0.25">
      <c r="C427" s="9" t="s">
        <v>25</v>
      </c>
    </row>
    <row r="428" spans="1:6" hidden="1" x14ac:dyDescent="0.25">
      <c r="C428" s="10">
        <f>ROUND(0.3239*3.14*3*192.8, 0)</f>
        <v>588</v>
      </c>
      <c r="D428" s="22" t="s">
        <v>22</v>
      </c>
    </row>
    <row r="429" spans="1:6" hidden="1" x14ac:dyDescent="0.25"/>
    <row r="430" spans="1:6" hidden="1" x14ac:dyDescent="0.25">
      <c r="C430" s="9" t="s">
        <v>23</v>
      </c>
    </row>
    <row r="431" spans="1:6" hidden="1" x14ac:dyDescent="0.25">
      <c r="C431" s="8">
        <f>ROUND(0.3239*3.14*3*0.3*0.5, 1)</f>
        <v>0.5</v>
      </c>
      <c r="D431" s="22" t="s">
        <v>22</v>
      </c>
    </row>
    <row r="432" spans="1:6" hidden="1" x14ac:dyDescent="0.25"/>
    <row r="433" spans="1:6" hidden="1" x14ac:dyDescent="0.25">
      <c r="C433" s="9" t="s">
        <v>28</v>
      </c>
    </row>
    <row r="434" spans="1:6" hidden="1" x14ac:dyDescent="0.25">
      <c r="C434" s="10">
        <f>ROUND(0.3239*3.14*3*1.515, 0)</f>
        <v>5</v>
      </c>
      <c r="D434" s="22" t="s">
        <v>8</v>
      </c>
    </row>
    <row r="435" spans="1:6" hidden="1" x14ac:dyDescent="0.25"/>
    <row r="436" spans="1:6" hidden="1" x14ac:dyDescent="0.25">
      <c r="C436" s="9" t="s">
        <v>29</v>
      </c>
    </row>
    <row r="437" spans="1:6" hidden="1" x14ac:dyDescent="0.25">
      <c r="C437" s="10">
        <f>ROUND(0.3239*3.14*3*0.098, 1)</f>
        <v>0.3</v>
      </c>
      <c r="D437" s="22" t="s">
        <v>8</v>
      </c>
    </row>
    <row r="438" spans="1:6" hidden="1" x14ac:dyDescent="0.25"/>
    <row r="439" spans="1:6" hidden="1" x14ac:dyDescent="0.25">
      <c r="C439" s="9" t="s">
        <v>30</v>
      </c>
    </row>
    <row r="440" spans="1:6" hidden="1" x14ac:dyDescent="0.25">
      <c r="C440" s="10">
        <f>ROUND(0.5*3*0.3239*3.14*239/1000, 1)</f>
        <v>0.4</v>
      </c>
      <c r="D440" s="22" t="s">
        <v>8</v>
      </c>
    </row>
    <row r="441" spans="1:6" hidden="1" x14ac:dyDescent="0.25"/>
    <row r="442" spans="1:6" hidden="1" x14ac:dyDescent="0.25">
      <c r="C442" s="9" t="s">
        <v>31</v>
      </c>
    </row>
    <row r="443" spans="1:6" hidden="1" x14ac:dyDescent="0.25">
      <c r="C443" s="10">
        <f>ROUND(0.5*3*0.3239*3.14*2.82*2/5, 0)</f>
        <v>2</v>
      </c>
      <c r="D443" s="22" t="s">
        <v>13</v>
      </c>
    </row>
    <row r="444" spans="1:6" hidden="1" x14ac:dyDescent="0.25"/>
    <row r="445" spans="1:6" hidden="1" x14ac:dyDescent="0.25">
      <c r="C445" s="9" t="s">
        <v>40</v>
      </c>
    </row>
    <row r="446" spans="1:6" hidden="1" x14ac:dyDescent="0.25">
      <c r="C446" s="10">
        <f>IF((ROUND(0.3239*3.14*3*1.556/14.93, 0))&lt;=1, 1, "ЛОЖЬ")</f>
        <v>1</v>
      </c>
      <c r="D446" s="22" t="s">
        <v>13</v>
      </c>
    </row>
    <row r="447" spans="1:6" hidden="1" x14ac:dyDescent="0.25"/>
    <row r="448" spans="1:6" ht="28.5" hidden="1" x14ac:dyDescent="0.25">
      <c r="A448" s="3" t="s">
        <v>0</v>
      </c>
      <c r="B448" s="3" t="s">
        <v>1</v>
      </c>
      <c r="C448" s="3" t="s">
        <v>2</v>
      </c>
      <c r="D448" s="3" t="s">
        <v>4</v>
      </c>
      <c r="E448" s="3" t="s">
        <v>3</v>
      </c>
      <c r="F448" s="3" t="s">
        <v>17</v>
      </c>
    </row>
    <row r="449" spans="1:6" hidden="1" x14ac:dyDescent="0.25">
      <c r="A449" s="23">
        <v>1</v>
      </c>
      <c r="B449" s="38" t="s">
        <v>51</v>
      </c>
      <c r="C449" s="23" t="s">
        <v>7</v>
      </c>
      <c r="D449" s="23" t="s">
        <v>8</v>
      </c>
      <c r="E449" s="12">
        <f>C464</f>
        <v>3</v>
      </c>
      <c r="F449" s="40">
        <v>42672</v>
      </c>
    </row>
    <row r="450" spans="1:6" hidden="1" x14ac:dyDescent="0.25">
      <c r="A450" s="23">
        <v>2</v>
      </c>
      <c r="B450" s="38"/>
      <c r="C450" s="23" t="s">
        <v>10</v>
      </c>
      <c r="D450" s="23" t="s">
        <v>8</v>
      </c>
      <c r="E450" s="12">
        <f>C467</f>
        <v>0.2</v>
      </c>
      <c r="F450" s="40"/>
    </row>
    <row r="451" spans="1:6" hidden="1" x14ac:dyDescent="0.25">
      <c r="A451" s="23">
        <v>3</v>
      </c>
      <c r="B451" s="38"/>
      <c r="C451" s="23" t="s">
        <v>11</v>
      </c>
      <c r="D451" s="23" t="s">
        <v>8</v>
      </c>
      <c r="E451" s="12">
        <f>C470</f>
        <v>0.2</v>
      </c>
      <c r="F451" s="40"/>
    </row>
    <row r="452" spans="1:6" hidden="1" x14ac:dyDescent="0.25">
      <c r="A452" s="23">
        <v>4</v>
      </c>
      <c r="B452" s="38"/>
      <c r="C452" s="23" t="s">
        <v>12</v>
      </c>
      <c r="D452" s="23" t="s">
        <v>13</v>
      </c>
      <c r="E452" s="12">
        <f>C473</f>
        <v>1</v>
      </c>
      <c r="F452" s="40"/>
    </row>
    <row r="453" spans="1:6" hidden="1" x14ac:dyDescent="0.25">
      <c r="A453" s="23">
        <v>5</v>
      </c>
      <c r="B453" s="38"/>
      <c r="C453" s="23" t="s">
        <v>21</v>
      </c>
      <c r="D453" s="23" t="s">
        <v>22</v>
      </c>
      <c r="E453" s="13">
        <f>C461</f>
        <v>0.3</v>
      </c>
      <c r="F453" s="40"/>
    </row>
    <row r="454" spans="1:6" hidden="1" x14ac:dyDescent="0.25">
      <c r="A454" s="23">
        <v>6</v>
      </c>
      <c r="B454" s="38"/>
      <c r="C454" s="23" t="s">
        <v>25</v>
      </c>
      <c r="D454" s="23" t="s">
        <v>22</v>
      </c>
      <c r="E454" s="12">
        <f>C458</f>
        <v>392</v>
      </c>
      <c r="F454" s="40"/>
    </row>
    <row r="455" spans="1:6" hidden="1" x14ac:dyDescent="0.25">
      <c r="A455" s="23">
        <v>7</v>
      </c>
      <c r="B455" s="38"/>
      <c r="C455" s="23" t="s">
        <v>40</v>
      </c>
      <c r="D455" s="23" t="s">
        <v>13</v>
      </c>
      <c r="E455" s="12">
        <f>C476</f>
        <v>1</v>
      </c>
      <c r="F455" s="40"/>
    </row>
    <row r="456" spans="1:6" hidden="1" x14ac:dyDescent="0.25"/>
    <row r="457" spans="1:6" hidden="1" x14ac:dyDescent="0.25">
      <c r="C457" s="9" t="s">
        <v>25</v>
      </c>
    </row>
    <row r="458" spans="1:6" hidden="1" x14ac:dyDescent="0.25">
      <c r="C458" s="10">
        <f>ROUND(0.3239*3.14*2*192.8, 0)</f>
        <v>392</v>
      </c>
      <c r="D458" s="23" t="s">
        <v>22</v>
      </c>
    </row>
    <row r="459" spans="1:6" hidden="1" x14ac:dyDescent="0.25"/>
    <row r="460" spans="1:6" hidden="1" x14ac:dyDescent="0.25">
      <c r="C460" s="9" t="s">
        <v>23</v>
      </c>
    </row>
    <row r="461" spans="1:6" hidden="1" x14ac:dyDescent="0.25">
      <c r="C461" s="8">
        <f>ROUND(0.3239*3.14*2*0.3*0.5, 1)</f>
        <v>0.3</v>
      </c>
      <c r="D461" s="23" t="s">
        <v>22</v>
      </c>
    </row>
    <row r="462" spans="1:6" hidden="1" x14ac:dyDescent="0.25"/>
    <row r="463" spans="1:6" hidden="1" x14ac:dyDescent="0.25">
      <c r="C463" s="9" t="s">
        <v>28</v>
      </c>
    </row>
    <row r="464" spans="1:6" hidden="1" x14ac:dyDescent="0.25">
      <c r="C464" s="10">
        <f>ROUND(0.3239*3.14*2*1.515, 0)</f>
        <v>3</v>
      </c>
      <c r="D464" s="23" t="s">
        <v>8</v>
      </c>
    </row>
    <row r="465" spans="1:6" hidden="1" x14ac:dyDescent="0.25"/>
    <row r="466" spans="1:6" hidden="1" x14ac:dyDescent="0.25">
      <c r="C466" s="9" t="s">
        <v>29</v>
      </c>
    </row>
    <row r="467" spans="1:6" hidden="1" x14ac:dyDescent="0.25">
      <c r="C467" s="10">
        <f>ROUND(0.3239*3.14*2*0.098, 1)</f>
        <v>0.2</v>
      </c>
      <c r="D467" s="23" t="s">
        <v>8</v>
      </c>
    </row>
    <row r="468" spans="1:6" hidden="1" x14ac:dyDescent="0.25"/>
    <row r="469" spans="1:6" hidden="1" x14ac:dyDescent="0.25">
      <c r="C469" s="9" t="s">
        <v>30</v>
      </c>
    </row>
    <row r="470" spans="1:6" hidden="1" x14ac:dyDescent="0.25">
      <c r="C470" s="10">
        <f>ROUND(0.5*2*0.3239*3.14*239/1000, 1)</f>
        <v>0.2</v>
      </c>
      <c r="D470" s="23" t="s">
        <v>8</v>
      </c>
    </row>
    <row r="471" spans="1:6" hidden="1" x14ac:dyDescent="0.25"/>
    <row r="472" spans="1:6" hidden="1" x14ac:dyDescent="0.25">
      <c r="C472" s="9" t="s">
        <v>31</v>
      </c>
    </row>
    <row r="473" spans="1:6" hidden="1" x14ac:dyDescent="0.25">
      <c r="C473" s="10">
        <f>ROUND(0.5*2*0.3239*3.14*2.82*2/5, 0)</f>
        <v>1</v>
      </c>
      <c r="D473" s="23" t="s">
        <v>13</v>
      </c>
    </row>
    <row r="474" spans="1:6" hidden="1" x14ac:dyDescent="0.25"/>
    <row r="475" spans="1:6" hidden="1" x14ac:dyDescent="0.25">
      <c r="C475" s="9" t="s">
        <v>40</v>
      </c>
    </row>
    <row r="476" spans="1:6" hidden="1" x14ac:dyDescent="0.25">
      <c r="C476" s="10">
        <f>IF((ROUND(0.3239*3.14*2*1.556/14.93, 0))&lt;=1, 1, "ЛОЖЬ")</f>
        <v>1</v>
      </c>
      <c r="D476" s="23" t="s">
        <v>13</v>
      </c>
    </row>
    <row r="477" spans="1:6" hidden="1" x14ac:dyDescent="0.25"/>
    <row r="478" spans="1:6" ht="28.5" hidden="1" x14ac:dyDescent="0.25">
      <c r="A478" s="3" t="s">
        <v>0</v>
      </c>
      <c r="B478" s="3" t="s">
        <v>1</v>
      </c>
      <c r="C478" s="3" t="s">
        <v>2</v>
      </c>
      <c r="D478" s="3" t="s">
        <v>4</v>
      </c>
      <c r="E478" s="3" t="s">
        <v>3</v>
      </c>
      <c r="F478" s="3" t="s">
        <v>17</v>
      </c>
    </row>
    <row r="479" spans="1:6" hidden="1" x14ac:dyDescent="0.25">
      <c r="A479" s="23">
        <v>1</v>
      </c>
      <c r="B479" s="38" t="s">
        <v>52</v>
      </c>
      <c r="C479" s="23" t="s">
        <v>10</v>
      </c>
      <c r="D479" s="23" t="s">
        <v>8</v>
      </c>
      <c r="E479" s="12">
        <f>C493</f>
        <v>0.4</v>
      </c>
      <c r="F479" s="40">
        <v>42672</v>
      </c>
    </row>
    <row r="480" spans="1:6" hidden="1" x14ac:dyDescent="0.25">
      <c r="A480" s="23">
        <v>2</v>
      </c>
      <c r="B480" s="38"/>
      <c r="C480" s="23" t="s">
        <v>11</v>
      </c>
      <c r="D480" s="23" t="s">
        <v>8</v>
      </c>
      <c r="E480" s="12">
        <f>C496</f>
        <v>0.4</v>
      </c>
      <c r="F480" s="40"/>
    </row>
    <row r="481" spans="1:6" hidden="1" x14ac:dyDescent="0.25">
      <c r="A481" s="23">
        <v>3</v>
      </c>
      <c r="B481" s="38"/>
      <c r="C481" s="23" t="s">
        <v>12</v>
      </c>
      <c r="D481" s="23" t="s">
        <v>13</v>
      </c>
      <c r="E481" s="12">
        <f>C499</f>
        <v>2</v>
      </c>
      <c r="F481" s="40"/>
    </row>
    <row r="482" spans="1:6" hidden="1" x14ac:dyDescent="0.25">
      <c r="A482" s="23">
        <v>4</v>
      </c>
      <c r="B482" s="38"/>
      <c r="C482" s="23" t="s">
        <v>21</v>
      </c>
      <c r="D482" s="23" t="s">
        <v>22</v>
      </c>
      <c r="E482" s="13">
        <f>C490</f>
        <v>0.5</v>
      </c>
      <c r="F482" s="40"/>
    </row>
    <row r="483" spans="1:6" hidden="1" x14ac:dyDescent="0.25">
      <c r="A483" s="23">
        <v>5</v>
      </c>
      <c r="B483" s="38"/>
      <c r="C483" s="23" t="s">
        <v>25</v>
      </c>
      <c r="D483" s="23" t="s">
        <v>22</v>
      </c>
      <c r="E483" s="12">
        <f>C487</f>
        <v>692</v>
      </c>
      <c r="F483" s="40"/>
    </row>
    <row r="484" spans="1:6" hidden="1" x14ac:dyDescent="0.25">
      <c r="A484" s="23">
        <v>6</v>
      </c>
      <c r="B484" s="38"/>
      <c r="C484" s="23" t="s">
        <v>40</v>
      </c>
      <c r="D484" s="23" t="s">
        <v>13</v>
      </c>
      <c r="E484" s="12">
        <f>C502</f>
        <v>1</v>
      </c>
      <c r="F484" s="40"/>
    </row>
    <row r="485" spans="1:6" hidden="1" x14ac:dyDescent="0.25"/>
    <row r="486" spans="1:6" hidden="1" x14ac:dyDescent="0.25">
      <c r="C486" s="9" t="s">
        <v>25</v>
      </c>
    </row>
    <row r="487" spans="1:6" hidden="1" x14ac:dyDescent="0.25">
      <c r="C487" s="10">
        <f>ROUND(0.1143*3.14*10*192.8, 0)</f>
        <v>692</v>
      </c>
      <c r="D487" s="23" t="s">
        <v>22</v>
      </c>
    </row>
    <row r="488" spans="1:6" hidden="1" x14ac:dyDescent="0.25"/>
    <row r="489" spans="1:6" hidden="1" x14ac:dyDescent="0.25">
      <c r="C489" s="9" t="s">
        <v>23</v>
      </c>
    </row>
    <row r="490" spans="1:6" hidden="1" x14ac:dyDescent="0.25">
      <c r="C490" s="8">
        <f>ROUND(0.1143*3.14*10*0.3*0.5, 1)</f>
        <v>0.5</v>
      </c>
      <c r="D490" s="23" t="s">
        <v>22</v>
      </c>
    </row>
    <row r="491" spans="1:6" hidden="1" x14ac:dyDescent="0.25"/>
    <row r="492" spans="1:6" hidden="1" x14ac:dyDescent="0.25">
      <c r="C492" s="9" t="s">
        <v>29</v>
      </c>
    </row>
    <row r="493" spans="1:6" hidden="1" x14ac:dyDescent="0.25">
      <c r="C493" s="10">
        <f>ROUND(0.1143*3.14*10*0.098, 1)</f>
        <v>0.4</v>
      </c>
      <c r="D493" s="23" t="s">
        <v>8</v>
      </c>
    </row>
    <row r="494" spans="1:6" hidden="1" x14ac:dyDescent="0.25"/>
    <row r="495" spans="1:6" hidden="1" x14ac:dyDescent="0.25">
      <c r="C495" s="9" t="s">
        <v>30</v>
      </c>
    </row>
    <row r="496" spans="1:6" hidden="1" x14ac:dyDescent="0.25">
      <c r="C496" s="10">
        <f>ROUND(0.5*10*0.1143*3.14*239/1000, 1)</f>
        <v>0.4</v>
      </c>
      <c r="D496" s="23" t="s">
        <v>8</v>
      </c>
    </row>
    <row r="497" spans="1:6" hidden="1" x14ac:dyDescent="0.25"/>
    <row r="498" spans="1:6" hidden="1" x14ac:dyDescent="0.25">
      <c r="C498" s="9" t="s">
        <v>31</v>
      </c>
    </row>
    <row r="499" spans="1:6" hidden="1" x14ac:dyDescent="0.25">
      <c r="C499" s="10">
        <f>ROUND(0.5*10*0.1143*3.14*2.82*2/5, 0)</f>
        <v>2</v>
      </c>
      <c r="D499" s="23" t="s">
        <v>13</v>
      </c>
    </row>
    <row r="500" spans="1:6" hidden="1" x14ac:dyDescent="0.25"/>
    <row r="501" spans="1:6" hidden="1" x14ac:dyDescent="0.25">
      <c r="C501" s="9" t="s">
        <v>40</v>
      </c>
    </row>
    <row r="502" spans="1:6" hidden="1" x14ac:dyDescent="0.25">
      <c r="C502" s="10">
        <f>IF((ROUND(0.1143*3.14*10*1.556/14.93, 0))&lt;=1, 1, "ЛОЖЬ")</f>
        <v>1</v>
      </c>
      <c r="D502" s="23" t="s">
        <v>13</v>
      </c>
    </row>
    <row r="503" spans="1:6" hidden="1" x14ac:dyDescent="0.25"/>
    <row r="504" spans="1:6" ht="28.5" hidden="1" x14ac:dyDescent="0.25">
      <c r="A504" s="3" t="s">
        <v>0</v>
      </c>
      <c r="B504" s="3" t="s">
        <v>1</v>
      </c>
      <c r="C504" s="3" t="s">
        <v>2</v>
      </c>
      <c r="D504" s="3" t="s">
        <v>4</v>
      </c>
      <c r="E504" s="3" t="s">
        <v>3</v>
      </c>
      <c r="F504" s="3" t="s">
        <v>17</v>
      </c>
    </row>
    <row r="505" spans="1:6" hidden="1" x14ac:dyDescent="0.25">
      <c r="A505" s="23">
        <v>1</v>
      </c>
      <c r="B505" s="38" t="s">
        <v>53</v>
      </c>
      <c r="C505" s="23" t="s">
        <v>7</v>
      </c>
      <c r="D505" s="23" t="s">
        <v>8</v>
      </c>
      <c r="E505" s="12">
        <f>C520</f>
        <v>3</v>
      </c>
      <c r="F505" s="40">
        <v>42672</v>
      </c>
    </row>
    <row r="506" spans="1:6" hidden="1" x14ac:dyDescent="0.25">
      <c r="A506" s="23">
        <v>2</v>
      </c>
      <c r="B506" s="38"/>
      <c r="C506" s="23" t="s">
        <v>10</v>
      </c>
      <c r="D506" s="23" t="s">
        <v>8</v>
      </c>
      <c r="E506" s="12">
        <f>C523</f>
        <v>0.2</v>
      </c>
      <c r="F506" s="40"/>
    </row>
    <row r="507" spans="1:6" hidden="1" x14ac:dyDescent="0.25">
      <c r="A507" s="23">
        <v>3</v>
      </c>
      <c r="B507" s="38"/>
      <c r="C507" s="23" t="s">
        <v>11</v>
      </c>
      <c r="D507" s="23" t="s">
        <v>8</v>
      </c>
      <c r="E507" s="12">
        <f>C526</f>
        <v>0.2</v>
      </c>
      <c r="F507" s="40"/>
    </row>
    <row r="508" spans="1:6" hidden="1" x14ac:dyDescent="0.25">
      <c r="A508" s="23">
        <v>4</v>
      </c>
      <c r="B508" s="38"/>
      <c r="C508" s="23" t="s">
        <v>12</v>
      </c>
      <c r="D508" s="23" t="s">
        <v>13</v>
      </c>
      <c r="E508" s="12">
        <f>C529</f>
        <v>1</v>
      </c>
      <c r="F508" s="40"/>
    </row>
    <row r="509" spans="1:6" hidden="1" x14ac:dyDescent="0.25">
      <c r="A509" s="23">
        <v>5</v>
      </c>
      <c r="B509" s="38"/>
      <c r="C509" s="23" t="s">
        <v>21</v>
      </c>
      <c r="D509" s="23" t="s">
        <v>22</v>
      </c>
      <c r="E509" s="13">
        <f>C517</f>
        <v>0.3</v>
      </c>
      <c r="F509" s="40"/>
    </row>
    <row r="510" spans="1:6" hidden="1" x14ac:dyDescent="0.25">
      <c r="A510" s="23">
        <v>6</v>
      </c>
      <c r="B510" s="38"/>
      <c r="C510" s="23" t="s">
        <v>25</v>
      </c>
      <c r="D510" s="23" t="s">
        <v>22</v>
      </c>
      <c r="E510" s="12">
        <f>C514</f>
        <v>369</v>
      </c>
      <c r="F510" s="40"/>
    </row>
    <row r="511" spans="1:6" hidden="1" x14ac:dyDescent="0.25">
      <c r="A511" s="23">
        <v>7</v>
      </c>
      <c r="B511" s="38"/>
      <c r="C511" s="23" t="s">
        <v>40</v>
      </c>
      <c r="D511" s="23" t="s">
        <v>13</v>
      </c>
      <c r="E511" s="12">
        <f>C532</f>
        <v>1</v>
      </c>
      <c r="F511" s="40"/>
    </row>
    <row r="512" spans="1:6" hidden="1" x14ac:dyDescent="0.25"/>
    <row r="513" spans="3:4" hidden="1" x14ac:dyDescent="0.25">
      <c r="C513" s="9" t="s">
        <v>25</v>
      </c>
    </row>
    <row r="514" spans="3:4" hidden="1" x14ac:dyDescent="0.25">
      <c r="C514" s="10">
        <f>ROUND(0.61*3.14*1*192.8, 0)</f>
        <v>369</v>
      </c>
      <c r="D514" s="23" t="s">
        <v>22</v>
      </c>
    </row>
    <row r="515" spans="3:4" hidden="1" x14ac:dyDescent="0.25"/>
    <row r="516" spans="3:4" hidden="1" x14ac:dyDescent="0.25">
      <c r="C516" s="9" t="s">
        <v>23</v>
      </c>
    </row>
    <row r="517" spans="3:4" hidden="1" x14ac:dyDescent="0.25">
      <c r="C517" s="8">
        <f>ROUND(0.61*3.14*1*0.3*0.5, 1)</f>
        <v>0.3</v>
      </c>
      <c r="D517" s="23" t="s">
        <v>22</v>
      </c>
    </row>
    <row r="518" spans="3:4" hidden="1" x14ac:dyDescent="0.25"/>
    <row r="519" spans="3:4" hidden="1" x14ac:dyDescent="0.25">
      <c r="C519" s="9" t="s">
        <v>28</v>
      </c>
    </row>
    <row r="520" spans="3:4" hidden="1" x14ac:dyDescent="0.25">
      <c r="C520" s="10">
        <f>ROUND(0.61*3.14*1*1.515, 0)</f>
        <v>3</v>
      </c>
      <c r="D520" s="23" t="s">
        <v>8</v>
      </c>
    </row>
    <row r="521" spans="3:4" hidden="1" x14ac:dyDescent="0.25"/>
    <row r="522" spans="3:4" hidden="1" x14ac:dyDescent="0.25">
      <c r="C522" s="9" t="s">
        <v>29</v>
      </c>
    </row>
    <row r="523" spans="3:4" hidden="1" x14ac:dyDescent="0.25">
      <c r="C523" s="10">
        <f>ROUND(0.61*3.14*1*0.098, 1)</f>
        <v>0.2</v>
      </c>
      <c r="D523" s="23" t="s">
        <v>8</v>
      </c>
    </row>
    <row r="524" spans="3:4" hidden="1" x14ac:dyDescent="0.25"/>
    <row r="525" spans="3:4" hidden="1" x14ac:dyDescent="0.25">
      <c r="C525" s="9" t="s">
        <v>30</v>
      </c>
    </row>
    <row r="526" spans="3:4" hidden="1" x14ac:dyDescent="0.25">
      <c r="C526" s="10">
        <f>ROUND(0.5*1*0.61*3.14*239/1000, 1)</f>
        <v>0.2</v>
      </c>
      <c r="D526" s="23" t="s">
        <v>8</v>
      </c>
    </row>
    <row r="527" spans="3:4" hidden="1" x14ac:dyDescent="0.25"/>
    <row r="528" spans="3:4" hidden="1" x14ac:dyDescent="0.25">
      <c r="C528" s="9" t="s">
        <v>31</v>
      </c>
    </row>
    <row r="529" spans="1:13" hidden="1" x14ac:dyDescent="0.25">
      <c r="C529" s="10">
        <f>ROUND(0.5*1*0.61*3.14*2.82*2/5, 0)</f>
        <v>1</v>
      </c>
      <c r="D529" s="23" t="s">
        <v>13</v>
      </c>
    </row>
    <row r="530" spans="1:13" hidden="1" x14ac:dyDescent="0.25"/>
    <row r="531" spans="1:13" hidden="1" x14ac:dyDescent="0.25">
      <c r="C531" s="9" t="s">
        <v>40</v>
      </c>
    </row>
    <row r="532" spans="1:13" hidden="1" x14ac:dyDescent="0.25">
      <c r="C532" s="10">
        <f>IF((ROUND(0.61*3.14*1*1.556/14.93, 0))&lt;=1, 1, "ЛОЖЬ")</f>
        <v>1</v>
      </c>
      <c r="D532" s="23" t="s">
        <v>13</v>
      </c>
    </row>
    <row r="533" spans="1:13" hidden="1" x14ac:dyDescent="0.25"/>
    <row r="534" spans="1:13" ht="28.5" hidden="1" x14ac:dyDescent="0.25">
      <c r="A534" s="3" t="s">
        <v>0</v>
      </c>
      <c r="B534" s="3" t="s">
        <v>1</v>
      </c>
      <c r="C534" s="3" t="s">
        <v>2</v>
      </c>
      <c r="D534" s="3" t="s">
        <v>4</v>
      </c>
      <c r="E534" s="3" t="s">
        <v>3</v>
      </c>
      <c r="F534" s="3" t="s">
        <v>17</v>
      </c>
    </row>
    <row r="535" spans="1:13" ht="15" hidden="1" customHeight="1" x14ac:dyDescent="0.25">
      <c r="A535" s="30">
        <v>1</v>
      </c>
      <c r="B535" s="38" t="s">
        <v>60</v>
      </c>
      <c r="C535" s="30" t="s">
        <v>10</v>
      </c>
      <c r="D535" s="30" t="s">
        <v>8</v>
      </c>
      <c r="E535" s="12">
        <f>C551</f>
        <v>1.2</v>
      </c>
      <c r="F535" s="40">
        <v>42681</v>
      </c>
      <c r="H535" s="27" t="s">
        <v>69</v>
      </c>
      <c r="I535" s="27" t="s">
        <v>70</v>
      </c>
      <c r="J535" s="27" t="s">
        <v>71</v>
      </c>
      <c r="K535" s="27" t="s">
        <v>37</v>
      </c>
      <c r="L535" s="27" t="s">
        <v>72</v>
      </c>
      <c r="M535" s="27" t="s">
        <v>73</v>
      </c>
    </row>
    <row r="536" spans="1:13" hidden="1" x14ac:dyDescent="0.25">
      <c r="A536" s="30">
        <v>2</v>
      </c>
      <c r="B536" s="38"/>
      <c r="C536" s="30" t="s">
        <v>11</v>
      </c>
      <c r="D536" s="30" t="s">
        <v>8</v>
      </c>
      <c r="E536" s="12">
        <f>C554</f>
        <v>0.5</v>
      </c>
      <c r="F536" s="40"/>
      <c r="H536" s="32"/>
      <c r="I536" s="32"/>
      <c r="J536" s="32"/>
      <c r="K536" s="32"/>
      <c r="L536" s="32"/>
      <c r="M536" s="32"/>
    </row>
    <row r="537" spans="1:13" hidden="1" x14ac:dyDescent="0.25">
      <c r="A537" s="30">
        <v>3</v>
      </c>
      <c r="B537" s="38"/>
      <c r="C537" s="30" t="s">
        <v>12</v>
      </c>
      <c r="D537" s="30" t="s">
        <v>13</v>
      </c>
      <c r="E537" s="12">
        <f>C557</f>
        <v>2</v>
      </c>
      <c r="F537" s="40"/>
    </row>
    <row r="538" spans="1:13" hidden="1" x14ac:dyDescent="0.25">
      <c r="A538" s="30">
        <v>4</v>
      </c>
      <c r="B538" s="38"/>
      <c r="C538" s="30" t="s">
        <v>21</v>
      </c>
      <c r="D538" s="30" t="s">
        <v>22</v>
      </c>
      <c r="E538" s="13">
        <f>C548</f>
        <v>0.6</v>
      </c>
      <c r="F538" s="40"/>
    </row>
    <row r="539" spans="1:13" hidden="1" x14ac:dyDescent="0.25">
      <c r="A539" s="30">
        <v>5</v>
      </c>
      <c r="B539" s="38"/>
      <c r="C539" s="30" t="s">
        <v>25</v>
      </c>
      <c r="D539" s="30" t="s">
        <v>22</v>
      </c>
      <c r="E539" s="12">
        <f>C545</f>
        <v>2429</v>
      </c>
      <c r="F539" s="40"/>
    </row>
    <row r="540" spans="1:13" hidden="1" x14ac:dyDescent="0.25">
      <c r="A540" s="30">
        <v>6</v>
      </c>
      <c r="B540" s="38"/>
      <c r="C540" s="30" t="s">
        <v>40</v>
      </c>
      <c r="D540" s="30" t="s">
        <v>13</v>
      </c>
      <c r="E540" s="12">
        <f>C560</f>
        <v>1</v>
      </c>
      <c r="F540" s="40"/>
    </row>
    <row r="541" spans="1:13" hidden="1" x14ac:dyDescent="0.25">
      <c r="A541" s="30">
        <v>7</v>
      </c>
      <c r="B541" s="38"/>
      <c r="C541" s="30" t="s">
        <v>47</v>
      </c>
      <c r="D541" s="30" t="s">
        <v>8</v>
      </c>
      <c r="E541" s="12">
        <f>C563</f>
        <v>1</v>
      </c>
      <c r="F541" s="40"/>
    </row>
    <row r="542" spans="1:13" hidden="1" x14ac:dyDescent="0.25">
      <c r="A542" s="30">
        <v>8</v>
      </c>
      <c r="B542" s="38"/>
      <c r="C542" s="30" t="s">
        <v>48</v>
      </c>
      <c r="D542" s="30" t="s">
        <v>8</v>
      </c>
      <c r="E542" s="12">
        <f>C566</f>
        <v>0.3</v>
      </c>
      <c r="F542" s="40"/>
    </row>
    <row r="543" spans="1:13" hidden="1" x14ac:dyDescent="0.25"/>
    <row r="544" spans="1:13" hidden="1" x14ac:dyDescent="0.25">
      <c r="C544" s="9" t="s">
        <v>25</v>
      </c>
    </row>
    <row r="545" spans="3:4" hidden="1" x14ac:dyDescent="0.25">
      <c r="C545" s="10">
        <f>ROUND((0.0603*3.14*3*375.7)+(0.1143*3.14*10*617.3), 0)</f>
        <v>2429</v>
      </c>
      <c r="D545" s="29" t="s">
        <v>22</v>
      </c>
    </row>
    <row r="546" spans="3:4" hidden="1" x14ac:dyDescent="0.25"/>
    <row r="547" spans="3:4" hidden="1" x14ac:dyDescent="0.25">
      <c r="C547" s="9" t="s">
        <v>23</v>
      </c>
    </row>
    <row r="548" spans="3:4" hidden="1" x14ac:dyDescent="0.25">
      <c r="C548" s="8">
        <f>ROUND((0.0603*3.14*3*0.3*0.5)+(0.1143*3.14*10*0.3*0.5), 1)</f>
        <v>0.6</v>
      </c>
      <c r="D548" s="29" t="s">
        <v>22</v>
      </c>
    </row>
    <row r="549" spans="3:4" hidden="1" x14ac:dyDescent="0.25"/>
    <row r="550" spans="3:4" hidden="1" x14ac:dyDescent="0.25">
      <c r="C550" s="9" t="s">
        <v>29</v>
      </c>
    </row>
    <row r="551" spans="3:4" hidden="1" x14ac:dyDescent="0.25">
      <c r="C551" s="10">
        <f>ROUND((0.0603*3.14*3*0.191)+(0.1143*3.14*10*0.314), 1)</f>
        <v>1.2</v>
      </c>
      <c r="D551" s="29" t="s">
        <v>8</v>
      </c>
    </row>
    <row r="552" spans="3:4" hidden="1" x14ac:dyDescent="0.25"/>
    <row r="553" spans="3:4" hidden="1" x14ac:dyDescent="0.25">
      <c r="C553" s="9" t="s">
        <v>30</v>
      </c>
    </row>
    <row r="554" spans="3:4" hidden="1" x14ac:dyDescent="0.25">
      <c r="C554" s="10">
        <f>ROUND((0.5*3*0.0603*3.14*239/1000)+(0.5*10*0.1143*3.14*239/1000), 1)</f>
        <v>0.5</v>
      </c>
      <c r="D554" s="29" t="s">
        <v>8</v>
      </c>
    </row>
    <row r="555" spans="3:4" hidden="1" x14ac:dyDescent="0.25"/>
    <row r="556" spans="3:4" hidden="1" x14ac:dyDescent="0.25">
      <c r="C556" s="9" t="s">
        <v>31</v>
      </c>
    </row>
    <row r="557" spans="3:4" hidden="1" x14ac:dyDescent="0.25">
      <c r="C557" s="10">
        <f>ROUND((0.5*3*0.0603*3.14*2.82*2/5)+(0.5*10*0.1143*3.14*2.82*2/5), 0)</f>
        <v>2</v>
      </c>
      <c r="D557" s="29" t="s">
        <v>13</v>
      </c>
    </row>
    <row r="558" spans="3:4" hidden="1" x14ac:dyDescent="0.25"/>
    <row r="559" spans="3:4" hidden="1" x14ac:dyDescent="0.25">
      <c r="C559" s="9" t="s">
        <v>40</v>
      </c>
    </row>
    <row r="560" spans="3:4" hidden="1" x14ac:dyDescent="0.25">
      <c r="C560" s="10">
        <f>IF((ROUND((0.0603*3.14*3*3.034/14.93)+(0.1143*3.14*10*4.984/14.93), 0))&lt;=1, 1, "ЛОЖЬ")</f>
        <v>1</v>
      </c>
      <c r="D560" s="29" t="s">
        <v>13</v>
      </c>
    </row>
    <row r="561" spans="1:13" hidden="1" x14ac:dyDescent="0.25"/>
    <row r="562" spans="1:13" hidden="1" x14ac:dyDescent="0.25">
      <c r="C562" s="9" t="s">
        <v>47</v>
      </c>
    </row>
    <row r="563" spans="1:13" hidden="1" x14ac:dyDescent="0.25">
      <c r="C563" s="10">
        <f>ROUND(0.1143*3.14*2.823*1.12*0.75, 0)</f>
        <v>1</v>
      </c>
      <c r="D563" s="30" t="s">
        <v>8</v>
      </c>
    </row>
    <row r="564" spans="1:13" hidden="1" x14ac:dyDescent="0.25">
      <c r="C564" s="20"/>
      <c r="D564" s="17"/>
    </row>
    <row r="565" spans="1:13" hidden="1" x14ac:dyDescent="0.25">
      <c r="C565" s="9" t="s">
        <v>48</v>
      </c>
    </row>
    <row r="566" spans="1:13" hidden="1" x14ac:dyDescent="0.25">
      <c r="C566" s="10">
        <f>ROUND(0.1143*3.14*2.823*1.12*0.25, 1)</f>
        <v>0.3</v>
      </c>
      <c r="D566" s="30" t="s">
        <v>8</v>
      </c>
    </row>
    <row r="567" spans="1:13" ht="18.75" x14ac:dyDescent="0.25">
      <c r="I567" s="49" t="s">
        <v>89</v>
      </c>
      <c r="J567" s="49"/>
      <c r="K567" s="49"/>
      <c r="L567" s="49"/>
    </row>
    <row r="568" spans="1:13" ht="28.5" x14ac:dyDescent="0.25">
      <c r="A568" s="3" t="s">
        <v>0</v>
      </c>
      <c r="B568" s="3" t="s">
        <v>1</v>
      </c>
      <c r="C568" s="3" t="s">
        <v>2</v>
      </c>
      <c r="D568" s="3" t="s">
        <v>4</v>
      </c>
      <c r="E568" s="3" t="s">
        <v>3</v>
      </c>
      <c r="F568" s="3" t="s">
        <v>17</v>
      </c>
    </row>
    <row r="569" spans="1:13" x14ac:dyDescent="0.25">
      <c r="A569" s="32">
        <v>1</v>
      </c>
      <c r="B569" s="47" t="s">
        <v>74</v>
      </c>
      <c r="C569" s="32" t="s">
        <v>11</v>
      </c>
      <c r="D569" s="32" t="s">
        <v>8</v>
      </c>
      <c r="E569" s="12">
        <f>C582</f>
        <v>0.4</v>
      </c>
      <c r="F569" s="48"/>
      <c r="H569" s="27" t="s">
        <v>75</v>
      </c>
      <c r="I569" s="27" t="s">
        <v>70</v>
      </c>
      <c r="J569" s="27" t="s">
        <v>71</v>
      </c>
      <c r="K569" s="27" t="s">
        <v>37</v>
      </c>
      <c r="L569" s="27" t="s">
        <v>72</v>
      </c>
      <c r="M569" s="27" t="s">
        <v>73</v>
      </c>
    </row>
    <row r="570" spans="1:13" x14ac:dyDescent="0.25">
      <c r="A570" s="32">
        <v>2</v>
      </c>
      <c r="B570" s="47"/>
      <c r="C570" s="32" t="s">
        <v>12</v>
      </c>
      <c r="D570" s="32" t="s">
        <v>13</v>
      </c>
      <c r="E570" s="12">
        <f>C585</f>
        <v>2</v>
      </c>
      <c r="F570" s="48"/>
      <c r="H570" s="34">
        <v>2.5630000000000002</v>
      </c>
      <c r="I570" s="50">
        <v>0.27310000000000001</v>
      </c>
      <c r="J570" s="32">
        <f>IF(I570&gt;0.8,0.4,IF(I570&lt;=0.7,0.3,0.34))</f>
        <v>0.3</v>
      </c>
      <c r="K570" s="34">
        <v>6</v>
      </c>
      <c r="L570" s="50">
        <v>239</v>
      </c>
      <c r="M570" s="34">
        <v>2820</v>
      </c>
    </row>
    <row r="571" spans="1:13" x14ac:dyDescent="0.25">
      <c r="A571" s="32">
        <v>3</v>
      </c>
      <c r="B571" s="47"/>
      <c r="C571" s="32" t="s">
        <v>21</v>
      </c>
      <c r="D571" s="32" t="s">
        <v>22</v>
      </c>
      <c r="E571" s="13">
        <f>C579</f>
        <v>0.3</v>
      </c>
      <c r="F571" s="48"/>
    </row>
    <row r="572" spans="1:13" x14ac:dyDescent="0.25">
      <c r="A572" s="32">
        <v>4</v>
      </c>
      <c r="B572" s="47"/>
      <c r="C572" s="32" t="s">
        <v>47</v>
      </c>
      <c r="D572" s="32" t="s">
        <v>8</v>
      </c>
      <c r="E572" s="12">
        <f>C588</f>
        <v>2</v>
      </c>
      <c r="F572" s="48"/>
      <c r="H572" s="27" t="s">
        <v>76</v>
      </c>
      <c r="I572" s="27" t="s">
        <v>77</v>
      </c>
      <c r="J572" s="27" t="s">
        <v>78</v>
      </c>
      <c r="K572" s="27" t="s">
        <v>81</v>
      </c>
    </row>
    <row r="573" spans="1:13" x14ac:dyDescent="0.25">
      <c r="A573" s="32">
        <v>5</v>
      </c>
      <c r="B573" s="47"/>
      <c r="C573" s="32" t="s">
        <v>48</v>
      </c>
      <c r="D573" s="32" t="s">
        <v>8</v>
      </c>
      <c r="E573" s="12">
        <f>C591</f>
        <v>0.6</v>
      </c>
      <c r="F573" s="48"/>
      <c r="H573" s="34"/>
      <c r="I573" s="34"/>
      <c r="J573" s="34"/>
      <c r="K573" s="34"/>
    </row>
    <row r="574" spans="1:13" ht="15.75" customHeight="1" x14ac:dyDescent="0.25">
      <c r="A574" s="32">
        <v>6</v>
      </c>
      <c r="B574" s="47"/>
      <c r="C574" s="32" t="s">
        <v>79</v>
      </c>
      <c r="D574" s="32" t="s">
        <v>8</v>
      </c>
      <c r="E574" s="12">
        <f>C594</f>
        <v>0</v>
      </c>
      <c r="F574" s="48"/>
    </row>
    <row r="575" spans="1:13" ht="15.75" customHeight="1" x14ac:dyDescent="0.25">
      <c r="A575" s="32">
        <v>7</v>
      </c>
      <c r="B575" s="47"/>
      <c r="C575" s="32" t="s">
        <v>80</v>
      </c>
      <c r="D575" s="32" t="s">
        <v>8</v>
      </c>
      <c r="E575" s="12">
        <f>C597</f>
        <v>0</v>
      </c>
      <c r="F575" s="48"/>
    </row>
    <row r="576" spans="1:13" ht="15.75" customHeight="1" x14ac:dyDescent="0.25">
      <c r="A576" s="32">
        <v>8</v>
      </c>
      <c r="B576" s="47"/>
      <c r="C576" s="32" t="s">
        <v>16</v>
      </c>
      <c r="D576" s="32" t="s">
        <v>8</v>
      </c>
      <c r="E576" s="12">
        <f>C600</f>
        <v>0</v>
      </c>
      <c r="F576" s="48"/>
    </row>
    <row r="578" spans="3:10" x14ac:dyDescent="0.25">
      <c r="C578" s="9" t="s">
        <v>23</v>
      </c>
      <c r="I578" s="34"/>
      <c r="J578" s="35" t="s">
        <v>82</v>
      </c>
    </row>
    <row r="579" spans="3:10" x14ac:dyDescent="0.25">
      <c r="C579" s="8">
        <f>ROUND(I570*3.14*K570*0.2*J570, 1)</f>
        <v>0.3</v>
      </c>
      <c r="D579" s="32" t="s">
        <v>22</v>
      </c>
    </row>
    <row r="581" spans="3:10" x14ac:dyDescent="0.25">
      <c r="C581" s="9" t="s">
        <v>30</v>
      </c>
    </row>
    <row r="582" spans="3:10" x14ac:dyDescent="0.25">
      <c r="C582" s="10">
        <f>ROUND(J570*K570*I570*3.14*L570/1000, 1)</f>
        <v>0.4</v>
      </c>
      <c r="D582" s="32" t="s">
        <v>8</v>
      </c>
    </row>
    <row r="584" spans="3:10" x14ac:dyDescent="0.25">
      <c r="C584" s="9" t="s">
        <v>31</v>
      </c>
    </row>
    <row r="585" spans="3:10" x14ac:dyDescent="0.25">
      <c r="C585" s="10">
        <f>ROUND(J570*K570*I570*3.14*M570/1000*2/5, 0)</f>
        <v>2</v>
      </c>
      <c r="D585" s="32" t="s">
        <v>13</v>
      </c>
    </row>
    <row r="587" spans="3:10" x14ac:dyDescent="0.25">
      <c r="C587" s="9" t="s">
        <v>47</v>
      </c>
    </row>
    <row r="588" spans="3:10" x14ac:dyDescent="0.25">
      <c r="C588" s="10">
        <f>ROUND(I570*3.14*H570*1.12*0.75, 0)</f>
        <v>2</v>
      </c>
      <c r="D588" s="32" t="s">
        <v>8</v>
      </c>
    </row>
    <row r="589" spans="3:10" x14ac:dyDescent="0.25">
      <c r="C589" s="20"/>
      <c r="D589" s="17"/>
    </row>
    <row r="590" spans="3:10" x14ac:dyDescent="0.25">
      <c r="C590" s="9" t="s">
        <v>48</v>
      </c>
    </row>
    <row r="591" spans="3:10" x14ac:dyDescent="0.25">
      <c r="C591" s="10">
        <f>ROUND(I570*3.14*H570*1.12*0.25, 1)</f>
        <v>0.6</v>
      </c>
      <c r="D591" s="32" t="s">
        <v>8</v>
      </c>
    </row>
    <row r="593" spans="3:4" x14ac:dyDescent="0.25">
      <c r="C593" s="9" t="s">
        <v>79</v>
      </c>
    </row>
    <row r="594" spans="3:4" x14ac:dyDescent="0.25">
      <c r="C594" s="12">
        <f>ROUND(H573*0.15*2*1.466, 1)</f>
        <v>0</v>
      </c>
      <c r="D594" s="32" t="s">
        <v>8</v>
      </c>
    </row>
    <row r="596" spans="3:4" x14ac:dyDescent="0.25">
      <c r="C596" s="9" t="s">
        <v>80</v>
      </c>
    </row>
    <row r="597" spans="3:4" x14ac:dyDescent="0.25">
      <c r="C597" s="12">
        <f>ROUND(H573*0.15*2*J573/1000, 1)</f>
        <v>0</v>
      </c>
      <c r="D597" s="32" t="s">
        <v>8</v>
      </c>
    </row>
    <row r="599" spans="3:4" x14ac:dyDescent="0.25">
      <c r="C599" s="9" t="s">
        <v>16</v>
      </c>
    </row>
    <row r="600" spans="3:4" x14ac:dyDescent="0.25">
      <c r="C600" s="12">
        <f>H573*0.15*2*3.925</f>
        <v>0</v>
      </c>
      <c r="D600" s="32" t="s">
        <v>8</v>
      </c>
    </row>
  </sheetData>
  <mergeCells count="44">
    <mergeCell ref="I567:L567"/>
    <mergeCell ref="B569:B576"/>
    <mergeCell ref="F569:F576"/>
    <mergeCell ref="B535:B542"/>
    <mergeCell ref="F535:F542"/>
    <mergeCell ref="F29:F39"/>
    <mergeCell ref="B505:B511"/>
    <mergeCell ref="F505:F511"/>
    <mergeCell ref="B56:B66"/>
    <mergeCell ref="F56:F66"/>
    <mergeCell ref="B449:B455"/>
    <mergeCell ref="F449:F455"/>
    <mergeCell ref="B479:B484"/>
    <mergeCell ref="F479:F484"/>
    <mergeCell ref="B191:B199"/>
    <mergeCell ref="F191:F199"/>
    <mergeCell ref="B229:B237"/>
    <mergeCell ref="F229:F237"/>
    <mergeCell ref="B267:B275"/>
    <mergeCell ref="A2:F2"/>
    <mergeCell ref="B43:B53"/>
    <mergeCell ref="F43:F53"/>
    <mergeCell ref="F100:F106"/>
    <mergeCell ref="B5:B15"/>
    <mergeCell ref="F5:F15"/>
    <mergeCell ref="B19:B25"/>
    <mergeCell ref="F19:F25"/>
    <mergeCell ref="B29:B39"/>
    <mergeCell ref="B419:B425"/>
    <mergeCell ref="F419:F425"/>
    <mergeCell ref="B70:B76"/>
    <mergeCell ref="F70:F76"/>
    <mergeCell ref="B381:B389"/>
    <mergeCell ref="F381:F389"/>
    <mergeCell ref="F305:F313"/>
    <mergeCell ref="B343:B351"/>
    <mergeCell ref="F343:F351"/>
    <mergeCell ref="B100:B106"/>
    <mergeCell ref="B130:B136"/>
    <mergeCell ref="F130:F136"/>
    <mergeCell ref="B161:B167"/>
    <mergeCell ref="F161:F167"/>
    <mergeCell ref="F267:F275"/>
    <mergeCell ref="B305:B3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2"/>
  <sheetViews>
    <sheetView zoomScale="85" zoomScaleNormal="85" workbookViewId="0">
      <selection activeCell="L47" sqref="L47"/>
    </sheetView>
  </sheetViews>
  <sheetFormatPr defaultRowHeight="15" x14ac:dyDescent="0.25"/>
  <cols>
    <col min="1" max="1" width="9.140625" style="1"/>
    <col min="2" max="2" width="22.42578125" style="1" bestFit="1" customWidth="1"/>
    <col min="3" max="3" width="46.140625" style="1" customWidth="1"/>
    <col min="4" max="5" width="9.140625" style="1"/>
    <col min="6" max="6" width="10.28515625" style="1" bestFit="1" customWidth="1"/>
    <col min="7" max="16384" width="9.140625" style="1"/>
  </cols>
  <sheetData>
    <row r="2" spans="1:6" x14ac:dyDescent="0.25">
      <c r="A2" s="37" t="s">
        <v>54</v>
      </c>
      <c r="B2" s="37"/>
      <c r="C2" s="37"/>
      <c r="D2" s="37"/>
      <c r="E2" s="37"/>
      <c r="F2" s="37"/>
    </row>
    <row r="4" spans="1:6" ht="28.5" x14ac:dyDescent="0.25">
      <c r="A4" s="3" t="s">
        <v>0</v>
      </c>
      <c r="B4" s="3" t="s">
        <v>1</v>
      </c>
      <c r="C4" s="3" t="s">
        <v>2</v>
      </c>
      <c r="D4" s="3" t="s">
        <v>4</v>
      </c>
      <c r="E4" s="3" t="s">
        <v>3</v>
      </c>
      <c r="F4" s="3" t="s">
        <v>17</v>
      </c>
    </row>
    <row r="5" spans="1:6" x14ac:dyDescent="0.25">
      <c r="A5" s="25">
        <v>1</v>
      </c>
      <c r="B5" s="38" t="s">
        <v>5</v>
      </c>
      <c r="C5" s="25" t="s">
        <v>55</v>
      </c>
      <c r="D5" s="25" t="s">
        <v>56</v>
      </c>
      <c r="E5" s="25">
        <f>C10</f>
        <v>119.74</v>
      </c>
      <c r="F5" s="39">
        <v>42675</v>
      </c>
    </row>
    <row r="6" spans="1:6" x14ac:dyDescent="0.25">
      <c r="A6" s="25">
        <v>2</v>
      </c>
      <c r="B6" s="38"/>
      <c r="C6" s="25" t="s">
        <v>57</v>
      </c>
      <c r="D6" s="25" t="s">
        <v>58</v>
      </c>
      <c r="E6" s="25">
        <f>C13</f>
        <v>5</v>
      </c>
      <c r="F6" s="39"/>
    </row>
    <row r="7" spans="1:6" x14ac:dyDescent="0.25">
      <c r="A7" s="25">
        <v>3</v>
      </c>
      <c r="B7" s="38"/>
      <c r="C7" s="25" t="s">
        <v>59</v>
      </c>
      <c r="D7" s="25" t="s">
        <v>8</v>
      </c>
      <c r="E7" s="25">
        <f>C16</f>
        <v>17</v>
      </c>
      <c r="F7" s="39"/>
    </row>
    <row r="8" spans="1:6" hidden="1" x14ac:dyDescent="0.25"/>
    <row r="9" spans="1:6" hidden="1" x14ac:dyDescent="0.25">
      <c r="C9" s="9" t="s">
        <v>55</v>
      </c>
      <c r="D9" s="25"/>
    </row>
    <row r="10" spans="1:6" hidden="1" x14ac:dyDescent="0.25">
      <c r="C10" s="25">
        <f>ROUND(143.34-10.83-7.18-(3.14*0.2032^2*43.091), 2)</f>
        <v>119.74</v>
      </c>
      <c r="D10" s="25" t="s">
        <v>56</v>
      </c>
    </row>
    <row r="11" spans="1:6" hidden="1" x14ac:dyDescent="0.25"/>
    <row r="12" spans="1:6" hidden="1" x14ac:dyDescent="0.25">
      <c r="C12" s="9" t="s">
        <v>57</v>
      </c>
      <c r="D12" s="25"/>
    </row>
    <row r="13" spans="1:6" hidden="1" x14ac:dyDescent="0.25">
      <c r="C13" s="25">
        <f>ROUND(3.14*0.4064*4,0)</f>
        <v>5</v>
      </c>
      <c r="D13" s="25" t="s">
        <v>58</v>
      </c>
    </row>
    <row r="14" spans="1:6" hidden="1" x14ac:dyDescent="0.25"/>
    <row r="15" spans="1:6" hidden="1" x14ac:dyDescent="0.25">
      <c r="C15" s="9" t="s">
        <v>59</v>
      </c>
      <c r="D15" s="25"/>
    </row>
    <row r="16" spans="1:6" hidden="1" x14ac:dyDescent="0.25">
      <c r="C16" s="25">
        <f>ROUND(4.2*4,0)</f>
        <v>17</v>
      </c>
      <c r="D16" s="25" t="s">
        <v>8</v>
      </c>
    </row>
    <row r="18" spans="1:6" ht="28.5" x14ac:dyDescent="0.25">
      <c r="A18" s="3" t="s">
        <v>0</v>
      </c>
      <c r="B18" s="3" t="s">
        <v>1</v>
      </c>
      <c r="C18" s="3" t="s">
        <v>2</v>
      </c>
      <c r="D18" s="3" t="s">
        <v>4</v>
      </c>
      <c r="E18" s="3" t="s">
        <v>3</v>
      </c>
      <c r="F18" s="3" t="s">
        <v>17</v>
      </c>
    </row>
    <row r="19" spans="1:6" x14ac:dyDescent="0.25">
      <c r="A19" s="25">
        <v>1</v>
      </c>
      <c r="B19" s="38" t="s">
        <v>26</v>
      </c>
      <c r="C19" s="25" t="s">
        <v>55</v>
      </c>
      <c r="D19" s="25" t="s">
        <v>56</v>
      </c>
      <c r="E19" s="25">
        <f>C24</f>
        <v>100.07</v>
      </c>
      <c r="F19" s="39">
        <v>42675</v>
      </c>
    </row>
    <row r="20" spans="1:6" x14ac:dyDescent="0.25">
      <c r="A20" s="25">
        <v>2</v>
      </c>
      <c r="B20" s="38"/>
      <c r="C20" s="25" t="s">
        <v>57</v>
      </c>
      <c r="D20" s="25" t="s">
        <v>58</v>
      </c>
      <c r="E20" s="25">
        <f>C27</f>
        <v>3</v>
      </c>
      <c r="F20" s="39"/>
    </row>
    <row r="21" spans="1:6" x14ac:dyDescent="0.25">
      <c r="A21" s="25">
        <v>3</v>
      </c>
      <c r="B21" s="38"/>
      <c r="C21" s="25" t="s">
        <v>59</v>
      </c>
      <c r="D21" s="25" t="s">
        <v>8</v>
      </c>
      <c r="E21" s="25">
        <f>C30</f>
        <v>8</v>
      </c>
      <c r="F21" s="39"/>
    </row>
    <row r="23" spans="1:6" hidden="1" x14ac:dyDescent="0.25">
      <c r="C23" s="9" t="s">
        <v>55</v>
      </c>
      <c r="D23" s="25"/>
    </row>
    <row r="24" spans="1:6" hidden="1" x14ac:dyDescent="0.25">
      <c r="C24" s="25">
        <f>ROUND(120.2-7.68-6.76-(3.14*0.2032^2*43.882), 2)</f>
        <v>100.07</v>
      </c>
      <c r="D24" s="25" t="s">
        <v>56</v>
      </c>
    </row>
    <row r="25" spans="1:6" hidden="1" x14ac:dyDescent="0.25"/>
    <row r="26" spans="1:6" hidden="1" x14ac:dyDescent="0.25">
      <c r="C26" s="9" t="s">
        <v>57</v>
      </c>
      <c r="D26" s="25"/>
    </row>
    <row r="27" spans="1:6" hidden="1" x14ac:dyDescent="0.25">
      <c r="C27" s="25">
        <f>ROUND(3.14*0.4064*2,0)</f>
        <v>3</v>
      </c>
      <c r="D27" s="25" t="s">
        <v>58</v>
      </c>
    </row>
    <row r="28" spans="1:6" hidden="1" x14ac:dyDescent="0.25"/>
    <row r="29" spans="1:6" hidden="1" x14ac:dyDescent="0.25">
      <c r="C29" s="9" t="s">
        <v>59</v>
      </c>
      <c r="D29" s="25"/>
    </row>
    <row r="30" spans="1:6" hidden="1" x14ac:dyDescent="0.25">
      <c r="C30" s="25">
        <f>ROUND(4.2*2,0)</f>
        <v>8</v>
      </c>
      <c r="D30" s="25" t="s">
        <v>8</v>
      </c>
    </row>
    <row r="32" spans="1:6" ht="28.5" x14ac:dyDescent="0.25">
      <c r="A32" s="3" t="s">
        <v>0</v>
      </c>
      <c r="B32" s="3" t="s">
        <v>1</v>
      </c>
      <c r="C32" s="3" t="s">
        <v>2</v>
      </c>
      <c r="D32" s="3" t="s">
        <v>4</v>
      </c>
      <c r="E32" s="3" t="s">
        <v>3</v>
      </c>
      <c r="F32" s="3" t="s">
        <v>17</v>
      </c>
    </row>
    <row r="33" spans="1:6" x14ac:dyDescent="0.25">
      <c r="A33" s="25">
        <v>1</v>
      </c>
      <c r="B33" s="38" t="s">
        <v>18</v>
      </c>
      <c r="C33" s="25" t="s">
        <v>55</v>
      </c>
      <c r="D33" s="25" t="s">
        <v>56</v>
      </c>
      <c r="E33" s="25">
        <f>C38</f>
        <v>90.51</v>
      </c>
      <c r="F33" s="39">
        <v>42675</v>
      </c>
    </row>
    <row r="34" spans="1:6" x14ac:dyDescent="0.25">
      <c r="A34" s="25">
        <v>2</v>
      </c>
      <c r="B34" s="38"/>
      <c r="C34" s="25" t="s">
        <v>57</v>
      </c>
      <c r="D34" s="25" t="s">
        <v>58</v>
      </c>
      <c r="E34" s="25">
        <f>C41</f>
        <v>4</v>
      </c>
      <c r="F34" s="39"/>
    </row>
    <row r="35" spans="1:6" x14ac:dyDescent="0.25">
      <c r="A35" s="25">
        <v>3</v>
      </c>
      <c r="B35" s="38"/>
      <c r="C35" s="25" t="s">
        <v>59</v>
      </c>
      <c r="D35" s="25" t="s">
        <v>8</v>
      </c>
      <c r="E35" s="25">
        <f>C44</f>
        <v>13</v>
      </c>
      <c r="F35" s="39"/>
    </row>
    <row r="37" spans="1:6" hidden="1" x14ac:dyDescent="0.25">
      <c r="C37" s="9" t="s">
        <v>55</v>
      </c>
      <c r="D37" s="25"/>
    </row>
    <row r="38" spans="1:6" hidden="1" x14ac:dyDescent="0.25">
      <c r="C38" s="25">
        <f>ROUND(114.2-13.3-6.1-(3.14*0.2032^2*33.096), 2)</f>
        <v>90.51</v>
      </c>
      <c r="D38" s="25" t="s">
        <v>56</v>
      </c>
    </row>
    <row r="39" spans="1:6" hidden="1" x14ac:dyDescent="0.25"/>
    <row r="40" spans="1:6" hidden="1" x14ac:dyDescent="0.25">
      <c r="C40" s="9" t="s">
        <v>57</v>
      </c>
      <c r="D40" s="25"/>
    </row>
    <row r="41" spans="1:6" hidden="1" x14ac:dyDescent="0.25">
      <c r="C41" s="25">
        <f>ROUND(3.14*0.4064*3,0)</f>
        <v>4</v>
      </c>
      <c r="D41" s="25" t="s">
        <v>58</v>
      </c>
    </row>
    <row r="42" spans="1:6" hidden="1" x14ac:dyDescent="0.25"/>
    <row r="43" spans="1:6" hidden="1" x14ac:dyDescent="0.25">
      <c r="C43" s="9" t="s">
        <v>59</v>
      </c>
      <c r="D43" s="25"/>
    </row>
    <row r="44" spans="1:6" hidden="1" x14ac:dyDescent="0.25">
      <c r="C44" s="25">
        <f>ROUND(4.2*3,0)</f>
        <v>13</v>
      </c>
      <c r="D44" s="25" t="s">
        <v>8</v>
      </c>
    </row>
    <row r="46" spans="1:6" ht="28.5" x14ac:dyDescent="0.25">
      <c r="A46" s="3" t="s">
        <v>0</v>
      </c>
      <c r="B46" s="3" t="s">
        <v>1</v>
      </c>
      <c r="C46" s="3" t="s">
        <v>2</v>
      </c>
      <c r="D46" s="3" t="s">
        <v>4</v>
      </c>
      <c r="E46" s="3" t="s">
        <v>3</v>
      </c>
      <c r="F46" s="3" t="s">
        <v>17</v>
      </c>
    </row>
    <row r="47" spans="1:6" x14ac:dyDescent="0.25">
      <c r="A47" s="28">
        <v>1</v>
      </c>
      <c r="B47" s="38" t="s">
        <v>19</v>
      </c>
      <c r="C47" s="28" t="s">
        <v>55</v>
      </c>
      <c r="D47" s="28" t="s">
        <v>56</v>
      </c>
      <c r="E47" s="28">
        <f>C52</f>
        <v>56.3</v>
      </c>
      <c r="F47" s="39">
        <v>42675</v>
      </c>
    </row>
    <row r="48" spans="1:6" x14ac:dyDescent="0.25">
      <c r="A48" s="28">
        <v>2</v>
      </c>
      <c r="B48" s="38"/>
      <c r="C48" s="28" t="s">
        <v>57</v>
      </c>
      <c r="D48" s="28" t="s">
        <v>58</v>
      </c>
      <c r="E48" s="28">
        <f>C55</f>
        <v>1</v>
      </c>
      <c r="F48" s="39"/>
    </row>
    <row r="49" spans="1:6" x14ac:dyDescent="0.25">
      <c r="A49" s="28">
        <v>3</v>
      </c>
      <c r="B49" s="38"/>
      <c r="C49" s="28" t="s">
        <v>59</v>
      </c>
      <c r="D49" s="28" t="s">
        <v>8</v>
      </c>
      <c r="E49" s="28">
        <f>C58</f>
        <v>4</v>
      </c>
      <c r="F49" s="39"/>
    </row>
    <row r="51" spans="1:6" hidden="1" x14ac:dyDescent="0.25">
      <c r="C51" s="9" t="s">
        <v>55</v>
      </c>
      <c r="D51" s="28"/>
    </row>
    <row r="52" spans="1:6" hidden="1" x14ac:dyDescent="0.25">
      <c r="C52" s="28">
        <f>ROUND(65.95-3.79-3.41-(3.14*0.2032^2*18.925), 2)</f>
        <v>56.3</v>
      </c>
      <c r="D52" s="28" t="s">
        <v>56</v>
      </c>
    </row>
    <row r="53" spans="1:6" hidden="1" x14ac:dyDescent="0.25"/>
    <row r="54" spans="1:6" hidden="1" x14ac:dyDescent="0.25">
      <c r="C54" s="9" t="s">
        <v>57</v>
      </c>
      <c r="D54" s="28"/>
    </row>
    <row r="55" spans="1:6" hidden="1" x14ac:dyDescent="0.25">
      <c r="C55" s="28">
        <f>ROUND(3.14*0.4064*1,0)</f>
        <v>1</v>
      </c>
      <c r="D55" s="28" t="s">
        <v>58</v>
      </c>
    </row>
    <row r="56" spans="1:6" hidden="1" x14ac:dyDescent="0.25"/>
    <row r="57" spans="1:6" hidden="1" x14ac:dyDescent="0.25">
      <c r="C57" s="9" t="s">
        <v>59</v>
      </c>
      <c r="D57" s="28"/>
    </row>
    <row r="58" spans="1:6" hidden="1" x14ac:dyDescent="0.25">
      <c r="C58" s="28">
        <f>ROUND(4.2*1,0)</f>
        <v>4</v>
      </c>
      <c r="D58" s="28" t="s">
        <v>8</v>
      </c>
    </row>
    <row r="60" spans="1:6" ht="28.5" x14ac:dyDescent="0.25">
      <c r="A60" s="3" t="s">
        <v>0</v>
      </c>
      <c r="B60" s="3" t="s">
        <v>1</v>
      </c>
      <c r="C60" s="3" t="s">
        <v>2</v>
      </c>
      <c r="D60" s="3" t="s">
        <v>4</v>
      </c>
      <c r="E60" s="3" t="s">
        <v>3</v>
      </c>
      <c r="F60" s="3" t="s">
        <v>17</v>
      </c>
    </row>
    <row r="61" spans="1:6" x14ac:dyDescent="0.25">
      <c r="A61" s="28">
        <v>1</v>
      </c>
      <c r="B61" s="38" t="s">
        <v>20</v>
      </c>
      <c r="C61" s="28" t="s">
        <v>55</v>
      </c>
      <c r="D61" s="28" t="s">
        <v>56</v>
      </c>
      <c r="E61" s="28">
        <f>C66</f>
        <v>147.97999999999999</v>
      </c>
      <c r="F61" s="39">
        <v>42675</v>
      </c>
    </row>
    <row r="62" spans="1:6" x14ac:dyDescent="0.25">
      <c r="A62" s="28">
        <v>2</v>
      </c>
      <c r="B62" s="38"/>
      <c r="C62" s="28" t="s">
        <v>57</v>
      </c>
      <c r="D62" s="28" t="s">
        <v>58</v>
      </c>
      <c r="E62" s="28">
        <f>C69</f>
        <v>3</v>
      </c>
      <c r="F62" s="39"/>
    </row>
    <row r="63" spans="1:6" x14ac:dyDescent="0.25">
      <c r="A63" s="28">
        <v>3</v>
      </c>
      <c r="B63" s="38"/>
      <c r="C63" s="28" t="s">
        <v>59</v>
      </c>
      <c r="D63" s="28" t="s">
        <v>8</v>
      </c>
      <c r="E63" s="28">
        <f>C72</f>
        <v>8</v>
      </c>
      <c r="F63" s="39"/>
    </row>
    <row r="65" spans="3:4" hidden="1" x14ac:dyDescent="0.25">
      <c r="C65" s="9" t="s">
        <v>55</v>
      </c>
      <c r="D65" s="28"/>
    </row>
    <row r="66" spans="3:4" hidden="1" x14ac:dyDescent="0.25">
      <c r="C66" s="28">
        <f>ROUND(181.95-17.71-9.59-(3.14*0.2032^2*51.439), 2)</f>
        <v>147.97999999999999</v>
      </c>
      <c r="D66" s="28" t="s">
        <v>56</v>
      </c>
    </row>
    <row r="67" spans="3:4" hidden="1" x14ac:dyDescent="0.25"/>
    <row r="68" spans="3:4" hidden="1" x14ac:dyDescent="0.25">
      <c r="C68" s="9" t="s">
        <v>57</v>
      </c>
      <c r="D68" s="28"/>
    </row>
    <row r="69" spans="3:4" hidden="1" x14ac:dyDescent="0.25">
      <c r="C69" s="28">
        <f>ROUND(3.14*0.4064*2,0)</f>
        <v>3</v>
      </c>
      <c r="D69" s="28" t="s">
        <v>58</v>
      </c>
    </row>
    <row r="70" spans="3:4" hidden="1" x14ac:dyDescent="0.25"/>
    <row r="71" spans="3:4" hidden="1" x14ac:dyDescent="0.25">
      <c r="C71" s="9" t="s">
        <v>59</v>
      </c>
      <c r="D71" s="28"/>
    </row>
    <row r="72" spans="3:4" hidden="1" x14ac:dyDescent="0.25">
      <c r="C72" s="28">
        <f>ROUND(4.2*2,0)</f>
        <v>8</v>
      </c>
      <c r="D72" s="28" t="s">
        <v>8</v>
      </c>
    </row>
  </sheetData>
  <mergeCells count="11">
    <mergeCell ref="B33:B35"/>
    <mergeCell ref="F33:F35"/>
    <mergeCell ref="B47:B49"/>
    <mergeCell ref="F47:F49"/>
    <mergeCell ref="B61:B63"/>
    <mergeCell ref="F61:F63"/>
    <mergeCell ref="A2:F2"/>
    <mergeCell ref="B5:B7"/>
    <mergeCell ref="F5:F7"/>
    <mergeCell ref="B19:B21"/>
    <mergeCell ref="F19:F2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"/>
  <sheetViews>
    <sheetView workbookViewId="0">
      <selection activeCell="D10" sqref="D10"/>
    </sheetView>
  </sheetViews>
  <sheetFormatPr defaultColWidth="9" defaultRowHeight="15" x14ac:dyDescent="0.25"/>
  <cols>
    <col min="1" max="1" width="5.42578125" style="1" bestFit="1" customWidth="1"/>
    <col min="2" max="2" width="27.42578125" style="1" customWidth="1"/>
    <col min="3" max="3" width="11.5703125" style="1" customWidth="1"/>
    <col min="4" max="4" width="13" style="1" customWidth="1"/>
    <col min="5" max="5" width="12.42578125" style="1" bestFit="1" customWidth="1"/>
    <col min="6" max="6" width="15.42578125" style="1" customWidth="1"/>
    <col min="7" max="16384" width="9" style="1"/>
  </cols>
  <sheetData>
    <row r="2" spans="1:6" ht="45" x14ac:dyDescent="0.25">
      <c r="A2" s="15" t="s">
        <v>39</v>
      </c>
      <c r="B2" s="15" t="s">
        <v>1</v>
      </c>
      <c r="C2" s="15" t="s">
        <v>35</v>
      </c>
      <c r="D2" s="15" t="s">
        <v>36</v>
      </c>
      <c r="E2" s="15" t="s">
        <v>37</v>
      </c>
      <c r="F2" s="15" t="s">
        <v>38</v>
      </c>
    </row>
    <row r="3" spans="1:6" x14ac:dyDescent="0.25">
      <c r="A3" s="14">
        <v>1</v>
      </c>
      <c r="B3" s="14" t="s">
        <v>27</v>
      </c>
      <c r="C3" s="14">
        <v>1.2190000000000001</v>
      </c>
      <c r="D3" s="14">
        <v>12.7</v>
      </c>
      <c r="E3" s="14">
        <v>17</v>
      </c>
      <c r="F3" s="14">
        <v>0.5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H20" sqref="H20"/>
    </sheetView>
  </sheetViews>
  <sheetFormatPr defaultRowHeight="15" x14ac:dyDescent="0.25"/>
  <cols>
    <col min="1" max="1" width="15.140625" style="1" customWidth="1"/>
    <col min="2" max="11" width="9.140625" style="1"/>
    <col min="12" max="12" width="18.140625" style="1" customWidth="1"/>
    <col min="13" max="16384" width="9.140625" style="1"/>
  </cols>
  <sheetData>
    <row r="1" spans="1:12" x14ac:dyDescent="0.25">
      <c r="A1" s="47" t="s">
        <v>83</v>
      </c>
      <c r="B1" s="47" t="s">
        <v>4</v>
      </c>
      <c r="C1" s="47" t="s">
        <v>84</v>
      </c>
      <c r="D1" s="47"/>
      <c r="E1" s="47"/>
      <c r="F1" s="47"/>
      <c r="G1" s="47"/>
      <c r="H1" s="47"/>
      <c r="I1" s="47"/>
      <c r="J1" s="47"/>
      <c r="K1" s="47"/>
    </row>
    <row r="2" spans="1:12" x14ac:dyDescent="0.25">
      <c r="A2" s="47"/>
      <c r="B2" s="47"/>
      <c r="C2" s="36">
        <v>350</v>
      </c>
      <c r="D2" s="36">
        <v>400</v>
      </c>
      <c r="E2" s="36">
        <v>500</v>
      </c>
      <c r="F2" s="36">
        <v>600</v>
      </c>
      <c r="G2" s="36">
        <v>700</v>
      </c>
      <c r="H2" s="36">
        <v>800</v>
      </c>
      <c r="I2" s="36">
        <v>1000</v>
      </c>
      <c r="J2" s="36">
        <v>1200</v>
      </c>
      <c r="K2" s="36">
        <v>1400</v>
      </c>
    </row>
    <row r="3" spans="1:12" x14ac:dyDescent="0.25">
      <c r="A3" s="33" t="s">
        <v>85</v>
      </c>
      <c r="B3" s="33" t="s">
        <v>8</v>
      </c>
      <c r="C3" s="33">
        <v>239</v>
      </c>
      <c r="D3" s="33">
        <v>271</v>
      </c>
      <c r="E3" s="33">
        <v>335</v>
      </c>
      <c r="F3" s="33">
        <v>400</v>
      </c>
      <c r="G3" s="33">
        <v>460</v>
      </c>
      <c r="H3" s="33">
        <v>525</v>
      </c>
      <c r="I3" s="33">
        <v>655</v>
      </c>
      <c r="J3" s="33">
        <v>784</v>
      </c>
      <c r="K3" s="33">
        <v>913</v>
      </c>
    </row>
    <row r="4" spans="1:12" x14ac:dyDescent="0.25">
      <c r="A4" s="41" t="s">
        <v>86</v>
      </c>
      <c r="B4" s="41" t="s">
        <v>65</v>
      </c>
      <c r="C4" s="33">
        <v>1380</v>
      </c>
      <c r="D4" s="33">
        <v>1560</v>
      </c>
      <c r="E4" s="33">
        <v>1930</v>
      </c>
      <c r="F4" s="33">
        <v>2300</v>
      </c>
      <c r="G4" s="33">
        <v>2650</v>
      </c>
      <c r="H4" s="33">
        <v>3030</v>
      </c>
      <c r="I4" s="33">
        <v>3770</v>
      </c>
      <c r="J4" s="33">
        <v>4520</v>
      </c>
      <c r="K4" s="33">
        <v>5260</v>
      </c>
      <c r="L4" s="1" t="s">
        <v>87</v>
      </c>
    </row>
    <row r="5" spans="1:12" x14ac:dyDescent="0.25">
      <c r="A5" s="43"/>
      <c r="B5" s="43"/>
      <c r="C5" s="33">
        <v>2820</v>
      </c>
      <c r="D5" s="33">
        <v>3180</v>
      </c>
      <c r="E5" s="33">
        <v>3960</v>
      </c>
      <c r="F5" s="33">
        <v>4710</v>
      </c>
      <c r="G5" s="33">
        <v>5420</v>
      </c>
      <c r="H5" s="33">
        <v>6190</v>
      </c>
      <c r="I5" s="33">
        <v>7700</v>
      </c>
      <c r="J5" s="33">
        <v>9250</v>
      </c>
      <c r="K5" s="33">
        <v>10760</v>
      </c>
      <c r="L5" s="1" t="s">
        <v>88</v>
      </c>
    </row>
  </sheetData>
  <mergeCells count="5">
    <mergeCell ref="B1:B2"/>
    <mergeCell ref="A1:A2"/>
    <mergeCell ref="C1:K1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Основание</vt:lpstr>
      <vt:lpstr>Труба</vt:lpstr>
      <vt:lpstr>Засыпка, герметизация</vt:lpstr>
      <vt:lpstr>Данные</vt:lpstr>
      <vt:lpstr>откуда брать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2016-12-25T07:03:51Z</dcterms:modified>
</cp:coreProperties>
</file>