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codeName="ЭтаКнига" defaultThemeVersion="124226"/>
  <bookViews>
    <workbookView xWindow="120" yWindow="1800" windowWidth="18225" windowHeight="9315" tabRatio="519"/>
  </bookViews>
  <sheets>
    <sheet name="Реестр" sheetId="9" r:id="rId1"/>
    <sheet name="Табель" sheetId="13" r:id="rId2"/>
    <sheet name="касса" sheetId="15" r:id="rId3"/>
    <sheet name="Отчет" sheetId="19" r:id="rId4"/>
    <sheet name="ЗП" sheetId="14" r:id="rId5"/>
    <sheet name="Архив" sheetId="17" state="hidden" r:id="rId6"/>
    <sheet name="Спр.Произ.процент" sheetId="11" state="hidden" r:id="rId7"/>
    <sheet name="Спр.ЗП" sheetId="12" r:id="rId8"/>
    <sheet name="Пожелнание" sheetId="16" state="hidden" r:id="rId9"/>
    <sheet name="Лист1" sheetId="20" r:id="rId10"/>
  </sheets>
  <externalReferences>
    <externalReference r:id="rId11"/>
  </externalReferences>
  <definedNames>
    <definedName name="_xlcn.WorksheetConnection_ДИМЕДЛЯДОРАБОТКИ1.xlsxТаблица11" hidden="1">[0]!Таблица11</definedName>
    <definedName name="_xlcn.WorksheetConnection_ДИМЕДЛЯДОРАБОТКИ1.xlsxТаблица12" hidden="1">[0]!Таблица12</definedName>
    <definedName name="_xlnm._FilterDatabase" localSheetId="7" hidden="1">Спр.Произ.процент!$Z$2:$AB$183</definedName>
    <definedName name="_xlnm._FilterDatabase" localSheetId="6" hidden="1">Спр.Произ.процент!$Z$2:$AB$183</definedName>
    <definedName name="solver_eng" localSheetId="6" hidden="1">1</definedName>
    <definedName name="solver_neg" localSheetId="6" hidden="1">1</definedName>
    <definedName name="solver_num" localSheetId="6" hidden="1">0</definedName>
    <definedName name="solver_opt" localSheetId="6" hidden="1">Спр.Произ.процент!$E$22</definedName>
    <definedName name="solver_typ" localSheetId="6" hidden="1">1</definedName>
    <definedName name="solver_val" localSheetId="6" hidden="1">0</definedName>
    <definedName name="solver_ver" localSheetId="6" hidden="1">3</definedName>
    <definedName name="год" localSheetId="3">[1]Спр.Произ.процент!$AG$3:$AG$8</definedName>
    <definedName name="год">Спр.Произ.процент!$AG$3:$AG$8</definedName>
    <definedName name="_xlnm.Extract" localSheetId="6">Спр.Произ.процент!#REF!</definedName>
    <definedName name="КП" localSheetId="3">[1]ЗП!$B$6</definedName>
    <definedName name="КП">ЗП!$B$6</definedName>
    <definedName name="_xlnm.Criteria" localSheetId="6">Спр.Произ.процент!$AA$7</definedName>
    <definedName name="месяц" localSheetId="3">[1]Спр.Произ.процент!$AF$3:$AF$14</definedName>
    <definedName name="месяц">Спр.Произ.процент!$AF$3:$AF$14</definedName>
    <definedName name="НП" localSheetId="3">[1]ЗП!$A$6</definedName>
    <definedName name="НП">ЗП!$A$6</definedName>
  </definedNames>
  <calcPr calcId="145621"/>
</workbook>
</file>

<file path=xl/calcChain.xml><?xml version="1.0" encoding="utf-8"?>
<calcChain xmlns="http://schemas.openxmlformats.org/spreadsheetml/2006/main">
  <c r="D17" i="19" l="1"/>
  <c r="G20" i="14" l="1"/>
  <c r="G21" i="14"/>
  <c r="G22" i="14"/>
  <c r="G23" i="14"/>
  <c r="G24" i="14"/>
  <c r="L29" i="9" l="1"/>
  <c r="N29" i="9" s="1"/>
  <c r="O29" i="9"/>
  <c r="T29" i="9"/>
  <c r="U29" i="9" s="1"/>
  <c r="L28" i="9" l="1"/>
  <c r="N28" i="9" s="1"/>
  <c r="O28" i="9"/>
  <c r="T28" i="9"/>
  <c r="U28" i="9" s="1"/>
  <c r="L27" i="9"/>
  <c r="N27" i="9" s="1"/>
  <c r="O27" i="9"/>
  <c r="T27" i="9"/>
  <c r="L26" i="9"/>
  <c r="N26" i="9" s="1"/>
  <c r="O26" i="9"/>
  <c r="T26" i="9"/>
  <c r="U27" i="9" l="1"/>
  <c r="U26" i="9"/>
  <c r="T21" i="9"/>
  <c r="L3" i="9"/>
  <c r="N3" i="9" s="1"/>
  <c r="O3" i="9"/>
  <c r="T3" i="9"/>
  <c r="U3" i="9" s="1"/>
  <c r="C2" i="19" l="1"/>
  <c r="D5" i="19" s="1"/>
  <c r="E60" i="13" l="1"/>
  <c r="E59" i="13"/>
  <c r="F59" i="13"/>
  <c r="G59" i="13" s="1"/>
  <c r="H59" i="13" l="1"/>
  <c r="E58" i="13"/>
  <c r="F58" i="13"/>
  <c r="G58" i="13" s="1"/>
  <c r="H58" i="13" l="1"/>
  <c r="F60" i="13" l="1"/>
  <c r="G60" i="13" s="1"/>
  <c r="H60" i="13" s="1"/>
  <c r="E57" i="13" l="1"/>
  <c r="F57" i="13"/>
  <c r="G57" i="13" s="1"/>
  <c r="H57" i="13" l="1"/>
  <c r="E56" i="13" l="1"/>
  <c r="F56" i="13"/>
  <c r="G56" i="13" s="1"/>
  <c r="H56" i="13" l="1"/>
  <c r="E55" i="13" l="1"/>
  <c r="F55" i="13"/>
  <c r="G55" i="13" s="1"/>
  <c r="H55" i="13" l="1"/>
  <c r="E54" i="13" l="1"/>
  <c r="F54" i="13"/>
  <c r="G54" i="13" s="1"/>
  <c r="H54" i="13" l="1"/>
  <c r="E53" i="13" l="1"/>
  <c r="F53" i="13"/>
  <c r="G53" i="13" s="1"/>
  <c r="H53" i="13" l="1"/>
  <c r="D14" i="19"/>
  <c r="D6" i="19" l="1"/>
  <c r="E52" i="13"/>
  <c r="F52" i="13"/>
  <c r="G52" i="13" s="1"/>
  <c r="H52" i="13" l="1"/>
  <c r="E51" i="13" l="1"/>
  <c r="F51" i="13" l="1"/>
  <c r="G51" i="13" s="1"/>
  <c r="H51" i="13" s="1"/>
  <c r="E50" i="13"/>
  <c r="F50" i="13"/>
  <c r="G50" i="13" s="1"/>
  <c r="H50" i="13" l="1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4" i="9"/>
  <c r="O5" i="9"/>
  <c r="I22" i="16"/>
  <c r="A6" i="14"/>
  <c r="B6" i="14" s="1"/>
  <c r="F22" i="13"/>
  <c r="G22" i="13" s="1"/>
  <c r="F30" i="13"/>
  <c r="G30" i="13" s="1"/>
  <c r="F32" i="13"/>
  <c r="G32" i="13" s="1"/>
  <c r="F35" i="13"/>
  <c r="G35" i="13" s="1"/>
  <c r="F39" i="13"/>
  <c r="G39" i="13" s="1"/>
  <c r="F41" i="13"/>
  <c r="G41" i="13" s="1"/>
  <c r="F45" i="13"/>
  <c r="G45" i="13" s="1"/>
  <c r="E22" i="13"/>
  <c r="E23" i="13"/>
  <c r="E24" i="13"/>
  <c r="E25" i="13"/>
  <c r="E26" i="13"/>
  <c r="E27" i="13"/>
  <c r="E28" i="13"/>
  <c r="E29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F49" i="13"/>
  <c r="E30" i="13"/>
  <c r="N35" i="14"/>
  <c r="O35" i="14" s="1"/>
  <c r="N34" i="14"/>
  <c r="O34" i="14" s="1"/>
  <c r="N33" i="14"/>
  <c r="O33" i="14" s="1"/>
  <c r="N32" i="14"/>
  <c r="O32" i="14" s="1"/>
  <c r="N31" i="14"/>
  <c r="O31" i="14" s="1"/>
  <c r="N30" i="14"/>
  <c r="O30" i="14" s="1"/>
  <c r="N29" i="14"/>
  <c r="O29" i="14" s="1"/>
  <c r="H35" i="13" l="1"/>
  <c r="H39" i="13"/>
  <c r="H30" i="13"/>
  <c r="H22" i="13"/>
  <c r="H45" i="13"/>
  <c r="H41" i="13"/>
  <c r="H32" i="13"/>
  <c r="G49" i="13"/>
  <c r="H49" i="13" s="1"/>
  <c r="F48" i="13" l="1"/>
  <c r="G48" i="13" s="1"/>
  <c r="H48" i="13" s="1"/>
  <c r="F47" i="13" l="1"/>
  <c r="G47" i="13" s="1"/>
  <c r="H47" i="13" s="1"/>
  <c r="L4" i="9"/>
  <c r="N4" i="9" s="1"/>
  <c r="L5" i="9"/>
  <c r="L6" i="9"/>
  <c r="N6" i="9" s="1"/>
  <c r="L7" i="9"/>
  <c r="N7" i="9" s="1"/>
  <c r="L8" i="9"/>
  <c r="N8" i="9" s="1"/>
  <c r="L9" i="9"/>
  <c r="N9" i="9" s="1"/>
  <c r="L10" i="9"/>
  <c r="N10" i="9" s="1"/>
  <c r="L11" i="9"/>
  <c r="N11" i="9" s="1"/>
  <c r="L12" i="9"/>
  <c r="N12" i="9" s="1"/>
  <c r="L13" i="9"/>
  <c r="N13" i="9" s="1"/>
  <c r="L14" i="9"/>
  <c r="L15" i="9"/>
  <c r="L16" i="9"/>
  <c r="N16" i="9" s="1"/>
  <c r="L17" i="9"/>
  <c r="N17" i="9" s="1"/>
  <c r="L18" i="9"/>
  <c r="L19" i="9"/>
  <c r="L20" i="9"/>
  <c r="N20" i="9" s="1"/>
  <c r="L21" i="9"/>
  <c r="N21" i="9" s="1"/>
  <c r="L22" i="9"/>
  <c r="L23" i="9"/>
  <c r="N23" i="9" s="1"/>
  <c r="L24" i="9"/>
  <c r="N24" i="9" s="1"/>
  <c r="L25" i="9"/>
  <c r="D4" i="19" s="1"/>
  <c r="T22" i="9"/>
  <c r="T23" i="9"/>
  <c r="T24" i="9"/>
  <c r="T25" i="9"/>
  <c r="T20" i="9"/>
  <c r="T18" i="9"/>
  <c r="T19" i="9"/>
  <c r="T16" i="9"/>
  <c r="T17" i="9"/>
  <c r="T15" i="9"/>
  <c r="T13" i="9"/>
  <c r="T14" i="9"/>
  <c r="T12" i="9"/>
  <c r="T11" i="9"/>
  <c r="T10" i="9"/>
  <c r="T9" i="9"/>
  <c r="T8" i="9"/>
  <c r="T7" i="9"/>
  <c r="T6" i="9"/>
  <c r="K11" i="15"/>
  <c r="D3" i="14"/>
  <c r="D4" i="14"/>
  <c r="O14" i="15"/>
  <c r="P14" i="15" s="1"/>
  <c r="P17" i="15" s="1"/>
  <c r="T5" i="9"/>
  <c r="E1" i="9"/>
  <c r="N39" i="14"/>
  <c r="O39" i="14" s="1"/>
  <c r="N40" i="14"/>
  <c r="O40" i="14" s="1"/>
  <c r="N41" i="14"/>
  <c r="O41" i="14" s="1"/>
  <c r="N42" i="14"/>
  <c r="O42" i="14" s="1"/>
  <c r="N43" i="14"/>
  <c r="O43" i="14" s="1"/>
  <c r="N44" i="14"/>
  <c r="O44" i="14" s="1"/>
  <c r="N45" i="14"/>
  <c r="O45" i="14" s="1"/>
  <c r="N46" i="14"/>
  <c r="O46" i="14" s="1"/>
  <c r="N47" i="14"/>
  <c r="O47" i="14" s="1"/>
  <c r="N48" i="14"/>
  <c r="O48" i="14" s="1"/>
  <c r="N49" i="14"/>
  <c r="O49" i="14" s="1"/>
  <c r="N50" i="14"/>
  <c r="O50" i="14" s="1"/>
  <c r="N51" i="14"/>
  <c r="O51" i="14" s="1"/>
  <c r="N52" i="14"/>
  <c r="O52" i="14" s="1"/>
  <c r="N53" i="14"/>
  <c r="O53" i="14" s="1"/>
  <c r="N54" i="14"/>
  <c r="O54" i="14" s="1"/>
  <c r="N55" i="14"/>
  <c r="O55" i="14" s="1"/>
  <c r="N56" i="14"/>
  <c r="O56" i="14" s="1"/>
  <c r="N57" i="14"/>
  <c r="O57" i="14" s="1"/>
  <c r="N58" i="14"/>
  <c r="O58" i="14" s="1"/>
  <c r="N59" i="14"/>
  <c r="O59" i="14" s="1"/>
  <c r="N60" i="14"/>
  <c r="O60" i="14" s="1"/>
  <c r="N61" i="14"/>
  <c r="O61" i="14" s="1"/>
  <c r="N36" i="14"/>
  <c r="O36" i="14" s="1"/>
  <c r="N37" i="14"/>
  <c r="O37" i="14" s="1"/>
  <c r="N38" i="14"/>
  <c r="O38" i="14" s="1"/>
  <c r="E6" i="13"/>
  <c r="E3" i="13"/>
  <c r="E4" i="13"/>
  <c r="E5" i="13"/>
  <c r="E7" i="13"/>
  <c r="E8" i="13"/>
  <c r="E9" i="13"/>
  <c r="E2" i="13"/>
  <c r="D5" i="14"/>
  <c r="B5" i="13"/>
  <c r="C5" i="13" s="1"/>
  <c r="T4" i="9"/>
  <c r="D9" i="14"/>
  <c r="D10" i="14"/>
  <c r="D6" i="14"/>
  <c r="D7" i="14"/>
  <c r="D8" i="14"/>
  <c r="N20" i="14"/>
  <c r="O20" i="14" s="1"/>
  <c r="N21" i="14"/>
  <c r="N22" i="14"/>
  <c r="O22" i="14" s="1"/>
  <c r="N23" i="14"/>
  <c r="O23" i="14" s="1"/>
  <c r="N24" i="14"/>
  <c r="O24" i="14" s="1"/>
  <c r="N25" i="14"/>
  <c r="O25" i="14" s="1"/>
  <c r="N26" i="14"/>
  <c r="O26" i="14" s="1"/>
  <c r="N27" i="14"/>
  <c r="O27" i="14" s="1"/>
  <c r="N28" i="14"/>
  <c r="O28" i="14" s="1"/>
  <c r="O21" i="14"/>
  <c r="U21" i="9" l="1"/>
  <c r="F38" i="13"/>
  <c r="G38" i="13" s="1"/>
  <c r="H38" i="13" s="1"/>
  <c r="L18" i="15"/>
  <c r="L17" i="15"/>
  <c r="M17" i="15"/>
  <c r="K17" i="15"/>
  <c r="M18" i="15"/>
  <c r="K18" i="15"/>
  <c r="N17" i="15"/>
  <c r="N18" i="15"/>
  <c r="N19" i="9"/>
  <c r="F34" i="13"/>
  <c r="G34" i="13" s="1"/>
  <c r="H34" i="13" s="1"/>
  <c r="N5" i="9"/>
  <c r="F24" i="13"/>
  <c r="G24" i="13" s="1"/>
  <c r="H24" i="13" s="1"/>
  <c r="F37" i="13"/>
  <c r="G37" i="13" s="1"/>
  <c r="H37" i="13" s="1"/>
  <c r="N25" i="9"/>
  <c r="F33" i="13"/>
  <c r="G33" i="13" s="1"/>
  <c r="H33" i="13" s="1"/>
  <c r="N22" i="9"/>
  <c r="F29" i="13"/>
  <c r="G29" i="13" s="1"/>
  <c r="H29" i="13" s="1"/>
  <c r="N18" i="9"/>
  <c r="F26" i="13"/>
  <c r="G26" i="13" s="1"/>
  <c r="H26" i="13" s="1"/>
  <c r="N14" i="9"/>
  <c r="F27" i="13"/>
  <c r="G27" i="13" s="1"/>
  <c r="H27" i="13" s="1"/>
  <c r="N15" i="9"/>
  <c r="O24" i="15"/>
  <c r="B12" i="14"/>
  <c r="B14" i="14" s="1"/>
  <c r="D20" i="14"/>
  <c r="U19" i="9"/>
  <c r="U7" i="9"/>
  <c r="U11" i="9"/>
  <c r="U15" i="9"/>
  <c r="P20" i="15"/>
  <c r="P23" i="15"/>
  <c r="D13" i="19"/>
  <c r="U17" i="9"/>
  <c r="P21" i="15"/>
  <c r="P18" i="15"/>
  <c r="O21" i="15"/>
  <c r="O19" i="15"/>
  <c r="P19" i="15"/>
  <c r="O23" i="15"/>
  <c r="O22" i="15"/>
  <c r="O17" i="15"/>
  <c r="D10" i="19" s="1"/>
  <c r="P22" i="15"/>
  <c r="P24" i="15"/>
  <c r="O18" i="15"/>
  <c r="D11" i="19" s="1"/>
  <c r="O20" i="15"/>
  <c r="U13" i="9"/>
  <c r="F36" i="13"/>
  <c r="G36" i="13" s="1"/>
  <c r="H36" i="13" s="1"/>
  <c r="F31" i="13"/>
  <c r="G31" i="13" s="1"/>
  <c r="H31" i="13" s="1"/>
  <c r="F23" i="13"/>
  <c r="G23" i="13" s="1"/>
  <c r="H23" i="13" s="1"/>
  <c r="U20" i="9"/>
  <c r="U24" i="9"/>
  <c r="G42" i="13"/>
  <c r="H42" i="13" s="1"/>
  <c r="C12" i="13"/>
  <c r="U23" i="9"/>
  <c r="F25" i="13"/>
  <c r="G25" i="13" s="1"/>
  <c r="H25" i="13" s="1"/>
  <c r="U5" i="9"/>
  <c r="U9" i="9"/>
  <c r="U14" i="9"/>
  <c r="F44" i="13"/>
  <c r="G44" i="13" s="1"/>
  <c r="H44" i="13" s="1"/>
  <c r="F40" i="13"/>
  <c r="G40" i="13" s="1"/>
  <c r="H40" i="13" s="1"/>
  <c r="F28" i="13"/>
  <c r="G28" i="13" s="1"/>
  <c r="H28" i="13" s="1"/>
  <c r="U25" i="9"/>
  <c r="F43" i="13"/>
  <c r="G43" i="13" s="1"/>
  <c r="H43" i="13" s="1"/>
  <c r="F46" i="13"/>
  <c r="G46" i="13" s="1"/>
  <c r="H46" i="13" s="1"/>
  <c r="U22" i="9"/>
  <c r="U18" i="9"/>
  <c r="U16" i="9"/>
  <c r="C11" i="13"/>
  <c r="C13" i="13" s="1"/>
  <c r="C20" i="14"/>
  <c r="B13" i="14"/>
  <c r="D8" i="19" s="1"/>
  <c r="U4" i="9"/>
  <c r="U6" i="9"/>
  <c r="U8" i="9"/>
  <c r="U10" i="9"/>
  <c r="U12" i="9"/>
  <c r="L23" i="15"/>
  <c r="L21" i="15"/>
  <c r="M23" i="15"/>
  <c r="K24" i="15"/>
  <c r="M21" i="15"/>
  <c r="K19" i="15"/>
  <c r="M20" i="15"/>
  <c r="N20" i="15"/>
  <c r="N22" i="15"/>
  <c r="N23" i="15"/>
  <c r="N21" i="15"/>
  <c r="K23" i="15"/>
  <c r="N19" i="15"/>
  <c r="M22" i="15"/>
  <c r="L19" i="15"/>
  <c r="K21" i="15"/>
  <c r="L22" i="15"/>
  <c r="L20" i="15"/>
  <c r="M19" i="15"/>
  <c r="E20" i="14" l="1"/>
  <c r="B16" i="14"/>
  <c r="B17" i="14" s="1"/>
  <c r="C15" i="13"/>
  <c r="C16" i="13" s="1"/>
  <c r="D9" i="19"/>
  <c r="D16" i="19"/>
  <c r="D15" i="19"/>
  <c r="F20" i="14"/>
  <c r="I20" i="14" l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</connection>
</connections>
</file>

<file path=xl/sharedStrings.xml><?xml version="1.0" encoding="utf-8"?>
<sst xmlns="http://schemas.openxmlformats.org/spreadsheetml/2006/main" count="1117" uniqueCount="334">
  <si>
    <t>Реестр заказов</t>
  </si>
  <si>
    <t xml:space="preserve"> </t>
  </si>
  <si>
    <t>Номер заказа</t>
  </si>
  <si>
    <t>Дата заказа</t>
  </si>
  <si>
    <r>
      <t xml:space="preserve">Дата отгрузки </t>
    </r>
    <r>
      <rPr>
        <b/>
        <sz val="11"/>
        <color theme="1"/>
        <rFont val="Calibri"/>
        <family val="2"/>
        <charset val="204"/>
        <scheme val="minor"/>
      </rPr>
      <t>ПЛАН</t>
    </r>
  </si>
  <si>
    <r>
      <t xml:space="preserve">Дата отгрузки </t>
    </r>
    <r>
      <rPr>
        <b/>
        <sz val="11"/>
        <color theme="1"/>
        <rFont val="Calibri"/>
        <family val="2"/>
        <charset val="204"/>
        <scheme val="minor"/>
      </rPr>
      <t>ФАКТ</t>
    </r>
  </si>
  <si>
    <t>Статус                            (в работе/ отгружен)</t>
  </si>
  <si>
    <t>Производитель</t>
  </si>
  <si>
    <t>Группа товара</t>
  </si>
  <si>
    <t>Название товара</t>
  </si>
  <si>
    <t>Размер</t>
  </si>
  <si>
    <t>кол-во</t>
  </si>
  <si>
    <t>Цена реализации</t>
  </si>
  <si>
    <t>Стоимость реализации</t>
  </si>
  <si>
    <t>Сумма Предоплаты</t>
  </si>
  <si>
    <t>Сумма доплаты</t>
  </si>
  <si>
    <t>Дата доплаты ПЛАН</t>
  </si>
  <si>
    <t>Дата доплаты ФАКТ</t>
  </si>
  <si>
    <t>Клиент ФИО</t>
  </si>
  <si>
    <t>Телефон</t>
  </si>
  <si>
    <t>Менеджер</t>
  </si>
  <si>
    <t>% бонус</t>
  </si>
  <si>
    <t>Сумма бонус</t>
  </si>
  <si>
    <t>Примечание</t>
  </si>
  <si>
    <t>Отгружен</t>
  </si>
  <si>
    <t>ДИВА_ДЕТСКИЕ</t>
  </si>
  <si>
    <t>Детская  ЛАУРА</t>
  </si>
  <si>
    <t>Анна Михайличенко</t>
  </si>
  <si>
    <t>ОРМАТЕК</t>
  </si>
  <si>
    <t xml:space="preserve">Матрас </t>
  </si>
  <si>
    <t>80*190</t>
  </si>
  <si>
    <t>Детская  КОЛУМБУС</t>
  </si>
  <si>
    <t>ЛЕГЕНДА_ДЕТСКИЕ</t>
  </si>
  <si>
    <t xml:space="preserve">Детская </t>
  </si>
  <si>
    <t>80*160</t>
  </si>
  <si>
    <t>РАЙТОН</t>
  </si>
  <si>
    <t>Детская  ФЛИНТ</t>
  </si>
  <si>
    <t>МЕБЕЛУС_ДИВАНЫ</t>
  </si>
  <si>
    <t>Чехол на матрас МЕБЕЛУС</t>
  </si>
  <si>
    <t>зал</t>
  </si>
  <si>
    <t>ПЕРРИНО</t>
  </si>
  <si>
    <t>Матрас</t>
  </si>
  <si>
    <t>90*190</t>
  </si>
  <si>
    <t>Наматрасник</t>
  </si>
  <si>
    <t>МОНА_ЛИЗА</t>
  </si>
  <si>
    <t>Плед</t>
  </si>
  <si>
    <t>КПБ</t>
  </si>
  <si>
    <t>В работе</t>
  </si>
  <si>
    <t>Детская  НИКОЛЬ</t>
  </si>
  <si>
    <t>Полотенце</t>
  </si>
  <si>
    <t>Месяц</t>
  </si>
  <si>
    <t>Год</t>
  </si>
  <si>
    <t>План 1</t>
  </si>
  <si>
    <t>ноябрь</t>
  </si>
  <si>
    <t>План 2</t>
  </si>
  <si>
    <t>Начало периода(НП)</t>
  </si>
  <si>
    <t>Конец периода(КП)</t>
  </si>
  <si>
    <t>План 3</t>
  </si>
  <si>
    <t>План 4</t>
  </si>
  <si>
    <t>План 5</t>
  </si>
  <si>
    <t>План Ст1</t>
  </si>
  <si>
    <t>План Ст2</t>
  </si>
  <si>
    <t>План Ст3</t>
  </si>
  <si>
    <t>Продажи салона</t>
  </si>
  <si>
    <t>Отгрузки салона</t>
  </si>
  <si>
    <t>Выполнен салоном</t>
  </si>
  <si>
    <t>Продажи стажера</t>
  </si>
  <si>
    <t>Выполнен стажером</t>
  </si>
  <si>
    <t>Сумма продаж в день для ежедневной премии</t>
  </si>
  <si>
    <t>Табель</t>
  </si>
  <si>
    <t>Дата</t>
  </si>
  <si>
    <t>ФИО</t>
  </si>
  <si>
    <t>Должность</t>
  </si>
  <si>
    <t>Оклад в день</t>
  </si>
  <si>
    <t>Сумма продаж в день</t>
  </si>
  <si>
    <t>Премии за продажи в день</t>
  </si>
  <si>
    <t>Итого</t>
  </si>
  <si>
    <t>Продавец</t>
  </si>
  <si>
    <t>Вид операции</t>
  </si>
  <si>
    <t>От кого</t>
  </si>
  <si>
    <t>Кому</t>
  </si>
  <si>
    <t>Содержание операции</t>
  </si>
  <si>
    <t>Сумма</t>
  </si>
  <si>
    <t>Обороты за период</t>
  </si>
  <si>
    <t>Остаток</t>
  </si>
  <si>
    <t>Обороты за день</t>
  </si>
  <si>
    <t>Счет</t>
  </si>
  <si>
    <t>на начало дня</t>
  </si>
  <si>
    <t>на конец дня</t>
  </si>
  <si>
    <t>Получено</t>
  </si>
  <si>
    <t>Выдано</t>
  </si>
  <si>
    <t>Касса (Нал)</t>
  </si>
  <si>
    <t>Терминал(р/с)</t>
  </si>
  <si>
    <t>Здесь только выбираем месяц и год</t>
  </si>
  <si>
    <t>Работает в один выбранный период</t>
  </si>
  <si>
    <t>Здесь заполняем год месяц и планы</t>
  </si>
  <si>
    <t>Ведется и сохраняется</t>
  </si>
  <si>
    <t>Сумма отгрузки</t>
  </si>
  <si>
    <t>Сумма продаж</t>
  </si>
  <si>
    <t>Сумма за выход и  за продажи в день</t>
  </si>
  <si>
    <t>Сумма бонусов (%)  за отгрузки</t>
  </si>
  <si>
    <t>Премия за выполнения плана салоном</t>
  </si>
  <si>
    <t>прочие удержанием или премии</t>
  </si>
  <si>
    <t>Номер плана</t>
  </si>
  <si>
    <t>План</t>
  </si>
  <si>
    <t>Директор</t>
  </si>
  <si>
    <t>Стажер</t>
  </si>
  <si>
    <t>%</t>
  </si>
  <si>
    <t>ТРИ_Я</t>
  </si>
  <si>
    <t>БЕЛЬМАРКО_МАШИНКИ</t>
  </si>
  <si>
    <t>МЕТТА_КРЕСЛА</t>
  </si>
  <si>
    <t>ДА_ЛИНЬ</t>
  </si>
  <si>
    <t>ИНТЕРНЕТ_МАГАЗИН_naperine.com</t>
  </si>
  <si>
    <t>ПГ</t>
  </si>
  <si>
    <t>Матрас АКТИВ</t>
  </si>
  <si>
    <t xml:space="preserve">Кровать </t>
  </si>
  <si>
    <t>Кровать машинка</t>
  </si>
  <si>
    <t>Компьютерное кресло</t>
  </si>
  <si>
    <t>Матрас "Перрино АКТИВ"</t>
  </si>
  <si>
    <t>Прозводитель</t>
  </si>
  <si>
    <t>месяц</t>
  </si>
  <si>
    <t>год</t>
  </si>
  <si>
    <t>Статус</t>
  </si>
  <si>
    <t>От кого/кому</t>
  </si>
  <si>
    <t>Операция</t>
  </si>
  <si>
    <t>Матрас  ПРОМО</t>
  </si>
  <si>
    <t>Кровать  СКИДКА</t>
  </si>
  <si>
    <t>Подушка</t>
  </si>
  <si>
    <t>Детская  ОЛИВИЯ</t>
  </si>
  <si>
    <t>Подсветка к машинке</t>
  </si>
  <si>
    <t>Кресло "САМУРАЙ"</t>
  </si>
  <si>
    <t>Покрывало "Прованс"</t>
  </si>
  <si>
    <t>Матрас "Перрино ПРОМО"</t>
  </si>
  <si>
    <t>январь</t>
  </si>
  <si>
    <t>Кровать</t>
  </si>
  <si>
    <t>Ящик с ПМ</t>
  </si>
  <si>
    <t xml:space="preserve">Банкетка </t>
  </si>
  <si>
    <t>Одеяло</t>
  </si>
  <si>
    <t xml:space="preserve">Столик приставной </t>
  </si>
  <si>
    <t xml:space="preserve">Кровать детская </t>
  </si>
  <si>
    <t>Колеса к машинке</t>
  </si>
  <si>
    <t>РАСПРОДАЖА</t>
  </si>
  <si>
    <t>Подушка декоративная</t>
  </si>
  <si>
    <t>Кровать "Перрино"</t>
  </si>
  <si>
    <t>февраль</t>
  </si>
  <si>
    <t>Кровать  ПРОМО</t>
  </si>
  <si>
    <t>Решетка разборная</t>
  </si>
  <si>
    <t xml:space="preserve">Пуф </t>
  </si>
  <si>
    <t>Ящик выкатной</t>
  </si>
  <si>
    <t>Детская  РОДЖЕР</t>
  </si>
  <si>
    <t xml:space="preserve">Кресло-кровать </t>
  </si>
  <si>
    <t>ТОВАР БЕЗ БОНУСА</t>
  </si>
  <si>
    <t>Кровать "Перрино ПРОМО"</t>
  </si>
  <si>
    <t>март</t>
  </si>
  <si>
    <t>Продажа/Зал</t>
  </si>
  <si>
    <t>Карта собственника</t>
  </si>
  <si>
    <t>Решетка не разборная</t>
  </si>
  <si>
    <t>Вешалка</t>
  </si>
  <si>
    <t>Покрывало</t>
  </si>
  <si>
    <t xml:space="preserve">Аксессуары </t>
  </si>
  <si>
    <t>Покрывало "Люкс"</t>
  </si>
  <si>
    <t>апрель</t>
  </si>
  <si>
    <t>Отгрузка/Зал</t>
  </si>
  <si>
    <t>Клиент</t>
  </si>
  <si>
    <t>Решетка стандарт</t>
  </si>
  <si>
    <t>Ножка</t>
  </si>
  <si>
    <t>Детская  СИТИ</t>
  </si>
  <si>
    <t xml:space="preserve">Декоративные подушки </t>
  </si>
  <si>
    <t>май</t>
  </si>
  <si>
    <t>Отказ</t>
  </si>
  <si>
    <t>Служба доставки</t>
  </si>
  <si>
    <t>Решетка премиум</t>
  </si>
  <si>
    <t>Детская  СКИДКА</t>
  </si>
  <si>
    <t>июнь</t>
  </si>
  <si>
    <t>Возврат/отказ</t>
  </si>
  <si>
    <t>Служба доставки расчет</t>
  </si>
  <si>
    <t>Ножка пластик</t>
  </si>
  <si>
    <t xml:space="preserve">Гостинная </t>
  </si>
  <si>
    <t>Простыня</t>
  </si>
  <si>
    <t>Спальня  НИКОЛЬ</t>
  </si>
  <si>
    <t>июль</t>
  </si>
  <si>
    <t>Возврат/замена</t>
  </si>
  <si>
    <t>Собственник</t>
  </si>
  <si>
    <t>Ножка металл</t>
  </si>
  <si>
    <t>Гостинная  СКИДКА</t>
  </si>
  <si>
    <t>август</t>
  </si>
  <si>
    <t>Сотрудник</t>
  </si>
  <si>
    <t>Газлифт</t>
  </si>
  <si>
    <t xml:space="preserve">Спальня </t>
  </si>
  <si>
    <t>сентябрь</t>
  </si>
  <si>
    <t>Доставка поставщика</t>
  </si>
  <si>
    <t xml:space="preserve">СС Изголовье </t>
  </si>
  <si>
    <t>Спальня  СКИДКА</t>
  </si>
  <si>
    <t>СС Изголовье "Перрино"</t>
  </si>
  <si>
    <t>октябрь</t>
  </si>
  <si>
    <t>Карта сотрудника</t>
  </si>
  <si>
    <t xml:space="preserve">СС Основание </t>
  </si>
  <si>
    <t>Светильник</t>
  </si>
  <si>
    <t xml:space="preserve">Прихожая </t>
  </si>
  <si>
    <t xml:space="preserve">СС Основание"Перрино" </t>
  </si>
  <si>
    <t xml:space="preserve">СС Декоркомплект  </t>
  </si>
  <si>
    <t>Диван</t>
  </si>
  <si>
    <t>Прихожая  СКИДКА</t>
  </si>
  <si>
    <t xml:space="preserve">СС Декоркомплект "Перрино" </t>
  </si>
  <si>
    <t>декабрь</t>
  </si>
  <si>
    <t xml:space="preserve">СС Матрас </t>
  </si>
  <si>
    <t xml:space="preserve">Комод </t>
  </si>
  <si>
    <t xml:space="preserve">Кухня </t>
  </si>
  <si>
    <t>СС Матрас "Перрино"</t>
  </si>
  <si>
    <t xml:space="preserve">СС Топер </t>
  </si>
  <si>
    <t>Тумба</t>
  </si>
  <si>
    <t>Кухня  СКИДКА</t>
  </si>
  <si>
    <t>СС Топер "Перрино"</t>
  </si>
  <si>
    <t>Банкетка</t>
  </si>
  <si>
    <t xml:space="preserve">Шкаф-купе </t>
  </si>
  <si>
    <t>Туалетный стол</t>
  </si>
  <si>
    <t>Шкаф-купе  СКИДКА</t>
  </si>
  <si>
    <t xml:space="preserve">Малая мебель </t>
  </si>
  <si>
    <t>Малая мебель  СКИДКА</t>
  </si>
  <si>
    <t xml:space="preserve">Столы и стулья </t>
  </si>
  <si>
    <t>Трансформируемое основание</t>
  </si>
  <si>
    <t>Столы и стулья  СКИДКА</t>
  </si>
  <si>
    <t>Банкетка "Перрино"</t>
  </si>
  <si>
    <t xml:space="preserve">Офисная мебель </t>
  </si>
  <si>
    <t>Пуф "Перрино"</t>
  </si>
  <si>
    <t>Офисная мебель  СКИДКА</t>
  </si>
  <si>
    <t>Комод "Перрино"</t>
  </si>
  <si>
    <t xml:space="preserve">Тумба </t>
  </si>
  <si>
    <t xml:space="preserve">Компьютерные столы </t>
  </si>
  <si>
    <t>Тумба "Перрино"</t>
  </si>
  <si>
    <t xml:space="preserve">РАСПРОДАЖА </t>
  </si>
  <si>
    <t>Компьютерные столы  СКИДКА</t>
  </si>
  <si>
    <t>РАСПРОДАЖА "Перрино"</t>
  </si>
  <si>
    <t xml:space="preserve">ТОВАР БЕЗ БОНУСА </t>
  </si>
  <si>
    <t>ТОВАР БЕЗ БОНУСА "Перрино"</t>
  </si>
  <si>
    <t xml:space="preserve">ТОВАР НЕДЕЛИ </t>
  </si>
  <si>
    <t>ТОВАР НЕДЕЛИ "Перрино"</t>
  </si>
  <si>
    <t>Чехол на подушку</t>
  </si>
  <si>
    <t>ЧЕРНАЯ ПЯТНИЦА</t>
  </si>
  <si>
    <t>Штатка</t>
  </si>
  <si>
    <t>Дата смены дожности</t>
  </si>
  <si>
    <t>Дима, нужно доработать таблицу "РЕЕСТР"</t>
  </si>
  <si>
    <t>1. Защитить ячейки с формулами от изменений и удаления</t>
  </si>
  <si>
    <t>2. Удлинить перечень из открывающегося списка (чтобы был виден весь список сразу и не приходилось стрелкой перемещать)</t>
  </si>
  <si>
    <t>Нет таких настроек</t>
  </si>
  <si>
    <t>3. В столбце "РАЗМЕР" нужно задать формат 160*200 (со звездочкой), чтобы другие не забивались</t>
  </si>
  <si>
    <t>Звездочка в экселе имеет значение "как любой другой символ" поэтому он не подледит форматированию</t>
  </si>
  <si>
    <t>4. Столбец "СУММА ДОПЛАТЫ" привязать столбцу "ДАТА ДОПЛАТЫ ФАКТ", чтобы при просроченной дате доплаты,соответствующая ячейка "СУММА ДОПЛАТЫ" становилась красной.</t>
  </si>
  <si>
    <t>Сделано</t>
  </si>
  <si>
    <t>5. В столбце "СУММА ПРЕДОПЛАТЫ" обязательно должна быть прописана сумма, чтобы напротив каждого товара была сумма предоплаты. (иногда бывает, что клиент заказывает или покупает несколько товаров. Каждый товар продавец забивает в отдельной строке, а предоплату пишет в одной из строк. Я хочу, чтобы они распределяли предоплату из общей суммы к каждому товару)</t>
  </si>
  <si>
    <t>6. Прописать мини-инструкцию, чтобы любой новый сотрудник с ней ознакомился и смог работать. Например расписать с какими столбцами работать, какого они цвета, как заполнять, что считается самостоятельно и т.п.</t>
  </si>
  <si>
    <t>КАССА</t>
  </si>
  <si>
    <t>1. Можно в реестр добавить столбец НАЛ/КАРТА/БЕЗНАЛ, чтобы в лист КАССА платежи распределялись автоматически, в зависимости от введенного в РЕЕСТРЕ способа оплаты. Туда же подтягивались и все остальные данные (номер и дата заказа, стоимость реализации и предоплаты, сумма и дата доплаты) Но надо еще учесть возможность ручного ввода данных, например инкассации наличных.</t>
  </si>
  <si>
    <t>ТАБЕЛЬ</t>
  </si>
  <si>
    <t>1. Защитить нужные мне для ввода данных по плану ячейки паролем</t>
  </si>
  <si>
    <t>Ноябрь</t>
  </si>
  <si>
    <t>Отчет за день</t>
  </si>
  <si>
    <t>Отгрузки за месяц</t>
  </si>
  <si>
    <t>Продажи за месяц</t>
  </si>
  <si>
    <t>Заказы в работе</t>
  </si>
  <si>
    <t>Из них оплачено</t>
  </si>
  <si>
    <t>Остаток доплаты</t>
  </si>
  <si>
    <t>Процент предоплаты по салону</t>
  </si>
  <si>
    <t>Образец</t>
  </si>
  <si>
    <t>Продажи  за день</t>
  </si>
  <si>
    <t>Поступление в кассу  за день</t>
  </si>
  <si>
    <t>Оплата через терминал  за день</t>
  </si>
  <si>
    <t>Поступление в кассу месяц</t>
  </si>
  <si>
    <t>Оплата через терминал месяц</t>
  </si>
  <si>
    <t>Доводчики</t>
  </si>
  <si>
    <t>Петли</t>
  </si>
  <si>
    <t>беби свит</t>
  </si>
  <si>
    <t>Ст.Ермилов Павел</t>
  </si>
  <si>
    <t>СТ.Самойлова Анна</t>
  </si>
  <si>
    <t>Самойлова Анна</t>
  </si>
  <si>
    <t>Перенос остатков</t>
  </si>
  <si>
    <t>Хоз.нужды</t>
  </si>
  <si>
    <t>ф23</t>
  </si>
  <si>
    <t>ф24</t>
  </si>
  <si>
    <t>40676/50</t>
  </si>
  <si>
    <t>ф25</t>
  </si>
  <si>
    <t>ф26</t>
  </si>
  <si>
    <t>80*190*180</t>
  </si>
  <si>
    <t>120*200</t>
  </si>
  <si>
    <t>160*200</t>
  </si>
  <si>
    <t>230*250</t>
  </si>
  <si>
    <t>Абдулова</t>
  </si>
  <si>
    <t>Гончаров</t>
  </si>
  <si>
    <t>Кириков Константин</t>
  </si>
  <si>
    <t xml:space="preserve">Алехин Алексей </t>
  </si>
  <si>
    <t>Сомсонова</t>
  </si>
  <si>
    <t>Шамилова</t>
  </si>
  <si>
    <t>Тащян Анна</t>
  </si>
  <si>
    <t>Руденко Алла</t>
  </si>
  <si>
    <t>Шишканова</t>
  </si>
  <si>
    <t xml:space="preserve">Макаров Евгений </t>
  </si>
  <si>
    <t>Легенда 14.1</t>
  </si>
  <si>
    <t>Легенда 2.4</t>
  </si>
  <si>
    <t>беби кей</t>
  </si>
  <si>
    <t>Прованс</t>
  </si>
  <si>
    <t>легенда7,10</t>
  </si>
  <si>
    <t>тонус+</t>
  </si>
  <si>
    <t>легенда 4</t>
  </si>
  <si>
    <t>С163624</t>
  </si>
  <si>
    <t>Николь роз.</t>
  </si>
  <si>
    <t>беби комфорт</t>
  </si>
  <si>
    <t>Сити</t>
  </si>
  <si>
    <t>Актив Спорт</t>
  </si>
  <si>
    <t>Пикассо 3.2</t>
  </si>
  <si>
    <t>Николь Арт.</t>
  </si>
  <si>
    <t>Дмитрий</t>
  </si>
  <si>
    <t>80*200</t>
  </si>
  <si>
    <t>Мансурова</t>
  </si>
  <si>
    <t>41321/50</t>
  </si>
  <si>
    <t>70*160</t>
  </si>
  <si>
    <t>Покупка</t>
  </si>
  <si>
    <t>зал империя</t>
  </si>
  <si>
    <t>Юсупова Динара</t>
  </si>
  <si>
    <t>инкасация</t>
  </si>
  <si>
    <t xml:space="preserve">Возврат </t>
  </si>
  <si>
    <t>Белова</t>
  </si>
  <si>
    <t>Василькова Надежда</t>
  </si>
  <si>
    <t>Василькова</t>
  </si>
  <si>
    <t>ф27</t>
  </si>
  <si>
    <t>Легенда 10.3 с полками</t>
  </si>
  <si>
    <t>Кабин Дмитрий</t>
  </si>
  <si>
    <t>80*180</t>
  </si>
  <si>
    <t>Крокус</t>
  </si>
  <si>
    <t>Кабин</t>
  </si>
  <si>
    <t>ф28</t>
  </si>
  <si>
    <t>Легенда 3.3</t>
  </si>
  <si>
    <t xml:space="preserve">Лазутина Анна Сергеевна </t>
  </si>
  <si>
    <t xml:space="preserve">Лазутина </t>
  </si>
  <si>
    <t>Образцы в салоне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</si>
</sst>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\ mmm\ yy;@"/>
    <numFmt numFmtId="165" formatCode="[$-F800]dddd\,\ mmmm\ dd\,\ yyyy"/>
    <numFmt numFmtId="166" formatCode="[$-419]mmmm;@"/>
    <numFmt numFmtId="167" formatCode="#,##0.0"/>
  </numFmts>
  <fonts count="25" x14ac:knownFonts="1">
    <font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5"/>
      </patternFill>
    </fill>
    <fill>
      <patternFill patternType="solid">
        <fgColor theme="0"/>
        <bgColor theme="5" tint="0.5999938962981048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theme="5" tint="0.59999389629810485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theme="5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9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4">
    <xf numFmtId="0" fontId="0" fillId="0" borderId="0" xfId="0"/>
    <xf numFmtId="0" fontId="0" fillId="2" borderId="0" xfId="0" applyFill="1"/>
    <xf numFmtId="3" fontId="3" fillId="2" borderId="0" xfId="0" applyNumberFormat="1" applyFont="1" applyFill="1"/>
    <xf numFmtId="0" fontId="0" fillId="2" borderId="0" xfId="0" applyFill="1" applyAlignment="1">
      <alignment horizontal="center" vertical="center" wrapText="1"/>
    </xf>
    <xf numFmtId="0" fontId="2" fillId="0" borderId="0" xfId="0" applyFont="1"/>
    <xf numFmtId="0" fontId="0" fillId="0" borderId="0" xfId="0"/>
    <xf numFmtId="17" fontId="0" fillId="0" borderId="0" xfId="0" applyNumberFormat="1"/>
    <xf numFmtId="0" fontId="0" fillId="0" borderId="0" xfId="0" applyBorder="1" applyAlignment="1">
      <alignment wrapText="1"/>
    </xf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28" xfId="0" applyBorder="1"/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34" xfId="0" applyBorder="1"/>
    <xf numFmtId="0" fontId="2" fillId="0" borderId="33" xfId="0" applyFont="1" applyFill="1" applyBorder="1" applyAlignment="1">
      <alignment wrapText="1"/>
    </xf>
    <xf numFmtId="0" fontId="0" fillId="0" borderId="12" xfId="0" applyFont="1" applyFill="1" applyBorder="1"/>
    <xf numFmtId="0" fontId="0" fillId="0" borderId="16" xfId="0" applyFont="1" applyFill="1" applyBorder="1"/>
    <xf numFmtId="0" fontId="2" fillId="0" borderId="16" xfId="0" applyFont="1" applyFill="1" applyBorder="1"/>
    <xf numFmtId="0" fontId="0" fillId="0" borderId="38" xfId="0" applyBorder="1"/>
    <xf numFmtId="166" fontId="0" fillId="0" borderId="31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40" xfId="0" applyBorder="1"/>
    <xf numFmtId="0" fontId="0" fillId="0" borderId="41" xfId="0" applyBorder="1" applyAlignment="1">
      <alignment horizontal="center"/>
    </xf>
    <xf numFmtId="0" fontId="0" fillId="0" borderId="36" xfId="0" applyFont="1" applyBorder="1" applyAlignment="1">
      <alignment horizontal="center" vertical="center"/>
    </xf>
    <xf numFmtId="0" fontId="0" fillId="3" borderId="43" xfId="0" applyFont="1" applyFill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0" fillId="0" borderId="44" xfId="0" applyBorder="1"/>
    <xf numFmtId="0" fontId="0" fillId="0" borderId="35" xfId="0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42" xfId="0" applyNumberFormat="1" applyFont="1" applyFill="1" applyBorder="1"/>
    <xf numFmtId="3" fontId="0" fillId="0" borderId="21" xfId="0" applyNumberFormat="1" applyFont="1" applyFill="1" applyBorder="1"/>
    <xf numFmtId="3" fontId="0" fillId="0" borderId="23" xfId="0" applyNumberFormat="1" applyFont="1" applyFill="1" applyBorder="1"/>
    <xf numFmtId="167" fontId="0" fillId="0" borderId="25" xfId="0" applyNumberFormat="1" applyBorder="1" applyAlignment="1">
      <alignment horizontal="center"/>
    </xf>
    <xf numFmtId="167" fontId="0" fillId="0" borderId="41" xfId="0" applyNumberFormat="1" applyBorder="1" applyAlignment="1">
      <alignment horizontal="center"/>
    </xf>
    <xf numFmtId="14" fontId="0" fillId="0" borderId="15" xfId="0" applyNumberFormat="1" applyBorder="1" applyProtection="1">
      <protection locked="0"/>
    </xf>
    <xf numFmtId="166" fontId="0" fillId="8" borderId="31" xfId="0" applyNumberFormat="1" applyFill="1" applyBorder="1" applyAlignment="1" applyProtection="1">
      <alignment horizontal="center" vertical="center"/>
      <protection locked="0"/>
    </xf>
    <xf numFmtId="0" fontId="0" fillId="8" borderId="39" xfId="0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Protection="1">
      <protection locked="0"/>
    </xf>
    <xf numFmtId="0" fontId="4" fillId="7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Protection="1">
      <protection locked="0"/>
    </xf>
    <xf numFmtId="0" fontId="6" fillId="5" borderId="29" xfId="0" applyFont="1" applyFill="1" applyBorder="1" applyAlignment="1" applyProtection="1">
      <alignment wrapText="1"/>
      <protection locked="0"/>
    </xf>
    <xf numFmtId="0" fontId="6" fillId="6" borderId="26" xfId="0" applyFont="1" applyFill="1" applyBorder="1" applyAlignment="1" applyProtection="1">
      <alignment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6" borderId="26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Border="1"/>
    <xf numFmtId="0" fontId="7" fillId="0" borderId="10" xfId="0" applyFont="1" applyBorder="1"/>
    <xf numFmtId="0" fontId="7" fillId="0" borderId="12" xfId="0" applyFont="1" applyBorder="1"/>
    <xf numFmtId="9" fontId="8" fillId="0" borderId="13" xfId="0" applyNumberFormat="1" applyFont="1" applyBorder="1"/>
    <xf numFmtId="9" fontId="8" fillId="0" borderId="3" xfId="0" applyNumberFormat="1" applyFont="1" applyBorder="1"/>
    <xf numFmtId="0" fontId="8" fillId="0" borderId="0" xfId="0" applyFont="1" applyBorder="1"/>
    <xf numFmtId="9" fontId="8" fillId="0" borderId="17" xfId="0" applyNumberFormat="1" applyFont="1" applyBorder="1"/>
    <xf numFmtId="9" fontId="8" fillId="0" borderId="6" xfId="0" applyNumberFormat="1" applyFont="1" applyBorder="1"/>
    <xf numFmtId="0" fontId="8" fillId="0" borderId="0" xfId="0" applyFont="1"/>
    <xf numFmtId="0" fontId="7" fillId="2" borderId="0" xfId="0" applyFont="1" applyFill="1"/>
    <xf numFmtId="9" fontId="7" fillId="2" borderId="0" xfId="0" applyNumberFormat="1" applyFont="1" applyFill="1"/>
    <xf numFmtId="9" fontId="7" fillId="0" borderId="10" xfId="0" applyNumberFormat="1" applyFont="1" applyBorder="1"/>
    <xf numFmtId="9" fontId="7" fillId="0" borderId="4" xfId="0" applyNumberFormat="1" applyFont="1" applyBorder="1"/>
    <xf numFmtId="0" fontId="7" fillId="0" borderId="2" xfId="0" applyFont="1" applyBorder="1"/>
    <xf numFmtId="9" fontId="7" fillId="0" borderId="7" xfId="0" applyNumberFormat="1" applyFont="1" applyBorder="1"/>
    <xf numFmtId="0" fontId="7" fillId="0" borderId="0" xfId="0" applyFont="1"/>
    <xf numFmtId="0" fontId="8" fillId="0" borderId="1" xfId="0" applyFont="1" applyBorder="1"/>
    <xf numFmtId="0" fontId="8" fillId="3" borderId="24" xfId="0" applyFont="1" applyFill="1" applyBorder="1"/>
    <xf numFmtId="0" fontId="7" fillId="0" borderId="1" xfId="0" applyFont="1" applyBorder="1"/>
    <xf numFmtId="0" fontId="8" fillId="0" borderId="12" xfId="0" applyFont="1" applyBorder="1"/>
    <xf numFmtId="9" fontId="7" fillId="0" borderId="5" xfId="0" applyNumberFormat="1" applyFont="1" applyBorder="1"/>
    <xf numFmtId="0" fontId="8" fillId="3" borderId="9" xfId="0" applyFont="1" applyFill="1" applyBorder="1"/>
    <xf numFmtId="9" fontId="7" fillId="0" borderId="0" xfId="0" applyNumberFormat="1" applyFont="1"/>
    <xf numFmtId="0" fontId="7" fillId="0" borderId="19" xfId="0" applyFont="1" applyBorder="1"/>
    <xf numFmtId="0" fontId="7" fillId="0" borderId="0" xfId="0" applyFont="1" applyBorder="1"/>
    <xf numFmtId="9" fontId="7" fillId="0" borderId="0" xfId="0" applyNumberFormat="1" applyFont="1" applyBorder="1"/>
    <xf numFmtId="0" fontId="7" fillId="0" borderId="15" xfId="0" applyFont="1" applyBorder="1"/>
    <xf numFmtId="0" fontId="7" fillId="0" borderId="20" xfId="0" applyFont="1" applyBorder="1"/>
    <xf numFmtId="0" fontId="8" fillId="3" borderId="25" xfId="0" applyFont="1" applyFill="1" applyBorder="1"/>
    <xf numFmtId="0" fontId="8" fillId="3" borderId="17" xfId="0" applyFont="1" applyFill="1" applyBorder="1"/>
    <xf numFmtId="9" fontId="7" fillId="0" borderId="14" xfId="0" applyNumberFormat="1" applyFont="1" applyBorder="1"/>
    <xf numFmtId="9" fontId="7" fillId="0" borderId="21" xfId="0" applyNumberFormat="1" applyFont="1" applyBorder="1"/>
    <xf numFmtId="9" fontId="7" fillId="0" borderId="23" xfId="0" applyNumberFormat="1" applyFont="1" applyBorder="1"/>
    <xf numFmtId="9" fontId="7" fillId="0" borderId="18" xfId="0" applyNumberFormat="1" applyFont="1" applyBorder="1"/>
    <xf numFmtId="0" fontId="0" fillId="0" borderId="0" xfId="0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26" xfId="0" applyNumberFormat="1" applyFont="1" applyFill="1" applyBorder="1" applyAlignment="1" applyProtection="1">
      <alignment horizontal="center" vertical="center" wrapText="1"/>
      <protection hidden="1"/>
    </xf>
    <xf numFmtId="3" fontId="5" fillId="2" borderId="1" xfId="0" applyNumberFormat="1" applyFont="1" applyFill="1" applyBorder="1" applyProtection="1">
      <protection hidden="1"/>
    </xf>
    <xf numFmtId="3" fontId="5" fillId="2" borderId="1" xfId="0" applyNumberFormat="1" applyFont="1" applyFill="1" applyBorder="1" applyProtection="1"/>
    <xf numFmtId="0" fontId="0" fillId="2" borderId="1" xfId="0" applyFill="1" applyBorder="1" applyProtection="1"/>
    <xf numFmtId="0" fontId="4" fillId="2" borderId="1" xfId="0" applyFont="1" applyFill="1" applyBorder="1" applyProtection="1"/>
    <xf numFmtId="0" fontId="0" fillId="2" borderId="27" xfId="0" applyFill="1" applyBorder="1" applyProtection="1"/>
    <xf numFmtId="0" fontId="4" fillId="2" borderId="27" xfId="0" applyFont="1" applyFill="1" applyBorder="1" applyProtection="1"/>
    <xf numFmtId="9" fontId="0" fillId="12" borderId="26" xfId="0" applyNumberFormat="1" applyFill="1" applyBorder="1" applyAlignment="1" applyProtection="1">
      <alignment horizontal="center" vertical="center" wrapText="1"/>
      <protection hidden="1"/>
    </xf>
    <xf numFmtId="3" fontId="3" fillId="12" borderId="26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Border="1"/>
    <xf numFmtId="0" fontId="7" fillId="2" borderId="1" xfId="0" applyFont="1" applyFill="1" applyBorder="1"/>
    <xf numFmtId="0" fontId="7" fillId="2" borderId="27" xfId="0" applyFont="1" applyFill="1" applyBorder="1"/>
    <xf numFmtId="0" fontId="7" fillId="2" borderId="0" xfId="0" applyFont="1" applyFill="1" applyBorder="1"/>
    <xf numFmtId="0" fontId="0" fillId="0" borderId="30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9" borderId="29" xfId="0" applyNumberFormat="1" applyFill="1" applyBorder="1" applyAlignment="1" applyProtection="1">
      <alignment wrapText="1"/>
      <protection locked="0"/>
    </xf>
    <xf numFmtId="0" fontId="0" fillId="8" borderId="26" xfId="0" applyNumberFormat="1" applyFill="1" applyBorder="1" applyAlignment="1" applyProtection="1">
      <alignment wrapText="1"/>
      <protection locked="0"/>
    </xf>
    <xf numFmtId="0" fontId="0" fillId="0" borderId="27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27" xfId="0" applyNumberFormat="1" applyBorder="1" applyProtection="1">
      <protection hidden="1"/>
    </xf>
    <xf numFmtId="0" fontId="0" fillId="0" borderId="38" xfId="0" applyBorder="1" applyProtection="1">
      <protection hidden="1"/>
    </xf>
    <xf numFmtId="0" fontId="0" fillId="0" borderId="28" xfId="0" applyBorder="1" applyProtection="1">
      <protection hidden="1"/>
    </xf>
    <xf numFmtId="14" fontId="0" fillId="0" borderId="31" xfId="0" applyNumberFormat="1" applyFont="1" applyFill="1" applyBorder="1" applyAlignment="1" applyProtection="1">
      <alignment horizontal="center"/>
      <protection hidden="1"/>
    </xf>
    <xf numFmtId="14" fontId="0" fillId="0" borderId="39" xfId="0" applyNumberFormat="1" applyFont="1" applyFill="1" applyBorder="1" applyAlignment="1" applyProtection="1">
      <alignment horizontal="center" vertical="center"/>
      <protection hidden="1"/>
    </xf>
    <xf numFmtId="0" fontId="0" fillId="0" borderId="36" xfId="0" applyFont="1" applyBorder="1" applyAlignment="1" applyProtection="1">
      <alignment horizontal="center" vertical="center"/>
      <protection hidden="1"/>
    </xf>
    <xf numFmtId="3" fontId="0" fillId="0" borderId="42" xfId="0" applyNumberFormat="1" applyFont="1" applyFill="1" applyBorder="1" applyProtection="1">
      <protection hidden="1"/>
    </xf>
    <xf numFmtId="0" fontId="0" fillId="3" borderId="43" xfId="0" applyFont="1" applyFill="1" applyBorder="1" applyAlignment="1" applyProtection="1">
      <alignment horizontal="center" vertical="center"/>
      <protection hidden="1"/>
    </xf>
    <xf numFmtId="0" fontId="0" fillId="0" borderId="43" xfId="0" applyFont="1" applyBorder="1" applyAlignment="1" applyProtection="1">
      <alignment horizontal="center" vertical="center"/>
      <protection hidden="1"/>
    </xf>
    <xf numFmtId="0" fontId="4" fillId="0" borderId="43" xfId="0" applyFont="1" applyBorder="1" applyAlignment="1" applyProtection="1">
      <alignment horizontal="center" vertical="center"/>
      <protection hidden="1"/>
    </xf>
    <xf numFmtId="0" fontId="4" fillId="3" borderId="37" xfId="0" applyFont="1" applyFill="1" applyBorder="1" applyAlignment="1" applyProtection="1">
      <alignment horizontal="center" vertical="center"/>
      <protection hidden="1"/>
    </xf>
    <xf numFmtId="0" fontId="0" fillId="0" borderId="34" xfId="0" applyBorder="1" applyProtection="1">
      <protection hidden="1"/>
    </xf>
    <xf numFmtId="167" fontId="0" fillId="0" borderId="25" xfId="0" applyNumberFormat="1" applyBorder="1" applyAlignment="1" applyProtection="1">
      <alignment horizontal="center"/>
      <protection hidden="1"/>
    </xf>
    <xf numFmtId="0" fontId="0" fillId="0" borderId="40" xfId="0" applyBorder="1" applyProtection="1">
      <protection hidden="1"/>
    </xf>
    <xf numFmtId="167" fontId="0" fillId="0" borderId="41" xfId="0" applyNumberFormat="1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44" xfId="0" applyBorder="1" applyProtection="1">
      <protection hidden="1"/>
    </xf>
    <xf numFmtId="3" fontId="0" fillId="0" borderId="25" xfId="0" applyNumberFormat="1" applyBorder="1" applyAlignment="1" applyProtection="1">
      <alignment horizontal="center"/>
      <protection hidden="1"/>
    </xf>
    <xf numFmtId="0" fontId="0" fillId="0" borderId="35" xfId="0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0" fillId="0" borderId="27" xfId="0" applyBorder="1" applyProtection="1">
      <protection locked="0" hidden="1"/>
    </xf>
    <xf numFmtId="0" fontId="0" fillId="0" borderId="27" xfId="0" applyNumberFormat="1" applyBorder="1" applyProtection="1">
      <protection locked="0" hidden="1"/>
    </xf>
    <xf numFmtId="0" fontId="0" fillId="10" borderId="30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wrapText="1"/>
    </xf>
    <xf numFmtId="0" fontId="2" fillId="10" borderId="33" xfId="0" applyFont="1" applyFill="1" applyBorder="1" applyAlignment="1">
      <alignment wrapText="1"/>
    </xf>
    <xf numFmtId="0" fontId="0" fillId="10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0" xfId="0" applyFill="1" applyProtection="1">
      <protection hidden="1"/>
    </xf>
    <xf numFmtId="3" fontId="3" fillId="2" borderId="0" xfId="0" applyNumberFormat="1" applyFont="1" applyFill="1" applyProtection="1">
      <protection hidden="1"/>
    </xf>
    <xf numFmtId="9" fontId="0" fillId="2" borderId="0" xfId="0" applyNumberFormat="1" applyFill="1" applyProtection="1">
      <protection hidden="1"/>
    </xf>
    <xf numFmtId="0" fontId="0" fillId="2" borderId="26" xfId="0" applyFill="1" applyBorder="1" applyAlignment="1" applyProtection="1">
      <alignment horizontal="center" vertical="center" wrapText="1"/>
      <protection hidden="1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/>
    <xf numFmtId="165" fontId="4" fillId="2" borderId="1" xfId="0" applyNumberFormat="1" applyFont="1" applyFill="1" applyBorder="1"/>
    <xf numFmtId="0" fontId="9" fillId="0" borderId="0" xfId="0" applyFont="1"/>
    <xf numFmtId="0" fontId="9" fillId="14" borderId="0" xfId="0" applyFont="1" applyFill="1"/>
    <xf numFmtId="14" fontId="0" fillId="0" borderId="0" xfId="0" applyNumberFormat="1"/>
    <xf numFmtId="2" fontId="4" fillId="2" borderId="1" xfId="0" applyNumberFormat="1" applyFont="1" applyFill="1" applyBorder="1"/>
    <xf numFmtId="165" fontId="4" fillId="14" borderId="1" xfId="0" applyNumberFormat="1" applyFont="1" applyFill="1" applyBorder="1"/>
    <xf numFmtId="3" fontId="4" fillId="14" borderId="1" xfId="0" applyNumberFormat="1" applyFont="1" applyFill="1" applyBorder="1"/>
    <xf numFmtId="0" fontId="0" fillId="0" borderId="1" xfId="0" applyNumberFormat="1" applyBorder="1"/>
    <xf numFmtId="0" fontId="4" fillId="2" borderId="1" xfId="0" applyNumberFormat="1" applyFont="1" applyFill="1" applyBorder="1"/>
    <xf numFmtId="3" fontId="0" fillId="0" borderId="46" xfId="0" applyNumberFormat="1" applyFont="1" applyFill="1" applyBorder="1" applyProtection="1">
      <protection hidden="1"/>
    </xf>
    <xf numFmtId="0" fontId="0" fillId="0" borderId="3" xfId="0" applyBorder="1" applyAlignment="1" applyProtection="1">
      <alignment horizontal="center"/>
      <protection locked="0"/>
    </xf>
    <xf numFmtId="0" fontId="0" fillId="8" borderId="5" xfId="0" applyFill="1" applyBorder="1" applyAlignment="1" applyProtection="1">
      <alignment horizontal="center" vertical="center"/>
      <protection locked="0"/>
    </xf>
    <xf numFmtId="0" fontId="0" fillId="0" borderId="47" xfId="0" applyBorder="1" applyProtection="1">
      <protection hidden="1"/>
    </xf>
    <xf numFmtId="14" fontId="0" fillId="0" borderId="5" xfId="0" applyNumberFormat="1" applyFont="1" applyFill="1" applyBorder="1" applyAlignment="1" applyProtection="1">
      <alignment horizontal="center" vertical="center"/>
      <protection hidden="1"/>
    </xf>
    <xf numFmtId="0" fontId="0" fillId="0" borderId="3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3" fontId="5" fillId="2" borderId="27" xfId="0" applyNumberFormat="1" applyFont="1" applyFill="1" applyBorder="1" applyProtection="1"/>
    <xf numFmtId="164" fontId="4" fillId="2" borderId="1" xfId="0" applyNumberFormat="1" applyFont="1" applyFill="1" applyBorder="1" applyProtection="1"/>
    <xf numFmtId="3" fontId="4" fillId="2" borderId="27" xfId="0" applyNumberFormat="1" applyFont="1" applyFill="1" applyBorder="1"/>
    <xf numFmtId="165" fontId="4" fillId="2" borderId="27" xfId="0" applyNumberFormat="1" applyFont="1" applyFill="1" applyBorder="1"/>
    <xf numFmtId="0" fontId="0" fillId="0" borderId="7" xfId="0" applyBorder="1"/>
    <xf numFmtId="0" fontId="0" fillId="0" borderId="39" xfId="0" applyBorder="1"/>
    <xf numFmtId="0" fontId="0" fillId="0" borderId="8" xfId="0" applyBorder="1"/>
    <xf numFmtId="0" fontId="0" fillId="0" borderId="17" xfId="0" applyBorder="1"/>
    <xf numFmtId="0" fontId="0" fillId="0" borderId="45" xfId="0" applyBorder="1"/>
    <xf numFmtId="0" fontId="0" fillId="0" borderId="31" xfId="0" applyBorder="1"/>
    <xf numFmtId="3" fontId="4" fillId="2" borderId="19" xfId="0" applyNumberFormat="1" applyFont="1" applyFill="1" applyBorder="1"/>
    <xf numFmtId="165" fontId="4" fillId="2" borderId="19" xfId="0" applyNumberFormat="1" applyFont="1" applyFill="1" applyBorder="1"/>
    <xf numFmtId="3" fontId="4" fillId="2" borderId="22" xfId="0" applyNumberFormat="1" applyFont="1" applyFill="1" applyBorder="1"/>
    <xf numFmtId="0" fontId="0" fillId="0" borderId="8" xfId="0" applyBorder="1" applyAlignment="1">
      <alignment horizontal="right"/>
    </xf>
    <xf numFmtId="0" fontId="0" fillId="0" borderId="47" xfId="0" applyBorder="1"/>
    <xf numFmtId="0" fontId="0" fillId="0" borderId="41" xfId="0" applyBorder="1"/>
    <xf numFmtId="0" fontId="0" fillId="0" borderId="48" xfId="0" applyBorder="1"/>
    <xf numFmtId="3" fontId="4" fillId="14" borderId="49" xfId="0" applyNumberFormat="1" applyFont="1" applyFill="1" applyBorder="1"/>
    <xf numFmtId="0" fontId="0" fillId="0" borderId="35" xfId="0" applyBorder="1"/>
    <xf numFmtId="0" fontId="0" fillId="2" borderId="1" xfId="0" applyNumberFormat="1" applyFill="1" applyBorder="1"/>
    <xf numFmtId="3" fontId="0" fillId="2" borderId="1" xfId="0" applyNumberFormat="1" applyFill="1" applyBorder="1"/>
    <xf numFmtId="165" fontId="0" fillId="2" borderId="1" xfId="0" applyNumberFormat="1" applyFill="1" applyBorder="1"/>
    <xf numFmtId="9" fontId="2" fillId="2" borderId="1" xfId="0" applyNumberFormat="1" applyFont="1" applyFill="1" applyBorder="1" applyAlignment="1">
      <alignment horizontal="center" vertical="center" wrapText="1"/>
    </xf>
    <xf numFmtId="0" fontId="0" fillId="0" borderId="25" xfId="0" applyBorder="1"/>
    <xf numFmtId="16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3" fontId="0" fillId="0" borderId="1" xfId="0" applyNumberFormat="1" applyFill="1" applyBorder="1"/>
    <xf numFmtId="0" fontId="2" fillId="16" borderId="33" xfId="0" applyFont="1" applyFill="1" applyBorder="1" applyAlignment="1">
      <alignment wrapText="1"/>
    </xf>
    <xf numFmtId="0" fontId="0" fillId="16" borderId="26" xfId="0" applyNumberFormat="1" applyFill="1" applyBorder="1" applyAlignment="1" applyProtection="1">
      <alignment wrapText="1"/>
      <protection hidden="1"/>
    </xf>
    <xf numFmtId="0" fontId="0" fillId="16" borderId="28" xfId="0" applyNumberFormat="1" applyFill="1" applyBorder="1" applyAlignment="1" applyProtection="1">
      <alignment wrapText="1"/>
      <protection hidden="1"/>
    </xf>
    <xf numFmtId="0" fontId="10" fillId="2" borderId="27" xfId="0" applyFont="1" applyFill="1" applyBorder="1" applyProtection="1"/>
    <xf numFmtId="3" fontId="11" fillId="2" borderId="27" xfId="0" applyNumberFormat="1" applyFont="1" applyFill="1" applyBorder="1" applyProtection="1"/>
    <xf numFmtId="0" fontId="10" fillId="2" borderId="27" xfId="0" applyFont="1" applyFill="1" applyBorder="1" applyProtection="1">
      <protection locked="0"/>
    </xf>
    <xf numFmtId="0" fontId="0" fillId="0" borderId="1" xfId="0" applyNumberFormat="1" applyBorder="1" applyAlignment="1">
      <alignment horizontal="right"/>
    </xf>
    <xf numFmtId="0" fontId="4" fillId="2" borderId="1" xfId="0" applyNumberFormat="1" applyFon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164" fontId="12" fillId="2" borderId="27" xfId="0" applyNumberFormat="1" applyFont="1" applyFill="1" applyBorder="1" applyProtection="1">
      <protection locked="0"/>
    </xf>
    <xf numFmtId="3" fontId="0" fillId="0" borderId="1" xfId="0" applyNumberFormat="1" applyBorder="1"/>
    <xf numFmtId="165" fontId="0" fillId="0" borderId="1" xfId="0" applyNumberFormat="1" applyBorder="1"/>
    <xf numFmtId="165" fontId="10" fillId="2" borderId="1" xfId="0" applyNumberFormat="1" applyFont="1" applyFill="1" applyBorder="1"/>
    <xf numFmtId="0" fontId="10" fillId="2" borderId="1" xfId="0" applyFont="1" applyFill="1" applyBorder="1" applyProtection="1"/>
    <xf numFmtId="3" fontId="11" fillId="2" borderId="1" xfId="0" applyNumberFormat="1" applyFont="1" applyFill="1" applyBorder="1" applyProtection="1"/>
    <xf numFmtId="0" fontId="10" fillId="2" borderId="1" xfId="0" applyFont="1" applyFill="1" applyBorder="1" applyProtection="1">
      <protection locked="0"/>
    </xf>
    <xf numFmtId="9" fontId="14" fillId="4" borderId="50" xfId="0" applyNumberFormat="1" applyFont="1" applyFill="1" applyBorder="1"/>
    <xf numFmtId="0" fontId="13" fillId="4" borderId="12" xfId="0" applyFont="1" applyFill="1" applyBorder="1"/>
    <xf numFmtId="0" fontId="0" fillId="2" borderId="1" xfId="0" applyFill="1" applyBorder="1"/>
    <xf numFmtId="14" fontId="0" fillId="0" borderId="1" xfId="0" applyNumberFormat="1" applyBorder="1"/>
    <xf numFmtId="164" fontId="3" fillId="2" borderId="1" xfId="0" applyNumberFormat="1" applyFont="1" applyFill="1" applyBorder="1" applyProtection="1">
      <protection locked="0"/>
    </xf>
    <xf numFmtId="164" fontId="0" fillId="15" borderId="1" xfId="0" applyNumberFormat="1" applyFill="1" applyBorder="1" applyAlignment="1" applyProtection="1">
      <alignment horizontal="center" vertical="center" wrapText="1"/>
      <protection hidden="1"/>
    </xf>
    <xf numFmtId="0" fontId="8" fillId="4" borderId="0" xfId="0" applyFont="1" applyFill="1" applyBorder="1"/>
    <xf numFmtId="0" fontId="7" fillId="4" borderId="51" xfId="0" applyFont="1" applyFill="1" applyBorder="1"/>
    <xf numFmtId="9" fontId="7" fillId="4" borderId="52" xfId="0" applyNumberFormat="1" applyFont="1" applyFill="1" applyBorder="1"/>
    <xf numFmtId="0" fontId="8" fillId="2" borderId="1" xfId="0" applyFont="1" applyFill="1" applyBorder="1"/>
    <xf numFmtId="9" fontId="8" fillId="2" borderId="1" xfId="0" applyNumberFormat="1" applyFont="1" applyFill="1" applyBorder="1"/>
    <xf numFmtId="0" fontId="8" fillId="4" borderId="1" xfId="0" applyFont="1" applyFill="1" applyBorder="1"/>
    <xf numFmtId="0" fontId="7" fillId="4" borderId="1" xfId="0" applyFont="1" applyFill="1" applyBorder="1"/>
    <xf numFmtId="9" fontId="7" fillId="4" borderId="1" xfId="0" applyNumberFormat="1" applyFont="1" applyFill="1" applyBorder="1"/>
    <xf numFmtId="9" fontId="7" fillId="2" borderId="1" xfId="0" applyNumberFormat="1" applyFont="1" applyFill="1" applyBorder="1"/>
    <xf numFmtId="0" fontId="13" fillId="4" borderId="1" xfId="0" applyFont="1" applyFill="1" applyBorder="1"/>
    <xf numFmtId="9" fontId="13" fillId="4" borderId="1" xfId="0" applyNumberFormat="1" applyFont="1" applyFill="1" applyBorder="1"/>
    <xf numFmtId="3" fontId="3" fillId="2" borderId="1" xfId="0" applyNumberFormat="1" applyFont="1" applyFill="1" applyBorder="1"/>
    <xf numFmtId="0" fontId="0" fillId="0" borderId="1" xfId="0" applyNumberFormat="1" applyBorder="1" applyProtection="1">
      <protection hidden="1"/>
    </xf>
    <xf numFmtId="0" fontId="0" fillId="2" borderId="27" xfId="0" applyFill="1" applyBorder="1" applyProtection="1">
      <protection locked="0"/>
    </xf>
    <xf numFmtId="0" fontId="0" fillId="3" borderId="16" xfId="0" applyFont="1" applyFill="1" applyBorder="1"/>
    <xf numFmtId="0" fontId="2" fillId="10" borderId="53" xfId="0" applyFont="1" applyFill="1" applyBorder="1" applyAlignment="1">
      <alignment wrapText="1"/>
    </xf>
    <xf numFmtId="0" fontId="2" fillId="16" borderId="53" xfId="0" applyFont="1" applyFill="1" applyBorder="1" applyAlignment="1">
      <alignment wrapText="1"/>
    </xf>
    <xf numFmtId="0" fontId="2" fillId="0" borderId="53" xfId="0" applyFont="1" applyBorder="1" applyAlignment="1">
      <alignment wrapText="1"/>
    </xf>
    <xf numFmtId="0" fontId="2" fillId="16" borderId="54" xfId="0" applyFont="1" applyFill="1" applyBorder="1" applyAlignment="1">
      <alignment wrapText="1"/>
    </xf>
    <xf numFmtId="0" fontId="2" fillId="3" borderId="27" xfId="0" applyFont="1" applyFill="1" applyBorder="1"/>
    <xf numFmtId="14" fontId="0" fillId="0" borderId="15" xfId="0" applyNumberFormat="1" applyBorder="1" applyProtection="1"/>
    <xf numFmtId="14" fontId="0" fillId="0" borderId="2" xfId="0" applyNumberFormat="1" applyBorder="1" applyProtection="1"/>
    <xf numFmtId="3" fontId="0" fillId="2" borderId="1" xfId="0" applyNumberFormat="1" applyFill="1" applyBorder="1" applyProtection="1"/>
    <xf numFmtId="164" fontId="2" fillId="2" borderId="1" xfId="0" applyNumberFormat="1" applyFont="1" applyFill="1" applyBorder="1" applyProtection="1"/>
    <xf numFmtId="0" fontId="0" fillId="0" borderId="1" xfId="0" applyFill="1" applyBorder="1" applyProtection="1"/>
    <xf numFmtId="0" fontId="0" fillId="2" borderId="1" xfId="0" applyFill="1" applyBorder="1" applyAlignment="1" applyProtection="1">
      <alignment wrapText="1"/>
    </xf>
    <xf numFmtId="3" fontId="3" fillId="2" borderId="1" xfId="0" applyNumberFormat="1" applyFont="1" applyFill="1" applyBorder="1" applyProtection="1"/>
    <xf numFmtId="0" fontId="0" fillId="2" borderId="1" xfId="0" applyFont="1" applyFill="1" applyBorder="1" applyAlignment="1" applyProtection="1">
      <alignment horizontal="left"/>
    </xf>
    <xf numFmtId="9" fontId="4" fillId="2" borderId="1" xfId="0" applyNumberFormat="1" applyFont="1" applyFill="1" applyBorder="1" applyProtection="1"/>
    <xf numFmtId="0" fontId="0" fillId="2" borderId="16" xfId="0" applyFill="1" applyBorder="1" applyAlignment="1" applyProtection="1">
      <alignment wrapText="1"/>
    </xf>
    <xf numFmtId="9" fontId="4" fillId="2" borderId="27" xfId="0" applyNumberFormat="1" applyFont="1" applyFill="1" applyBorder="1" applyProtection="1"/>
    <xf numFmtId="9" fontId="10" fillId="2" borderId="27" xfId="0" applyNumberFormat="1" applyFont="1" applyFill="1" applyBorder="1" applyProtection="1"/>
    <xf numFmtId="164" fontId="12" fillId="2" borderId="27" xfId="0" applyNumberFormat="1" applyFont="1" applyFill="1" applyBorder="1" applyProtection="1"/>
    <xf numFmtId="164" fontId="2" fillId="0" borderId="1" xfId="0" applyNumberFormat="1" applyFont="1" applyFill="1" applyBorder="1" applyProtection="1"/>
    <xf numFmtId="0" fontId="0" fillId="0" borderId="1" xfId="0" applyFill="1" applyBorder="1" applyAlignment="1" applyProtection="1">
      <alignment wrapText="1"/>
    </xf>
    <xf numFmtId="3" fontId="3" fillId="0" borderId="1" xfId="0" applyNumberFormat="1" applyFont="1" applyFill="1" applyBorder="1" applyProtection="1"/>
    <xf numFmtId="164" fontId="12" fillId="2" borderId="1" xfId="0" applyNumberFormat="1" applyFont="1" applyFill="1" applyBorder="1" applyProtection="1"/>
    <xf numFmtId="9" fontId="10" fillId="2" borderId="1" xfId="0" applyNumberFormat="1" applyFont="1" applyFill="1" applyBorder="1" applyProtection="1"/>
    <xf numFmtId="0" fontId="0" fillId="2" borderId="7" xfId="0" applyFill="1" applyBorder="1" applyAlignment="1" applyProtection="1">
      <alignment wrapText="1"/>
    </xf>
    <xf numFmtId="164" fontId="3" fillId="2" borderId="1" xfId="0" applyNumberFormat="1" applyFont="1" applyFill="1" applyBorder="1" applyProtection="1"/>
    <xf numFmtId="0" fontId="15" fillId="2" borderId="1" xfId="0" applyFont="1" applyFill="1" applyBorder="1" applyProtection="1"/>
    <xf numFmtId="14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3" fontId="0" fillId="10" borderId="26" xfId="0" applyNumberFormat="1" applyFill="1" applyBorder="1" applyAlignment="1" applyProtection="1">
      <alignment horizontal="center" vertical="center" wrapText="1"/>
      <protection locked="0"/>
    </xf>
    <xf numFmtId="0" fontId="0" fillId="10" borderId="26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Protection="1">
      <protection locked="0" hidden="1"/>
    </xf>
    <xf numFmtId="0" fontId="0" fillId="2" borderId="26" xfId="0" applyFill="1" applyBorder="1" applyAlignment="1" applyProtection="1">
      <alignment horizontal="center" vertical="center" wrapText="1"/>
      <protection locked="0" hidden="1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3" fontId="0" fillId="2" borderId="0" xfId="0" applyNumberFormat="1" applyFill="1" applyProtection="1">
      <protection locked="0" hidden="1"/>
    </xf>
    <xf numFmtId="3" fontId="0" fillId="2" borderId="26" xfId="0" applyNumberFormat="1" applyFill="1" applyBorder="1" applyAlignment="1" applyProtection="1">
      <alignment horizontal="center" vertical="center" wrapText="1"/>
      <protection locked="0" hidden="1"/>
    </xf>
    <xf numFmtId="3" fontId="0" fillId="2" borderId="0" xfId="0" applyNumberFormat="1" applyFill="1" applyProtection="1">
      <protection locked="0"/>
    </xf>
    <xf numFmtId="164" fontId="3" fillId="2" borderId="0" xfId="0" applyNumberFormat="1" applyFont="1" applyFill="1" applyProtection="1">
      <protection locked="0" hidden="1"/>
    </xf>
    <xf numFmtId="164" fontId="3" fillId="2" borderId="26" xfId="0" applyNumberFormat="1" applyFont="1" applyFill="1" applyBorder="1" applyAlignment="1" applyProtection="1">
      <alignment horizontal="center" vertical="center" wrapText="1"/>
      <protection locked="0" hidden="1"/>
    </xf>
    <xf numFmtId="164" fontId="3" fillId="2" borderId="0" xfId="0" applyNumberFormat="1" applyFont="1" applyFill="1" applyProtection="1">
      <protection locked="0"/>
    </xf>
    <xf numFmtId="0" fontId="0" fillId="10" borderId="26" xfId="0" applyFill="1" applyBorder="1" applyAlignment="1" applyProtection="1">
      <alignment horizontal="center" vertical="center" wrapText="1"/>
      <protection locked="0" hidden="1"/>
    </xf>
    <xf numFmtId="9" fontId="0" fillId="2" borderId="0" xfId="0" applyNumberFormat="1" applyFill="1" applyProtection="1"/>
    <xf numFmtId="3" fontId="3" fillId="2" borderId="0" xfId="0" applyNumberFormat="1" applyFont="1" applyFill="1" applyProtection="1"/>
    <xf numFmtId="0" fontId="0" fillId="2" borderId="0" xfId="0" applyFill="1" applyAlignment="1" applyProtection="1">
      <alignment wrapText="1"/>
      <protection locked="0"/>
    </xf>
    <xf numFmtId="0" fontId="0" fillId="2" borderId="28" xfId="0" applyFill="1" applyBorder="1" applyAlignment="1" applyProtection="1">
      <alignment horizontal="center" vertical="center" wrapText="1"/>
      <protection locked="0"/>
    </xf>
    <xf numFmtId="3" fontId="1" fillId="2" borderId="0" xfId="0" applyNumberFormat="1" applyFont="1" applyFill="1" applyProtection="1">
      <protection locked="0"/>
    </xf>
    <xf numFmtId="164" fontId="1" fillId="2" borderId="0" xfId="0" applyNumberFormat="1" applyFont="1" applyFill="1" applyProtection="1">
      <protection locked="0"/>
    </xf>
    <xf numFmtId="3" fontId="0" fillId="2" borderId="29" xfId="0" applyNumberFormat="1" applyFill="1" applyBorder="1" applyAlignment="1" applyProtection="1">
      <alignment horizontal="center" vertical="center" wrapText="1"/>
      <protection locked="0"/>
    </xf>
    <xf numFmtId="164" fontId="0" fillId="2" borderId="26" xfId="0" applyNumberForma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0" borderId="1" xfId="0" applyNumberFormat="1" applyFont="1" applyFill="1" applyBorder="1" applyProtection="1">
      <protection locked="0"/>
    </xf>
    <xf numFmtId="164" fontId="0" fillId="2" borderId="0" xfId="0" applyNumberFormat="1" applyFill="1" applyProtection="1">
      <protection locked="0"/>
    </xf>
    <xf numFmtId="2" fontId="0" fillId="0" borderId="0" xfId="0" applyNumberFormat="1" applyAlignment="1">
      <alignment wrapText="1"/>
    </xf>
    <xf numFmtId="0" fontId="0" fillId="0" borderId="51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3" fontId="0" fillId="0" borderId="17" xfId="0" applyNumberFormat="1" applyBorder="1"/>
    <xf numFmtId="3" fontId="0" fillId="0" borderId="55" xfId="0" applyNumberFormat="1" applyBorder="1"/>
    <xf numFmtId="3" fontId="0" fillId="0" borderId="57" xfId="0" applyNumberFormat="1" applyBorder="1"/>
    <xf numFmtId="0" fontId="0" fillId="0" borderId="44" xfId="0" applyFill="1" applyBorder="1"/>
    <xf numFmtId="9" fontId="0" fillId="0" borderId="46" xfId="0" applyNumberFormat="1" applyBorder="1"/>
    <xf numFmtId="0" fontId="7" fillId="4" borderId="20" xfId="0" applyFont="1" applyFill="1" applyBorder="1"/>
    <xf numFmtId="9" fontId="7" fillId="4" borderId="18" xfId="0" applyNumberFormat="1" applyFont="1" applyFill="1" applyBorder="1"/>
    <xf numFmtId="164" fontId="0" fillId="2" borderId="1" xfId="0" applyNumberFormat="1" applyFill="1" applyBorder="1"/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3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16" borderId="1" xfId="0" applyNumberFormat="1" applyFill="1" applyBorder="1"/>
    <xf numFmtId="3" fontId="18" fillId="2" borderId="1" xfId="0" applyNumberFormat="1" applyFont="1" applyFill="1" applyBorder="1" applyAlignment="1" applyProtection="1">
      <alignment horizontal="right" vertical="center" wrapText="1"/>
    </xf>
    <xf numFmtId="3" fontId="17" fillId="2" borderId="1" xfId="0" applyNumberFormat="1" applyFont="1" applyFill="1" applyBorder="1" applyAlignment="1" applyProtection="1">
      <alignment horizontal="right" vertical="center" wrapText="1"/>
    </xf>
    <xf numFmtId="3" fontId="0" fillId="2" borderId="1" xfId="0" applyNumberFormat="1" applyFill="1" applyBorder="1" applyAlignment="1" applyProtection="1">
      <alignment horizontal="right" vertical="center" wrapText="1"/>
      <protection locked="0"/>
    </xf>
    <xf numFmtId="14" fontId="18" fillId="2" borderId="1" xfId="0" applyNumberFormat="1" applyFont="1" applyFill="1" applyBorder="1" applyAlignment="1" applyProtection="1">
      <alignment horizontal="center" wrapText="1"/>
    </xf>
    <xf numFmtId="3" fontId="3" fillId="0" borderId="0" xfId="0" applyNumberFormat="1" applyFont="1" applyFill="1"/>
    <xf numFmtId="3" fontId="0" fillId="2" borderId="1" xfId="0" applyNumberFormat="1" applyFill="1" applyBorder="1" applyAlignment="1" applyProtection="1">
      <alignment horizontal="left" vertical="center" wrapText="1"/>
      <protection locked="0"/>
    </xf>
    <xf numFmtId="3" fontId="0" fillId="2" borderId="1" xfId="0" applyNumberFormat="1" applyFill="1" applyBorder="1" applyAlignment="1" applyProtection="1">
      <alignment horizontal="left" vertical="top" wrapText="1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3" fontId="17" fillId="2" borderId="1" xfId="0" applyNumberFormat="1" applyFont="1" applyFill="1" applyBorder="1" applyAlignment="1" applyProtection="1">
      <alignment horizontal="right" vertical="center" wrapText="1"/>
      <protection hidden="1"/>
    </xf>
    <xf numFmtId="9" fontId="16" fillId="2" borderId="1" xfId="0" applyNumberFormat="1" applyFont="1" applyFill="1" applyBorder="1" applyAlignment="1" applyProtection="1">
      <alignment horizontal="right" wrapText="1"/>
      <protection hidden="1"/>
    </xf>
    <xf numFmtId="3" fontId="0" fillId="2" borderId="15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19" fillId="2" borderId="27" xfId="0" applyFont="1" applyFill="1" applyBorder="1" applyProtection="1">
      <protection locked="0"/>
    </xf>
    <xf numFmtId="3" fontId="0" fillId="2" borderId="27" xfId="0" applyNumberFormat="1" applyFill="1" applyBorder="1" applyProtection="1">
      <protection locked="0"/>
    </xf>
    <xf numFmtId="3" fontId="20" fillId="2" borderId="27" xfId="0" applyNumberFormat="1" applyFont="1" applyFill="1" applyBorder="1" applyProtection="1"/>
    <xf numFmtId="3" fontId="21" fillId="2" borderId="27" xfId="0" applyNumberFormat="1" applyFont="1" applyFill="1" applyBorder="1" applyProtection="1">
      <protection locked="0"/>
    </xf>
    <xf numFmtId="3" fontId="21" fillId="2" borderId="27" xfId="0" applyNumberFormat="1" applyFont="1" applyFill="1" applyBorder="1" applyProtection="1"/>
    <xf numFmtId="14" fontId="21" fillId="2" borderId="27" xfId="0" applyNumberFormat="1" applyFont="1" applyFill="1" applyBorder="1" applyProtection="1"/>
    <xf numFmtId="164" fontId="21" fillId="2" borderId="27" xfId="0" applyNumberFormat="1" applyFont="1" applyFill="1" applyBorder="1" applyProtection="1">
      <protection locked="0"/>
    </xf>
    <xf numFmtId="9" fontId="19" fillId="2" borderId="27" xfId="0" applyNumberFormat="1" applyFont="1" applyFill="1" applyBorder="1" applyProtection="1">
      <protection hidden="1"/>
    </xf>
    <xf numFmtId="3" fontId="20" fillId="2" borderId="27" xfId="0" applyNumberFormat="1" applyFont="1" applyFill="1" applyBorder="1" applyProtection="1">
      <protection hidden="1"/>
    </xf>
    <xf numFmtId="0" fontId="0" fillId="2" borderId="27" xfId="0" applyFill="1" applyBorder="1" applyAlignment="1" applyProtection="1">
      <alignment wrapText="1"/>
      <protection locked="0"/>
    </xf>
    <xf numFmtId="0" fontId="22" fillId="2" borderId="27" xfId="0" applyFont="1" applyFill="1" applyBorder="1" applyProtection="1">
      <protection locked="0"/>
    </xf>
    <xf numFmtId="3" fontId="23" fillId="2" borderId="27" xfId="0" applyNumberFormat="1" applyFont="1" applyFill="1" applyBorder="1" applyProtection="1"/>
    <xf numFmtId="3" fontId="24" fillId="2" borderId="27" xfId="0" applyNumberFormat="1" applyFont="1" applyFill="1" applyBorder="1" applyProtection="1">
      <protection locked="0"/>
    </xf>
    <xf numFmtId="3" fontId="24" fillId="2" borderId="27" xfId="0" applyNumberFormat="1" applyFont="1" applyFill="1" applyBorder="1" applyProtection="1"/>
    <xf numFmtId="14" fontId="24" fillId="2" borderId="27" xfId="0" applyNumberFormat="1" applyFont="1" applyFill="1" applyBorder="1" applyProtection="1"/>
    <xf numFmtId="164" fontId="24" fillId="2" borderId="27" xfId="0" applyNumberFormat="1" applyFont="1" applyFill="1" applyBorder="1" applyProtection="1">
      <protection locked="0"/>
    </xf>
    <xf numFmtId="9" fontId="22" fillId="2" borderId="27" xfId="0" applyNumberFormat="1" applyFont="1" applyFill="1" applyBorder="1" applyProtection="1">
      <protection hidden="1"/>
    </xf>
    <xf numFmtId="3" fontId="23" fillId="2" borderId="27" xfId="0" applyNumberFormat="1" applyFont="1" applyFill="1" applyBorder="1" applyProtection="1">
      <protection hidden="1"/>
    </xf>
    <xf numFmtId="3" fontId="0" fillId="0" borderId="46" xfId="0" applyNumberFormat="1" applyBorder="1"/>
  </cellXfs>
  <cellStyles count="1">
    <cellStyle name="Обычный" xfId="0" builtinId="0"/>
  </cellStyles>
  <dxfs count="18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top style="thin">
          <color theme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bgColor theme="0"/>
        </patternFill>
      </fill>
      <protection locked="0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bgColor theme="0"/>
        </patternFill>
      </fill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[$-F800]dddd\,\ mmmm\ dd\,\ yyyy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3" formatCode="0%"/>
      <fill>
        <patternFill patternType="solid">
          <fgColor theme="0" tint="-0.14999847407452621"/>
          <bgColor theme="0"/>
        </patternFill>
      </fill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theme="0" tint="-0.14999847407452621"/>
          <bgColor theme="0"/>
        </patternFill>
      </fill>
      <border diagonalUp="0" diagonalDown="0" outline="0">
        <left style="medium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theme="0" tint="-0.14999847407452621"/>
          <bgColor theme="0"/>
        </patternFill>
      </fill>
      <border diagonalUp="0" diagonalDown="0" outline="0">
        <left/>
        <right/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border outline="0">
        <top style="thin">
          <color theme="1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 outline="0">
        <left/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theme="0" tint="-0.14999847407452621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theme="0" tint="-0.14999847407452621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theme="0" tint="-0.14999847407452621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theme="0" tint="-0.14999847407452621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theme="0" tint="-0.14999847407452621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theme="0" tint="-0.14999847407452621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0" tint="-0.14999847407452621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right style="thin">
          <color indexed="64"/>
        </right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5" formatCode="[$-F800]dddd\,\ mmmm\ dd\,\ 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[$-F800]dddd\,\ mmmm\ dd\,\ yyyy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[$-F800]dddd\,\ mmmm\ dd\,\ yyyy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[$-F800]dddd\,\ mmmm\ dd\,\ yyyy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theme="2"/>
        </patternFill>
      </fill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3" formatCode="0%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[$-419]d\ mmm\ yy;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[$-419]d\ mmm\ yy;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[$-419]d\ mmm\ yy;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[$-419]d\ mmm\ yy;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ill>
        <patternFill patternType="gray0625">
          <fgColor rgb="FFFFFF00"/>
          <bgColor rgb="FFFF0000"/>
        </patternFill>
      </fill>
    </dxf>
    <dxf>
      <fill>
        <patternFill patternType="gray0625">
          <fgColor rgb="FFFFFF00"/>
          <bgColor rgb="FFFF0000"/>
        </patternFill>
      </fill>
    </dxf>
    <dxf>
      <fill>
        <patternFill patternType="gray0625">
          <fgColor rgb="FFFFFF00"/>
          <bgColor rgb="FFFF0000"/>
        </patternFill>
      </fill>
    </dxf>
    <dxf>
      <fill>
        <patternFill patternType="gray0625">
          <fgColor rgb="FFFFFF00"/>
          <bgColor rgb="FFFF0000"/>
        </patternFill>
      </fill>
    </dxf>
    <dxf>
      <fill>
        <patternFill patternType="gray0625">
          <fgColor rgb="FFFFFF00"/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4;&#1080;&#1090;&#1088;&#1080;&#1081;/Desktop/&#1058;&#1077;&#1089;&#1090;%20&#1077;&#1093;&#1089;&#1077;&#1083;&#1100;/&#1055;&#1077;&#1088;&#1088;&#1080;&#1085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Табель"/>
      <sheetName val="касса"/>
      <sheetName val="ЗП"/>
      <sheetName val="Спр.Произ.процент"/>
      <sheetName val="Спр.ЗП"/>
      <sheetName val="Пожелнание"/>
      <sheetName val="Отчет"/>
    </sheetNames>
    <sheetDataSet>
      <sheetData sheetId="0"/>
      <sheetData sheetId="1"/>
      <sheetData sheetId="2"/>
      <sheetData sheetId="3">
        <row r="6">
          <cell r="A6">
            <v>42705</v>
          </cell>
          <cell r="B6">
            <v>42735</v>
          </cell>
        </row>
      </sheetData>
      <sheetData sheetId="4">
        <row r="3">
          <cell r="AF3" t="str">
            <v>январь</v>
          </cell>
          <cell r="AG3">
            <v>2016</v>
          </cell>
        </row>
        <row r="4">
          <cell r="AF4" t="str">
            <v>февраль</v>
          </cell>
          <cell r="AG4">
            <v>2017</v>
          </cell>
        </row>
        <row r="5">
          <cell r="AF5" t="str">
            <v>март</v>
          </cell>
          <cell r="AG5">
            <v>2018</v>
          </cell>
        </row>
        <row r="6">
          <cell r="AF6" t="str">
            <v>апрель</v>
          </cell>
          <cell r="AG6">
            <v>2019</v>
          </cell>
        </row>
        <row r="7">
          <cell r="AF7" t="str">
            <v>май</v>
          </cell>
          <cell r="AG7">
            <v>2020</v>
          </cell>
        </row>
        <row r="8">
          <cell r="AF8" t="str">
            <v>июнь</v>
          </cell>
          <cell r="AG8">
            <v>2021</v>
          </cell>
        </row>
        <row r="9">
          <cell r="AF9" t="str">
            <v>июль</v>
          </cell>
        </row>
        <row r="10">
          <cell r="AF10" t="str">
            <v>август</v>
          </cell>
        </row>
        <row r="11">
          <cell r="AF11" t="str">
            <v>сентябрь</v>
          </cell>
        </row>
        <row r="12">
          <cell r="AF12" t="str">
            <v>октябрь</v>
          </cell>
        </row>
        <row r="13">
          <cell r="AF13" t="str">
            <v>ноябрь</v>
          </cell>
        </row>
        <row r="14">
          <cell r="AF14" t="str">
            <v>декабрь</v>
          </cell>
        </row>
      </sheetData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8" name="Реестр" displayName="Реестр" ref="A2:V29" totalsRowShown="0" headerRowDxfId="182" dataDxfId="180" headerRowBorderDxfId="181" tableBorderDxfId="179" totalsRowBorderDxfId="178">
  <autoFilter ref="A2:V29"/>
  <tableColumns count="22">
    <tableColumn id="1" name="Номер заказа" dataDxfId="177"/>
    <tableColumn id="2" name="Дата заказа" dataDxfId="176"/>
    <tableColumn id="3" name="Дата отгрузки ПЛАН" dataDxfId="175"/>
    <tableColumn id="4" name="Дата отгрузки ФАКТ" dataDxfId="174"/>
    <tableColumn id="5" name="Статус                            (в работе/ отгружен)" dataDxfId="173"/>
    <tableColumn id="6" name="Производитель" dataDxfId="172"/>
    <tableColumn id="7" name="Группа товара" dataDxfId="171"/>
    <tableColumn id="8" name="Название товара" dataDxfId="170"/>
    <tableColumn id="9" name="Размер" dataDxfId="169"/>
    <tableColumn id="10" name="кол-во" dataDxfId="168"/>
    <tableColumn id="11" name="Цена реализации" dataDxfId="167"/>
    <tableColumn id="12" name="Стоимость реализации" dataDxfId="166">
      <calculatedColumnFormula>Реестр[[#This Row],[Цена реализации]]*Реестр[[#This Row],[кол-во]]</calculatedColumnFormula>
    </tableColumn>
    <tableColumn id="13" name="Сумма Предоплаты" dataDxfId="165"/>
    <tableColumn id="14" name="Сумма доплаты" dataDxfId="164">
      <calculatedColumnFormula>L3-M3</calculatedColumnFormula>
    </tableColumn>
    <tableColumn id="15" name="Дата доплаты ПЛАН" dataDxfId="163">
      <calculatedColumnFormula>Реестр[[#This Row],[Дата отгрузки ПЛАН]]-1</calculatedColumnFormula>
    </tableColumn>
    <tableColumn id="16" name="Дата доплаты ФАКТ" dataDxfId="162"/>
    <tableColumn id="17" name="Клиент ФИО" dataDxfId="161"/>
    <tableColumn id="18" name="Телефон" dataDxfId="160"/>
    <tableColumn id="19" name="Менеджер" dataDxfId="159"/>
    <tableColumn id="20" name="% бонус" dataDxfId="158">
      <calculatedColumnFormula>SUMIFS(ПГ[%],ПГ[Прозводитель],Реестр[[#This Row],[Производитель]],ПГ[Группа товара],Реестр[[#This Row],[Группа товара]])</calculatedColumnFormula>
    </tableColumn>
    <tableColumn id="21" name="Сумма бонус" dataDxfId="157">
      <calculatedColumnFormula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calculatedColumnFormula>
    </tableColumn>
    <tableColumn id="22" name="Примечание" dataDxfId="156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7" name="МОНА_ЛИЗА" displayName="МОНА_ЛИЗА" ref="I1:I13" totalsRowShown="0" headerRowDxfId="85" dataDxfId="83" headerRowBorderDxfId="84" tableBorderDxfId="82" totalsRowBorderDxfId="81">
  <autoFilter ref="I1:I13"/>
  <tableColumns count="1">
    <tableColumn id="1" name="МОНА_ЛИЗА" dataDxfId="80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8" name="ЛЕГЕНДА_ДЕТСКИЕ" displayName="ЛЕГЕНДА_ДЕТСКИЕ" ref="K1:K8" totalsRowShown="0" headerRowDxfId="79" dataDxfId="78" tableBorderDxfId="77">
  <autoFilter ref="K1:K8"/>
  <tableColumns count="1">
    <tableColumn id="1" name="ЛЕГЕНДА_ДЕТСКИЕ" dataDxfId="7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9" name="ДИВА_ДЕТСКИЕ" displayName="ДИВА_ДЕТСКИЕ" ref="M1:M13" totalsRowShown="0" headerRowDxfId="75" dataDxfId="73" headerRowBorderDxfId="74" tableBorderDxfId="72" totalsRowBorderDxfId="71">
  <autoFilter ref="M1:M13"/>
  <tableColumns count="1">
    <tableColumn id="1" name="ДИВА_ДЕТСКИЕ" dataDxfId="70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20" name="МЕБЕЛУС_ДИВАНЫ" displayName="МЕБЕЛУС_ДИВАНЫ" ref="O1:O9" totalsRowShown="0" headerRowDxfId="69" dataDxfId="67" headerRowBorderDxfId="68" tableBorderDxfId="66" totalsRowBorderDxfId="65">
  <autoFilter ref="O1:O9"/>
  <tableColumns count="1">
    <tableColumn id="1" name="МЕБЕЛУС_ДИВАНЫ" dataDxfId="64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21" name="БЕЛЬМАРКО_МАШИНКИ" displayName="БЕЛЬМАРКО_МАШИНКИ" ref="Q1:Q6" totalsRowShown="0" headerRowDxfId="63" dataDxfId="61" headerRowBorderDxfId="62" tableBorderDxfId="60" totalsRowBorderDxfId="59">
  <autoFilter ref="Q1:Q6"/>
  <tableColumns count="1">
    <tableColumn id="1" name="БЕЛЬМАРКО_МАШИНКИ" dataDxfId="5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22" name="МЕТТА_КРЕСЛА" displayName="МЕТТА_КРЕСЛА" ref="S1:S5" totalsRowShown="0" headerRowDxfId="57" dataDxfId="55" headerRowBorderDxfId="56" tableBorderDxfId="54" totalsRowBorderDxfId="53">
  <autoFilter ref="S1:S5"/>
  <tableColumns count="1">
    <tableColumn id="1" name="МЕТТА_КРЕСЛА" dataDxfId="5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23" name="ДА_ЛИНЬ" displayName="ДА_ЛИНЬ" ref="U1:U8" totalsRowShown="0" headerRowDxfId="51" dataDxfId="49" headerRowBorderDxfId="50" tableBorderDxfId="48" totalsRowBorderDxfId="47">
  <autoFilter ref="U1:U8"/>
  <tableColumns count="1">
    <tableColumn id="1" name="ДА_ЛИНЬ" dataDxfId="46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24" name="ИНТЕРНЕТ_МАГАЗИН_naperine.com" displayName="ИНТЕРНЕТ_МАГАЗИН_naperine.com" ref="W1:W28" totalsRowShown="0" headerRowDxfId="45" dataDxfId="43" headerRowBorderDxfId="44" tableBorderDxfId="42" totalsRowBorderDxfId="41">
  <autoFilter ref="W1:W28"/>
  <tableColumns count="1">
    <tableColumn id="1" name="ИНТЕРНЕТ_МАГАЗИН_naperine.com" dataDxfId="4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2" name="Производитель" displayName="Производитель" ref="AD2:AD14" totalsRowShown="0" headerRowDxfId="39" dataDxfId="38" tableBorderDxfId="37">
  <autoFilter ref="AD2:AD14"/>
  <tableColumns count="1">
    <tableColumn id="1" name="Производитель" dataDxfId="36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7" name="ПГ" displayName="ПГ" ref="Z2:AB183" totalsRowShown="0" headerRowDxfId="35" dataDxfId="34">
  <tableColumns count="3">
    <tableColumn id="1" name="Прозводитель" dataDxfId="33"/>
    <tableColumn id="2" name="Группа товара" dataDxfId="32"/>
    <tableColumn id="3" name="%" dataDxfId="31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6" name="Табель" displayName="Табель" ref="B21:H60" totalsRowShown="0" headerRowDxfId="154" dataDxfId="152" headerRowBorderDxfId="153" tableBorderDxfId="151" totalsRowBorderDxfId="150">
  <autoFilter ref="B21:H60"/>
  <tableColumns count="7">
    <tableColumn id="1" name="Дата" dataDxfId="149"/>
    <tableColumn id="2" name="ФИО" dataDxfId="148"/>
    <tableColumn id="3" name="Должность" dataDxfId="147"/>
    <tableColumn id="4" name="Оклад в день" dataDxfId="146">
      <calculatedColumnFormula>SUMIFS(Штатка[Оклад в день],Штатка[ФИО],Табель[[#This Row],[ФИО]],Штатка[Должность],Табель[[#This Row],[Должность]])</calculatedColumnFormula>
    </tableColumn>
    <tableColumn id="5" name="Сумма продаж в день" dataDxfId="145">
      <calculatedColumnFormula>SUMIFS(Реестр[Стоимость реализации],Реестр[Дата заказа],B22,Реестр[Менеджер],C22)</calculatedColumnFormula>
    </tableColumn>
    <tableColumn id="6" name="Премии за продажи в день" dataDxfId="144">
      <calculatedColumnFormula>IF(F22&gt;=$E$18,SUMIF(Штатка[ФИО],C22,Штатка[Премии за продажи в день]),0)</calculatedColumnFormula>
    </tableColumn>
    <tableColumn id="7" name="Итого" dataDxfId="143">
      <calculatedColumnFormula>E22+G22</calculatedColumnFormula>
    </tableColumn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9" name="Статус" displayName="Статус" ref="AI2:AI11" totalsRowShown="0" headerRowDxfId="30" dataDxfId="29">
  <autoFilter ref="AI2:AI11"/>
  <tableColumns count="1">
    <tableColumn id="1" name="Статус" dataDxfId="28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12" name="Список_Касса" displayName="Список_Касса" ref="AL2:AL13" totalsRowShown="0" headerRowDxfId="27" tableBorderDxfId="26">
  <autoFilter ref="AL2:AL13"/>
  <tableColumns count="1">
    <tableColumn id="1" name="От кого/кому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5" name="Операция" displayName="Операция" ref="AN2:AN4" totalsRowShown="0" headerRowDxfId="25" dataDxfId="24" tableBorderDxfId="23">
  <autoFilter ref="AN2:AN4"/>
  <tableColumns count="1">
    <tableColumn id="1" name="Операция" dataDxfId="22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5" name="Штатка" displayName="Штатка" ref="A2:E12" totalsRowShown="0" headerRowDxfId="21" dataDxfId="19" headerRowBorderDxfId="20" tableBorderDxfId="18" totalsRowBorderDxfId="17">
  <autoFilter ref="A2:E12"/>
  <tableColumns count="5">
    <tableColumn id="1" name="ФИО" dataDxfId="16"/>
    <tableColumn id="2" name="Должность" dataDxfId="15"/>
    <tableColumn id="3" name="Оклад в день" dataDxfId="14"/>
    <tableColumn id="4" name="Премии за продажи в день" dataDxfId="13"/>
    <tableColumn id="5" name="Дата смены дожности" dataDxfId="12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id="4" name="Должность" displayName="Должность" ref="H2:H5" totalsRowShown="0" headerRowDxfId="11" dataDxfId="9" headerRowBorderDxfId="10" tableBorderDxfId="8" totalsRowBorderDxfId="7">
  <autoFilter ref="H2:H5"/>
  <tableColumns count="1">
    <tableColumn id="1" name="Должность" dataDxfId="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10" name="Номер_плана" displayName="Номер_плана" ref="I2:I10" totalsRowShown="0" headerRowDxfId="5" dataDxfId="3" headerRowBorderDxfId="4" tableBorderDxfId="2" totalsRowBorderDxfId="1">
  <autoFilter ref="I2:I10"/>
  <tableColumns count="1">
    <tableColumn id="1" name="Номер плана" dataDxfId="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1" name="Касса" displayName="Касса" ref="A5:H139" totalsRowShown="0" headerRowDxfId="142">
  <autoFilter ref="A5:H139"/>
  <tableColumns count="8">
    <tableColumn id="1" name="Дата" dataDxfId="141"/>
    <tableColumn id="8" name="Вид операции" dataDxfId="140"/>
    <tableColumn id="9" name="От кого" dataDxfId="139"/>
    <tableColumn id="10" name="Кому" dataDxfId="138"/>
    <tableColumn id="3" name="Содержание операции" dataDxfId="137"/>
    <tableColumn id="4" name="Номер заказа" dataDxfId="136"/>
    <tableColumn id="5" name="Сумма" dataDxfId="135"/>
    <tableColumn id="6" name="Примечание" dataDxfId="134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1" name="Планы" displayName="Планы" ref="L19:T61" totalsRowShown="0" headerRowDxfId="133" headerRowBorderDxfId="132" tableBorderDxfId="131">
  <autoFilter ref="L19:T61"/>
  <tableColumns count="9">
    <tableColumn id="1" name="Месяц" dataDxfId="130"/>
    <tableColumn id="2" name="Год" dataDxfId="129"/>
    <tableColumn id="3" name="Начало периода(НП)" dataDxfId="128">
      <calculatedColumnFormula>IFERROR(DATEVALUE(L20&amp;M20),"-")</calculatedColumnFormula>
    </tableColumn>
    <tableColumn id="4" name="Конец периода(КП)" dataDxfId="127">
      <calculatedColumnFormula>IFERROR(EOMONTH(N20,0),"-")</calculatedColumnFormula>
    </tableColumn>
    <tableColumn id="5" name="Номер плана" dataDxfId="126"/>
    <tableColumn id="6" name="План" dataDxfId="125"/>
    <tableColumn id="7" name="Продавец" dataDxfId="124"/>
    <tableColumn id="8" name="Директор" dataDxfId="123"/>
    <tableColumn id="9" name="Стажер" dataDxfId="122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3" name="Таблица3" displayName="Таблица3" ref="A19:I24" totalsRowShown="0" headerRowDxfId="121" dataDxfId="120" tableBorderDxfId="119">
  <autoFilter ref="A19:I24"/>
  <tableColumns count="9">
    <tableColumn id="1" name="ФИО" dataDxfId="118"/>
    <tableColumn id="2" name="Должность" dataDxfId="117"/>
    <tableColumn id="3" name="Сумма отгрузки" dataDxfId="116">
      <calculatedColumnFormula>SUMIFS(Реестр[Стоимость реализации],Реестр[Дата отгрузки ФАКТ],"&gt;="&amp;НП,Реестр[Дата отгрузки ФАКТ],"&lt;="&amp;КП,Реестр[Менеджер],ЗП!A20)</calculatedColumnFormula>
    </tableColumn>
    <tableColumn id="4" name="Сумма продаж" dataDxfId="115">
      <calculatedColumnFormula>SUMIFS(Реестр[Стоимость реализации],Реестр[Дата заказа],"&gt;="&amp;НП,Реестр[Дата заказа],"&lt;="&amp;КП,Реестр[Менеджер],ЗП!A20)</calculatedColumnFormula>
    </tableColumn>
    <tableColumn id="5" name="Сумма за выход и  за продажи в день" dataDxfId="114">
      <calculatedColumnFormula>SUMIFS(Табель[Итого],Табель[Дата],"&gt;="&amp;НП,Табель[Дата],"&lt;="&amp;КП,Табель[ФИО],A20)</calculatedColumnFormula>
    </tableColumn>
    <tableColumn id="6" name="Сумма бонусов (%)  за отгрузки" dataDxfId="113">
      <calculatedColumnFormula>IF(B20="Стажер",SUMIFS(Реестр[Сумма бонус],Реестр[Дата заказа],"&gt;="&amp;НП,Реестр[Дата заказа],"&lt;="&amp;КП,Реестр[Менеджер],ЗП!A20),SUMIFS(Реестр[Сумма бонус],Реестр[Дата отгрузки ФАКТ],"&gt;="&amp;НП,Реестр[Дата отгрузки ФАКТ],"&lt;="&amp;КП,Реестр[Менеджер],ЗП!A20))</calculatedColumnFormula>
    </tableColumn>
    <tableColumn id="7" name="Премия за выполнения плана салоном" dataDxfId="112">
      <calculatedColumnFormula>IF(Таблица3[[#This Row],[Должность]]="Стажер",SUMIFS(Планы[Стажер],Планы[Месяц],$A$4,Планы[Год],$B$4,Планы[Номер плана],$B$17),IF(Таблица3[[#This Row],[Должность]]="Директор",SUMIFS(Планы[Директор],Планы[Месяц],$A$4,Планы[Год],$B$4,Планы[Номер плана],$B$14),IF(Таблица3[[#This Row],[Должность]]="Продавец",SUMIFS(Планы[Продавец],Планы[Месяц],$A$4,Планы[Год],$B$4,Планы[Номер плана],$B$14),0)))</calculatedColumnFormula>
    </tableColumn>
    <tableColumn id="8" name="прочие удержанием или премии" dataDxfId="111"/>
    <tableColumn id="9" name="Итого" dataDxfId="110">
      <calculatedColumnFormula>SUM(Таблица3[[#This Row],[Сумма за выход и  за продажи в день]:[прочие удержанием или премии]])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13" name="ПЕРРИНО" displayName="ПЕРРИНО" ref="A1:A31" totalsRowShown="0" headerRowDxfId="109" dataDxfId="107" headerRowBorderDxfId="108" tableBorderDxfId="106" totalsRowBorderDxfId="105">
  <autoFilter ref="A1:A31"/>
  <tableColumns count="1">
    <tableColumn id="1" name="ПЕРРИНО" dataDxfId="104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14" name="ОРМАТЕК" displayName="ОРМАТЕК" ref="C1:C22" totalsRowShown="0" headerRowDxfId="103" dataDxfId="101" headerRowBorderDxfId="102" tableBorderDxfId="100" totalsRowBorderDxfId="99">
  <autoFilter ref="C1:C22"/>
  <tableColumns count="1">
    <tableColumn id="1" name="ОРМАТЕК" dataDxfId="9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15" name="РАЙТОН" displayName="РАЙТОН" ref="E1:E22" totalsRowShown="0" headerRowDxfId="97" dataDxfId="95" headerRowBorderDxfId="96" tableBorderDxfId="94" totalsRowBorderDxfId="93">
  <autoFilter ref="E1:E22"/>
  <tableColumns count="1">
    <tableColumn id="1" name="РАЙТОН" dataDxfId="9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6" name="ТРИ_Я" displayName="ТРИ_Я" ref="G1:G30" totalsRowShown="0" headerRowDxfId="91" dataDxfId="89" headerRowBorderDxfId="90" tableBorderDxfId="88" totalsRowBorderDxfId="87">
  <autoFilter ref="G1:G30"/>
  <tableColumns count="1">
    <tableColumn id="1" name="ТРИ_Я" dataDxfId="8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13" Type="http://schemas.openxmlformats.org/officeDocument/2006/relationships/table" Target="../tables/table17.xml"/><Relationship Id="rId18" Type="http://schemas.openxmlformats.org/officeDocument/2006/relationships/table" Target="../tables/table22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12" Type="http://schemas.openxmlformats.org/officeDocument/2006/relationships/table" Target="../tables/table16.xml"/><Relationship Id="rId17" Type="http://schemas.openxmlformats.org/officeDocument/2006/relationships/table" Target="../tables/table21.xml"/><Relationship Id="rId2" Type="http://schemas.openxmlformats.org/officeDocument/2006/relationships/table" Target="../tables/table6.xml"/><Relationship Id="rId16" Type="http://schemas.openxmlformats.org/officeDocument/2006/relationships/table" Target="../tables/table20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0.xml"/><Relationship Id="rId11" Type="http://schemas.openxmlformats.org/officeDocument/2006/relationships/table" Target="../tables/table15.xml"/><Relationship Id="rId5" Type="http://schemas.openxmlformats.org/officeDocument/2006/relationships/table" Target="../tables/table9.xml"/><Relationship Id="rId15" Type="http://schemas.openxmlformats.org/officeDocument/2006/relationships/table" Target="../tables/table19.xml"/><Relationship Id="rId10" Type="http://schemas.openxmlformats.org/officeDocument/2006/relationships/table" Target="../tables/table14.xml"/><Relationship Id="rId4" Type="http://schemas.openxmlformats.org/officeDocument/2006/relationships/table" Target="../tables/table8.xml"/><Relationship Id="rId9" Type="http://schemas.openxmlformats.org/officeDocument/2006/relationships/table" Target="../tables/table13.xml"/><Relationship Id="rId14" Type="http://schemas.openxmlformats.org/officeDocument/2006/relationships/table" Target="../tables/table1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2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V32"/>
  <sheetViews>
    <sheetView tabSelected="1" zoomScale="85" zoomScaleNormal="85" workbookViewId="0">
      <pane xSplit="1" ySplit="2" topLeftCell="L15" activePane="bottomRight" state="frozen"/>
      <selection pane="topRight" activeCell="B1" sqref="B1"/>
      <selection pane="bottomLeft" activeCell="A3" sqref="A3"/>
      <selection pane="bottomRight" activeCell="E33" sqref="E33"/>
    </sheetView>
  </sheetViews>
  <sheetFormatPr defaultColWidth="10.7109375" defaultRowHeight="15.75" x14ac:dyDescent="0.25"/>
  <cols>
    <col min="1" max="1" width="16" style="288" customWidth="1"/>
    <col min="2" max="2" width="13.42578125" style="303" customWidth="1"/>
    <col min="3" max="3" width="13.7109375" style="303" customWidth="1"/>
    <col min="4" max="4" width="13.28515625" style="303" customWidth="1"/>
    <col min="5" max="5" width="16.5703125" style="277" customWidth="1"/>
    <col min="6" max="6" width="19" style="277" customWidth="1"/>
    <col min="7" max="7" width="22.28515625" style="277" customWidth="1"/>
    <col min="8" max="8" width="20.85546875" style="277" customWidth="1"/>
    <col min="9" max="9" width="9.85546875" style="1" customWidth="1"/>
    <col min="10" max="10" width="8.140625" style="1" customWidth="1"/>
    <col min="11" max="11" width="12" style="288" customWidth="1"/>
    <col min="12" max="12" width="12.42578125" style="2" customWidth="1"/>
    <col min="13" max="13" width="13.28515625" style="2" customWidth="1"/>
    <col min="14" max="14" width="13.7109375" style="2" customWidth="1"/>
    <col min="15" max="15" width="14" style="2" customWidth="1"/>
    <col min="16" max="16" width="13.5703125" style="291" customWidth="1"/>
    <col min="17" max="17" width="33" style="277" customWidth="1"/>
    <col min="18" max="18" width="16.7109375" style="277" customWidth="1"/>
    <col min="19" max="19" width="19.42578125" style="277" customWidth="1"/>
    <col min="20" max="20" width="10.140625" style="293" customWidth="1"/>
    <col min="21" max="21" width="11.140625" style="294" customWidth="1"/>
    <col min="22" max="22" width="14.28515625" style="295" bestFit="1" customWidth="1"/>
    <col min="23" max="16384" width="10.7109375" style="1"/>
  </cols>
  <sheetData>
    <row r="1" spans="1:22" ht="28.5" x14ac:dyDescent="0.45">
      <c r="A1" s="297" t="s">
        <v>0</v>
      </c>
      <c r="B1" s="298"/>
      <c r="C1" s="298"/>
      <c r="D1" s="298"/>
      <c r="E1" s="276">
        <f ca="1">TODAY()</f>
        <v>42735</v>
      </c>
      <c r="H1" s="282"/>
      <c r="I1" s="162"/>
      <c r="J1" s="162"/>
      <c r="K1" s="286"/>
      <c r="L1" s="163" t="s">
        <v>1</v>
      </c>
      <c r="M1" s="163"/>
      <c r="N1" s="163"/>
      <c r="O1" s="163"/>
      <c r="P1" s="289"/>
      <c r="Q1" s="282"/>
      <c r="R1" s="282"/>
      <c r="S1" s="282"/>
      <c r="T1" s="164"/>
      <c r="U1" s="163"/>
    </row>
    <row r="2" spans="1:22" s="3" customFormat="1" ht="60" customHeight="1" x14ac:dyDescent="0.25">
      <c r="A2" s="299" t="s">
        <v>2</v>
      </c>
      <c r="B2" s="300" t="s">
        <v>3</v>
      </c>
      <c r="C2" s="300" t="s">
        <v>4</v>
      </c>
      <c r="D2" s="300" t="s">
        <v>5</v>
      </c>
      <c r="E2" s="278" t="s">
        <v>6</v>
      </c>
      <c r="F2" s="278" t="s">
        <v>7</v>
      </c>
      <c r="G2" s="279" t="s">
        <v>8</v>
      </c>
      <c r="H2" s="283" t="s">
        <v>9</v>
      </c>
      <c r="I2" s="165" t="s">
        <v>10</v>
      </c>
      <c r="J2" s="165" t="s">
        <v>11</v>
      </c>
      <c r="K2" s="287" t="s">
        <v>12</v>
      </c>
      <c r="L2" s="111" t="s">
        <v>13</v>
      </c>
      <c r="M2" s="104" t="s">
        <v>14</v>
      </c>
      <c r="N2" s="111" t="s">
        <v>15</v>
      </c>
      <c r="O2" s="111" t="s">
        <v>16</v>
      </c>
      <c r="P2" s="290" t="s">
        <v>17</v>
      </c>
      <c r="Q2" s="283" t="s">
        <v>18</v>
      </c>
      <c r="R2" s="283" t="s">
        <v>19</v>
      </c>
      <c r="S2" s="292" t="s">
        <v>20</v>
      </c>
      <c r="T2" s="111" t="s">
        <v>21</v>
      </c>
      <c r="U2" s="112" t="s">
        <v>22</v>
      </c>
      <c r="V2" s="296" t="s">
        <v>23</v>
      </c>
    </row>
    <row r="3" spans="1:22" s="3" customFormat="1" ht="16.5" customHeight="1" x14ac:dyDescent="0.25">
      <c r="A3" s="206">
        <v>196709</v>
      </c>
      <c r="B3" s="320">
        <v>42706</v>
      </c>
      <c r="C3" s="320">
        <v>42716</v>
      </c>
      <c r="D3" s="320">
        <v>42716</v>
      </c>
      <c r="E3" s="326" t="s">
        <v>24</v>
      </c>
      <c r="F3" s="327" t="s">
        <v>40</v>
      </c>
      <c r="G3" s="328" t="s">
        <v>41</v>
      </c>
      <c r="H3" s="329" t="s">
        <v>301</v>
      </c>
      <c r="I3" s="329" t="s">
        <v>311</v>
      </c>
      <c r="J3" s="330">
        <v>1</v>
      </c>
      <c r="K3" s="323">
        <v>3990</v>
      </c>
      <c r="L3" s="322">
        <f>Реестр[[#This Row],[Цена реализации]]*Реестр[[#This Row],[кол-во]]</f>
        <v>3990</v>
      </c>
      <c r="M3" s="318">
        <v>3990</v>
      </c>
      <c r="N3" s="321">
        <f>L3-M3</f>
        <v>0</v>
      </c>
      <c r="O3" s="324">
        <f>Реестр[[#This Row],[Дата отгрузки ПЛАН]]-1</f>
        <v>42715</v>
      </c>
      <c r="P3" s="319"/>
      <c r="Q3" s="231" t="s">
        <v>312</v>
      </c>
      <c r="R3" s="231">
        <v>89824364315</v>
      </c>
      <c r="S3" s="317" t="s">
        <v>273</v>
      </c>
      <c r="T3" s="332">
        <f>SUMIFS(ПГ[%],ПГ[Прозводитель],Реестр[[#This Row],[Производитель]],ПГ[Группа товара],Реестр[[#This Row],[Группа товара]])</f>
        <v>0.04</v>
      </c>
      <c r="U3" s="331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159.6</v>
      </c>
      <c r="V3" s="101"/>
    </row>
    <row r="4" spans="1:22" ht="19.899999999999999" customHeight="1" x14ac:dyDescent="0.25">
      <c r="A4" s="206" t="s">
        <v>277</v>
      </c>
      <c r="B4" s="316">
        <v>42707</v>
      </c>
      <c r="C4" s="316">
        <v>42712</v>
      </c>
      <c r="D4" s="316">
        <v>42712</v>
      </c>
      <c r="E4" s="259" t="s">
        <v>24</v>
      </c>
      <c r="F4" s="109" t="s">
        <v>32</v>
      </c>
      <c r="G4" s="110" t="s">
        <v>115</v>
      </c>
      <c r="H4" s="231" t="s">
        <v>296</v>
      </c>
      <c r="I4" s="231"/>
      <c r="J4" s="231">
        <v>1</v>
      </c>
      <c r="K4" s="206">
        <v>6720</v>
      </c>
      <c r="L4" s="186">
        <f>Реестр[[#This Row],[Цена реализации]]*Реестр[[#This Row],[кол-во]]</f>
        <v>6720</v>
      </c>
      <c r="M4" s="261">
        <v>6720</v>
      </c>
      <c r="N4" s="261">
        <f>L4-M4</f>
        <v>0</v>
      </c>
      <c r="O4" s="187">
        <f>Реестр[[#This Row],[Дата отгрузки ПЛАН]]-1</f>
        <v>42711</v>
      </c>
      <c r="P4" s="187"/>
      <c r="Q4" s="231" t="s">
        <v>286</v>
      </c>
      <c r="R4" s="231">
        <v>89099415100</v>
      </c>
      <c r="S4" s="108" t="s">
        <v>273</v>
      </c>
      <c r="T4" s="263">
        <f>SUMIFS(ПГ[%],ПГ[Прозводитель],Реестр[[#This Row],[Производитель]],ПГ[Группа товара],Реестр[[#This Row],[Группа товара]])</f>
        <v>0.03</v>
      </c>
      <c r="U4" s="106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201.6</v>
      </c>
      <c r="V4" s="264"/>
    </row>
    <row r="5" spans="1:22" x14ac:dyDescent="0.25">
      <c r="A5" s="206" t="s">
        <v>278</v>
      </c>
      <c r="B5" s="316">
        <v>42708</v>
      </c>
      <c r="C5" s="316">
        <v>42712</v>
      </c>
      <c r="D5" s="316">
        <v>42712</v>
      </c>
      <c r="E5" s="259" t="s">
        <v>24</v>
      </c>
      <c r="F5" s="109" t="s">
        <v>32</v>
      </c>
      <c r="G5" s="110" t="s">
        <v>115</v>
      </c>
      <c r="H5" s="231" t="s">
        <v>297</v>
      </c>
      <c r="I5" s="231"/>
      <c r="J5" s="231">
        <v>1</v>
      </c>
      <c r="K5" s="206">
        <v>12470</v>
      </c>
      <c r="L5" s="186">
        <f>Реестр[[#This Row],[Цена реализации]]*Реестр[[#This Row],[кол-во]]</f>
        <v>12470</v>
      </c>
      <c r="M5" s="261">
        <v>12470</v>
      </c>
      <c r="N5" s="261">
        <f t="shared" ref="N5:N25" si="0">L5-M5</f>
        <v>0</v>
      </c>
      <c r="O5" s="187">
        <f>Реестр[[#This Row],[Дата отгрузки ПЛАН]]-1</f>
        <v>42711</v>
      </c>
      <c r="P5" s="187"/>
      <c r="Q5" s="231" t="s">
        <v>287</v>
      </c>
      <c r="R5" s="231">
        <v>89096683652</v>
      </c>
      <c r="S5" s="110" t="s">
        <v>273</v>
      </c>
      <c r="T5" s="265">
        <f>SUMIFS(ПГ[%],ПГ[Прозводитель],Реестр[[#This Row],[Производитель]],ПГ[Группа товара],Реестр[[#This Row],[Группа товара]])</f>
        <v>0.03</v>
      </c>
      <c r="U5" s="186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374.09999999999997</v>
      </c>
      <c r="V5" s="264"/>
    </row>
    <row r="6" spans="1:22" x14ac:dyDescent="0.25">
      <c r="A6" s="206">
        <v>343580</v>
      </c>
      <c r="B6" s="316">
        <v>42708</v>
      </c>
      <c r="C6" s="316">
        <v>42712</v>
      </c>
      <c r="D6" s="316">
        <v>42713</v>
      </c>
      <c r="E6" s="107" t="s">
        <v>24</v>
      </c>
      <c r="F6" s="109" t="s">
        <v>35</v>
      </c>
      <c r="G6" s="110" t="s">
        <v>29</v>
      </c>
      <c r="H6" s="231" t="s">
        <v>298</v>
      </c>
      <c r="I6" s="231" t="s">
        <v>34</v>
      </c>
      <c r="J6" s="231">
        <v>1</v>
      </c>
      <c r="K6" s="206">
        <v>4870</v>
      </c>
      <c r="L6" s="186">
        <f>Реестр[[#This Row],[Цена реализации]]*Реестр[[#This Row],[кол-во]]</f>
        <v>4870</v>
      </c>
      <c r="M6" s="261">
        <v>4870</v>
      </c>
      <c r="N6" s="261">
        <f t="shared" si="0"/>
        <v>0</v>
      </c>
      <c r="O6" s="187">
        <f>Реестр[[#This Row],[Дата отгрузки ПЛАН]]-1</f>
        <v>42711</v>
      </c>
      <c r="P6" s="187"/>
      <c r="Q6" s="231" t="s">
        <v>287</v>
      </c>
      <c r="R6" s="231">
        <v>89096683652</v>
      </c>
      <c r="S6" s="110" t="s">
        <v>273</v>
      </c>
      <c r="T6" s="265">
        <f>SUMIFS(ПГ[%],ПГ[Прозводитель],Реестр[[#This Row],[Производитель]],ПГ[Группа товара],Реестр[[#This Row],[Группа товара]])</f>
        <v>0.04</v>
      </c>
      <c r="U6" s="186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194.8</v>
      </c>
      <c r="V6" s="264"/>
    </row>
    <row r="7" spans="1:22" x14ac:dyDescent="0.25">
      <c r="A7" s="206" t="s">
        <v>279</v>
      </c>
      <c r="B7" s="316">
        <v>42711</v>
      </c>
      <c r="C7" s="316">
        <v>42747</v>
      </c>
      <c r="D7" s="258">
        <v>42732</v>
      </c>
      <c r="E7" s="259" t="s">
        <v>24</v>
      </c>
      <c r="F7" s="109" t="s">
        <v>108</v>
      </c>
      <c r="G7" s="216" t="s">
        <v>33</v>
      </c>
      <c r="H7" s="231" t="s">
        <v>299</v>
      </c>
      <c r="I7" s="231"/>
      <c r="J7" s="231">
        <v>1</v>
      </c>
      <c r="K7" s="206">
        <v>93710</v>
      </c>
      <c r="L7" s="217">
        <f>Реестр[[#This Row],[Цена реализации]]*Реестр[[#This Row],[кол-во]]</f>
        <v>93710</v>
      </c>
      <c r="M7" s="261">
        <v>10000</v>
      </c>
      <c r="N7" s="261">
        <f t="shared" si="0"/>
        <v>83710</v>
      </c>
      <c r="O7" s="187">
        <f>Реестр[[#This Row],[Дата отгрузки ПЛАН]]-1</f>
        <v>42746</v>
      </c>
      <c r="P7" s="187"/>
      <c r="Q7" s="231" t="s">
        <v>288</v>
      </c>
      <c r="R7" s="231">
        <v>89258718780</v>
      </c>
      <c r="S7" s="216" t="s">
        <v>273</v>
      </c>
      <c r="T7" s="266">
        <f>SUMIFS(ПГ[%],ПГ[Прозводитель],Реестр[[#This Row],[Производитель]],ПГ[Группа товара],Реестр[[#This Row],[Группа товара]])</f>
        <v>0.04</v>
      </c>
      <c r="U7" s="217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3748.4</v>
      </c>
      <c r="V7" s="264"/>
    </row>
    <row r="8" spans="1:22" x14ac:dyDescent="0.25">
      <c r="A8" s="206" t="s">
        <v>280</v>
      </c>
      <c r="B8" s="316">
        <v>42712</v>
      </c>
      <c r="C8" s="316">
        <v>42712</v>
      </c>
      <c r="D8" s="316">
        <v>42713</v>
      </c>
      <c r="E8" s="259" t="s">
        <v>24</v>
      </c>
      <c r="F8" s="109" t="s">
        <v>32</v>
      </c>
      <c r="G8" s="216" t="s">
        <v>115</v>
      </c>
      <c r="H8" s="231" t="s">
        <v>300</v>
      </c>
      <c r="I8" s="231"/>
      <c r="J8" s="231">
        <v>1</v>
      </c>
      <c r="K8" s="206">
        <v>35140</v>
      </c>
      <c r="L8" s="217">
        <f>Реестр[[#This Row],[Цена реализации]]*Реестр[[#This Row],[кол-во]]</f>
        <v>35140</v>
      </c>
      <c r="M8" s="261">
        <v>35140</v>
      </c>
      <c r="N8" s="261">
        <f t="shared" si="0"/>
        <v>0</v>
      </c>
      <c r="O8" s="187">
        <f>Реестр[[#This Row],[Дата отгрузки ПЛАН]]-1</f>
        <v>42711</v>
      </c>
      <c r="P8" s="187"/>
      <c r="Q8" s="231" t="s">
        <v>289</v>
      </c>
      <c r="R8" s="231">
        <v>89264759690</v>
      </c>
      <c r="S8" s="216"/>
      <c r="T8" s="266">
        <f>SUMIFS(ПГ[%],ПГ[Прозводитель],Реестр[[#This Row],[Производитель]],ПГ[Группа товара],Реестр[[#This Row],[Группа товара]])</f>
        <v>0.03</v>
      </c>
      <c r="U8" s="217" t="str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-</v>
      </c>
      <c r="V8" s="264"/>
    </row>
    <row r="9" spans="1:22" x14ac:dyDescent="0.25">
      <c r="A9" s="206">
        <v>345235</v>
      </c>
      <c r="B9" s="316">
        <v>42712</v>
      </c>
      <c r="C9" s="258">
        <v>42718</v>
      </c>
      <c r="D9" s="258">
        <v>42719</v>
      </c>
      <c r="E9" s="259" t="s">
        <v>24</v>
      </c>
      <c r="F9" s="109" t="s">
        <v>35</v>
      </c>
      <c r="G9" s="216" t="s">
        <v>29</v>
      </c>
      <c r="H9" s="231" t="s">
        <v>298</v>
      </c>
      <c r="I9" s="231" t="s">
        <v>282</v>
      </c>
      <c r="J9" s="231">
        <v>2</v>
      </c>
      <c r="K9" s="206">
        <v>10100</v>
      </c>
      <c r="L9" s="217">
        <f>Реестр[[#This Row],[Цена реализации]]*Реестр[[#This Row],[кол-во]]</f>
        <v>20200</v>
      </c>
      <c r="M9" s="261">
        <v>20200</v>
      </c>
      <c r="N9" s="261">
        <f t="shared" si="0"/>
        <v>0</v>
      </c>
      <c r="O9" s="187">
        <f>Реестр[[#This Row],[Дата отгрузки ПЛАН]]-1</f>
        <v>42717</v>
      </c>
      <c r="P9" s="267"/>
      <c r="Q9" s="231" t="s">
        <v>289</v>
      </c>
      <c r="R9" s="231">
        <v>89264759690</v>
      </c>
      <c r="S9" s="216"/>
      <c r="T9" s="266">
        <f>SUMIFS(ПГ[%],ПГ[Прозводитель],Реестр[[#This Row],[Производитель]],ПГ[Группа товара],Реестр[[#This Row],[Группа товара]])</f>
        <v>0.04</v>
      </c>
      <c r="U9" s="217" t="str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-</v>
      </c>
      <c r="V9" s="264"/>
    </row>
    <row r="10" spans="1:22" x14ac:dyDescent="0.25">
      <c r="A10" s="206">
        <v>197089</v>
      </c>
      <c r="B10" s="316">
        <v>42712</v>
      </c>
      <c r="C10" s="258">
        <v>42716</v>
      </c>
      <c r="D10" s="258">
        <v>42719</v>
      </c>
      <c r="E10" s="259" t="s">
        <v>24</v>
      </c>
      <c r="F10" s="109" t="s">
        <v>40</v>
      </c>
      <c r="G10" s="216" t="s">
        <v>41</v>
      </c>
      <c r="H10" s="231" t="s">
        <v>301</v>
      </c>
      <c r="I10" s="231" t="s">
        <v>282</v>
      </c>
      <c r="J10" s="231">
        <v>2</v>
      </c>
      <c r="K10" s="206">
        <v>7980</v>
      </c>
      <c r="L10" s="217">
        <f>Реестр[[#This Row],[Цена реализации]]*Реестр[[#This Row],[кол-во]]</f>
        <v>15960</v>
      </c>
      <c r="M10" s="261">
        <v>15960</v>
      </c>
      <c r="N10" s="261">
        <f t="shared" si="0"/>
        <v>0</v>
      </c>
      <c r="O10" s="187">
        <f>Реестр[[#This Row],[Дата отгрузки ПЛАН]]-1</f>
        <v>42715</v>
      </c>
      <c r="P10" s="267"/>
      <c r="Q10" s="231" t="s">
        <v>289</v>
      </c>
      <c r="R10" s="231">
        <v>89264759690</v>
      </c>
      <c r="S10" s="216"/>
      <c r="T10" s="266">
        <f>SUMIFS(ПГ[%],ПГ[Прозводитель],Реестр[[#This Row],[Производитель]],ПГ[Группа товара],Реестр[[#This Row],[Группа товара]])</f>
        <v>0.04</v>
      </c>
      <c r="U10" s="217" t="str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-</v>
      </c>
      <c r="V10" s="264"/>
    </row>
    <row r="11" spans="1:22" x14ac:dyDescent="0.25">
      <c r="A11" s="206" t="s">
        <v>281</v>
      </c>
      <c r="B11" s="316">
        <v>42712</v>
      </c>
      <c r="C11" s="316">
        <v>42713</v>
      </c>
      <c r="D11" s="316">
        <v>42713</v>
      </c>
      <c r="E11" s="259" t="s">
        <v>24</v>
      </c>
      <c r="F11" s="109" t="s">
        <v>32</v>
      </c>
      <c r="G11" s="216" t="s">
        <v>115</v>
      </c>
      <c r="H11" s="231" t="s">
        <v>302</v>
      </c>
      <c r="I11" s="231"/>
      <c r="J11" s="231">
        <v>1</v>
      </c>
      <c r="K11" s="206">
        <v>12880</v>
      </c>
      <c r="L11" s="217">
        <f>Реестр[[#This Row],[Цена реализации]]*Реестр[[#This Row],[кол-во]]</f>
        <v>12880</v>
      </c>
      <c r="M11" s="261">
        <v>12880</v>
      </c>
      <c r="N11" s="261">
        <f t="shared" si="0"/>
        <v>0</v>
      </c>
      <c r="O11" s="187">
        <f>Реестр[[#This Row],[Дата отгрузки ПЛАН]]-1</f>
        <v>42712</v>
      </c>
      <c r="P11" s="267"/>
      <c r="Q11" s="231" t="s">
        <v>290</v>
      </c>
      <c r="R11" s="231">
        <v>89163369974</v>
      </c>
      <c r="S11" s="216"/>
      <c r="T11" s="266">
        <f>SUMIFS(ПГ[%],ПГ[Прозводитель],Реестр[[#This Row],[Производитель]],ПГ[Группа товара],Реестр[[#This Row],[Группа товара]])</f>
        <v>0.03</v>
      </c>
      <c r="U11" s="217" t="str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-</v>
      </c>
      <c r="V11" s="264"/>
    </row>
    <row r="12" spans="1:22" x14ac:dyDescent="0.25">
      <c r="A12" s="206">
        <v>345275</v>
      </c>
      <c r="B12" s="316">
        <v>42712</v>
      </c>
      <c r="C12" s="258">
        <v>42718</v>
      </c>
      <c r="D12" s="258">
        <v>42719</v>
      </c>
      <c r="E12" s="259" t="s">
        <v>24</v>
      </c>
      <c r="F12" s="109" t="s">
        <v>35</v>
      </c>
      <c r="G12" s="216" t="s">
        <v>29</v>
      </c>
      <c r="H12" s="231" t="s">
        <v>271</v>
      </c>
      <c r="I12" s="231" t="s">
        <v>30</v>
      </c>
      <c r="J12" s="231">
        <v>1</v>
      </c>
      <c r="K12" s="206">
        <v>2600</v>
      </c>
      <c r="L12" s="217">
        <f>Реестр[[#This Row],[Цена реализации]]*Реестр[[#This Row],[кол-во]]</f>
        <v>2600</v>
      </c>
      <c r="M12" s="261">
        <v>2600</v>
      </c>
      <c r="N12" s="261">
        <f t="shared" si="0"/>
        <v>0</v>
      </c>
      <c r="O12" s="187">
        <f>Реестр[[#This Row],[Дата отгрузки ПЛАН]]-1</f>
        <v>42717</v>
      </c>
      <c r="P12" s="267"/>
      <c r="Q12" s="231" t="s">
        <v>290</v>
      </c>
      <c r="R12" s="231">
        <v>89163369974</v>
      </c>
      <c r="S12" s="216"/>
      <c r="T12" s="266">
        <f>SUMIFS(ПГ[%],ПГ[Прозводитель],Реестр[[#This Row],[Производитель]],ПГ[Группа товара],Реестр[[#This Row],[Группа товара]])</f>
        <v>0.04</v>
      </c>
      <c r="U12" s="217" t="str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-</v>
      </c>
      <c r="V12" s="264"/>
    </row>
    <row r="13" spans="1:22" x14ac:dyDescent="0.25">
      <c r="A13" s="206" t="s">
        <v>39</v>
      </c>
      <c r="B13" s="316">
        <v>42712</v>
      </c>
      <c r="C13" s="316">
        <v>42712</v>
      </c>
      <c r="D13" s="316">
        <v>42712</v>
      </c>
      <c r="E13" s="259" t="s">
        <v>162</v>
      </c>
      <c r="F13" s="107" t="s">
        <v>44</v>
      </c>
      <c r="G13" s="226" t="s">
        <v>46</v>
      </c>
      <c r="H13" s="269"/>
      <c r="I13" s="231"/>
      <c r="J13" s="231">
        <v>1</v>
      </c>
      <c r="K13" s="206">
        <v>8172</v>
      </c>
      <c r="L13" s="227">
        <f>Реестр[[#This Row],[Цена реализации]]*Реестр[[#This Row],[кол-во]]</f>
        <v>8172</v>
      </c>
      <c r="M13" s="270">
        <v>8172</v>
      </c>
      <c r="N13" s="261">
        <f t="shared" si="0"/>
        <v>0</v>
      </c>
      <c r="O13" s="187">
        <f>Реестр[[#This Row],[Дата отгрузки ПЛАН]]-1</f>
        <v>42711</v>
      </c>
      <c r="P13" s="271"/>
      <c r="Q13" s="231" t="s">
        <v>290</v>
      </c>
      <c r="R13" s="231">
        <v>89163369974</v>
      </c>
      <c r="S13" s="226"/>
      <c r="T13" s="272">
        <f>SUMIFS(ПГ[%],ПГ[Прозводитель],Реестр[[#This Row],[Производитель]],ПГ[Группа товара],Реестр[[#This Row],[Группа товара]])</f>
        <v>0.05</v>
      </c>
      <c r="U13" s="227" t="str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-</v>
      </c>
      <c r="V13" s="273"/>
    </row>
    <row r="14" spans="1:22" x14ac:dyDescent="0.25">
      <c r="A14" s="206" t="s">
        <v>303</v>
      </c>
      <c r="B14" s="316">
        <v>42713</v>
      </c>
      <c r="C14" s="302">
        <v>42731</v>
      </c>
      <c r="D14" s="302">
        <v>42723</v>
      </c>
      <c r="E14" s="280" t="s">
        <v>24</v>
      </c>
      <c r="F14" s="248" t="s">
        <v>25</v>
      </c>
      <c r="G14" s="218" t="s">
        <v>48</v>
      </c>
      <c r="H14" s="285" t="s">
        <v>304</v>
      </c>
      <c r="I14" s="231"/>
      <c r="J14" s="231">
        <v>1</v>
      </c>
      <c r="K14" s="206">
        <v>33420</v>
      </c>
      <c r="L14" s="217">
        <f>Реестр[[#This Row],[Цена реализации]]*Реестр[[#This Row],[кол-во]]</f>
        <v>33420</v>
      </c>
      <c r="M14" s="270">
        <v>33420</v>
      </c>
      <c r="N14" s="261">
        <f t="shared" si="0"/>
        <v>0</v>
      </c>
      <c r="O14" s="187">
        <f>Реестр[[#This Row],[Дата отгрузки ПЛАН]]-1</f>
        <v>42730</v>
      </c>
      <c r="P14" s="222"/>
      <c r="Q14" s="231" t="s">
        <v>291</v>
      </c>
      <c r="R14" s="231">
        <v>89261364186</v>
      </c>
      <c r="S14" s="218" t="s">
        <v>273</v>
      </c>
      <c r="T14" s="266">
        <f>SUMIFS(ПГ[%],ПГ[Прозводитель],Реестр[[#This Row],[Производитель]],ПГ[Группа товара],Реестр[[#This Row],[Группа товара]])</f>
        <v>0.04</v>
      </c>
      <c r="U14" s="217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1336.8</v>
      </c>
      <c r="V14" s="102"/>
    </row>
    <row r="15" spans="1:22" x14ac:dyDescent="0.25">
      <c r="A15" s="206">
        <v>345630</v>
      </c>
      <c r="B15" s="316">
        <v>42713</v>
      </c>
      <c r="C15" s="258">
        <v>42720</v>
      </c>
      <c r="D15" s="258">
        <v>42720</v>
      </c>
      <c r="E15" s="259" t="s">
        <v>24</v>
      </c>
      <c r="F15" s="107" t="s">
        <v>35</v>
      </c>
      <c r="G15" s="226" t="s">
        <v>29</v>
      </c>
      <c r="H15" s="231" t="s">
        <v>305</v>
      </c>
      <c r="I15" s="231" t="s">
        <v>42</v>
      </c>
      <c r="J15" s="231">
        <v>2</v>
      </c>
      <c r="K15" s="206">
        <v>7230</v>
      </c>
      <c r="L15" s="227">
        <f>Реестр[[#This Row],[Цена реализации]]*Реестр[[#This Row],[кол-во]]</f>
        <v>14460</v>
      </c>
      <c r="M15" s="261">
        <v>14460</v>
      </c>
      <c r="N15" s="261">
        <f t="shared" si="0"/>
        <v>0</v>
      </c>
      <c r="O15" s="187">
        <f>Реестр[[#This Row],[Дата отгрузки ПЛАН]]-1</f>
        <v>42719</v>
      </c>
      <c r="P15" s="271">
        <v>42719</v>
      </c>
      <c r="Q15" s="231" t="s">
        <v>291</v>
      </c>
      <c r="R15" s="231">
        <v>89261364186</v>
      </c>
      <c r="S15" s="226" t="s">
        <v>273</v>
      </c>
      <c r="T15" s="272">
        <f>SUMIFS(ПГ[%],ПГ[Прозводитель],Реестр[[#This Row],[Производитель]],ПГ[Группа товара],Реестр[[#This Row],[Группа товара]])</f>
        <v>0.04</v>
      </c>
      <c r="U15" s="227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578.4</v>
      </c>
      <c r="V15" s="273"/>
    </row>
    <row r="16" spans="1:22" x14ac:dyDescent="0.25">
      <c r="A16" s="206">
        <v>396</v>
      </c>
      <c r="B16" s="316">
        <v>42714</v>
      </c>
      <c r="C16" s="258">
        <v>42721</v>
      </c>
      <c r="D16" s="258">
        <v>42721</v>
      </c>
      <c r="E16" s="259" t="s">
        <v>24</v>
      </c>
      <c r="F16" s="107" t="s">
        <v>37</v>
      </c>
      <c r="G16" s="226" t="s">
        <v>150</v>
      </c>
      <c r="H16" s="260" t="s">
        <v>306</v>
      </c>
      <c r="I16" s="231"/>
      <c r="J16" s="231">
        <v>1</v>
      </c>
      <c r="K16" s="206">
        <v>18900</v>
      </c>
      <c r="L16" s="227">
        <f>Реестр[[#This Row],[Цена реализации]]*Реестр[[#This Row],[кол-во]]</f>
        <v>18900</v>
      </c>
      <c r="M16" s="261">
        <v>10000</v>
      </c>
      <c r="N16" s="261">
        <f t="shared" si="0"/>
        <v>8900</v>
      </c>
      <c r="O16" s="187">
        <f>Реестр[[#This Row],[Дата отгрузки ПЛАН]]-1</f>
        <v>42720</v>
      </c>
      <c r="P16" s="271"/>
      <c r="Q16" s="231" t="s">
        <v>292</v>
      </c>
      <c r="R16" s="231">
        <v>89104286699</v>
      </c>
      <c r="S16" s="226" t="s">
        <v>273</v>
      </c>
      <c r="T16" s="272">
        <f>SUMIFS(ПГ[%],ПГ[Прозводитель],Реестр[[#This Row],[Производитель]],ПГ[Группа товара],Реестр[[#This Row],[Группа товара]])</f>
        <v>0.04</v>
      </c>
      <c r="U16" s="227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756</v>
      </c>
      <c r="V16" s="273"/>
    </row>
    <row r="17" spans="1:22" x14ac:dyDescent="0.25">
      <c r="A17" s="206">
        <v>197331</v>
      </c>
      <c r="B17" s="316">
        <v>42715</v>
      </c>
      <c r="C17" s="258">
        <v>42721</v>
      </c>
      <c r="D17" s="258">
        <v>42721</v>
      </c>
      <c r="E17" s="259" t="s">
        <v>24</v>
      </c>
      <c r="F17" s="107" t="s">
        <v>40</v>
      </c>
      <c r="G17" s="226" t="s">
        <v>41</v>
      </c>
      <c r="H17" s="260" t="s">
        <v>301</v>
      </c>
      <c r="I17" s="231" t="s">
        <v>283</v>
      </c>
      <c r="J17" s="231">
        <v>1</v>
      </c>
      <c r="K17" s="206">
        <v>10990</v>
      </c>
      <c r="L17" s="227">
        <f>Реестр[[#This Row],[Цена реализации]]*Реестр[[#This Row],[кол-во]]</f>
        <v>10990</v>
      </c>
      <c r="M17" s="261">
        <v>10990</v>
      </c>
      <c r="N17" s="261">
        <f t="shared" si="0"/>
        <v>0</v>
      </c>
      <c r="O17" s="187">
        <f>Реестр[[#This Row],[Дата отгрузки ПЛАН]]-1</f>
        <v>42720</v>
      </c>
      <c r="P17" s="271"/>
      <c r="Q17" s="231" t="s">
        <v>288</v>
      </c>
      <c r="R17" s="231">
        <v>89258718780</v>
      </c>
      <c r="S17" s="226" t="s">
        <v>273</v>
      </c>
      <c r="T17" s="272">
        <f>SUMIFS(ПГ[%],ПГ[Прозводитель],Реестр[[#This Row],[Производитель]],ПГ[Группа товара],Реестр[[#This Row],[Группа товара]])</f>
        <v>0.04</v>
      </c>
      <c r="U17" s="227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439.6</v>
      </c>
      <c r="V17" s="273"/>
    </row>
    <row r="18" spans="1:22" x14ac:dyDescent="0.25">
      <c r="A18" s="206">
        <v>197898</v>
      </c>
      <c r="B18" s="316">
        <v>42721</v>
      </c>
      <c r="C18" s="268">
        <v>42728</v>
      </c>
      <c r="D18" s="268">
        <v>42729</v>
      </c>
      <c r="E18" s="259" t="s">
        <v>24</v>
      </c>
      <c r="F18" s="107" t="s">
        <v>40</v>
      </c>
      <c r="G18" s="226" t="s">
        <v>114</v>
      </c>
      <c r="H18" s="269" t="s">
        <v>307</v>
      </c>
      <c r="I18" s="231" t="s">
        <v>284</v>
      </c>
      <c r="J18" s="231">
        <v>1</v>
      </c>
      <c r="K18" s="206">
        <v>29691</v>
      </c>
      <c r="L18" s="227">
        <f>Реестр[[#This Row],[Цена реализации]]*Реестр[[#This Row],[кол-во]]</f>
        <v>29691</v>
      </c>
      <c r="M18" s="270">
        <v>29691</v>
      </c>
      <c r="N18" s="261">
        <f t="shared" si="0"/>
        <v>0</v>
      </c>
      <c r="O18" s="187">
        <f>Реестр[[#This Row],[Дата отгрузки ПЛАН]]-1</f>
        <v>42727</v>
      </c>
      <c r="P18" s="271"/>
      <c r="Q18" s="231" t="s">
        <v>293</v>
      </c>
      <c r="R18" s="231">
        <v>89168250680</v>
      </c>
      <c r="S18" s="226" t="s">
        <v>273</v>
      </c>
      <c r="T18" s="272">
        <f>SUMIFS(ПГ[%],ПГ[Прозводитель],Реестр[[#This Row],[Производитель]],ПГ[Группа товара],Реестр[[#This Row],[Группа товара]])</f>
        <v>0.06</v>
      </c>
      <c r="U18" s="227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1781.46</v>
      </c>
      <c r="V18" s="273"/>
    </row>
    <row r="19" spans="1:22" x14ac:dyDescent="0.25">
      <c r="A19" s="206" t="s">
        <v>313</v>
      </c>
      <c r="B19" s="316">
        <v>42722</v>
      </c>
      <c r="C19" s="258">
        <v>42750</v>
      </c>
      <c r="D19" s="258"/>
      <c r="E19" s="259" t="s">
        <v>47</v>
      </c>
      <c r="F19" s="107" t="s">
        <v>108</v>
      </c>
      <c r="G19" s="226" t="s">
        <v>198</v>
      </c>
      <c r="H19" s="260" t="s">
        <v>308</v>
      </c>
      <c r="I19" s="231"/>
      <c r="J19" s="231">
        <v>1</v>
      </c>
      <c r="K19" s="206">
        <v>13490</v>
      </c>
      <c r="L19" s="227">
        <f>Реестр[[#This Row],[Цена реализации]]*Реестр[[#This Row],[кол-во]]</f>
        <v>13490</v>
      </c>
      <c r="M19" s="261">
        <v>7000</v>
      </c>
      <c r="N19" s="261">
        <f t="shared" si="0"/>
        <v>6490</v>
      </c>
      <c r="O19" s="187">
        <f>Реестр[[#This Row],[Дата отгрузки ПЛАН]]-1</f>
        <v>42749</v>
      </c>
      <c r="P19" s="271"/>
      <c r="Q19" s="231" t="s">
        <v>294</v>
      </c>
      <c r="R19" s="231">
        <v>89671351284</v>
      </c>
      <c r="S19" s="226" t="s">
        <v>273</v>
      </c>
      <c r="T19" s="272">
        <f>SUMIFS(ПГ[%],ПГ[Прозводитель],Реестр[[#This Row],[Производитель]],ПГ[Группа товара],Реестр[[#This Row],[Группа товара]])</f>
        <v>0.04</v>
      </c>
      <c r="U19" s="227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539.6</v>
      </c>
      <c r="V19" s="273"/>
    </row>
    <row r="20" spans="1:22" x14ac:dyDescent="0.25">
      <c r="A20" s="206"/>
      <c r="B20" s="316">
        <v>42722</v>
      </c>
      <c r="C20" s="258">
        <v>42722</v>
      </c>
      <c r="D20" s="258">
        <v>42722</v>
      </c>
      <c r="E20" s="259" t="s">
        <v>162</v>
      </c>
      <c r="F20" s="107" t="s">
        <v>44</v>
      </c>
      <c r="G20" s="226" t="s">
        <v>158</v>
      </c>
      <c r="H20" s="260" t="s">
        <v>299</v>
      </c>
      <c r="I20" s="231" t="s">
        <v>285</v>
      </c>
      <c r="J20" s="231">
        <v>2</v>
      </c>
      <c r="K20" s="206">
        <v>4400</v>
      </c>
      <c r="L20" s="227">
        <f>Реестр[[#This Row],[Цена реализации]]*Реестр[[#This Row],[кол-во]]</f>
        <v>8800</v>
      </c>
      <c r="M20" s="261">
        <v>8800</v>
      </c>
      <c r="N20" s="261">
        <f t="shared" si="0"/>
        <v>0</v>
      </c>
      <c r="O20" s="187">
        <f>Реестр[[#This Row],[Дата отгрузки ПЛАН]]-1</f>
        <v>42721</v>
      </c>
      <c r="P20" s="271"/>
      <c r="Q20" s="231"/>
      <c r="R20" s="231"/>
      <c r="S20" s="226" t="s">
        <v>273</v>
      </c>
      <c r="T20" s="272">
        <f>SUMIFS(ПГ[%],ПГ[Прозводитель],Реестр[[#This Row],[Производитель]],ПГ[Группа товара],Реестр[[#This Row],[Группа товара]])</f>
        <v>0.05</v>
      </c>
      <c r="U20" s="227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440</v>
      </c>
      <c r="V20" s="273"/>
    </row>
    <row r="21" spans="1:22" x14ac:dyDescent="0.25">
      <c r="A21" s="206"/>
      <c r="B21" s="316">
        <v>42722</v>
      </c>
      <c r="C21" s="301">
        <v>42728</v>
      </c>
      <c r="D21" s="301">
        <v>42727</v>
      </c>
      <c r="E21" s="281" t="s">
        <v>162</v>
      </c>
      <c r="F21" s="281" t="s">
        <v>25</v>
      </c>
      <c r="G21" s="19" t="s">
        <v>141</v>
      </c>
      <c r="H21" s="284" t="s">
        <v>309</v>
      </c>
      <c r="I21" s="231"/>
      <c r="J21" s="231">
        <v>1</v>
      </c>
      <c r="K21" s="206">
        <v>26000</v>
      </c>
      <c r="L21" s="106">
        <f>Реестр[[#This Row],[Цена реализации]]*Реестр[[#This Row],[кол-во]]</f>
        <v>26000</v>
      </c>
      <c r="M21" s="246">
        <v>26000</v>
      </c>
      <c r="N21" s="261">
        <f t="shared" si="0"/>
        <v>0</v>
      </c>
      <c r="O21" s="187">
        <f>Реестр[[#This Row],[Дата отгрузки ПЛАН]]-1</f>
        <v>42727</v>
      </c>
      <c r="P21" s="233"/>
      <c r="Q21" s="231" t="s">
        <v>295</v>
      </c>
      <c r="R21" s="231">
        <v>89262146286</v>
      </c>
      <c r="S21" s="228" t="s">
        <v>273</v>
      </c>
      <c r="T21" s="263">
        <f>SUMIFS(ПГ[%],ПГ[Прозводитель],Реестр[[#This Row],[Производитель]],ПГ[Группа товара],Реестр[[#This Row],[Группа товара]])</f>
        <v>0.05</v>
      </c>
      <c r="U21" s="105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1300</v>
      </c>
      <c r="V21" s="101"/>
    </row>
    <row r="22" spans="1:22" x14ac:dyDescent="0.25">
      <c r="A22" s="206"/>
      <c r="B22" s="316">
        <v>42722</v>
      </c>
      <c r="C22" s="258">
        <v>42728</v>
      </c>
      <c r="D22" s="258">
        <v>42727</v>
      </c>
      <c r="E22" s="107" t="s">
        <v>162</v>
      </c>
      <c r="F22" s="107" t="s">
        <v>37</v>
      </c>
      <c r="G22" s="108" t="s">
        <v>141</v>
      </c>
      <c r="H22" s="260"/>
      <c r="I22" s="231" t="s">
        <v>42</v>
      </c>
      <c r="J22" s="231">
        <v>1</v>
      </c>
      <c r="K22" s="206">
        <v>7100</v>
      </c>
      <c r="L22" s="106">
        <f>Реестр[[#This Row],[Цена реализации]]*Реестр[[#This Row],[кол-во]]</f>
        <v>7100</v>
      </c>
      <c r="M22" s="261">
        <v>7100</v>
      </c>
      <c r="N22" s="261">
        <f t="shared" si="0"/>
        <v>0</v>
      </c>
      <c r="O22" s="187">
        <f>Реестр[[#This Row],[Дата отгрузки ПЛАН]]-1</f>
        <v>42727</v>
      </c>
      <c r="P22" s="274"/>
      <c r="Q22" s="231" t="s">
        <v>295</v>
      </c>
      <c r="R22" s="231">
        <v>89262146286</v>
      </c>
      <c r="S22" s="226" t="s">
        <v>273</v>
      </c>
      <c r="T22" s="263">
        <f>SUMIFS(ПГ[%],ПГ[Прозводитель],Реестр[[#This Row],[Производитель]],ПГ[Группа товара],Реестр[[#This Row],[Группа товара]])</f>
        <v>0.05</v>
      </c>
      <c r="U22" s="106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355</v>
      </c>
      <c r="V22" s="273"/>
    </row>
    <row r="23" spans="1:22" x14ac:dyDescent="0.25">
      <c r="A23" s="257"/>
      <c r="B23" s="258">
        <v>42724</v>
      </c>
      <c r="C23" s="258">
        <v>42724</v>
      </c>
      <c r="D23" s="258">
        <v>42724</v>
      </c>
      <c r="E23" s="259" t="s">
        <v>162</v>
      </c>
      <c r="F23" s="107" t="s">
        <v>109</v>
      </c>
      <c r="G23" s="108" t="s">
        <v>116</v>
      </c>
      <c r="H23" s="260"/>
      <c r="I23" s="107"/>
      <c r="J23" s="107">
        <v>1</v>
      </c>
      <c r="K23" s="257">
        <v>4740</v>
      </c>
      <c r="L23" s="106">
        <f>Реестр[[#This Row],[Цена реализации]]*Реестр[[#This Row],[кол-во]]</f>
        <v>4740</v>
      </c>
      <c r="M23" s="261">
        <v>4740</v>
      </c>
      <c r="N23" s="261">
        <f t="shared" si="0"/>
        <v>0</v>
      </c>
      <c r="O23" s="187">
        <f>Реестр[[#This Row],[Дата отгрузки ПЛАН]]-1</f>
        <v>42723</v>
      </c>
      <c r="P23" s="274"/>
      <c r="Q23" s="231"/>
      <c r="R23" s="231"/>
      <c r="S23" s="226" t="s">
        <v>273</v>
      </c>
      <c r="T23" s="263">
        <f>SUMIFS(ПГ[%],ПГ[Прозводитель],Реестр[[#This Row],[Производитель]],ПГ[Группа товара],Реестр[[#This Row],[Группа товара]])</f>
        <v>0.03</v>
      </c>
      <c r="U23" s="106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142.19999999999999</v>
      </c>
      <c r="V23" s="273"/>
    </row>
    <row r="24" spans="1:22" x14ac:dyDescent="0.25">
      <c r="A24" s="257"/>
      <c r="B24" s="258">
        <v>42724</v>
      </c>
      <c r="C24" s="258">
        <v>42724</v>
      </c>
      <c r="D24" s="258">
        <v>42724</v>
      </c>
      <c r="E24" s="259" t="s">
        <v>162</v>
      </c>
      <c r="F24" s="107" t="s">
        <v>35</v>
      </c>
      <c r="G24" s="108" t="s">
        <v>29</v>
      </c>
      <c r="H24" s="260" t="s">
        <v>271</v>
      </c>
      <c r="I24" s="107" t="s">
        <v>314</v>
      </c>
      <c r="J24" s="107">
        <v>1</v>
      </c>
      <c r="K24" s="257">
        <v>2120</v>
      </c>
      <c r="L24" s="106">
        <f>Реестр[[#This Row],[Цена реализации]]*Реестр[[#This Row],[кол-во]]</f>
        <v>2120</v>
      </c>
      <c r="M24" s="261">
        <v>2120</v>
      </c>
      <c r="N24" s="261">
        <f t="shared" si="0"/>
        <v>0</v>
      </c>
      <c r="O24" s="187">
        <f>Реестр[[#This Row],[Дата отгрузки ПЛАН]]-1</f>
        <v>42723</v>
      </c>
      <c r="P24" s="274"/>
      <c r="Q24" s="107"/>
      <c r="R24" s="262"/>
      <c r="S24" s="226" t="s">
        <v>273</v>
      </c>
      <c r="T24" s="263">
        <f>SUMIFS(ПГ[%],ПГ[Прозводитель],Реестр[[#This Row],[Производитель]],ПГ[Группа товара],Реестр[[#This Row],[Группа товара]])</f>
        <v>0.04</v>
      </c>
      <c r="U24" s="106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84.8</v>
      </c>
      <c r="V24" s="273"/>
    </row>
    <row r="25" spans="1:22" x14ac:dyDescent="0.25">
      <c r="A25" s="257"/>
      <c r="B25" s="258">
        <v>42728</v>
      </c>
      <c r="C25" s="258">
        <v>42759</v>
      </c>
      <c r="D25" s="258"/>
      <c r="E25" s="259" t="s">
        <v>47</v>
      </c>
      <c r="F25" s="107" t="s">
        <v>108</v>
      </c>
      <c r="G25" s="108" t="s">
        <v>33</v>
      </c>
      <c r="H25" s="260" t="s">
        <v>299</v>
      </c>
      <c r="I25" s="107"/>
      <c r="J25" s="107">
        <v>1</v>
      </c>
      <c r="K25" s="257">
        <v>48350</v>
      </c>
      <c r="L25" s="106">
        <f>Реестр[[#This Row],[Цена реализации]]*Реестр[[#This Row],[кол-во]]</f>
        <v>48350</v>
      </c>
      <c r="M25" s="261">
        <v>20000</v>
      </c>
      <c r="N25" s="261">
        <f t="shared" si="0"/>
        <v>28350</v>
      </c>
      <c r="O25" s="187">
        <f>Реестр[[#This Row],[Дата отгрузки ПЛАН]]-1</f>
        <v>42758</v>
      </c>
      <c r="P25" s="274"/>
      <c r="Q25" s="107" t="s">
        <v>321</v>
      </c>
      <c r="R25" s="275">
        <v>89037860406</v>
      </c>
      <c r="S25" s="226" t="s">
        <v>273</v>
      </c>
      <c r="T25" s="263">
        <f>SUMIFS(ПГ[%],ПГ[Прозводитель],Реестр[[#This Row],[Производитель]],ПГ[Группа товара],Реестр[[#This Row],[Группа товара]])</f>
        <v>0.04</v>
      </c>
      <c r="U25" s="106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1934</v>
      </c>
      <c r="V25" s="273"/>
    </row>
    <row r="26" spans="1:22" ht="30" x14ac:dyDescent="0.25">
      <c r="A26" s="333" t="s">
        <v>323</v>
      </c>
      <c r="B26" s="334">
        <v>42728</v>
      </c>
      <c r="C26" s="334">
        <v>42730</v>
      </c>
      <c r="D26" s="334">
        <v>42732</v>
      </c>
      <c r="E26" s="248" t="s">
        <v>24</v>
      </c>
      <c r="F26" s="248" t="s">
        <v>32</v>
      </c>
      <c r="G26" s="335" t="s">
        <v>33</v>
      </c>
      <c r="H26" s="344" t="s">
        <v>324</v>
      </c>
      <c r="I26" s="248"/>
      <c r="J26" s="248">
        <v>1</v>
      </c>
      <c r="K26" s="336">
        <v>35730</v>
      </c>
      <c r="L26" s="337">
        <f>Реестр[[#This Row],[Цена реализации]]*Реестр[[#This Row],[кол-во]]</f>
        <v>35730</v>
      </c>
      <c r="M26" s="338">
        <v>35730</v>
      </c>
      <c r="N26" s="339">
        <f>L26-M26</f>
        <v>0</v>
      </c>
      <c r="O26" s="340">
        <f>Реестр[[#This Row],[Дата отгрузки ПЛАН]]-1</f>
        <v>42729</v>
      </c>
      <c r="P26" s="341"/>
      <c r="Q26" s="248" t="s">
        <v>325</v>
      </c>
      <c r="R26" s="248">
        <v>89037605468</v>
      </c>
      <c r="S26" s="335" t="s">
        <v>273</v>
      </c>
      <c r="T26" s="342">
        <f>SUMIFS(ПГ[%],ПГ[Прозводитель],Реестр[[#This Row],[Производитель]],ПГ[Группа товара],Реестр[[#This Row],[Группа товара]])</f>
        <v>0.03</v>
      </c>
      <c r="U26" s="343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1071.8999999999999</v>
      </c>
      <c r="V26" s="102"/>
    </row>
    <row r="27" spans="1:22" x14ac:dyDescent="0.25">
      <c r="A27" s="333">
        <v>351726</v>
      </c>
      <c r="B27" s="334">
        <v>42728</v>
      </c>
      <c r="C27" s="334">
        <v>42733</v>
      </c>
      <c r="D27" s="334">
        <v>42733</v>
      </c>
      <c r="E27" s="248" t="s">
        <v>24</v>
      </c>
      <c r="F27" s="248" t="s">
        <v>35</v>
      </c>
      <c r="G27" s="335" t="s">
        <v>29</v>
      </c>
      <c r="H27" s="248" t="s">
        <v>305</v>
      </c>
      <c r="I27" s="248" t="s">
        <v>326</v>
      </c>
      <c r="J27" s="248">
        <v>1</v>
      </c>
      <c r="K27" s="336">
        <v>6190</v>
      </c>
      <c r="L27" s="337">
        <f>Реестр[[#This Row],[Цена реализации]]*Реестр[[#This Row],[кол-во]]</f>
        <v>6190</v>
      </c>
      <c r="M27" s="338">
        <v>6190</v>
      </c>
      <c r="N27" s="339">
        <f>L27-M27</f>
        <v>0</v>
      </c>
      <c r="O27" s="340">
        <f>Реестр[[#This Row],[Дата отгрузки ПЛАН]]-1</f>
        <v>42732</v>
      </c>
      <c r="P27" s="341"/>
      <c r="Q27" s="248" t="s">
        <v>325</v>
      </c>
      <c r="R27" s="248">
        <v>89037605468</v>
      </c>
      <c r="S27" s="335" t="s">
        <v>273</v>
      </c>
      <c r="T27" s="342">
        <f>SUMIFS(ПГ[%],ПГ[Прозводитель],Реестр[[#This Row],[Производитель]],ПГ[Группа товара],Реестр[[#This Row],[Группа товара]])</f>
        <v>0.04</v>
      </c>
      <c r="U27" s="343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247.6</v>
      </c>
      <c r="V27" s="102"/>
    </row>
    <row r="28" spans="1:22" x14ac:dyDescent="0.25">
      <c r="A28" s="333">
        <v>351726</v>
      </c>
      <c r="B28" s="334">
        <v>42728</v>
      </c>
      <c r="C28" s="334">
        <v>42733</v>
      </c>
      <c r="D28" s="334">
        <v>42733</v>
      </c>
      <c r="E28" s="248" t="s">
        <v>24</v>
      </c>
      <c r="F28" s="248" t="s">
        <v>35</v>
      </c>
      <c r="G28" s="335" t="s">
        <v>43</v>
      </c>
      <c r="H28" s="248" t="s">
        <v>327</v>
      </c>
      <c r="I28" s="248" t="s">
        <v>30</v>
      </c>
      <c r="J28" s="248">
        <v>1</v>
      </c>
      <c r="K28" s="336">
        <v>1790</v>
      </c>
      <c r="L28" s="337">
        <f>Реестр[[#This Row],[Цена реализации]]*Реестр[[#This Row],[кол-во]]</f>
        <v>1790</v>
      </c>
      <c r="M28" s="338">
        <v>1790</v>
      </c>
      <c r="N28" s="339">
        <f>L28-M28</f>
        <v>0</v>
      </c>
      <c r="O28" s="340">
        <f>Реестр[[#This Row],[Дата отгрузки ПЛАН]]-1</f>
        <v>42732</v>
      </c>
      <c r="P28" s="341"/>
      <c r="Q28" s="248" t="s">
        <v>325</v>
      </c>
      <c r="R28" s="248">
        <v>89037605468</v>
      </c>
      <c r="S28" s="335" t="s">
        <v>273</v>
      </c>
      <c r="T28" s="342">
        <f>SUMIFS(ПГ[%],ПГ[Прозводитель],Реестр[[#This Row],[Производитель]],ПГ[Группа товара],Реестр[[#This Row],[Группа товара]])</f>
        <v>0.05</v>
      </c>
      <c r="U28" s="343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89.5</v>
      </c>
      <c r="V28" s="102"/>
    </row>
    <row r="29" spans="1:22" x14ac:dyDescent="0.25">
      <c r="A29" s="333" t="s">
        <v>329</v>
      </c>
      <c r="B29" s="334">
        <v>42732</v>
      </c>
      <c r="C29" s="334">
        <v>42733</v>
      </c>
      <c r="D29" s="334">
        <v>42733</v>
      </c>
      <c r="E29" s="248" t="s">
        <v>24</v>
      </c>
      <c r="F29" s="248" t="s">
        <v>32</v>
      </c>
      <c r="G29" s="345" t="s">
        <v>33</v>
      </c>
      <c r="H29" s="248" t="s">
        <v>330</v>
      </c>
      <c r="I29" s="248"/>
      <c r="J29" s="248">
        <v>1</v>
      </c>
      <c r="K29" s="336">
        <v>20080</v>
      </c>
      <c r="L29" s="346">
        <f>Реестр[[#This Row],[Цена реализации]]*Реестр[[#This Row],[кол-во]]</f>
        <v>20080</v>
      </c>
      <c r="M29" s="347">
        <v>20080</v>
      </c>
      <c r="N29" s="348">
        <f>L29-M29</f>
        <v>0</v>
      </c>
      <c r="O29" s="349">
        <f>Реестр[[#This Row],[Дата отгрузки ПЛАН]]-1</f>
        <v>42732</v>
      </c>
      <c r="P29" s="350"/>
      <c r="Q29" s="248" t="s">
        <v>331</v>
      </c>
      <c r="R29" s="248">
        <v>89267920157</v>
      </c>
      <c r="S29" s="345" t="s">
        <v>273</v>
      </c>
      <c r="T29" s="351">
        <f>SUMIFS(ПГ[%],ПГ[Прозводитель],Реестр[[#This Row],[Производитель]],ПГ[Группа товара],Реестр[[#This Row],[Группа товара]])</f>
        <v>0.03</v>
      </c>
      <c r="U29" s="352">
        <f>IFERROR(IF(VLOOKUP(Реестр[[#This Row],[Менеджер]],Штатка[],2,0)="Стажер",Реестр[[#This Row],[Стоимость реализации]]*Реестр[[#This Row],[% бонус]],IF(Реестр[[#This Row],[Дата отгрузки ФАКТ]]&gt;0,Реестр[[#This Row],[Стоимость реализации]]*Реестр[[#This Row],[% бонус]],0)),"-")</f>
        <v>602.4</v>
      </c>
      <c r="V29" s="102"/>
    </row>
    <row r="32" spans="1:22" ht="15.6" x14ac:dyDescent="0.3">
      <c r="O32" s="325"/>
    </row>
  </sheetData>
  <conditionalFormatting sqref="P4:P6 D2:D12 D14:D25">
    <cfRule type="expression" dxfId="187" priority="13">
      <formula>IF(D2=0,IF(($E$1-C2)&gt;=0,1,3),3)=1</formula>
    </cfRule>
  </conditionalFormatting>
  <conditionalFormatting sqref="M3:M29">
    <cfRule type="expression" dxfId="186" priority="3">
      <formula>M3&lt;=0</formula>
    </cfRule>
  </conditionalFormatting>
  <conditionalFormatting sqref="N3:N29">
    <cfRule type="cellIs" dxfId="185" priority="2" operator="lessThan">
      <formula>0</formula>
    </cfRule>
  </conditionalFormatting>
  <conditionalFormatting sqref="P7:P8">
    <cfRule type="expression" dxfId="184" priority="23">
      <formula>IF(P7=0,IF(($E$1-#REF!)&gt;=0,1,3),3)=1</formula>
    </cfRule>
  </conditionalFormatting>
  <conditionalFormatting sqref="C11">
    <cfRule type="expression" dxfId="183" priority="1">
      <formula>IF(C11=0,IF(($E$1-B11)&gt;=0,1,3),3)=1</formula>
    </cfRule>
  </conditionalFormatting>
  <dataValidations xWindow="1173" yWindow="632" count="6">
    <dataValidation type="list" allowBlank="1" showInputMessage="1" showErrorMessage="1" prompt="Выберите продавца" sqref="S3:S29">
      <formula1>INDIRECT("штатка[ФИО]")</formula1>
    </dataValidation>
    <dataValidation type="list" allowBlank="1" showInputMessage="1" showErrorMessage="1" promptTitle="Выберите производителя" prompt="Выберите производителя" sqref="F3:F29">
      <formula1>INDIRECT("производитель")</formula1>
    </dataValidation>
    <dataValidation type="list" allowBlank="1" showInputMessage="1" showErrorMessage="1" prompt="Выберите статус" sqref="E3:E29">
      <formula1>INDIRECT("Статус")</formula1>
    </dataValidation>
    <dataValidation type="date" allowBlank="1" showInputMessage="1" showErrorMessage="1" sqref="P3:P29 B3:D29">
      <formula1>42370</formula1>
      <formula2>43831</formula2>
    </dataValidation>
    <dataValidation type="textLength" allowBlank="1" showInputMessage="1" showErrorMessage="1" sqref="R3:R29">
      <formula1>11</formula1>
      <formula2>11</formula2>
    </dataValidation>
    <dataValidation type="list" allowBlank="1" showInputMessage="1" showErrorMessage="1" prompt="Выберите группу товара" sqref="G3:G29">
      <formula1>INDIRECT(F3)</formula1>
    </dataValidation>
  </dataValidations>
  <pageMargins left="0.7" right="0.7" top="0.75" bottom="0.75" header="0.3" footer="0.3"/>
  <pageSetup paperSize="9" orientation="portrait" r:id="rId1"/>
  <colBreaks count="1" manualBreakCount="1">
    <brk id="7" max="1048575" man="1"/>
  </colBreak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3"/>
  <sheetViews>
    <sheetView workbookViewId="0">
      <selection activeCell="C17" sqref="C17"/>
    </sheetView>
  </sheetViews>
  <sheetFormatPr defaultRowHeight="15" x14ac:dyDescent="0.25"/>
  <cols>
    <col min="3" max="3" width="12" bestFit="1" customWidth="1"/>
  </cols>
  <sheetData>
    <row r="3" spans="3:4" x14ac:dyDescent="0.25">
      <c r="C3">
        <v>89262335697</v>
      </c>
      <c r="D3" t="s">
        <v>310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2D050"/>
  </sheetPr>
  <dimension ref="A1:K60"/>
  <sheetViews>
    <sheetView topLeftCell="A19" workbookViewId="0">
      <selection activeCell="C38" sqref="C38"/>
    </sheetView>
  </sheetViews>
  <sheetFormatPr defaultRowHeight="15" x14ac:dyDescent="0.25"/>
  <cols>
    <col min="1" max="1" width="8.85546875" style="103"/>
    <col min="2" max="2" width="20.7109375" style="103" customWidth="1"/>
    <col min="3" max="3" width="22.28515625" style="103" customWidth="1"/>
    <col min="4" max="4" width="12.42578125" style="103" customWidth="1"/>
    <col min="5" max="5" width="14.28515625" style="103" customWidth="1"/>
    <col min="6" max="6" width="15.28515625" style="103" customWidth="1"/>
    <col min="7" max="7" width="18.42578125" style="103" customWidth="1"/>
    <col min="8" max="8" width="9.28515625" style="103" customWidth="1"/>
    <col min="9" max="10" width="8.85546875" style="103"/>
    <col min="11" max="11" width="13.5703125" style="103" customWidth="1"/>
    <col min="12" max="12" width="11.7109375" customWidth="1"/>
    <col min="13" max="13" width="15.28515625" customWidth="1"/>
    <col min="14" max="14" width="12" customWidth="1"/>
    <col min="15" max="16" width="13.140625" customWidth="1"/>
  </cols>
  <sheetData>
    <row r="1" spans="1:11" s="8" customFormat="1" thickBot="1" x14ac:dyDescent="0.3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s="8" customFormat="1" ht="15.75" thickBot="1" x14ac:dyDescent="0.3">
      <c r="A2" s="103"/>
      <c r="B2" s="117" t="s">
        <v>50</v>
      </c>
      <c r="C2" s="118" t="s">
        <v>51</v>
      </c>
      <c r="D2" s="129" t="s">
        <v>52</v>
      </c>
      <c r="E2" s="130">
        <f>SUMIFS(Планы[План],Планы[Номер плана],D2,Планы[Год],$C$3,Планы[Месяц],$B$3)</f>
        <v>950000</v>
      </c>
      <c r="F2" s="103"/>
      <c r="G2" s="103"/>
      <c r="H2" s="103"/>
      <c r="I2" s="103"/>
      <c r="J2" s="103"/>
      <c r="K2" s="103"/>
    </row>
    <row r="3" spans="1:11" s="8" customFormat="1" ht="15.75" thickBot="1" x14ac:dyDescent="0.3">
      <c r="A3" s="103"/>
      <c r="B3" s="53" t="s">
        <v>204</v>
      </c>
      <c r="C3" s="54">
        <v>2016</v>
      </c>
      <c r="D3" s="131" t="s">
        <v>54</v>
      </c>
      <c r="E3" s="130">
        <f>SUMIFS(Планы[План],Планы[Номер плана],D3,Планы[Год],$C$3,Планы[Месяц],$B$3)</f>
        <v>1150000</v>
      </c>
      <c r="F3" s="103"/>
      <c r="G3" s="103"/>
      <c r="H3" s="103"/>
      <c r="I3" s="103"/>
      <c r="J3" s="103"/>
      <c r="K3" s="103"/>
    </row>
    <row r="4" spans="1:11" s="8" customFormat="1" ht="15.75" thickBot="1" x14ac:dyDescent="0.3">
      <c r="A4" s="103"/>
      <c r="B4" s="125" t="s">
        <v>55</v>
      </c>
      <c r="C4" s="126" t="s">
        <v>56</v>
      </c>
      <c r="D4" s="132" t="s">
        <v>57</v>
      </c>
      <c r="E4" s="130">
        <f>SUMIFS(Планы[План],Планы[Номер плана],D4,Планы[Год],$C$3,Планы[Месяц],$B$3)</f>
        <v>1350000</v>
      </c>
      <c r="F4" s="103"/>
      <c r="G4" s="103"/>
      <c r="H4" s="103"/>
      <c r="I4" s="103"/>
      <c r="J4" s="103"/>
      <c r="K4" s="103"/>
    </row>
    <row r="5" spans="1:11" s="8" customFormat="1" ht="15.75" thickBot="1" x14ac:dyDescent="0.3">
      <c r="A5" s="103"/>
      <c r="B5" s="127">
        <f>DATEVALUE(B3&amp;C3)</f>
        <v>42705</v>
      </c>
      <c r="C5" s="128">
        <f>EOMONTH(B5,0)</f>
        <v>42735</v>
      </c>
      <c r="D5" s="131" t="s">
        <v>58</v>
      </c>
      <c r="E5" s="130">
        <f>SUMIFS(Планы[План],Планы[Номер плана],D5,Планы[Год],$C$3,Планы[Месяц],$B$3)</f>
        <v>1550000</v>
      </c>
      <c r="F5" s="103"/>
      <c r="G5" s="103"/>
      <c r="H5" s="103"/>
      <c r="I5" s="103"/>
      <c r="J5" s="103"/>
      <c r="K5" s="103"/>
    </row>
    <row r="6" spans="1:11" s="8" customFormat="1" ht="15.75" thickBot="1" x14ac:dyDescent="0.3">
      <c r="A6" s="103"/>
      <c r="B6" s="103"/>
      <c r="C6" s="103"/>
      <c r="D6" s="132" t="s">
        <v>59</v>
      </c>
      <c r="E6" s="130">
        <f>SUMIFS(Планы[План],Планы[Номер плана],D6,Планы[Год],$C$3,Планы[Месяц],$B$3)</f>
        <v>1750000</v>
      </c>
      <c r="F6" s="103"/>
      <c r="G6" s="103"/>
      <c r="H6" s="103"/>
      <c r="I6" s="103"/>
      <c r="J6" s="103"/>
      <c r="K6" s="103"/>
    </row>
    <row r="7" spans="1:11" s="8" customFormat="1" ht="15.75" thickBot="1" x14ac:dyDescent="0.3">
      <c r="A7" s="103"/>
      <c r="B7" s="103"/>
      <c r="C7" s="103"/>
      <c r="D7" s="131" t="s">
        <v>60</v>
      </c>
      <c r="E7" s="130">
        <f>SUMIFS(Планы[План],Планы[Номер плана],D7,Планы[Год],$C$3,Планы[Месяц],$B$3)</f>
        <v>100000</v>
      </c>
      <c r="F7" s="103"/>
      <c r="G7" s="103"/>
      <c r="H7" s="103"/>
      <c r="I7" s="103"/>
      <c r="J7" s="103"/>
      <c r="K7" s="103"/>
    </row>
    <row r="8" spans="1:11" s="8" customFormat="1" ht="15.75" thickBot="1" x14ac:dyDescent="0.3">
      <c r="A8" s="103"/>
      <c r="B8" s="103"/>
      <c r="C8" s="103"/>
      <c r="D8" s="133" t="s">
        <v>61</v>
      </c>
      <c r="E8" s="130">
        <f>SUMIFS(Планы[План],Планы[Номер плана],D8,Планы[Год],$C$3,Планы[Месяц],$B$3)</f>
        <v>200000</v>
      </c>
      <c r="F8" s="103"/>
      <c r="G8" s="103"/>
      <c r="H8" s="103"/>
      <c r="I8" s="103"/>
      <c r="J8" s="103"/>
      <c r="K8" s="103"/>
    </row>
    <row r="9" spans="1:11" s="8" customFormat="1" ht="15.75" thickBot="1" x14ac:dyDescent="0.3">
      <c r="A9" s="103"/>
      <c r="B9" s="103"/>
      <c r="C9" s="103"/>
      <c r="D9" s="134" t="s">
        <v>62</v>
      </c>
      <c r="E9" s="177">
        <f>SUMIFS(Планы[План],Планы[Номер плана],D9,Планы[Год],$C$3,Планы[Месяц],$B$3)</f>
        <v>400000</v>
      </c>
      <c r="F9" s="103"/>
      <c r="G9" s="103"/>
      <c r="H9" s="103"/>
      <c r="I9" s="103"/>
      <c r="J9" s="103"/>
      <c r="K9" s="103"/>
    </row>
    <row r="10" spans="1:11" s="8" customFormat="1" thickBot="1" x14ac:dyDescent="0.35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</row>
    <row r="11" spans="1:11" s="8" customFormat="1" ht="15.75" thickBot="1" x14ac:dyDescent="0.3">
      <c r="A11" s="103"/>
      <c r="B11" s="135" t="s">
        <v>63</v>
      </c>
      <c r="C11" s="136">
        <f>SUMIFS(Реестр[Стоимость реализации],Реестр[Дата заказа],"&gt;="&amp;НП,Реестр[Дата заказа],"&lt;="&amp;КП)</f>
        <v>498563</v>
      </c>
      <c r="D11" s="100"/>
      <c r="E11" s="103"/>
      <c r="F11" s="103"/>
      <c r="G11" s="103"/>
      <c r="H11" s="103"/>
      <c r="I11" s="103"/>
      <c r="J11" s="103"/>
      <c r="K11" s="103"/>
    </row>
    <row r="12" spans="1:11" s="8" customFormat="1" ht="15.75" thickBot="1" x14ac:dyDescent="0.3">
      <c r="A12" s="103"/>
      <c r="B12" s="137" t="s">
        <v>64</v>
      </c>
      <c r="C12" s="138">
        <f>SUMIFS(Реестр[Стоимость реализации],Реестр[Дата отгрузки ФАКТ],"&gt;="&amp;НП,Реестр[Дата отгрузки ФАКТ],"&lt;="&amp;КП)</f>
        <v>436723</v>
      </c>
      <c r="D12" s="100"/>
      <c r="E12" s="103"/>
      <c r="F12" s="103"/>
      <c r="G12" s="103"/>
      <c r="H12" s="103"/>
      <c r="I12" s="103"/>
      <c r="J12" s="103"/>
      <c r="K12" s="103"/>
    </row>
    <row r="13" spans="1:11" s="8" customFormat="1" ht="15.75" thickBot="1" x14ac:dyDescent="0.3">
      <c r="A13" s="103"/>
      <c r="B13" s="137" t="s">
        <v>65</v>
      </c>
      <c r="C13" s="139" t="str">
        <f>IF(C11&lt;E2,"план не выполнен",IF(AND(C11&gt;E2,C11&lt;E3),D2,IF(AND(C11&gt;E3,C11&lt;E4),D3,IF(AND(C11&gt;E4,C11&lt;E5),D4,IF(AND(C11&gt;E5,C11&lt;E6),D5,IF(C11&gt;E6,D6,0))))))</f>
        <v>план не выполнен</v>
      </c>
      <c r="D13" s="100"/>
      <c r="E13" s="103"/>
      <c r="F13" s="103"/>
      <c r="G13" s="103"/>
      <c r="H13" s="103"/>
      <c r="I13" s="103"/>
      <c r="J13" s="103"/>
      <c r="K13" s="103"/>
    </row>
    <row r="14" spans="1:11" s="8" customFormat="1" thickBot="1" x14ac:dyDescent="0.35">
      <c r="A14" s="103"/>
      <c r="B14" s="140"/>
      <c r="C14" s="140"/>
      <c r="D14" s="103"/>
      <c r="E14" s="103"/>
      <c r="F14" s="103"/>
      <c r="G14" s="103"/>
      <c r="H14" s="103"/>
      <c r="I14" s="103"/>
      <c r="J14" s="103"/>
      <c r="K14" s="103"/>
    </row>
    <row r="15" spans="1:11" s="8" customFormat="1" ht="15.75" thickBot="1" x14ac:dyDescent="0.3">
      <c r="A15" s="103"/>
      <c r="B15" s="141" t="s">
        <v>66</v>
      </c>
      <c r="C15" s="142">
        <f>SUMIF(Таблица3[Должность],"стажер",Таблица3[Сумма продаж])</f>
        <v>403611</v>
      </c>
      <c r="D15" s="103"/>
      <c r="E15" s="103"/>
      <c r="F15" s="103"/>
      <c r="G15" s="103"/>
      <c r="H15" s="103"/>
      <c r="I15" s="103"/>
      <c r="J15" s="103"/>
      <c r="K15" s="103"/>
    </row>
    <row r="16" spans="1:11" s="8" customFormat="1" ht="15.75" thickBot="1" x14ac:dyDescent="0.3">
      <c r="A16" s="103"/>
      <c r="B16" s="141" t="s">
        <v>67</v>
      </c>
      <c r="C16" s="143" t="str">
        <f>IF(C15&lt;E7,"план не выполнен",IF(AND(C15&gt;E7,C15&lt;E8),D7,IF(AND(C15&gt;E8,C15&lt;E9),D8,IF(C15&gt;E9,D9,0))))</f>
        <v>План Ст3</v>
      </c>
      <c r="D16" s="103"/>
      <c r="E16" s="103"/>
      <c r="F16" s="103"/>
      <c r="G16" s="103"/>
      <c r="H16" s="103"/>
      <c r="I16" s="103"/>
      <c r="J16" s="103"/>
      <c r="K16" s="103"/>
    </row>
    <row r="17" spans="1:11" s="8" customFormat="1" ht="14.45" x14ac:dyDescent="0.3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</row>
    <row r="18" spans="1:11" s="8" customFormat="1" x14ac:dyDescent="0.25">
      <c r="A18" s="103"/>
      <c r="B18" s="144" t="s">
        <v>68</v>
      </c>
      <c r="C18" s="140"/>
      <c r="D18" s="140"/>
      <c r="E18" s="140">
        <v>20000</v>
      </c>
      <c r="F18" s="103"/>
      <c r="G18" s="103"/>
      <c r="H18" s="103"/>
      <c r="I18" s="103"/>
      <c r="J18" s="103"/>
      <c r="K18" s="103"/>
    </row>
    <row r="19" spans="1:11" s="8" customFormat="1" ht="14.45" x14ac:dyDescent="0.3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</row>
    <row r="20" spans="1:11" s="8" customFormat="1" x14ac:dyDescent="0.25">
      <c r="A20" s="103"/>
      <c r="B20" s="119" t="s">
        <v>69</v>
      </c>
      <c r="C20" s="103"/>
      <c r="D20" s="103"/>
      <c r="E20" s="103"/>
      <c r="F20" s="103"/>
      <c r="G20" s="103"/>
      <c r="H20" s="103"/>
      <c r="I20" s="103"/>
      <c r="J20" s="103"/>
      <c r="K20" s="103"/>
    </row>
    <row r="21" spans="1:11" ht="30" x14ac:dyDescent="0.25">
      <c r="B21" s="120" t="s">
        <v>70</v>
      </c>
      <c r="C21" s="121" t="s">
        <v>71</v>
      </c>
      <c r="D21" s="121" t="s">
        <v>72</v>
      </c>
      <c r="E21" s="214" t="s">
        <v>73</v>
      </c>
      <c r="F21" s="214" t="s">
        <v>74</v>
      </c>
      <c r="G21" s="214" t="s">
        <v>75</v>
      </c>
      <c r="H21" s="215" t="s">
        <v>76</v>
      </c>
    </row>
    <row r="22" spans="1:11" x14ac:dyDescent="0.25">
      <c r="B22" s="255">
        <v>42706</v>
      </c>
      <c r="C22" s="122" t="s">
        <v>273</v>
      </c>
      <c r="D22" s="124" t="s">
        <v>106</v>
      </c>
      <c r="E22" s="247">
        <f>SUMIFS(Штатка[Оклад в день],Штатка[ФИО],Табель[[#This Row],[ФИО]],Штатка[Должность],Табель[[#This Row],[Должность]])</f>
        <v>800</v>
      </c>
      <c r="F22" s="124">
        <f>SUMIFS(Реестр[Стоимость реализации],Реестр[Дата заказа],B22,Реестр[Менеджер],C22)</f>
        <v>3990</v>
      </c>
      <c r="G22" s="124">
        <f>IF(F22&gt;=$E$18,SUMIF(Штатка[ФИО],C22,Штатка[Премии за продажи в день]),0)</f>
        <v>0</v>
      </c>
      <c r="H22" s="123">
        <f t="shared" ref="H22:H48" si="0">E22+G22</f>
        <v>800</v>
      </c>
    </row>
    <row r="23" spans="1:11" x14ac:dyDescent="0.25">
      <c r="B23" s="256">
        <v>42707</v>
      </c>
      <c r="C23" s="122" t="s">
        <v>273</v>
      </c>
      <c r="D23" s="124" t="s">
        <v>106</v>
      </c>
      <c r="E23" s="247">
        <f>SUMIFS(Штатка[Оклад в день],Штатка[ФИО],Табель[[#This Row],[ФИО]],Штатка[Должность],Табель[[#This Row],[Должность]])</f>
        <v>800</v>
      </c>
      <c r="F23" s="124">
        <f>SUMIFS(Реестр[Стоимость реализации],Реестр[Дата заказа],B23,Реестр[Менеджер],C23)</f>
        <v>6720</v>
      </c>
      <c r="G23" s="124">
        <f>IF(F23&gt;=$E$18,SUMIF(Штатка[ФИО],C23,Штатка[Премии за продажи в день]),0)</f>
        <v>0</v>
      </c>
      <c r="H23" s="123">
        <f t="shared" si="0"/>
        <v>800</v>
      </c>
    </row>
    <row r="24" spans="1:11" x14ac:dyDescent="0.25">
      <c r="B24" s="256">
        <v>42708</v>
      </c>
      <c r="C24" s="122" t="s">
        <v>273</v>
      </c>
      <c r="D24" s="124" t="s">
        <v>106</v>
      </c>
      <c r="E24" s="247">
        <f>SUMIFS(Штатка[Оклад в день],Штатка[ФИО],Табель[[#This Row],[ФИО]],Штатка[Должность],Табель[[#This Row],[Должность]])</f>
        <v>800</v>
      </c>
      <c r="F24" s="124">
        <f>SUMIFS(Реестр[Стоимость реализации],Реестр[Дата заказа],B24,Реестр[Менеджер],C24)</f>
        <v>17340</v>
      </c>
      <c r="G24" s="124">
        <f>IF(F24&gt;=$E$18,SUMIF(Штатка[ФИО],C24,Штатка[Премии за продажи в день]),0)</f>
        <v>0</v>
      </c>
      <c r="H24" s="123">
        <f t="shared" si="0"/>
        <v>800</v>
      </c>
    </row>
    <row r="25" spans="1:11" x14ac:dyDescent="0.25">
      <c r="B25" s="255">
        <v>42709</v>
      </c>
      <c r="C25" s="122" t="s">
        <v>273</v>
      </c>
      <c r="D25" s="124" t="s">
        <v>106</v>
      </c>
      <c r="E25" s="247">
        <f>SUMIFS(Штатка[Оклад в день],Штатка[ФИО],Табель[[#This Row],[ФИО]],Штатка[Должность],Табель[[#This Row],[Должность]])</f>
        <v>800</v>
      </c>
      <c r="F25" s="124">
        <f>SUMIFS(Реестр[Стоимость реализации],Реестр[Дата заказа],B25,Реестр[Менеджер],C25)</f>
        <v>0</v>
      </c>
      <c r="G25" s="124">
        <f>IF(F25&gt;=$E$18,SUMIF(Штатка[ФИО],C25,Штатка[Премии за продажи в день]),0)</f>
        <v>0</v>
      </c>
      <c r="H25" s="123">
        <f t="shared" si="0"/>
        <v>800</v>
      </c>
    </row>
    <row r="26" spans="1:11" x14ac:dyDescent="0.25">
      <c r="B26" s="255">
        <v>42710</v>
      </c>
      <c r="C26" s="122" t="s">
        <v>273</v>
      </c>
      <c r="D26" s="124" t="s">
        <v>106</v>
      </c>
      <c r="E26" s="247">
        <f>SUMIFS(Штатка[Оклад в день],Штатка[ФИО],Табель[[#This Row],[ФИО]],Штатка[Должность],Табель[[#This Row],[Должность]])</f>
        <v>800</v>
      </c>
      <c r="F26" s="124">
        <f>SUMIFS(Реестр[Стоимость реализации],Реестр[Дата заказа],B26,Реестр[Менеджер],C26)</f>
        <v>0</v>
      </c>
      <c r="G26" s="124">
        <f>IF(F26&gt;=$E$18,SUMIF(Штатка[ФИО],C26,Штатка[Премии за продажи в день]),0)</f>
        <v>0</v>
      </c>
      <c r="H26" s="123">
        <f t="shared" si="0"/>
        <v>800</v>
      </c>
    </row>
    <row r="27" spans="1:11" x14ac:dyDescent="0.25">
      <c r="B27" s="255">
        <v>42713</v>
      </c>
      <c r="C27" s="122" t="s">
        <v>273</v>
      </c>
      <c r="D27" s="124" t="s">
        <v>106</v>
      </c>
      <c r="E27" s="247">
        <f>SUMIFS(Штатка[Оклад в день],Штатка[ФИО],Табель[[#This Row],[ФИО]],Штатка[Должность],Табель[[#This Row],[Должность]])</f>
        <v>800</v>
      </c>
      <c r="F27" s="124">
        <f>SUMIFS(Реестр[Стоимость реализации],Реестр[Дата заказа],B27,Реестр[Менеджер],C27)</f>
        <v>47880</v>
      </c>
      <c r="G27" s="124">
        <f>IF(F27&gt;=$E$18,SUMIF(Штатка[ФИО],C27,Штатка[Премии за продажи в день]),0)</f>
        <v>400</v>
      </c>
      <c r="H27" s="123">
        <f t="shared" si="0"/>
        <v>1200</v>
      </c>
    </row>
    <row r="28" spans="1:11" x14ac:dyDescent="0.25">
      <c r="B28" s="255">
        <v>42714</v>
      </c>
      <c r="C28" s="122" t="s">
        <v>273</v>
      </c>
      <c r="D28" s="124" t="s">
        <v>106</v>
      </c>
      <c r="E28" s="247">
        <f>SUMIFS(Штатка[Оклад в день],Штатка[ФИО],Табель[[#This Row],[ФИО]],Штатка[Должность],Табель[[#This Row],[Должность]])</f>
        <v>800</v>
      </c>
      <c r="F28" s="124">
        <f>SUMIFS(Реестр[Стоимость реализации],Реестр[Дата заказа],B28,Реестр[Менеджер],C28)</f>
        <v>18900</v>
      </c>
      <c r="G28" s="124">
        <f>IF(F28&gt;=$E$18,SUMIF(Штатка[ФИО],C28,Штатка[Премии за продажи в день]),0)</f>
        <v>0</v>
      </c>
      <c r="H28" s="123">
        <f t="shared" si="0"/>
        <v>800</v>
      </c>
    </row>
    <row r="29" spans="1:11" x14ac:dyDescent="0.25">
      <c r="B29" s="255">
        <v>42715</v>
      </c>
      <c r="C29" s="122" t="s">
        <v>273</v>
      </c>
      <c r="D29" s="124" t="s">
        <v>106</v>
      </c>
      <c r="E29" s="247">
        <f>SUMIFS(Штатка[Оклад в день],Штатка[ФИО],Табель[[#This Row],[ФИО]],Штатка[Должность],Табель[[#This Row],[Должность]])</f>
        <v>800</v>
      </c>
      <c r="F29" s="124">
        <f>SUMIFS(Реестр[Стоимость реализации],Реестр[Дата заказа],B29,Реестр[Менеджер],C29)</f>
        <v>10990</v>
      </c>
      <c r="G29" s="124">
        <f>IF(F29&gt;=$E$18,SUMIF(Штатка[ФИО],C29,Штатка[Премии за продажи в день]),0)</f>
        <v>0</v>
      </c>
      <c r="H29" s="123">
        <f t="shared" si="0"/>
        <v>800</v>
      </c>
    </row>
    <row r="30" spans="1:11" s="8" customFormat="1" x14ac:dyDescent="0.25">
      <c r="A30" s="103"/>
      <c r="B30" s="256">
        <v>42716</v>
      </c>
      <c r="C30" s="122" t="s">
        <v>273</v>
      </c>
      <c r="D30" s="124" t="s">
        <v>106</v>
      </c>
      <c r="E30" s="247">
        <f>SUMIFS(Штатка[Оклад в день],Штатка[ФИО],Табель[[#This Row],[ФИО]],Штатка[Должность],Табель[[#This Row],[Должность]])</f>
        <v>800</v>
      </c>
      <c r="F30" s="124">
        <f>SUMIFS(Реестр[Стоимость реализации],Реестр[Дата заказа],B30,Реестр[Менеджер],C30)</f>
        <v>0</v>
      </c>
      <c r="G30" s="124">
        <f>IF(F30&gt;=$E$18,SUMIF(Штатка[ФИО],C30,Штатка[Премии за продажи в день]),0)</f>
        <v>0</v>
      </c>
      <c r="H30" s="123">
        <f t="shared" si="0"/>
        <v>800</v>
      </c>
      <c r="I30" s="103"/>
      <c r="J30" s="103"/>
      <c r="K30" s="103"/>
    </row>
    <row r="31" spans="1:11" x14ac:dyDescent="0.25">
      <c r="B31" s="255">
        <v>42719</v>
      </c>
      <c r="C31" s="122" t="s">
        <v>273</v>
      </c>
      <c r="D31" s="124" t="s">
        <v>106</v>
      </c>
      <c r="E31" s="247">
        <f>SUMIFS(Штатка[Оклад в день],Штатка[ФИО],Табель[[#This Row],[ФИО]],Штатка[Должность],Табель[[#This Row],[Должность]])</f>
        <v>800</v>
      </c>
      <c r="F31" s="124">
        <f>SUMIFS(Реестр[Стоимость реализации],Реестр[Дата заказа],B31,Реестр[Менеджер],C31)</f>
        <v>0</v>
      </c>
      <c r="G31" s="124">
        <f>IF(F31&gt;=$E$18,SUMIF(Штатка[ФИО],C31,Штатка[Премии за продажи в день]),0)</f>
        <v>0</v>
      </c>
      <c r="H31" s="123">
        <f t="shared" si="0"/>
        <v>800</v>
      </c>
    </row>
    <row r="32" spans="1:11" x14ac:dyDescent="0.25">
      <c r="B32" s="255">
        <v>42720</v>
      </c>
      <c r="C32" s="122" t="s">
        <v>273</v>
      </c>
      <c r="D32" s="124" t="s">
        <v>106</v>
      </c>
      <c r="E32" s="247">
        <f>SUMIFS(Штатка[Оклад в день],Штатка[ФИО],Табель[[#This Row],[ФИО]],Штатка[Должность],Табель[[#This Row],[Должность]])</f>
        <v>800</v>
      </c>
      <c r="F32" s="124">
        <f>SUMIFS(Реестр[Стоимость реализации],Реестр[Дата заказа],B32,Реестр[Менеджер],C32)</f>
        <v>0</v>
      </c>
      <c r="G32" s="124">
        <f>IF(F32&gt;=$E$18,SUMIF(Штатка[ФИО],C32,Штатка[Премии за продажи в день]),0)</f>
        <v>0</v>
      </c>
      <c r="H32" s="123">
        <f t="shared" si="0"/>
        <v>800</v>
      </c>
    </row>
    <row r="33" spans="2:8" x14ac:dyDescent="0.25">
      <c r="B33" s="255">
        <v>42721</v>
      </c>
      <c r="C33" s="122" t="s">
        <v>273</v>
      </c>
      <c r="D33" s="124" t="s">
        <v>106</v>
      </c>
      <c r="E33" s="247">
        <f>SUMIFS(Штатка[Оклад в день],Штатка[ФИО],Табель[[#This Row],[ФИО]],Штатка[Должность],Табель[[#This Row],[Должность]])</f>
        <v>800</v>
      </c>
      <c r="F33" s="124">
        <f>SUMIFS(Реестр[Стоимость реализации],Реестр[Дата заказа],B33,Реестр[Менеджер],C33)</f>
        <v>29691</v>
      </c>
      <c r="G33" s="124">
        <f>IF(F33&gt;=$E$18,SUMIF(Штатка[ФИО],C33,Штатка[Премии за продажи в день]),0)</f>
        <v>400</v>
      </c>
      <c r="H33" s="123">
        <f t="shared" si="0"/>
        <v>1200</v>
      </c>
    </row>
    <row r="34" spans="2:8" x14ac:dyDescent="0.25">
      <c r="B34" s="255">
        <v>42722</v>
      </c>
      <c r="C34" s="122" t="s">
        <v>273</v>
      </c>
      <c r="D34" s="124" t="s">
        <v>106</v>
      </c>
      <c r="E34" s="247">
        <f>SUMIFS(Штатка[Оклад в день],Штатка[ФИО],Табель[[#This Row],[ФИО]],Штатка[Должность],Табель[[#This Row],[Должность]])</f>
        <v>800</v>
      </c>
      <c r="F34" s="124">
        <f>SUMIFS(Реестр[Стоимость реализации],Реестр[Дата заказа],B34,Реестр[Менеджер],C34)</f>
        <v>55390</v>
      </c>
      <c r="G34" s="124">
        <f>IF(F34&gt;=$E$18,SUMIF(Штатка[ФИО],C34,Штатка[Премии за продажи в день]),0)</f>
        <v>400</v>
      </c>
      <c r="H34" s="123">
        <f t="shared" si="0"/>
        <v>1200</v>
      </c>
    </row>
    <row r="35" spans="2:8" x14ac:dyDescent="0.25">
      <c r="B35" s="255">
        <v>42723</v>
      </c>
      <c r="C35" s="122" t="s">
        <v>273</v>
      </c>
      <c r="D35" s="124" t="s">
        <v>106</v>
      </c>
      <c r="E35" s="247">
        <f>SUMIFS(Штатка[Оклад в день],Штатка[ФИО],Табель[[#This Row],[ФИО]],Штатка[Должность],Табель[[#This Row],[Должность]])</f>
        <v>800</v>
      </c>
      <c r="F35" s="124">
        <f>SUMIFS(Реестр[Стоимость реализации],Реестр[Дата заказа],B35,Реестр[Менеджер],C35)</f>
        <v>0</v>
      </c>
      <c r="G35" s="124">
        <f>IF(F35&gt;=$E$18,SUMIF(Штатка[ФИО],C35,Штатка[Премии за продажи в день]),0)</f>
        <v>0</v>
      </c>
      <c r="H35" s="123">
        <f t="shared" si="0"/>
        <v>800</v>
      </c>
    </row>
    <row r="36" spans="2:8" x14ac:dyDescent="0.25">
      <c r="B36" s="255">
        <v>42724</v>
      </c>
      <c r="C36" s="122" t="s">
        <v>273</v>
      </c>
      <c r="D36" s="124" t="s">
        <v>106</v>
      </c>
      <c r="E36" s="247">
        <f>SUMIFS(Штатка[Оклад в день],Штатка[ФИО],Табель[[#This Row],[ФИО]],Штатка[Должность],Табель[[#This Row],[Должность]])</f>
        <v>800</v>
      </c>
      <c r="F36" s="124">
        <f>SUMIFS(Реестр[Стоимость реализации],Реестр[Дата заказа],B36,Реестр[Менеджер],C36)</f>
        <v>6860</v>
      </c>
      <c r="G36" s="124">
        <f>IF(F36&gt;=$E$18,SUMIF(Штатка[ФИО],C36,Штатка[Премии за продажи в день]),0)</f>
        <v>0</v>
      </c>
      <c r="H36" s="123">
        <f t="shared" si="0"/>
        <v>800</v>
      </c>
    </row>
    <row r="37" spans="2:8" x14ac:dyDescent="0.25">
      <c r="B37" s="255">
        <v>42727</v>
      </c>
      <c r="C37" s="122" t="s">
        <v>273</v>
      </c>
      <c r="D37" s="124" t="s">
        <v>106</v>
      </c>
      <c r="E37" s="247">
        <f>SUMIFS(Штатка[Оклад в день],Штатка[ФИО],Табель[[#This Row],[ФИО]],Штатка[Должность],Табель[[#This Row],[Должность]])</f>
        <v>800</v>
      </c>
      <c r="F37" s="124">
        <f>SUMIFS(Реестр[Стоимость реализации],Реестр[Дата заказа],B37,Реестр[Менеджер],C37)</f>
        <v>0</v>
      </c>
      <c r="G37" s="124">
        <f>IF(F37&gt;=$E$18,SUMIF(Штатка[ФИО],C37,Штатка[Премии за продажи в день]),0)</f>
        <v>0</v>
      </c>
      <c r="H37" s="123">
        <f t="shared" si="0"/>
        <v>800</v>
      </c>
    </row>
    <row r="38" spans="2:8" x14ac:dyDescent="0.25">
      <c r="B38" s="255">
        <v>42728</v>
      </c>
      <c r="C38" s="122" t="s">
        <v>273</v>
      </c>
      <c r="D38" s="124" t="s">
        <v>106</v>
      </c>
      <c r="E38" s="247">
        <f>SUMIFS(Штатка[Оклад в день],Штатка[ФИО],Табель[[#This Row],[ФИО]],Штатка[Должность],Табель[[#This Row],[Должность]])</f>
        <v>800</v>
      </c>
      <c r="F38" s="124">
        <f>SUMIFS(Реестр[Стоимость реализации],Реестр[Дата заказа],B38,Реестр[Менеджер],C38)</f>
        <v>92060</v>
      </c>
      <c r="G38" s="124">
        <f>IF(F38&gt;=$E$18,SUMIF(Штатка[ФИО],C38,Штатка[Премии за продажи в день]),0)</f>
        <v>400</v>
      </c>
      <c r="H38" s="123">
        <f t="shared" si="0"/>
        <v>1200</v>
      </c>
    </row>
    <row r="39" spans="2:8" x14ac:dyDescent="0.25">
      <c r="B39" s="255">
        <v>42729</v>
      </c>
      <c r="C39" s="122" t="s">
        <v>273</v>
      </c>
      <c r="D39" s="124" t="s">
        <v>106</v>
      </c>
      <c r="E39" s="247">
        <f>SUMIFS(Штатка[Оклад в день],Штатка[ФИО],Табель[[#This Row],[ФИО]],Штатка[Должность],Табель[[#This Row],[Должность]])</f>
        <v>800</v>
      </c>
      <c r="F39" s="124">
        <f>SUMIFS(Реестр[Стоимость реализации],Реестр[Дата заказа],B39,Реестр[Менеджер],C39)</f>
        <v>0</v>
      </c>
      <c r="G39" s="124">
        <f>IF(F39&gt;=$E$18,SUMIF(Штатка[ФИО],C39,Штатка[Премии за продажи в день]),0)</f>
        <v>0</v>
      </c>
      <c r="H39" s="123">
        <f t="shared" si="0"/>
        <v>800</v>
      </c>
    </row>
    <row r="40" spans="2:8" x14ac:dyDescent="0.25">
      <c r="B40" s="255">
        <v>42730</v>
      </c>
      <c r="C40" s="122" t="s">
        <v>273</v>
      </c>
      <c r="D40" s="124" t="s">
        <v>106</v>
      </c>
      <c r="E40" s="247">
        <f>SUMIFS(Штатка[Оклад в день],Штатка[ФИО],Табель[[#This Row],[ФИО]],Штатка[Должность],Табель[[#This Row],[Должность]])</f>
        <v>800</v>
      </c>
      <c r="F40" s="124">
        <f>SUMIFS(Реестр[Стоимость реализации],Реестр[Дата заказа],B40,Реестр[Менеджер],C40)</f>
        <v>0</v>
      </c>
      <c r="G40" s="124">
        <f>IF(F40&gt;=$E$18,SUMIF(Штатка[ФИО],C40,Штатка[Премии за продажи в день]),0)</f>
        <v>0</v>
      </c>
      <c r="H40" s="123">
        <f t="shared" si="0"/>
        <v>800</v>
      </c>
    </row>
    <row r="41" spans="2:8" x14ac:dyDescent="0.25">
      <c r="B41" s="255">
        <v>42731</v>
      </c>
      <c r="C41" s="122" t="s">
        <v>273</v>
      </c>
      <c r="D41" s="124" t="s">
        <v>106</v>
      </c>
      <c r="E41" s="247">
        <f>SUMIFS(Штатка[Оклад в день],Штатка[ФИО],Табель[[#This Row],[ФИО]],Штатка[Должность],Табель[[#This Row],[Должность]])</f>
        <v>800</v>
      </c>
      <c r="F41" s="124">
        <f>SUMIFS(Реестр[Стоимость реализации],Реестр[Дата заказа],B41,Реестр[Менеджер],C41)</f>
        <v>0</v>
      </c>
      <c r="G41" s="124">
        <f>IF(F41&gt;=$E$18,SUMIF(Штатка[ФИО],C41,Штатка[Премии за продажи в день]),0)</f>
        <v>0</v>
      </c>
      <c r="H41" s="123">
        <f t="shared" si="0"/>
        <v>800</v>
      </c>
    </row>
    <row r="42" spans="2:8" x14ac:dyDescent="0.25">
      <c r="B42" s="255">
        <v>42732</v>
      </c>
      <c r="C42" s="122" t="s">
        <v>27</v>
      </c>
      <c r="D42" s="124" t="s">
        <v>77</v>
      </c>
      <c r="E42" s="247">
        <f>SUMIFS(Штатка[Оклад в день],Штатка[ФИО],Табель[[#This Row],[ФИО]],Штатка[Должность],Табель[[#This Row],[Должность]])</f>
        <v>800</v>
      </c>
      <c r="F42" s="124">
        <v>20080</v>
      </c>
      <c r="G42" s="124">
        <f>IF(F42&gt;=$E$18,SUMIF(Штатка[ФИО],C42,Штатка[Премии за продажи в день]),0)</f>
        <v>400</v>
      </c>
      <c r="H42" s="123">
        <f t="shared" si="0"/>
        <v>1200</v>
      </c>
    </row>
    <row r="43" spans="2:8" x14ac:dyDescent="0.25">
      <c r="B43" s="255">
        <v>42733</v>
      </c>
      <c r="C43" s="122" t="s">
        <v>273</v>
      </c>
      <c r="D43" s="124" t="s">
        <v>106</v>
      </c>
      <c r="E43" s="247">
        <f>SUMIFS(Штатка[Оклад в день],Штатка[ФИО],Табель[[#This Row],[ФИО]],Штатка[Должность],Табель[[#This Row],[Должность]])</f>
        <v>800</v>
      </c>
      <c r="F43" s="124">
        <f>SUMIFS(Реестр[Стоимость реализации],Реестр[Дата заказа],B43,Реестр[Менеджер],C43)</f>
        <v>0</v>
      </c>
      <c r="G43" s="124">
        <f>IF(F43&gt;=$E$18,SUMIF(Штатка[ФИО],C43,Штатка[Премии за продажи в день]),0)</f>
        <v>0</v>
      </c>
      <c r="H43" s="123">
        <f t="shared" si="0"/>
        <v>800</v>
      </c>
    </row>
    <row r="44" spans="2:8" ht="14.45" x14ac:dyDescent="0.3">
      <c r="B44" s="255"/>
      <c r="C44" s="122"/>
      <c r="D44" s="124"/>
      <c r="E44" s="247">
        <f>SUMIFS(Штатка[Оклад в день],Штатка[ФИО],Табель[[#This Row],[ФИО]],Штатка[Должность],Табель[[#This Row],[Должность]])</f>
        <v>0</v>
      </c>
      <c r="F44" s="124">
        <f>SUMIFS(Реестр[Стоимость реализации],Реестр[Дата заказа],B44,Реестр[Менеджер],C44)</f>
        <v>0</v>
      </c>
      <c r="G44" s="124">
        <f>IF(F44&gt;=$E$18,SUMIF(Штатка[ФИО],C44,Штатка[Премии за продажи в день]),0)</f>
        <v>0</v>
      </c>
      <c r="H44" s="123">
        <f t="shared" si="0"/>
        <v>0</v>
      </c>
    </row>
    <row r="45" spans="2:8" x14ac:dyDescent="0.25">
      <c r="B45" s="52"/>
      <c r="C45" s="145"/>
      <c r="D45" s="146"/>
      <c r="E45" s="247">
        <f>SUMIFS(Штатка[Оклад в день],Штатка[ФИО],Табель[[#This Row],[ФИО]],Штатка[Должность],Табель[[#This Row],[Должность]])</f>
        <v>0</v>
      </c>
      <c r="F45" s="124">
        <f>SUMIFS(Реестр[Стоимость реализации],Реестр[Дата заказа],B45,Реестр[Менеджер],C45)</f>
        <v>0</v>
      </c>
      <c r="G45" s="124">
        <f>IF(F45&gt;=$E$18,SUMIF(Штатка[ФИО],C45,Штатка[Премии за продажи в день]),0)</f>
        <v>0</v>
      </c>
      <c r="H45" s="123">
        <f t="shared" si="0"/>
        <v>0</v>
      </c>
    </row>
    <row r="46" spans="2:8" x14ac:dyDescent="0.25">
      <c r="B46" s="52"/>
      <c r="C46" s="145"/>
      <c r="D46" s="146"/>
      <c r="E46" s="247">
        <f>SUMIFS(Штатка[Оклад в день],Штатка[ФИО],Табель[[#This Row],[ФИО]],Штатка[Должность],Табель[[#This Row],[Должность]])</f>
        <v>0</v>
      </c>
      <c r="F46" s="124">
        <f>SUMIFS(Реестр[Стоимость реализации],Реестр[Дата заказа],B46,Реестр[Менеджер],C46)</f>
        <v>0</v>
      </c>
      <c r="G46" s="124">
        <f>IF(F46&gt;=$E$18,SUMIF(Штатка[ФИО],C46,Штатка[Премии за продажи в день]),0)</f>
        <v>0</v>
      </c>
      <c r="H46" s="123">
        <f t="shared" si="0"/>
        <v>0</v>
      </c>
    </row>
    <row r="47" spans="2:8" x14ac:dyDescent="0.25">
      <c r="B47" s="52"/>
      <c r="C47" s="145"/>
      <c r="D47" s="146"/>
      <c r="E47" s="247">
        <f>SUMIFS(Штатка[Оклад в день],Штатка[ФИО],Табель[[#This Row],[ФИО]],Штатка[Должность],Табель[[#This Row],[Должность]])</f>
        <v>0</v>
      </c>
      <c r="F47" s="124">
        <f>SUMIFS(Реестр[Стоимость реализации],Реестр[Дата заказа],B47,Реестр[Менеджер],C47)</f>
        <v>0</v>
      </c>
      <c r="G47" s="124">
        <f>IF(F47&gt;=$E$18,SUMIF(Штатка[ФИО],C47,Штатка[Премии за продажи в день]),0)</f>
        <v>0</v>
      </c>
      <c r="H47" s="123">
        <f t="shared" si="0"/>
        <v>0</v>
      </c>
    </row>
    <row r="48" spans="2:8" x14ac:dyDescent="0.25">
      <c r="B48" s="52"/>
      <c r="C48" s="145"/>
      <c r="D48" s="146"/>
      <c r="E48" s="247">
        <f>SUMIFS(Штатка[Оклад в день],Штатка[ФИО],Табель[[#This Row],[ФИО]],Штатка[Должность],Табель[[#This Row],[Должность]])</f>
        <v>0</v>
      </c>
      <c r="F48" s="124">
        <f>SUMIFS(Реестр[Стоимость реализации],Реестр[Дата заказа],B48,Реестр[Менеджер],C48)</f>
        <v>0</v>
      </c>
      <c r="G48" s="124">
        <f>IF(F48&gt;=$E$18,SUMIF(Штатка[ФИО],C48,Штатка[Премии за продажи в день]),0)</f>
        <v>0</v>
      </c>
      <c r="H48" s="123">
        <f t="shared" si="0"/>
        <v>0</v>
      </c>
    </row>
    <row r="49" spans="2:8" x14ac:dyDescent="0.25">
      <c r="B49" s="52"/>
      <c r="C49" s="145"/>
      <c r="D49" s="146"/>
      <c r="E49" s="247">
        <f>SUMIFS(Штатка[Оклад в день],Штатка[ФИО],Табель[[#This Row],[ФИО]],Штатка[Должность],Табель[[#This Row],[Должность]])</f>
        <v>0</v>
      </c>
      <c r="F49" s="124">
        <f>SUMIFS(Реестр[Стоимость реализации],Реестр[Дата заказа],B49,Реестр[Менеджер],C49)</f>
        <v>0</v>
      </c>
      <c r="G49" s="124">
        <f>IF(F49&gt;=$E$18,SUMIF(Штатка[ФИО],C49,Штатка[Премии за продажи в день]),0)</f>
        <v>0</v>
      </c>
      <c r="H49" s="123">
        <f t="shared" ref="H49:H54" si="1">E49+G49</f>
        <v>0</v>
      </c>
    </row>
    <row r="50" spans="2:8" x14ac:dyDescent="0.25">
      <c r="B50" s="52"/>
      <c r="C50" s="145"/>
      <c r="D50" s="146"/>
      <c r="E50" s="124">
        <f>SUMIFS(Штатка[Оклад в день],Штатка[ФИО],Табель[[#This Row],[ФИО]],Штатка[Должность],Табель[[#This Row],[Должность]])</f>
        <v>0</v>
      </c>
      <c r="F50" s="124">
        <f>SUMIFS(Реестр[Стоимость реализации],Реестр[Дата заказа],B50,Реестр[Менеджер],C50)</f>
        <v>0</v>
      </c>
      <c r="G50" s="124">
        <f>IF(F50&gt;=$E$18,SUMIF(Штатка[ФИО],C50,Штатка[Премии за продажи в день]),0)</f>
        <v>0</v>
      </c>
      <c r="H50" s="123">
        <f t="shared" si="1"/>
        <v>0</v>
      </c>
    </row>
    <row r="51" spans="2:8" x14ac:dyDescent="0.25">
      <c r="B51" s="52"/>
      <c r="C51" s="145"/>
      <c r="D51" s="146"/>
      <c r="E51" s="124">
        <f>SUMIFS(Штатка[Оклад в день],Штатка[ФИО],Табель[[#This Row],[ФИО]],Штатка[Должность],Табель[[#This Row],[Должность]])</f>
        <v>0</v>
      </c>
      <c r="F51" s="124">
        <f>SUMIFS(Реестр[Стоимость реализации],Реестр[Дата заказа],B51,Реестр[Менеджер],C51)</f>
        <v>0</v>
      </c>
      <c r="G51" s="124">
        <f>IF(F51&gt;=$E$18,SUMIF(Штатка[ФИО],C51,Штатка[Премии за продажи в день]),0)</f>
        <v>0</v>
      </c>
      <c r="H51" s="123">
        <f t="shared" si="1"/>
        <v>0</v>
      </c>
    </row>
    <row r="52" spans="2:8" x14ac:dyDescent="0.25">
      <c r="B52" s="52"/>
      <c r="C52" s="145"/>
      <c r="D52" s="146"/>
      <c r="E52" s="124">
        <f>SUMIFS(Штатка[Оклад в день],Штатка[ФИО],Табель[[#This Row],[ФИО]],Штатка[Должность],Табель[[#This Row],[Должность]])</f>
        <v>0</v>
      </c>
      <c r="F52" s="124">
        <f>SUMIFS(Реестр[Стоимость реализации],Реестр[Дата заказа],B52,Реестр[Менеджер],C52)</f>
        <v>0</v>
      </c>
      <c r="G52" s="124">
        <f>IF(F52&gt;=$E$18,SUMIF(Штатка[ФИО],C52,Штатка[Премии за продажи в день]),0)</f>
        <v>0</v>
      </c>
      <c r="H52" s="123">
        <f t="shared" si="1"/>
        <v>0</v>
      </c>
    </row>
    <row r="53" spans="2:8" x14ac:dyDescent="0.25">
      <c r="B53" s="52"/>
      <c r="C53" s="145"/>
      <c r="D53" s="146"/>
      <c r="E53" s="124">
        <f>SUMIFS(Штатка[Оклад в день],Штатка[ФИО],Табель[[#This Row],[ФИО]],Штатка[Должность],Табель[[#This Row],[Должность]])</f>
        <v>0</v>
      </c>
      <c r="F53" s="124">
        <f>SUMIFS(Реестр[Стоимость реализации],Реестр[Дата заказа],B53,Реестр[Менеджер],C53)</f>
        <v>0</v>
      </c>
      <c r="G53" s="124">
        <f>IF(F53&gt;=$E$18,SUMIF(Штатка[ФИО],C53,Штатка[Премии за продажи в день]),0)</f>
        <v>0</v>
      </c>
      <c r="H53" s="123">
        <f t="shared" si="1"/>
        <v>0</v>
      </c>
    </row>
    <row r="54" spans="2:8" x14ac:dyDescent="0.25">
      <c r="B54" s="52"/>
      <c r="C54" s="145"/>
      <c r="D54" s="146"/>
      <c r="E54" s="124">
        <f>SUMIFS(Штатка[Оклад в день],Штатка[ФИО],Табель[[#This Row],[ФИО]],Штатка[Должность],Табель[[#This Row],[Должность]])</f>
        <v>0</v>
      </c>
      <c r="F54" s="124">
        <f>SUMIFS(Реестр[Стоимость реализации],Реестр[Дата заказа],B54,Реестр[Менеджер],C54)</f>
        <v>0</v>
      </c>
      <c r="G54" s="124">
        <f>IF(F54&gt;=$E$18,SUMIF(Штатка[ФИО],C54,Штатка[Премии за продажи в день]),0)</f>
        <v>0</v>
      </c>
      <c r="H54" s="123">
        <f t="shared" si="1"/>
        <v>0</v>
      </c>
    </row>
    <row r="55" spans="2:8" x14ac:dyDescent="0.25">
      <c r="B55" s="52"/>
      <c r="C55" s="145"/>
      <c r="D55" s="146"/>
      <c r="E55" s="124">
        <f>SUMIFS(Штатка[Оклад в день],Штатка[ФИО],Табель[[#This Row],[ФИО]],Штатка[Должность],Табель[[#This Row],[Должность]])</f>
        <v>0</v>
      </c>
      <c r="F55" s="124">
        <f>SUMIFS(Реестр[Стоимость реализации],Реестр[Дата заказа],B55,Реестр[Менеджер],C55)</f>
        <v>0</v>
      </c>
      <c r="G55" s="124">
        <f>IF(F55&gt;=$E$18,SUMIF(Штатка[ФИО],C55,Штатка[Премии за продажи в день]),0)</f>
        <v>0</v>
      </c>
      <c r="H55" s="123">
        <f t="shared" ref="H55:H60" si="2">E55+G55</f>
        <v>0</v>
      </c>
    </row>
    <row r="56" spans="2:8" x14ac:dyDescent="0.25">
      <c r="B56" s="52"/>
      <c r="C56" s="145"/>
      <c r="D56" s="146"/>
      <c r="E56" s="124">
        <f>SUMIFS(Штатка[Оклад в день],Штатка[ФИО],Табель[[#This Row],[ФИО]],Штатка[Должность],Табель[[#This Row],[Должность]])</f>
        <v>0</v>
      </c>
      <c r="F56" s="124">
        <f>SUMIFS(Реестр[Стоимость реализации],Реестр[Дата заказа],B56,Реестр[Менеджер],C56)</f>
        <v>0</v>
      </c>
      <c r="G56" s="124">
        <f>IF(F56&gt;=$E$18,SUMIF(Штатка[ФИО],C56,Штатка[Премии за продажи в день]),0)</f>
        <v>0</v>
      </c>
      <c r="H56" s="123">
        <f t="shared" si="2"/>
        <v>0</v>
      </c>
    </row>
    <row r="57" spans="2:8" x14ac:dyDescent="0.25">
      <c r="B57" s="52"/>
      <c r="C57" s="145"/>
      <c r="D57" s="146"/>
      <c r="E57" s="124">
        <f>SUMIFS(Штатка[Оклад в день],Штатка[ФИО],Табель[[#This Row],[ФИО]],Штатка[Должность],Табель[[#This Row],[Должность]])</f>
        <v>0</v>
      </c>
      <c r="F57" s="124">
        <f>SUMIFS(Реестр[Стоимость реализации],Реестр[Дата заказа],B57,Реестр[Менеджер],C57)</f>
        <v>0</v>
      </c>
      <c r="G57" s="124">
        <f>IF(F57&gt;=$E$18,SUMIF(Штатка[ФИО],C57,Штатка[Премии за продажи в день]),0)</f>
        <v>0</v>
      </c>
      <c r="H57" s="123">
        <f t="shared" si="2"/>
        <v>0</v>
      </c>
    </row>
    <row r="58" spans="2:8" x14ac:dyDescent="0.25">
      <c r="B58" s="52"/>
      <c r="C58" s="145"/>
      <c r="D58" s="146"/>
      <c r="E58" s="124">
        <f>SUMIFS(Штатка[Оклад в день],Штатка[ФИО],Табель[[#This Row],[ФИО]],Штатка[Должность],Табель[[#This Row],[Должность]])</f>
        <v>0</v>
      </c>
      <c r="F58" s="124">
        <f>SUMIFS(Реестр[Стоимость реализации],Реестр[Дата заказа],B58,Реестр[Менеджер],C58)</f>
        <v>0</v>
      </c>
      <c r="G58" s="124">
        <f>IF(F58&gt;=$E$18,SUMIF(Штатка[ФИО],C58,Штатка[Премии за продажи в день]),0)</f>
        <v>0</v>
      </c>
      <c r="H58" s="123">
        <f t="shared" si="2"/>
        <v>0</v>
      </c>
    </row>
    <row r="59" spans="2:8" x14ac:dyDescent="0.25">
      <c r="B59" s="52"/>
      <c r="C59" s="145"/>
      <c r="D59" s="146"/>
      <c r="E59" s="124">
        <f>SUMIFS(Штатка[Оклад в день],Штатка[ФИО],Табель[[#This Row],[ФИО]],Штатка[Должность],Табель[[#This Row],[Должность]])</f>
        <v>0</v>
      </c>
      <c r="F59" s="124">
        <f>SUMIFS(Реестр[Стоимость реализации],Реестр[Дата заказа],B59,Реестр[Менеджер],C59)</f>
        <v>0</v>
      </c>
      <c r="G59" s="124">
        <f>IF(F59&gt;=$E$18,SUMIF(Штатка[ФИО],C59,Штатка[Премии за продажи в день]),0)</f>
        <v>0</v>
      </c>
      <c r="H59" s="123">
        <f t="shared" si="2"/>
        <v>0</v>
      </c>
    </row>
    <row r="60" spans="2:8" x14ac:dyDescent="0.25">
      <c r="B60" s="52"/>
      <c r="C60" s="145"/>
      <c r="D60" s="146"/>
      <c r="E60" s="124">
        <f>SUMIFS(Штатка[Оклад в день],Штатка[ФИО],Табель[[#This Row],[ФИО]],Штатка[Должность],Табель[[#This Row],[Должность]])</f>
        <v>0</v>
      </c>
      <c r="F60" s="124">
        <f>SUMIFS(Реестр[Стоимость реализации],Реестр[Дата заказа],B60,Реестр[Менеджер],C60)</f>
        <v>0</v>
      </c>
      <c r="G60" s="124">
        <f>IF(F60&gt;=$E$18,SUMIF(Штатка[ФИО],C60,Штатка[Премии за продажи в день]),0)</f>
        <v>0</v>
      </c>
      <c r="H60" s="123">
        <f t="shared" si="2"/>
        <v>0</v>
      </c>
    </row>
  </sheetData>
  <sheetProtection sort="0" autoFilter="0" pivotTables="0"/>
  <conditionalFormatting sqref="B22">
    <cfRule type="expression" dxfId="155" priority="1">
      <formula>#REF!=0</formula>
    </cfRule>
  </conditionalFormatting>
  <dataValidations count="5">
    <dataValidation type="list" allowBlank="1" showInputMessage="1" showErrorMessage="1" sqref="C3">
      <formula1>год</formula1>
    </dataValidation>
    <dataValidation type="list" allowBlank="1" showInputMessage="1" showErrorMessage="1" sqref="B3">
      <formula1>месяц</formula1>
    </dataValidation>
    <dataValidation type="list" allowBlank="1" showInputMessage="1" showErrorMessage="1" sqref="C22:C60">
      <formula1>INDIRECT("штатка[ФИО]")</formula1>
    </dataValidation>
    <dataValidation type="list" allowBlank="1" showInputMessage="1" showErrorMessage="1" sqref="D22:D60">
      <formula1>INDIRECT("Должность")</formula1>
    </dataValidation>
    <dataValidation type="date" allowBlank="1" showInputMessage="1" showErrorMessage="1" sqref="B22:B60">
      <formula1>42370</formula1>
      <formula2>44197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00B050"/>
  </sheetPr>
  <dimension ref="A1:P139"/>
  <sheetViews>
    <sheetView zoomScaleNormal="100" workbookViewId="0">
      <selection activeCell="D21" sqref="D21"/>
    </sheetView>
  </sheetViews>
  <sheetFormatPr defaultRowHeight="15" x14ac:dyDescent="0.25"/>
  <cols>
    <col min="1" max="1" width="15.28515625" customWidth="1"/>
    <col min="2" max="3" width="18.28515625" style="8" customWidth="1"/>
    <col min="4" max="4" width="22.85546875" style="8" customWidth="1"/>
    <col min="5" max="5" width="34.140625" customWidth="1"/>
    <col min="6" max="6" width="16.85546875" customWidth="1"/>
    <col min="7" max="7" width="14.7109375" customWidth="1"/>
    <col min="8" max="8" width="19.7109375" customWidth="1"/>
    <col min="9" max="9" width="17" customWidth="1"/>
    <col min="10" max="10" width="20.42578125" customWidth="1"/>
    <col min="11" max="11" width="14.28515625" customWidth="1"/>
    <col min="12" max="12" width="13" customWidth="1"/>
    <col min="13" max="13" width="10.5703125" customWidth="1"/>
    <col min="15" max="15" width="16" customWidth="1"/>
    <col min="16" max="16" width="17.140625" customWidth="1"/>
  </cols>
  <sheetData>
    <row r="1" spans="1:16" s="8" customFormat="1" ht="14.45" x14ac:dyDescent="0.3"/>
    <row r="2" spans="1:16" s="8" customFormat="1" ht="14.45" x14ac:dyDescent="0.3"/>
    <row r="3" spans="1:16" s="8" customFormat="1" ht="14.45" x14ac:dyDescent="0.3"/>
    <row r="4" spans="1:16" ht="14.45" x14ac:dyDescent="0.3">
      <c r="A4" s="10"/>
      <c r="B4" s="10"/>
      <c r="C4" s="10"/>
      <c r="D4" s="10"/>
      <c r="E4" s="10"/>
      <c r="F4" s="10"/>
      <c r="G4" s="10"/>
      <c r="H4" s="10"/>
      <c r="I4" s="8"/>
      <c r="J4" s="8"/>
      <c r="K4" s="8"/>
      <c r="L4" s="8"/>
      <c r="M4" s="8"/>
      <c r="N4" s="8"/>
      <c r="O4" s="8"/>
      <c r="P4" s="8"/>
    </row>
    <row r="5" spans="1:16" ht="15.75" x14ac:dyDescent="0.25">
      <c r="A5" s="10" t="s">
        <v>70</v>
      </c>
      <c r="B5" s="234" t="s">
        <v>78</v>
      </c>
      <c r="C5" s="234" t="s">
        <v>79</v>
      </c>
      <c r="D5" s="234" t="s">
        <v>80</v>
      </c>
      <c r="E5" s="166" t="s">
        <v>81</v>
      </c>
      <c r="F5" s="208" t="s">
        <v>2</v>
      </c>
      <c r="G5" s="166" t="s">
        <v>82</v>
      </c>
      <c r="H5" s="166" t="s">
        <v>23</v>
      </c>
      <c r="I5" s="8"/>
      <c r="J5" s="8"/>
      <c r="K5" s="8"/>
      <c r="L5" s="8"/>
      <c r="M5" s="8"/>
      <c r="N5" s="8"/>
      <c r="O5" s="8"/>
      <c r="P5" s="8"/>
    </row>
    <row r="6" spans="1:16" x14ac:dyDescent="0.25">
      <c r="A6" s="232">
        <v>42723</v>
      </c>
      <c r="B6" s="173" t="s">
        <v>89</v>
      </c>
      <c r="C6" s="168" t="s">
        <v>91</v>
      </c>
      <c r="D6" s="174" t="s">
        <v>91</v>
      </c>
      <c r="E6" s="176" t="s">
        <v>275</v>
      </c>
      <c r="F6" s="219"/>
      <c r="G6" s="167">
        <v>14092</v>
      </c>
      <c r="H6" s="168"/>
      <c r="I6" s="8"/>
      <c r="J6" s="8"/>
      <c r="K6" s="8"/>
      <c r="L6" s="8"/>
      <c r="M6" s="8"/>
      <c r="N6" s="8"/>
      <c r="O6" s="8"/>
      <c r="P6" s="8"/>
    </row>
    <row r="7" spans="1:16" x14ac:dyDescent="0.25">
      <c r="A7" s="232">
        <v>42723</v>
      </c>
      <c r="B7" s="168" t="s">
        <v>89</v>
      </c>
      <c r="C7" s="168" t="s">
        <v>92</v>
      </c>
      <c r="D7" s="167" t="s">
        <v>92</v>
      </c>
      <c r="E7" s="176" t="s">
        <v>275</v>
      </c>
      <c r="F7" s="219"/>
      <c r="G7" s="167">
        <v>959991</v>
      </c>
      <c r="H7" s="168"/>
      <c r="I7" s="8"/>
      <c r="J7" s="8"/>
      <c r="K7" s="8"/>
      <c r="L7" s="8"/>
      <c r="M7" s="8"/>
      <c r="N7" s="8"/>
      <c r="O7" s="8"/>
      <c r="P7" s="8"/>
    </row>
    <row r="8" spans="1:16" x14ac:dyDescent="0.25">
      <c r="A8" s="232">
        <v>42724</v>
      </c>
      <c r="B8" s="168" t="s">
        <v>89</v>
      </c>
      <c r="C8" s="168" t="s">
        <v>163</v>
      </c>
      <c r="D8" s="167" t="s">
        <v>92</v>
      </c>
      <c r="E8" s="176" t="s">
        <v>315</v>
      </c>
      <c r="F8" s="220"/>
      <c r="G8" s="167">
        <v>6860</v>
      </c>
      <c r="H8" s="168"/>
      <c r="I8" s="8"/>
      <c r="J8" s="8"/>
      <c r="K8" s="8"/>
      <c r="L8" s="8"/>
      <c r="M8" s="8"/>
      <c r="N8" s="8"/>
      <c r="O8" s="8"/>
      <c r="P8" s="8"/>
    </row>
    <row r="9" spans="1:16" x14ac:dyDescent="0.25">
      <c r="A9" s="232">
        <v>42726</v>
      </c>
      <c r="B9" s="168" t="s">
        <v>89</v>
      </c>
      <c r="C9" s="168" t="s">
        <v>163</v>
      </c>
      <c r="D9" s="167" t="s">
        <v>91</v>
      </c>
      <c r="E9" s="176" t="s">
        <v>315</v>
      </c>
      <c r="F9" s="220" t="s">
        <v>316</v>
      </c>
      <c r="G9" s="167">
        <v>72883</v>
      </c>
      <c r="H9" s="168" t="s">
        <v>317</v>
      </c>
      <c r="I9" s="8"/>
      <c r="J9" s="8"/>
      <c r="K9" s="8"/>
      <c r="L9" s="8"/>
      <c r="M9" s="8"/>
      <c r="N9" s="8"/>
      <c r="O9" s="8"/>
      <c r="P9" s="8"/>
    </row>
    <row r="10" spans="1:16" ht="15.75" thickBot="1" x14ac:dyDescent="0.3">
      <c r="A10" s="232">
        <v>42726</v>
      </c>
      <c r="B10" s="168" t="s">
        <v>90</v>
      </c>
      <c r="C10" s="168" t="s">
        <v>91</v>
      </c>
      <c r="D10" s="167" t="s">
        <v>182</v>
      </c>
      <c r="E10" s="176" t="s">
        <v>318</v>
      </c>
      <c r="F10" s="220"/>
      <c r="G10" s="167">
        <v>75000</v>
      </c>
      <c r="H10" s="168"/>
      <c r="I10" s="8"/>
      <c r="J10" s="8"/>
      <c r="K10" s="8"/>
      <c r="L10" s="8"/>
      <c r="M10" s="8"/>
      <c r="N10" s="8"/>
      <c r="O10" s="8" t="s">
        <v>83</v>
      </c>
      <c r="P10" s="8"/>
    </row>
    <row r="11" spans="1:16" x14ac:dyDescent="0.25">
      <c r="A11" s="232">
        <v>42727</v>
      </c>
      <c r="B11" s="168" t="s">
        <v>90</v>
      </c>
      <c r="C11" s="168" t="s">
        <v>91</v>
      </c>
      <c r="D11" s="168" t="s">
        <v>163</v>
      </c>
      <c r="E11" s="176" t="s">
        <v>319</v>
      </c>
      <c r="F11" s="220"/>
      <c r="G11" s="167">
        <v>10120</v>
      </c>
      <c r="H11" s="168" t="s">
        <v>320</v>
      </c>
      <c r="I11" s="8"/>
      <c r="J11" s="8"/>
      <c r="K11" s="171">
        <f ca="1">TODAY()</f>
        <v>42735</v>
      </c>
      <c r="L11" s="171"/>
      <c r="M11" s="8"/>
      <c r="N11" s="8"/>
      <c r="O11" s="117" t="s">
        <v>50</v>
      </c>
      <c r="P11" s="178" t="s">
        <v>51</v>
      </c>
    </row>
    <row r="12" spans="1:16" ht="15.75" thickBot="1" x14ac:dyDescent="0.3">
      <c r="A12" s="232">
        <v>42727</v>
      </c>
      <c r="B12" s="168" t="s">
        <v>90</v>
      </c>
      <c r="C12" s="167"/>
      <c r="D12" s="168"/>
      <c r="E12" s="176"/>
      <c r="F12" s="220"/>
      <c r="G12" s="167"/>
      <c r="H12" s="168"/>
      <c r="I12" s="8"/>
      <c r="J12" s="8"/>
      <c r="K12" s="8"/>
      <c r="L12" s="8"/>
      <c r="M12" s="8"/>
      <c r="N12" s="8"/>
      <c r="O12" s="53" t="s">
        <v>204</v>
      </c>
      <c r="P12" s="179">
        <v>2016</v>
      </c>
    </row>
    <row r="13" spans="1:16" x14ac:dyDescent="0.25">
      <c r="A13" s="232">
        <v>42728</v>
      </c>
      <c r="B13" s="168" t="s">
        <v>89</v>
      </c>
      <c r="C13" s="167" t="s">
        <v>163</v>
      </c>
      <c r="D13" s="168" t="s">
        <v>92</v>
      </c>
      <c r="E13" s="176" t="s">
        <v>315</v>
      </c>
      <c r="F13" s="220"/>
      <c r="G13" s="167">
        <v>20000</v>
      </c>
      <c r="H13" s="168" t="s">
        <v>322</v>
      </c>
      <c r="I13" s="8"/>
      <c r="J13" s="8"/>
      <c r="K13" s="8"/>
      <c r="L13" s="8"/>
      <c r="M13" s="8"/>
      <c r="N13" s="8"/>
      <c r="O13" s="125" t="s">
        <v>55</v>
      </c>
      <c r="P13" s="180" t="s">
        <v>56</v>
      </c>
    </row>
    <row r="14" spans="1:16" ht="15.75" thickBot="1" x14ac:dyDescent="0.3">
      <c r="A14" s="232">
        <v>42728</v>
      </c>
      <c r="B14" s="168" t="s">
        <v>89</v>
      </c>
      <c r="C14" s="167" t="s">
        <v>163</v>
      </c>
      <c r="D14" s="167" t="s">
        <v>91</v>
      </c>
      <c r="E14" s="176" t="s">
        <v>315</v>
      </c>
      <c r="F14" s="220" t="s">
        <v>323</v>
      </c>
      <c r="G14" s="167">
        <v>35730</v>
      </c>
      <c r="H14" s="168" t="s">
        <v>328</v>
      </c>
      <c r="I14" s="8"/>
      <c r="J14" s="8"/>
      <c r="K14" s="8"/>
      <c r="L14" s="8"/>
      <c r="M14" s="8"/>
      <c r="N14" s="8"/>
      <c r="O14" s="127">
        <f>DATEVALUE(O12&amp;P12)</f>
        <v>42705</v>
      </c>
      <c r="P14" s="181">
        <f>EOMONTH(O14,0)</f>
        <v>42735</v>
      </c>
    </row>
    <row r="15" spans="1:16" ht="15.75" thickBot="1" x14ac:dyDescent="0.3">
      <c r="A15" s="232">
        <v>42728</v>
      </c>
      <c r="B15" s="168" t="s">
        <v>89</v>
      </c>
      <c r="C15" s="168" t="s">
        <v>163</v>
      </c>
      <c r="D15" s="167" t="s">
        <v>92</v>
      </c>
      <c r="E15" s="176" t="s">
        <v>315</v>
      </c>
      <c r="F15" s="220">
        <v>351726</v>
      </c>
      <c r="G15" s="167">
        <v>7980</v>
      </c>
      <c r="H15" s="168" t="s">
        <v>328</v>
      </c>
      <c r="I15" s="8"/>
      <c r="J15" s="8"/>
      <c r="K15" s="199" t="s">
        <v>84</v>
      </c>
      <c r="L15" s="193"/>
      <c r="M15" s="192" t="s">
        <v>85</v>
      </c>
      <c r="N15" s="193"/>
      <c r="O15" s="192"/>
      <c r="P15" s="193"/>
    </row>
    <row r="16" spans="1:16" ht="15.75" thickBot="1" x14ac:dyDescent="0.3">
      <c r="A16" s="232">
        <v>42729</v>
      </c>
      <c r="B16" s="168" t="s">
        <v>90</v>
      </c>
      <c r="C16" s="167" t="s">
        <v>91</v>
      </c>
      <c r="D16" s="168" t="s">
        <v>182</v>
      </c>
      <c r="E16" s="176" t="s">
        <v>318</v>
      </c>
      <c r="F16" s="220"/>
      <c r="G16" s="167">
        <v>34000</v>
      </c>
      <c r="H16" s="168"/>
      <c r="I16" s="8"/>
      <c r="J16" s="204" t="s">
        <v>86</v>
      </c>
      <c r="K16" s="37" t="s">
        <v>87</v>
      </c>
      <c r="L16" s="201" t="s">
        <v>88</v>
      </c>
      <c r="M16" s="37" t="s">
        <v>89</v>
      </c>
      <c r="N16" s="202" t="s">
        <v>90</v>
      </c>
      <c r="O16" s="27" t="s">
        <v>89</v>
      </c>
      <c r="P16" s="209" t="s">
        <v>90</v>
      </c>
    </row>
    <row r="17" spans="1:16" x14ac:dyDescent="0.25">
      <c r="A17" s="232">
        <v>42732</v>
      </c>
      <c r="B17" s="168" t="s">
        <v>89</v>
      </c>
      <c r="C17" s="168" t="s">
        <v>163</v>
      </c>
      <c r="D17" s="172" t="s">
        <v>91</v>
      </c>
      <c r="E17" s="176" t="s">
        <v>315</v>
      </c>
      <c r="F17" s="221" t="s">
        <v>329</v>
      </c>
      <c r="G17" s="167">
        <v>20080</v>
      </c>
      <c r="H17" s="168" t="s">
        <v>332</v>
      </c>
      <c r="I17" s="8"/>
      <c r="J17" s="203" t="s">
        <v>91</v>
      </c>
      <c r="K17" s="194">
        <f ca="1">SUMIFS(Касса[Сумма],Касса[Вид операции],$M$16,Касса[Кому],J17,Касса[Дата],"&lt;="&amp;($K$11-1))-SUMIFS(Касса[Сумма],Касса[Вид операции],$N$16,Касса[От кого],J17,Касса[Дата],"&lt;="&amp;($K$11-1))</f>
        <v>3505</v>
      </c>
      <c r="L17" s="194">
        <f ca="1">SUMIFS(Касса[Сумма],Касса[Вид операции],$M$16,Касса[Кому],J17,Касса[Дата],"&lt;="&amp;($K$11))-SUMIFS(Касса[Сумма],Касса[Вид операции],$N$16,Касса[От кого],J17,Касса[Дата],"&lt;="&amp;($K$11))</f>
        <v>3505</v>
      </c>
      <c r="M17" s="22">
        <f ca="1">SUMIFS(Касса[Сумма],Касса[Вид операции],$M$16,Касса[Кому],J17,Касса[Дата],$K$11)</f>
        <v>0</v>
      </c>
      <c r="N17" s="22">
        <f ca="1">SUMIFS(Касса[Сумма],Касса[Вид операции],$N$16,Касса[От кого],J17,Касса[Дата],$K$11)</f>
        <v>0</v>
      </c>
      <c r="O17" s="182">
        <f>SUMIFS(Касса[Сумма],Касса[Вид операции],$O$16,Касса[Кому],J17,Касса[Дата],"&gt;="&amp;$O$14,Касса[Дата],"&lt;="&amp;$P$14)</f>
        <v>142785</v>
      </c>
      <c r="P17" s="183">
        <f>SUMIFS(Касса[Сумма],Касса[Вид операции],$P$16,Касса[От кого],J17,Касса[Дата],"&gt;="&amp;$O$14,Касса[Дата],"&lt;="&amp;$P$14)</f>
        <v>139280</v>
      </c>
    </row>
    <row r="18" spans="1:16" x14ac:dyDescent="0.25">
      <c r="A18" s="232">
        <v>42732</v>
      </c>
      <c r="B18" s="168" t="s">
        <v>90</v>
      </c>
      <c r="C18" s="172" t="s">
        <v>91</v>
      </c>
      <c r="D18" s="167" t="s">
        <v>182</v>
      </c>
      <c r="E18" s="176" t="s">
        <v>318</v>
      </c>
      <c r="F18" s="221"/>
      <c r="G18" s="167">
        <v>20000</v>
      </c>
      <c r="H18" s="168"/>
      <c r="I18" s="8"/>
      <c r="J18" s="196" t="s">
        <v>92</v>
      </c>
      <c r="K18" s="194">
        <f ca="1">SUMIFS(Касса[Сумма],Касса[Вид операции],$M$16,Касса[Кому],J18,Касса[Дата],"&lt;="&amp;($K$11-1))-SUMIFS(Касса[Сумма],Касса[Вид операции],$N$16,Касса[От кого],J18,Касса[Дата],"&lt;="&amp;($K$11-1))</f>
        <v>994831</v>
      </c>
      <c r="L18" s="194">
        <f ca="1">SUMIFS(Касса[Сумма],Касса[Вид операции],$M$16,Касса[Кому],J18,Касса[Дата],"&lt;="&amp;($K$11))-SUMIFS(Касса[Сумма],Касса[Вид операции],$N$16,Касса[От кого],J18,Касса[Дата],"&lt;="&amp;($K$11))</f>
        <v>994831</v>
      </c>
      <c r="M18" s="22">
        <f ca="1">SUMIFS(Касса[Сумма],Касса[Вид операции],$M$16,Касса[Кому],J18,Касса[Дата],$K$11)</f>
        <v>0</v>
      </c>
      <c r="N18" s="190">
        <f ca="1">SUMIFS(Касса[Сумма],Касса[Вид операции],$N$16,Касса[От кого],J18,Касса[Дата],$K$11)</f>
        <v>0</v>
      </c>
      <c r="O18" s="194">
        <f>SUMIFS(Касса[Сумма],Касса[Вид операции],$O$16,Касса[Кому],J18,Касса[Дата],"&gt;="&amp;$O$14,Касса[Дата],"&lt;="&amp;$P$14)</f>
        <v>994831</v>
      </c>
      <c r="P18" s="184">
        <f>SUMIFS(Касса[Сумма],Касса[Вид операции],$P$16,Касса[От кого],J18,Касса[Дата],"&gt;="&amp;$O$14,Касса[Дата],"&lt;="&amp;$P$14)</f>
        <v>0</v>
      </c>
    </row>
    <row r="19" spans="1:16" x14ac:dyDescent="0.25">
      <c r="A19" s="232">
        <v>42733</v>
      </c>
      <c r="B19" s="168" t="s">
        <v>90</v>
      </c>
      <c r="C19" s="167" t="s">
        <v>91</v>
      </c>
      <c r="D19" s="172" t="s">
        <v>276</v>
      </c>
      <c r="E19" s="176" t="s">
        <v>276</v>
      </c>
      <c r="F19" s="220"/>
      <c r="G19" s="167">
        <v>160</v>
      </c>
      <c r="H19" s="168"/>
      <c r="I19" s="8"/>
      <c r="J19" s="196"/>
      <c r="K19" s="194">
        <f ca="1">SUMIFS(Касса[Сумма],Касса[Вид операции],$M$16,Касса[Кому],J19,Касса[Дата],"&lt;="&amp;($K$11-1))-SUMIFS(Касса[Сумма],Касса[Вид операции],$N$16,Касса[От кого],J19,Касса[Дата],"&lt;="&amp;($K$11-1))</f>
        <v>0</v>
      </c>
      <c r="L19" s="200">
        <f ca="1">SUMIFS(Касса[Сумма],Касса[Вид операции],$M$16,Касса[Кому],J19,Касса[Дата],"&lt;="&amp;$K$11)-SUMIFS(Касса[Сумма],Касса[Вид операции],$N$16,Касса[От кого],J19,Касса[Дата],"&lt;="&amp;$K$11)</f>
        <v>0</v>
      </c>
      <c r="M19" s="194">
        <f ca="1">SUMIFS(Касса[Сумма],Касса[Вид операции],$M$16,Касса[Кому],J19,Касса[Дата],$K$11)</f>
        <v>0</v>
      </c>
      <c r="N19" s="190">
        <f ca="1">SUMIFS(Касса[Сумма],Касса[Вид операции],$N$16,Касса[От кого],J19,Касса[Дата],$K$11)</f>
        <v>0</v>
      </c>
      <c r="O19" s="194">
        <f>SUMIFS(Касса[Сумма],Касса[Вид операции],$O$16,Касса[Кому],J19,Касса[Дата],"&gt;="&amp;$O$14,Касса[Дата],"&lt;="&amp;$P$14)</f>
        <v>0</v>
      </c>
      <c r="P19" s="184">
        <f>SUMIFS(Касса[Сумма],Касса[Вид операции],$P$16,Касса[От кого],J19,Касса[Дата],"&gt;="&amp;$O$14,Касса[Дата],"&lt;="&amp;$P$14)</f>
        <v>0</v>
      </c>
    </row>
    <row r="20" spans="1:16" ht="14.45" x14ac:dyDescent="0.3">
      <c r="A20" s="232"/>
      <c r="B20" s="168"/>
      <c r="C20" s="167"/>
      <c r="D20" s="167"/>
      <c r="E20" s="176"/>
      <c r="F20" s="220"/>
      <c r="G20" s="167"/>
      <c r="H20" s="168"/>
      <c r="I20" s="8"/>
      <c r="J20" s="196"/>
      <c r="K20" s="194"/>
      <c r="L20" s="200">
        <f ca="1">SUMIFS(Касса[Сумма],Касса[Вид операции],$M$16,Касса[Кому],J20,Касса[Дата],"&lt;="&amp;$K$11)-SUMIFS(Касса[Сумма],Касса[Вид операции],$N$16,Касса[От кого],J20,Касса[Дата],"&lt;="&amp;$K$11)</f>
        <v>0</v>
      </c>
      <c r="M20" s="194">
        <f ca="1">SUMIFS(Касса[Сумма],Касса[Вид операции],$M$16,Касса[Кому],J20,Касса[Дата],$K$11)</f>
        <v>0</v>
      </c>
      <c r="N20" s="190">
        <f ca="1">SUMIFS(Касса[Сумма],Касса[Вид операции],$N$16,Касса[От кого],J20,Касса[Дата],$K$11)</f>
        <v>0</v>
      </c>
      <c r="O20" s="194">
        <f>SUMIFS(Касса[Сумма],Касса[Вид операции],$O$16,Касса[Кому],J20,Касса[Дата],"&gt;="&amp;$O$14,Касса[Дата],"&lt;="&amp;$P$14)</f>
        <v>0</v>
      </c>
      <c r="P20" s="184">
        <f>SUMIFS(Касса[Сумма],Касса[Вид операции],$P$16,Касса[От кого],J20,Касса[Дата],"&gt;="&amp;$O$14,Касса[Дата],"&lt;="&amp;$P$14)</f>
        <v>0</v>
      </c>
    </row>
    <row r="21" spans="1:16" ht="14.45" x14ac:dyDescent="0.3">
      <c r="A21" s="232"/>
      <c r="B21" s="168"/>
      <c r="C21" s="168"/>
      <c r="D21" s="167"/>
      <c r="E21" s="176"/>
      <c r="F21" s="220"/>
      <c r="G21" s="167"/>
      <c r="H21" s="168"/>
      <c r="I21" s="8"/>
      <c r="J21" s="196"/>
      <c r="K21" s="194">
        <f ca="1">SUMIFS(Касса[Сумма],Касса[Вид операции],$M$16,Касса[Кому],J21,Касса[Дата],"&lt;="&amp;($K$11-1))-SUMIFS(Касса[Сумма],Касса[Вид операции],$N$16,Касса[От кого],J21,Касса[Дата],"&lt;="&amp;($K$11-1))</f>
        <v>0</v>
      </c>
      <c r="L21" s="200">
        <f ca="1">SUMIFS(Касса[Сумма],Касса[Вид операции],$M$16,Касса[Кому],J21,Касса[Дата],"&lt;="&amp;$K$11)-SUMIFS(Касса[Сумма],Касса[Вид операции],$N$16,Касса[От кого],J21,Касса[Дата],"&lt;="&amp;$K$11)</f>
        <v>0</v>
      </c>
      <c r="M21" s="194">
        <f ca="1">SUMIFS(Касса[Сумма],Касса[Вид операции],$M$16,Касса[Кому],J21,Касса[Дата],$K$11)</f>
        <v>0</v>
      </c>
      <c r="N21" s="190">
        <f ca="1">SUMIFS(Касса[Сумма],Касса[Вид операции],$N$16,Касса[От кого],J21,Касса[Дата],$K$11)</f>
        <v>0</v>
      </c>
      <c r="O21" s="194">
        <f>SUMIFS(Касса[Сумма],Касса[Вид операции],$O$16,Касса[Кому],J21,Касса[Дата],"&gt;="&amp;$O$14,Касса[Дата],"&lt;="&amp;$P$14)</f>
        <v>0</v>
      </c>
      <c r="P21" s="184">
        <f>SUMIFS(Касса[Сумма],Касса[Вид операции],$P$16,Касса[От кого],J21,Касса[Дата],"&gt;="&amp;$O$14,Касса[Дата],"&lt;="&amp;$P$14)</f>
        <v>0</v>
      </c>
    </row>
    <row r="22" spans="1:16" ht="14.45" x14ac:dyDescent="0.3">
      <c r="A22" s="232"/>
      <c r="B22" s="168"/>
      <c r="C22" s="168"/>
      <c r="D22" s="167"/>
      <c r="E22" s="176"/>
      <c r="F22" s="220"/>
      <c r="G22" s="167"/>
      <c r="H22" s="168"/>
      <c r="I22" s="8"/>
      <c r="J22" s="197"/>
      <c r="K22" s="194"/>
      <c r="L22" s="200">
        <f ca="1">SUMIFS(Касса[Сумма],Касса[Вид операции],$M$16,Касса[Кому],J22,Касса[Дата],"&lt;="&amp;$K$11)-SUMIFS(Касса[Сумма],Касса[Вид операции],$N$16,Касса[От кого],J22,Касса[Дата],"&lt;="&amp;$K$11)</f>
        <v>0</v>
      </c>
      <c r="M22" s="194">
        <f ca="1">SUMIFS(Касса[Сумма],Касса[Вид операции],$M$16,Касса[Кому],J22,Касса[Дата],$K$11)</f>
        <v>0</v>
      </c>
      <c r="N22" s="190">
        <f ca="1">SUMIFS(Касса[Сумма],Касса[Вид операции],$N$16,Касса[От кого],J22,Касса[Дата],$K$11)</f>
        <v>0</v>
      </c>
      <c r="O22" s="194">
        <f>SUMIFS(Касса[Сумма],Касса[Вид операции],$O$16,Касса[Кому],J22,Касса[Дата],"&gt;="&amp;$O$14,Касса[Дата],"&lt;="&amp;$P$14)</f>
        <v>0</v>
      </c>
      <c r="P22" s="184">
        <f>SUMIFS(Касса[Сумма],Касса[Вид операции],$P$16,Касса[От кого],J22,Касса[Дата],"&gt;="&amp;$O$14,Касса[Дата],"&lt;="&amp;$P$14)</f>
        <v>0</v>
      </c>
    </row>
    <row r="23" spans="1:16" ht="14.45" x14ac:dyDescent="0.3">
      <c r="A23" s="232"/>
      <c r="B23" s="168"/>
      <c r="C23" s="167"/>
      <c r="D23" s="172"/>
      <c r="E23" s="176"/>
      <c r="F23" s="220"/>
      <c r="G23" s="167"/>
      <c r="H23" s="168"/>
      <c r="I23" s="8"/>
      <c r="J23" s="196"/>
      <c r="K23" s="194">
        <f ca="1">SUMIFS(Касса[Сумма],Касса[Вид операции],$M$16,Касса[Кому],J23,Касса[Дата],"&lt;="&amp;($K$11-1))-SUMIFS(Касса[Сумма],Касса[Вид операции],$N$16,Касса[От кого],J23,Касса[Дата],"&lt;="&amp;($K$11-1))</f>
        <v>0</v>
      </c>
      <c r="L23" s="200">
        <f ca="1">SUMIFS(Касса[Сумма],Касса[Вид операции],$M$16,Касса[Кому],J23,Касса[Дата],"&lt;="&amp;$K$11)-SUMIFS(Касса[Сумма],Касса[Вид операции],$N$16,Касса[От кого],J23,Касса[Дата],"&lt;="&amp;$K$11)</f>
        <v>0</v>
      </c>
      <c r="M23" s="194">
        <f ca="1">SUMIFS(Касса[Сумма],Касса[Вид операции],$M$16,Касса[Кому],J23,Касса[Дата],$K$11)</f>
        <v>0</v>
      </c>
      <c r="N23" s="190">
        <f ca="1">SUMIFS(Касса[Сумма],Касса[Вид операции],$N$16,Касса[От кого],J23,Касса[Дата],$K$11)</f>
        <v>0</v>
      </c>
      <c r="O23" s="194">
        <f>SUMIFS(Касса[Сумма],Касса[Вид операции],$O$16,Касса[Кому],J23,Касса[Дата],"&gt;="&amp;$O$14,Касса[Дата],"&lt;="&amp;$P$14)</f>
        <v>0</v>
      </c>
      <c r="P23" s="184">
        <f>SUMIFS(Касса[Сумма],Касса[Вид операции],$P$16,Касса[От кого],J23,Касса[Дата],"&gt;="&amp;$O$14,Касса[Дата],"&lt;="&amp;$P$14)</f>
        <v>0</v>
      </c>
    </row>
    <row r="24" spans="1:16" thickBot="1" x14ac:dyDescent="0.35">
      <c r="A24" s="232"/>
      <c r="B24" s="168"/>
      <c r="C24" s="168"/>
      <c r="D24" s="168"/>
      <c r="E24" s="176"/>
      <c r="F24" s="220"/>
      <c r="G24" s="167"/>
      <c r="H24" s="168"/>
      <c r="I24" s="8"/>
      <c r="J24" s="198"/>
      <c r="K24" s="195">
        <f ca="1">SUMIFS(Касса[Сумма],Касса[Вид операции],$M$16,Касса[Кому],J24,Касса[Дата],$K$11)</f>
        <v>0</v>
      </c>
      <c r="L24" s="185"/>
      <c r="M24" s="195"/>
      <c r="N24" s="191"/>
      <c r="O24" s="195">
        <f>SUMIFS(Касса[Сумма],Касса[Вид операции],$O$16,Касса[Кому],J24,Касса[Дата],"&gt;="&amp;$O$14,Касса[Дата],"&lt;="&amp;$P$14)</f>
        <v>0</v>
      </c>
      <c r="P24" s="185">
        <f>SUMIFS(Касса[Сумма],Касса[Вид операции],$P$16,Касса[От кого],J24,Касса[Дата],"&gt;="&amp;$O$14,Касса[Дата],"&lt;="&amp;$P$14)</f>
        <v>0</v>
      </c>
    </row>
    <row r="25" spans="1:16" ht="14.45" x14ac:dyDescent="0.3">
      <c r="A25" s="232"/>
      <c r="B25" s="168"/>
      <c r="C25" s="168"/>
      <c r="D25" s="168"/>
      <c r="E25" s="205"/>
      <c r="F25" s="221"/>
      <c r="G25" s="206"/>
      <c r="H25" s="207"/>
      <c r="I25" s="8"/>
      <c r="J25" s="8"/>
      <c r="K25" s="8"/>
      <c r="L25" s="8"/>
      <c r="M25" s="8"/>
      <c r="N25" s="8"/>
      <c r="O25" s="8"/>
      <c r="P25" s="8"/>
    </row>
    <row r="26" spans="1:16" ht="14.45" x14ac:dyDescent="0.3">
      <c r="A26" s="232"/>
      <c r="B26" s="168"/>
      <c r="C26" s="168"/>
      <c r="D26" s="168"/>
      <c r="E26" s="205"/>
      <c r="F26" s="221"/>
      <c r="G26" s="206"/>
      <c r="H26" s="207"/>
      <c r="I26" s="8"/>
      <c r="J26" s="8"/>
      <c r="K26" s="8"/>
      <c r="L26" s="8"/>
      <c r="M26" s="8"/>
      <c r="N26" s="8"/>
      <c r="O26" s="8"/>
      <c r="P26" s="8"/>
    </row>
    <row r="27" spans="1:16" ht="14.45" x14ac:dyDescent="0.3">
      <c r="A27" s="232"/>
      <c r="B27" s="168"/>
      <c r="C27" s="168"/>
      <c r="D27" s="168"/>
      <c r="E27" s="205"/>
      <c r="F27" s="221"/>
      <c r="G27" s="206"/>
      <c r="H27" s="207"/>
      <c r="I27" s="8"/>
      <c r="J27" s="8"/>
      <c r="K27" s="8"/>
      <c r="L27" s="8"/>
      <c r="M27" s="8"/>
      <c r="N27" s="8"/>
      <c r="O27" s="8"/>
      <c r="P27" s="8"/>
    </row>
    <row r="28" spans="1:16" x14ac:dyDescent="0.25">
      <c r="A28" s="232"/>
      <c r="B28" s="168"/>
      <c r="C28" s="168"/>
      <c r="D28" s="168"/>
      <c r="E28" s="205"/>
      <c r="F28" s="221"/>
      <c r="G28" s="206"/>
      <c r="H28" s="207"/>
      <c r="I28" s="8"/>
      <c r="J28" s="8"/>
      <c r="K28" s="8"/>
      <c r="L28" s="8"/>
      <c r="M28" s="8"/>
      <c r="N28" s="8"/>
      <c r="O28" s="8"/>
      <c r="P28" s="8"/>
    </row>
    <row r="29" spans="1:16" x14ac:dyDescent="0.25">
      <c r="A29" s="232"/>
      <c r="B29" s="168"/>
      <c r="C29" s="168"/>
      <c r="D29" s="168"/>
      <c r="E29" s="175"/>
      <c r="F29" s="219"/>
      <c r="G29" s="223"/>
      <c r="H29" s="224"/>
      <c r="I29" s="8"/>
      <c r="J29" s="8"/>
      <c r="K29" s="8"/>
      <c r="L29" s="8"/>
      <c r="M29" s="8"/>
      <c r="N29" s="8"/>
      <c r="O29" s="8"/>
      <c r="P29" s="8"/>
    </row>
    <row r="30" spans="1:16" x14ac:dyDescent="0.25">
      <c r="A30" s="232"/>
      <c r="B30" s="168"/>
      <c r="C30" s="168"/>
      <c r="D30" s="168"/>
      <c r="E30" s="175"/>
      <c r="F30" s="219"/>
      <c r="G30" s="223"/>
      <c r="H30" s="224"/>
      <c r="I30" s="8"/>
      <c r="J30" s="8"/>
      <c r="K30" s="8"/>
      <c r="L30" s="8"/>
      <c r="M30" s="8"/>
      <c r="N30" s="8"/>
      <c r="O30" s="8"/>
      <c r="P30" s="8"/>
    </row>
    <row r="31" spans="1:16" x14ac:dyDescent="0.25">
      <c r="A31" s="232"/>
      <c r="B31" s="168"/>
      <c r="C31" s="168"/>
      <c r="D31" s="168"/>
      <c r="E31" s="175"/>
      <c r="F31" s="219"/>
      <c r="G31" s="223"/>
      <c r="H31" s="224"/>
      <c r="I31" s="8"/>
      <c r="J31" s="8"/>
      <c r="K31" s="8"/>
      <c r="L31" s="8"/>
      <c r="M31" s="8"/>
      <c r="N31" s="8"/>
      <c r="O31" s="8"/>
      <c r="P31" s="8"/>
    </row>
    <row r="32" spans="1:16" x14ac:dyDescent="0.25">
      <c r="A32" s="232"/>
      <c r="B32" s="168"/>
      <c r="C32" s="168"/>
      <c r="D32" s="168"/>
      <c r="E32" s="175"/>
      <c r="F32" s="219"/>
      <c r="G32" s="223"/>
      <c r="H32" s="224"/>
      <c r="I32" s="8"/>
      <c r="J32" s="8"/>
      <c r="K32" s="8"/>
      <c r="L32" s="8"/>
      <c r="M32" s="8"/>
      <c r="N32" s="8"/>
      <c r="O32" s="8"/>
      <c r="P32" s="8"/>
    </row>
    <row r="33" spans="1:8" x14ac:dyDescent="0.25">
      <c r="A33" s="232"/>
      <c r="B33" s="168"/>
      <c r="C33" s="168"/>
      <c r="D33" s="168"/>
      <c r="E33" s="175"/>
      <c r="F33" s="219"/>
      <c r="G33" s="223"/>
      <c r="H33" s="224"/>
    </row>
    <row r="34" spans="1:8" x14ac:dyDescent="0.25">
      <c r="A34" s="232"/>
      <c r="B34" s="168"/>
      <c r="C34" s="168"/>
      <c r="D34" s="168"/>
      <c r="E34" s="175"/>
      <c r="F34" s="219"/>
      <c r="G34" s="223"/>
      <c r="H34" s="224"/>
    </row>
    <row r="35" spans="1:8" x14ac:dyDescent="0.25">
      <c r="A35" s="232"/>
      <c r="B35" s="168"/>
      <c r="C35" s="168"/>
      <c r="D35" s="168"/>
      <c r="E35" s="175"/>
      <c r="F35" s="219"/>
      <c r="G35" s="223"/>
      <c r="H35" s="224"/>
    </row>
    <row r="36" spans="1:8" x14ac:dyDescent="0.25">
      <c r="A36" s="232"/>
      <c r="B36" s="168"/>
      <c r="C36" s="168"/>
      <c r="D36" s="168"/>
      <c r="E36" s="175"/>
      <c r="F36" s="219"/>
      <c r="G36" s="223"/>
      <c r="H36" s="224"/>
    </row>
    <row r="37" spans="1:8" x14ac:dyDescent="0.25">
      <c r="A37" s="232"/>
      <c r="B37" s="225"/>
      <c r="C37" s="225"/>
      <c r="D37" s="225"/>
      <c r="E37" s="175"/>
      <c r="F37" s="219"/>
      <c r="G37" s="223"/>
      <c r="H37" s="224"/>
    </row>
    <row r="38" spans="1:8" s="8" customFormat="1" x14ac:dyDescent="0.25">
      <c r="A38" s="232"/>
      <c r="B38" s="168"/>
      <c r="C38" s="168"/>
      <c r="D38" s="168"/>
      <c r="E38" s="175"/>
      <c r="F38" s="219"/>
      <c r="G38" s="223"/>
      <c r="H38" s="224"/>
    </row>
    <row r="39" spans="1:8" x14ac:dyDescent="0.25">
      <c r="A39" s="232"/>
      <c r="B39" s="225"/>
      <c r="C39" s="225"/>
      <c r="D39" s="225"/>
      <c r="E39" s="175"/>
      <c r="F39" s="219"/>
      <c r="G39" s="223"/>
      <c r="H39" s="224"/>
    </row>
    <row r="40" spans="1:8" x14ac:dyDescent="0.25">
      <c r="A40" s="232"/>
      <c r="B40" s="225"/>
      <c r="C40" s="225"/>
      <c r="D40" s="225"/>
      <c r="E40" s="175"/>
      <c r="F40" s="219"/>
      <c r="G40" s="223"/>
      <c r="H40" s="224"/>
    </row>
    <row r="41" spans="1:8" x14ac:dyDescent="0.25">
      <c r="A41" s="232"/>
      <c r="B41" s="225"/>
      <c r="C41" s="225"/>
      <c r="D41" s="225"/>
      <c r="E41" s="175"/>
      <c r="F41" s="219"/>
      <c r="G41" s="223"/>
      <c r="H41" s="224"/>
    </row>
    <row r="42" spans="1:8" x14ac:dyDescent="0.25">
      <c r="A42" s="232"/>
      <c r="B42" s="225"/>
      <c r="C42" s="225"/>
      <c r="D42" s="225"/>
      <c r="E42" s="175"/>
      <c r="F42" s="219"/>
      <c r="G42" s="223"/>
      <c r="H42" s="224"/>
    </row>
    <row r="43" spans="1:8" x14ac:dyDescent="0.25">
      <c r="A43" s="232"/>
      <c r="B43" s="225"/>
      <c r="C43" s="225"/>
      <c r="D43" s="225"/>
      <c r="E43" s="175"/>
      <c r="F43" s="219"/>
      <c r="G43" s="223"/>
      <c r="H43" s="224"/>
    </row>
    <row r="44" spans="1:8" x14ac:dyDescent="0.25">
      <c r="A44" s="232"/>
      <c r="B44" s="225"/>
      <c r="C44" s="225"/>
      <c r="D44" s="225"/>
      <c r="E44" s="175"/>
      <c r="F44" s="219"/>
      <c r="G44" s="223"/>
      <c r="H44" s="224"/>
    </row>
    <row r="45" spans="1:8" x14ac:dyDescent="0.25">
      <c r="A45" s="232"/>
      <c r="B45" s="168"/>
      <c r="C45" s="168"/>
      <c r="D45" s="168"/>
      <c r="E45" s="175"/>
      <c r="F45" s="219"/>
      <c r="G45" s="223"/>
      <c r="H45" s="224"/>
    </row>
    <row r="46" spans="1:8" x14ac:dyDescent="0.25">
      <c r="A46" s="232"/>
      <c r="B46" s="225"/>
      <c r="C46" s="225"/>
      <c r="D46" s="225"/>
      <c r="E46" s="175"/>
      <c r="F46" s="219"/>
      <c r="G46" s="223"/>
      <c r="H46" s="224"/>
    </row>
    <row r="47" spans="1:8" x14ac:dyDescent="0.25">
      <c r="A47" s="232"/>
      <c r="B47" s="225"/>
      <c r="C47" s="225"/>
      <c r="D47" s="225"/>
      <c r="E47" s="175"/>
      <c r="F47" s="219"/>
      <c r="G47" s="223"/>
      <c r="H47" s="224"/>
    </row>
    <row r="48" spans="1:8" x14ac:dyDescent="0.25">
      <c r="A48" s="232"/>
      <c r="B48" s="225"/>
      <c r="C48" s="225"/>
      <c r="D48" s="225"/>
      <c r="E48" s="175"/>
      <c r="F48" s="219"/>
      <c r="G48" s="223"/>
      <c r="H48" s="224"/>
    </row>
    <row r="49" spans="1:8" x14ac:dyDescent="0.25">
      <c r="A49" s="232"/>
      <c r="B49" s="225"/>
      <c r="C49" s="225"/>
      <c r="D49" s="225"/>
      <c r="E49" s="175"/>
      <c r="F49" s="219"/>
      <c r="G49" s="223"/>
      <c r="H49" s="224"/>
    </row>
    <row r="50" spans="1:8" x14ac:dyDescent="0.25">
      <c r="A50" s="232"/>
      <c r="B50" s="225"/>
      <c r="C50" s="225"/>
      <c r="D50" s="225"/>
      <c r="E50" s="175"/>
      <c r="F50" s="219"/>
      <c r="G50" s="223"/>
      <c r="H50" s="224"/>
    </row>
    <row r="51" spans="1:8" x14ac:dyDescent="0.25">
      <c r="A51" s="232"/>
      <c r="B51" s="225"/>
      <c r="C51" s="225"/>
      <c r="D51" s="225"/>
      <c r="E51" s="175"/>
      <c r="F51" s="219"/>
      <c r="G51" s="223"/>
      <c r="H51" s="224"/>
    </row>
    <row r="52" spans="1:8" x14ac:dyDescent="0.25">
      <c r="A52" s="232"/>
      <c r="B52" s="225"/>
      <c r="C52" s="225"/>
      <c r="D52" s="225"/>
      <c r="E52" s="175"/>
      <c r="F52" s="219"/>
      <c r="G52" s="223"/>
      <c r="H52" s="224"/>
    </row>
    <row r="53" spans="1:8" x14ac:dyDescent="0.25">
      <c r="A53" s="232"/>
      <c r="B53" s="225"/>
      <c r="C53" s="225"/>
      <c r="D53" s="225"/>
      <c r="E53" s="175"/>
      <c r="F53" s="219"/>
      <c r="G53" s="223"/>
      <c r="H53" s="224"/>
    </row>
    <row r="54" spans="1:8" x14ac:dyDescent="0.25">
      <c r="A54" s="232"/>
      <c r="B54" s="225"/>
      <c r="C54" s="225"/>
      <c r="D54" s="225"/>
      <c r="E54" s="175"/>
      <c r="F54" s="219"/>
      <c r="G54" s="223"/>
      <c r="H54" s="224"/>
    </row>
    <row r="55" spans="1:8" s="8" customFormat="1" x14ac:dyDescent="0.25">
      <c r="A55" s="232"/>
      <c r="B55" s="225"/>
      <c r="C55" s="225"/>
      <c r="D55" s="225"/>
      <c r="E55" s="175"/>
      <c r="F55" s="219"/>
      <c r="G55" s="223"/>
      <c r="H55" s="224"/>
    </row>
    <row r="56" spans="1:8" x14ac:dyDescent="0.25">
      <c r="A56" s="232"/>
      <c r="B56" s="225"/>
      <c r="C56" s="225"/>
      <c r="D56" s="225"/>
      <c r="E56" s="175"/>
      <c r="F56" s="219"/>
      <c r="G56" s="223"/>
      <c r="H56" s="224"/>
    </row>
    <row r="57" spans="1:8" x14ac:dyDescent="0.25">
      <c r="A57" s="232"/>
      <c r="B57" s="225"/>
      <c r="C57" s="225"/>
      <c r="D57" s="225"/>
      <c r="E57" s="175"/>
      <c r="F57" s="219"/>
      <c r="G57" s="223"/>
      <c r="H57" s="224"/>
    </row>
    <row r="58" spans="1:8" x14ac:dyDescent="0.25">
      <c r="A58" s="232"/>
      <c r="B58" s="225"/>
      <c r="C58" s="225"/>
      <c r="D58" s="225"/>
      <c r="E58" s="175"/>
      <c r="F58" s="219"/>
      <c r="G58" s="223"/>
      <c r="H58" s="224"/>
    </row>
    <row r="59" spans="1:8" x14ac:dyDescent="0.25">
      <c r="A59" s="232"/>
      <c r="B59" s="225"/>
      <c r="C59" s="225"/>
      <c r="D59" s="225"/>
      <c r="E59" s="175"/>
      <c r="F59" s="219"/>
      <c r="G59" s="223"/>
      <c r="H59" s="224"/>
    </row>
    <row r="60" spans="1:8" x14ac:dyDescent="0.25">
      <c r="A60" s="232"/>
      <c r="B60" s="225"/>
      <c r="C60" s="225"/>
      <c r="D60" s="225"/>
      <c r="E60" s="175"/>
      <c r="F60" s="219"/>
      <c r="G60" s="223"/>
      <c r="H60" s="224"/>
    </row>
    <row r="61" spans="1:8" x14ac:dyDescent="0.25">
      <c r="A61" s="232"/>
      <c r="B61" s="225"/>
      <c r="C61" s="225"/>
      <c r="D61" s="225"/>
      <c r="E61" s="175"/>
      <c r="F61" s="219"/>
      <c r="G61" s="223"/>
      <c r="H61" s="224"/>
    </row>
    <row r="62" spans="1:8" x14ac:dyDescent="0.25">
      <c r="A62" s="232"/>
      <c r="B62" s="225"/>
      <c r="C62" s="225"/>
      <c r="D62" s="225"/>
      <c r="E62" s="175"/>
      <c r="F62" s="219"/>
      <c r="G62" s="223"/>
      <c r="H62" s="224"/>
    </row>
    <row r="63" spans="1:8" x14ac:dyDescent="0.25">
      <c r="A63" s="232"/>
      <c r="B63" s="225"/>
      <c r="C63" s="225"/>
      <c r="D63" s="225"/>
      <c r="E63" s="175"/>
      <c r="F63" s="219"/>
      <c r="G63" s="223"/>
      <c r="H63" s="224"/>
    </row>
    <row r="64" spans="1:8" x14ac:dyDescent="0.25">
      <c r="A64" s="232"/>
      <c r="B64" s="225"/>
      <c r="C64" s="225"/>
      <c r="D64" s="225"/>
      <c r="E64" s="175"/>
      <c r="F64" s="219"/>
      <c r="G64" s="223"/>
      <c r="H64" s="224"/>
    </row>
    <row r="65" spans="1:8" x14ac:dyDescent="0.25">
      <c r="A65" s="232"/>
      <c r="B65" s="225"/>
      <c r="C65" s="225"/>
      <c r="D65" s="225"/>
      <c r="E65" s="175"/>
      <c r="F65" s="219"/>
      <c r="G65" s="223"/>
      <c r="H65" s="224"/>
    </row>
    <row r="66" spans="1:8" x14ac:dyDescent="0.25">
      <c r="A66" s="232"/>
      <c r="B66" s="225"/>
      <c r="C66" s="225"/>
      <c r="D66" s="225"/>
      <c r="E66" s="175"/>
      <c r="F66" s="219"/>
      <c r="G66" s="223"/>
      <c r="H66" s="224"/>
    </row>
    <row r="67" spans="1:8" x14ac:dyDescent="0.25">
      <c r="A67" s="232"/>
      <c r="B67" s="225"/>
      <c r="C67" s="225"/>
      <c r="D67" s="225"/>
      <c r="E67" s="175"/>
      <c r="F67" s="219"/>
      <c r="G67" s="223"/>
      <c r="H67" s="224"/>
    </row>
    <row r="68" spans="1:8" x14ac:dyDescent="0.25">
      <c r="A68" s="232"/>
      <c r="B68" s="225"/>
      <c r="C68" s="225"/>
      <c r="D68" s="225"/>
      <c r="E68" s="175"/>
      <c r="F68" s="219"/>
      <c r="G68" s="223"/>
      <c r="H68" s="224"/>
    </row>
    <row r="69" spans="1:8" x14ac:dyDescent="0.25">
      <c r="A69" s="232"/>
      <c r="B69" s="225"/>
      <c r="C69" s="225"/>
      <c r="D69" s="225"/>
      <c r="E69" s="175"/>
      <c r="F69" s="219"/>
      <c r="G69" s="223"/>
      <c r="H69" s="224"/>
    </row>
    <row r="70" spans="1:8" x14ac:dyDescent="0.25">
      <c r="A70" s="232"/>
      <c r="B70" s="225"/>
      <c r="C70" s="225"/>
      <c r="D70" s="225"/>
      <c r="E70" s="175"/>
      <c r="F70" s="219"/>
      <c r="G70" s="223"/>
      <c r="H70" s="224"/>
    </row>
    <row r="71" spans="1:8" x14ac:dyDescent="0.25">
      <c r="A71" s="232"/>
      <c r="B71" s="225"/>
      <c r="C71" s="225"/>
      <c r="D71" s="225"/>
      <c r="E71" s="175"/>
      <c r="F71" s="219"/>
      <c r="G71" s="223"/>
      <c r="H71" s="224"/>
    </row>
    <row r="72" spans="1:8" x14ac:dyDescent="0.25">
      <c r="A72" s="232"/>
      <c r="B72" s="225"/>
      <c r="C72" s="225"/>
      <c r="D72" s="225"/>
      <c r="E72" s="175"/>
      <c r="F72" s="219"/>
      <c r="G72" s="223"/>
      <c r="H72" s="224"/>
    </row>
    <row r="73" spans="1:8" x14ac:dyDescent="0.25">
      <c r="A73" s="232"/>
      <c r="B73" s="225"/>
      <c r="C73" s="225"/>
      <c r="D73" s="225"/>
      <c r="E73" s="175"/>
      <c r="F73" s="219"/>
      <c r="G73" s="223"/>
      <c r="H73" s="224"/>
    </row>
    <row r="74" spans="1:8" x14ac:dyDescent="0.25">
      <c r="A74" s="232"/>
      <c r="B74" s="225"/>
      <c r="C74" s="225"/>
      <c r="D74" s="225"/>
      <c r="E74" s="175"/>
      <c r="F74" s="219"/>
      <c r="G74" s="223"/>
      <c r="H74" s="224"/>
    </row>
    <row r="75" spans="1:8" x14ac:dyDescent="0.25">
      <c r="A75" s="232"/>
      <c r="B75" s="225"/>
      <c r="C75" s="225"/>
      <c r="D75" s="225"/>
      <c r="E75" s="175"/>
      <c r="F75" s="219"/>
      <c r="G75" s="223"/>
      <c r="H75" s="224"/>
    </row>
    <row r="76" spans="1:8" x14ac:dyDescent="0.25">
      <c r="A76" s="232"/>
      <c r="B76" s="225"/>
      <c r="C76" s="225"/>
      <c r="D76" s="225"/>
      <c r="E76" s="175"/>
      <c r="F76" s="219"/>
      <c r="G76" s="223"/>
      <c r="H76" s="224"/>
    </row>
    <row r="77" spans="1:8" x14ac:dyDescent="0.25">
      <c r="A77" s="232"/>
      <c r="B77" s="225"/>
      <c r="C77" s="225"/>
      <c r="D77" s="225"/>
      <c r="E77" s="175"/>
      <c r="F77" s="219"/>
      <c r="G77" s="223"/>
      <c r="H77" s="224"/>
    </row>
    <row r="78" spans="1:8" s="8" customFormat="1" x14ac:dyDescent="0.25">
      <c r="A78" s="232"/>
      <c r="B78" s="225"/>
      <c r="C78" s="225"/>
      <c r="D78" s="225"/>
      <c r="E78" s="175"/>
      <c r="F78" s="219"/>
      <c r="G78" s="223"/>
      <c r="H78" s="224"/>
    </row>
    <row r="79" spans="1:8" x14ac:dyDescent="0.25">
      <c r="A79" s="232"/>
      <c r="B79" s="225"/>
      <c r="C79" s="225"/>
      <c r="D79" s="225"/>
      <c r="E79" s="175"/>
      <c r="F79" s="219"/>
      <c r="G79" s="223"/>
      <c r="H79" s="224"/>
    </row>
    <row r="80" spans="1:8" x14ac:dyDescent="0.25">
      <c r="A80" s="232"/>
      <c r="B80" s="225"/>
      <c r="C80" s="225"/>
      <c r="D80" s="225"/>
      <c r="E80" s="175"/>
      <c r="F80" s="219"/>
      <c r="G80" s="223"/>
      <c r="H80" s="224"/>
    </row>
    <row r="81" spans="1:8" x14ac:dyDescent="0.25">
      <c r="A81" s="232"/>
      <c r="B81" s="225"/>
      <c r="C81" s="225"/>
      <c r="D81" s="225"/>
      <c r="E81" s="175"/>
      <c r="F81" s="219"/>
      <c r="G81" s="223"/>
      <c r="H81" s="224"/>
    </row>
    <row r="82" spans="1:8" x14ac:dyDescent="0.25">
      <c r="A82" s="232"/>
      <c r="B82" s="225"/>
      <c r="C82" s="225"/>
      <c r="D82" s="225"/>
      <c r="E82" s="175"/>
      <c r="F82" s="219"/>
      <c r="G82" s="223"/>
      <c r="H82" s="224"/>
    </row>
    <row r="83" spans="1:8" x14ac:dyDescent="0.25">
      <c r="A83" s="232"/>
      <c r="B83" s="225"/>
      <c r="C83" s="225"/>
      <c r="D83" s="225"/>
      <c r="E83" s="175"/>
      <c r="F83" s="219"/>
      <c r="G83" s="223"/>
      <c r="H83" s="224"/>
    </row>
    <row r="84" spans="1:8" x14ac:dyDescent="0.25">
      <c r="A84" s="232"/>
      <c r="B84" s="225"/>
      <c r="C84" s="225"/>
      <c r="D84" s="225"/>
      <c r="E84" s="175"/>
      <c r="F84" s="219"/>
      <c r="G84" s="223"/>
      <c r="H84" s="224"/>
    </row>
    <row r="85" spans="1:8" x14ac:dyDescent="0.25">
      <c r="A85" s="232"/>
      <c r="B85" s="225"/>
      <c r="C85" s="225"/>
      <c r="D85" s="225"/>
      <c r="E85" s="175"/>
      <c r="F85" s="219"/>
      <c r="G85" s="223"/>
      <c r="H85" s="224"/>
    </row>
    <row r="86" spans="1:8" x14ac:dyDescent="0.25">
      <c r="A86" s="232"/>
      <c r="B86" s="225"/>
      <c r="C86" s="225"/>
      <c r="D86" s="225"/>
      <c r="E86" s="175"/>
      <c r="F86" s="219"/>
      <c r="G86" s="223"/>
      <c r="H86" s="224"/>
    </row>
    <row r="87" spans="1:8" x14ac:dyDescent="0.25">
      <c r="A87" s="232"/>
      <c r="B87" s="225"/>
      <c r="C87" s="225"/>
      <c r="D87" s="225"/>
      <c r="E87" s="175"/>
      <c r="F87" s="219"/>
      <c r="G87" s="223"/>
      <c r="H87" s="224"/>
    </row>
    <row r="88" spans="1:8" x14ac:dyDescent="0.25">
      <c r="A88" s="232"/>
      <c r="B88" s="225"/>
      <c r="C88" s="225"/>
      <c r="D88" s="225"/>
      <c r="E88" s="175"/>
      <c r="F88" s="219"/>
      <c r="G88" s="223"/>
      <c r="H88" s="224"/>
    </row>
    <row r="89" spans="1:8" x14ac:dyDescent="0.25">
      <c r="A89" s="232"/>
      <c r="B89" s="225"/>
      <c r="C89" s="225"/>
      <c r="D89" s="225"/>
      <c r="E89" s="175"/>
      <c r="F89" s="219"/>
      <c r="G89" s="223"/>
      <c r="H89" s="224"/>
    </row>
    <row r="90" spans="1:8" x14ac:dyDescent="0.25">
      <c r="A90" s="232"/>
      <c r="B90" s="225"/>
      <c r="C90" s="225"/>
      <c r="D90" s="225"/>
      <c r="E90" s="175"/>
      <c r="F90" s="219"/>
      <c r="G90" s="223"/>
      <c r="H90" s="224"/>
    </row>
    <row r="91" spans="1:8" x14ac:dyDescent="0.25">
      <c r="A91" s="232"/>
      <c r="B91" s="225"/>
      <c r="C91" s="225"/>
      <c r="D91" s="225"/>
      <c r="E91" s="175"/>
      <c r="F91" s="219"/>
      <c r="G91" s="223"/>
      <c r="H91" s="224"/>
    </row>
    <row r="92" spans="1:8" x14ac:dyDescent="0.25">
      <c r="A92" s="232"/>
      <c r="B92" s="225"/>
      <c r="C92" s="225"/>
      <c r="D92" s="225"/>
      <c r="E92" s="175"/>
      <c r="F92" s="219"/>
      <c r="G92" s="223"/>
      <c r="H92" s="224"/>
    </row>
    <row r="93" spans="1:8" x14ac:dyDescent="0.25">
      <c r="A93" s="232"/>
      <c r="B93" s="225"/>
      <c r="C93" s="225"/>
      <c r="D93" s="225"/>
      <c r="E93" s="175"/>
      <c r="F93" s="219"/>
      <c r="G93" s="223"/>
      <c r="H93" s="224"/>
    </row>
    <row r="94" spans="1:8" x14ac:dyDescent="0.25">
      <c r="A94" s="232"/>
      <c r="B94" s="225"/>
      <c r="C94" s="225"/>
      <c r="D94" s="225"/>
      <c r="E94" s="175"/>
      <c r="F94" s="219"/>
      <c r="G94" s="223"/>
      <c r="H94" s="224"/>
    </row>
    <row r="95" spans="1:8" x14ac:dyDescent="0.25">
      <c r="A95" s="232"/>
      <c r="B95" s="225"/>
      <c r="C95" s="225"/>
      <c r="D95" s="225"/>
      <c r="E95" s="175"/>
      <c r="F95" s="219"/>
      <c r="G95" s="223"/>
      <c r="H95" s="224"/>
    </row>
    <row r="96" spans="1:8" x14ac:dyDescent="0.25">
      <c r="A96" s="232"/>
      <c r="B96" s="225"/>
      <c r="C96" s="225"/>
      <c r="D96" s="225"/>
      <c r="E96" s="175"/>
      <c r="F96" s="219"/>
      <c r="G96" s="223"/>
      <c r="H96" s="224"/>
    </row>
    <row r="97" spans="1:8" x14ac:dyDescent="0.25">
      <c r="A97" s="232"/>
      <c r="B97" s="225"/>
      <c r="C97" s="225"/>
      <c r="D97" s="225"/>
      <c r="E97" s="175"/>
      <c r="F97" s="219"/>
      <c r="G97" s="223"/>
      <c r="H97" s="224"/>
    </row>
    <row r="98" spans="1:8" x14ac:dyDescent="0.25">
      <c r="A98" s="232"/>
      <c r="B98" s="225"/>
      <c r="C98" s="225"/>
      <c r="D98" s="225"/>
      <c r="E98" s="10"/>
      <c r="F98" s="10"/>
      <c r="G98" s="10"/>
      <c r="H98" s="224"/>
    </row>
    <row r="99" spans="1:8" x14ac:dyDescent="0.25">
      <c r="A99" s="232"/>
      <c r="B99" s="225"/>
      <c r="C99" s="225"/>
      <c r="D99" s="225"/>
      <c r="E99" s="10"/>
      <c r="F99" s="10"/>
      <c r="G99" s="10"/>
      <c r="H99" s="224"/>
    </row>
    <row r="100" spans="1:8" x14ac:dyDescent="0.25">
      <c r="A100" s="232"/>
      <c r="B100" s="225"/>
      <c r="C100" s="225"/>
      <c r="D100" s="225"/>
      <c r="E100" s="10"/>
      <c r="F100" s="10"/>
      <c r="G100" s="10"/>
      <c r="H100" s="224"/>
    </row>
    <row r="101" spans="1:8" x14ac:dyDescent="0.25">
      <c r="A101" s="232"/>
      <c r="B101" s="225"/>
      <c r="C101" s="225"/>
      <c r="D101" s="225"/>
      <c r="E101" s="10"/>
      <c r="F101" s="10"/>
      <c r="G101" s="10"/>
      <c r="H101" s="224"/>
    </row>
    <row r="102" spans="1:8" x14ac:dyDescent="0.25">
      <c r="A102" s="232"/>
      <c r="B102" s="225"/>
      <c r="C102" s="225"/>
      <c r="D102" s="225"/>
      <c r="E102" s="10"/>
      <c r="F102" s="10"/>
      <c r="G102" s="10"/>
      <c r="H102" s="224"/>
    </row>
    <row r="103" spans="1:8" x14ac:dyDescent="0.25">
      <c r="A103" s="232"/>
      <c r="B103" s="225"/>
      <c r="C103" s="225"/>
      <c r="D103" s="225"/>
      <c r="E103" s="10"/>
      <c r="F103" s="10"/>
      <c r="G103" s="10"/>
      <c r="H103" s="224"/>
    </row>
    <row r="104" spans="1:8" x14ac:dyDescent="0.25">
      <c r="A104" s="232"/>
      <c r="B104" s="225"/>
      <c r="C104" s="225"/>
      <c r="D104" s="225"/>
      <c r="E104" s="10"/>
      <c r="F104" s="10"/>
      <c r="G104" s="10"/>
      <c r="H104" s="224"/>
    </row>
    <row r="105" spans="1:8" x14ac:dyDescent="0.25">
      <c r="A105" s="232"/>
      <c r="B105" s="225"/>
      <c r="C105" s="225"/>
      <c r="D105" s="225"/>
      <c r="E105" s="175"/>
      <c r="F105" s="219"/>
      <c r="G105" s="223"/>
      <c r="H105" s="224"/>
    </row>
    <row r="106" spans="1:8" x14ac:dyDescent="0.25">
      <c r="A106" s="232"/>
      <c r="B106" s="225"/>
      <c r="C106" s="225"/>
      <c r="D106" s="225"/>
      <c r="E106" s="10"/>
      <c r="F106" s="10"/>
      <c r="G106" s="10"/>
      <c r="H106" s="224"/>
    </row>
    <row r="107" spans="1:8" x14ac:dyDescent="0.25">
      <c r="A107" s="232"/>
      <c r="B107" s="225"/>
      <c r="C107" s="225"/>
      <c r="D107" s="225"/>
      <c r="E107" s="10"/>
      <c r="F107" s="10"/>
      <c r="G107" s="10"/>
      <c r="H107" s="224"/>
    </row>
    <row r="108" spans="1:8" x14ac:dyDescent="0.25">
      <c r="A108" s="232"/>
      <c r="B108" s="225"/>
      <c r="C108" s="225"/>
      <c r="D108" s="225"/>
      <c r="E108" s="10"/>
      <c r="F108" s="10"/>
      <c r="G108" s="10"/>
      <c r="H108" s="224"/>
    </row>
    <row r="109" spans="1:8" x14ac:dyDescent="0.25">
      <c r="A109" s="232"/>
      <c r="B109" s="225"/>
      <c r="C109" s="225"/>
      <c r="D109" s="225"/>
      <c r="E109" s="10"/>
      <c r="F109" s="10"/>
      <c r="G109" s="10"/>
      <c r="H109" s="224"/>
    </row>
    <row r="110" spans="1:8" x14ac:dyDescent="0.25">
      <c r="A110" s="232"/>
      <c r="B110" s="225"/>
      <c r="C110" s="225"/>
      <c r="D110" s="225"/>
      <c r="E110" s="10"/>
      <c r="F110" s="10"/>
      <c r="G110" s="10"/>
      <c r="H110" s="224"/>
    </row>
    <row r="111" spans="1:8" x14ac:dyDescent="0.25">
      <c r="A111" s="232"/>
      <c r="B111" s="225"/>
      <c r="C111" s="225"/>
      <c r="D111" s="225"/>
      <c r="E111" s="10"/>
      <c r="F111" s="10"/>
      <c r="G111" s="10"/>
      <c r="H111" s="224"/>
    </row>
    <row r="112" spans="1:8" x14ac:dyDescent="0.25">
      <c r="A112" s="232"/>
      <c r="B112" s="225"/>
      <c r="C112" s="225"/>
      <c r="D112" s="225"/>
      <c r="E112" s="10"/>
      <c r="F112" s="10"/>
      <c r="G112" s="10"/>
      <c r="H112" s="224"/>
    </row>
    <row r="113" spans="1:8" x14ac:dyDescent="0.25">
      <c r="A113" s="232"/>
      <c r="B113" s="225"/>
      <c r="C113" s="225"/>
      <c r="D113" s="225"/>
      <c r="E113" s="10"/>
      <c r="F113" s="10"/>
      <c r="G113" s="10"/>
      <c r="H113" s="224"/>
    </row>
    <row r="114" spans="1:8" x14ac:dyDescent="0.25">
      <c r="A114" s="232"/>
      <c r="B114" s="225"/>
      <c r="C114" s="225"/>
      <c r="D114" s="225"/>
      <c r="E114" s="10"/>
      <c r="F114" s="10"/>
      <c r="G114" s="10"/>
      <c r="H114" s="224"/>
    </row>
    <row r="115" spans="1:8" x14ac:dyDescent="0.25">
      <c r="A115" s="232"/>
      <c r="B115" s="225"/>
      <c r="C115" s="225"/>
      <c r="D115" s="225"/>
      <c r="E115" s="10"/>
      <c r="F115" s="10"/>
      <c r="G115" s="10"/>
      <c r="H115" s="224"/>
    </row>
    <row r="116" spans="1:8" x14ac:dyDescent="0.25">
      <c r="A116" s="232"/>
      <c r="B116" s="225"/>
      <c r="C116" s="225"/>
      <c r="D116" s="225"/>
      <c r="E116" s="10"/>
      <c r="F116" s="10"/>
      <c r="G116" s="10"/>
      <c r="H116" s="224"/>
    </row>
    <row r="117" spans="1:8" x14ac:dyDescent="0.25">
      <c r="A117" s="232"/>
      <c r="B117" s="225"/>
      <c r="C117" s="225"/>
      <c r="D117" s="225"/>
      <c r="E117" s="10"/>
      <c r="F117" s="10"/>
      <c r="G117" s="10"/>
      <c r="H117" s="224"/>
    </row>
    <row r="118" spans="1:8" x14ac:dyDescent="0.25">
      <c r="A118" s="232"/>
      <c r="B118" s="225"/>
      <c r="C118" s="225"/>
      <c r="D118" s="225"/>
      <c r="E118" s="10"/>
      <c r="F118" s="10"/>
      <c r="G118" s="10"/>
      <c r="H118" s="224"/>
    </row>
    <row r="119" spans="1:8" x14ac:dyDescent="0.25">
      <c r="A119" s="232"/>
      <c r="B119" s="225"/>
      <c r="C119" s="225"/>
      <c r="D119" s="225"/>
      <c r="E119" s="10"/>
      <c r="F119" s="223"/>
      <c r="G119" s="10"/>
      <c r="H119" s="224"/>
    </row>
    <row r="120" spans="1:8" x14ac:dyDescent="0.25">
      <c r="A120" s="232"/>
      <c r="B120" s="225"/>
      <c r="C120" s="225"/>
      <c r="D120" s="225"/>
      <c r="E120" s="10"/>
      <c r="F120" s="10"/>
      <c r="G120" s="10"/>
      <c r="H120" s="224"/>
    </row>
    <row r="121" spans="1:8" x14ac:dyDescent="0.25">
      <c r="A121" s="232"/>
      <c r="B121" s="225"/>
      <c r="C121" s="225"/>
      <c r="D121" s="225"/>
      <c r="E121" s="10"/>
      <c r="F121" s="10"/>
      <c r="G121" s="223"/>
      <c r="H121" s="224"/>
    </row>
    <row r="122" spans="1:8" x14ac:dyDescent="0.25">
      <c r="A122" s="232"/>
      <c r="B122" s="225"/>
      <c r="C122" s="225"/>
      <c r="D122" s="225"/>
      <c r="E122" s="175"/>
      <c r="F122" s="219"/>
      <c r="G122" s="223"/>
      <c r="H122" s="224"/>
    </row>
    <row r="123" spans="1:8" x14ac:dyDescent="0.25">
      <c r="A123" s="232"/>
      <c r="B123" s="225"/>
      <c r="C123" s="225"/>
      <c r="D123" s="225"/>
      <c r="E123" s="175"/>
      <c r="F123" s="219"/>
      <c r="G123" s="223"/>
      <c r="H123" s="224"/>
    </row>
    <row r="124" spans="1:8" x14ac:dyDescent="0.25">
      <c r="A124" s="232"/>
      <c r="B124" s="225"/>
      <c r="C124" s="225"/>
      <c r="D124" s="225"/>
      <c r="E124" s="175"/>
      <c r="F124" s="219"/>
      <c r="G124" s="223"/>
      <c r="H124" s="224"/>
    </row>
    <row r="125" spans="1:8" x14ac:dyDescent="0.25">
      <c r="A125" s="232"/>
      <c r="B125" s="225"/>
      <c r="C125" s="225"/>
      <c r="D125" s="225"/>
      <c r="E125" s="175"/>
      <c r="F125" s="219"/>
      <c r="G125" s="223"/>
      <c r="H125" s="224"/>
    </row>
    <row r="126" spans="1:8" x14ac:dyDescent="0.25">
      <c r="A126" s="232"/>
      <c r="B126" s="225"/>
      <c r="C126" s="225"/>
      <c r="D126" s="225"/>
      <c r="E126" s="175"/>
      <c r="F126" s="219"/>
      <c r="G126" s="223"/>
      <c r="H126" s="224"/>
    </row>
    <row r="127" spans="1:8" x14ac:dyDescent="0.25">
      <c r="A127" s="232"/>
      <c r="B127" s="225"/>
      <c r="C127" s="225"/>
      <c r="D127" s="225"/>
      <c r="E127" s="175"/>
      <c r="F127" s="219"/>
      <c r="G127" s="223"/>
      <c r="H127" s="224"/>
    </row>
    <row r="128" spans="1:8" x14ac:dyDescent="0.25">
      <c r="A128" s="232"/>
      <c r="B128" s="225"/>
      <c r="C128" s="225"/>
      <c r="D128" s="225"/>
      <c r="E128" s="175"/>
      <c r="F128" s="219"/>
      <c r="G128" s="223"/>
      <c r="H128" s="224"/>
    </row>
    <row r="129" spans="1:8" x14ac:dyDescent="0.25">
      <c r="A129" s="232"/>
      <c r="B129" s="225"/>
      <c r="C129" s="225"/>
      <c r="D129" s="225"/>
      <c r="E129" s="175"/>
      <c r="F129" s="219"/>
      <c r="G129" s="223"/>
      <c r="H129" s="224"/>
    </row>
    <row r="130" spans="1:8" x14ac:dyDescent="0.25">
      <c r="A130" s="232"/>
      <c r="B130" s="225"/>
      <c r="C130" s="225"/>
      <c r="D130" s="225"/>
      <c r="E130" s="175"/>
      <c r="F130" s="219"/>
      <c r="G130" s="223"/>
      <c r="H130" s="224"/>
    </row>
    <row r="131" spans="1:8" x14ac:dyDescent="0.25">
      <c r="A131" s="232"/>
      <c r="B131" s="225"/>
      <c r="C131" s="225"/>
      <c r="D131" s="225"/>
      <c r="E131" s="175"/>
      <c r="F131" s="219"/>
      <c r="G131" s="223"/>
      <c r="H131" s="224"/>
    </row>
    <row r="132" spans="1:8" x14ac:dyDescent="0.25">
      <c r="A132" s="232"/>
      <c r="B132" s="225"/>
      <c r="C132" s="225"/>
      <c r="D132" s="225"/>
      <c r="E132" s="175"/>
      <c r="F132" s="219"/>
      <c r="G132" s="223"/>
      <c r="H132" s="224"/>
    </row>
    <row r="133" spans="1:8" x14ac:dyDescent="0.25">
      <c r="A133" s="232"/>
      <c r="B133" s="225"/>
      <c r="C133" s="225"/>
      <c r="D133" s="225"/>
      <c r="E133" s="175"/>
      <c r="F133" s="219"/>
      <c r="G133" s="223"/>
      <c r="H133" s="224"/>
    </row>
    <row r="134" spans="1:8" x14ac:dyDescent="0.25">
      <c r="A134" s="232"/>
      <c r="B134" s="225"/>
      <c r="C134" s="225"/>
      <c r="D134" s="225"/>
      <c r="E134" s="175"/>
      <c r="F134" s="219"/>
      <c r="G134" s="223"/>
      <c r="H134" s="224"/>
    </row>
    <row r="135" spans="1:8" x14ac:dyDescent="0.25">
      <c r="A135" s="232"/>
      <c r="B135" s="225"/>
      <c r="C135" s="225"/>
      <c r="D135" s="225"/>
      <c r="E135" s="175"/>
      <c r="F135" s="219"/>
      <c r="G135" s="223"/>
      <c r="H135" s="224"/>
    </row>
    <row r="136" spans="1:8" x14ac:dyDescent="0.25">
      <c r="A136" s="232"/>
      <c r="B136" s="225"/>
      <c r="C136" s="225"/>
      <c r="D136" s="225"/>
      <c r="E136" s="175"/>
      <c r="F136" s="219"/>
      <c r="G136" s="223"/>
      <c r="H136" s="224"/>
    </row>
    <row r="137" spans="1:8" x14ac:dyDescent="0.25">
      <c r="A137" s="232"/>
      <c r="B137" s="225"/>
      <c r="C137" s="225"/>
      <c r="D137" s="225"/>
      <c r="E137" s="175"/>
      <c r="F137" s="219"/>
      <c r="G137" s="223"/>
      <c r="H137" s="224"/>
    </row>
    <row r="138" spans="1:8" x14ac:dyDescent="0.25">
      <c r="A138" s="232"/>
      <c r="B138" s="225"/>
      <c r="C138" s="225"/>
      <c r="D138" s="225"/>
      <c r="E138" s="175"/>
      <c r="F138" s="219"/>
      <c r="G138" s="223"/>
      <c r="H138" s="224"/>
    </row>
    <row r="139" spans="1:8" x14ac:dyDescent="0.25">
      <c r="A139" s="232"/>
      <c r="B139" s="225"/>
      <c r="C139" s="225"/>
      <c r="D139" s="225"/>
      <c r="E139" s="175"/>
      <c r="F139" s="219"/>
      <c r="G139" s="223"/>
      <c r="H139" s="224"/>
    </row>
  </sheetData>
  <dataValidations count="5">
    <dataValidation type="list" allowBlank="1" showInputMessage="1" showErrorMessage="1" sqref="O12">
      <formula1>месяц</formula1>
    </dataValidation>
    <dataValidation type="list" allowBlank="1" showInputMessage="1" showErrorMessage="1" sqref="P12">
      <formula1>год</formula1>
    </dataValidation>
    <dataValidation type="date" allowBlank="1" showInputMessage="1" showErrorMessage="1" sqref="A6:A139">
      <formula1>42370</formula1>
      <formula2>44197</formula2>
    </dataValidation>
    <dataValidation type="list" allowBlank="1" showInputMessage="1" showErrorMessage="1" sqref="C6:D139">
      <formula1>INDIRECT("Список_Касса")</formula1>
    </dataValidation>
    <dataValidation type="list" allowBlank="1" showInputMessage="1" showErrorMessage="1" sqref="B6:B139">
      <formula1>INDIRECT("Операция")</formula1>
    </dataValidation>
  </dataValidations>
  <pageMargins left="0.7" right="0.7" top="0.75" bottom="0.75" header="0.3" footer="0.3"/>
  <ignoredErrors>
    <ignoredError sqref="O17 M24:N24 M19:N23 P17 O18:P24 L24 K21 K23 K19 K24 K20:L20 L19 L23 K22:L22 L21" emptyCellReference="1"/>
  </ignoredErrors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C2:G17"/>
  <sheetViews>
    <sheetView workbookViewId="0">
      <selection activeCell="C23" sqref="C23"/>
    </sheetView>
  </sheetViews>
  <sheetFormatPr defaultColWidth="8.85546875" defaultRowHeight="15" x14ac:dyDescent="0.25"/>
  <cols>
    <col min="1" max="2" width="8.85546875" style="8"/>
    <col min="3" max="3" width="29.42578125" style="8" customWidth="1"/>
    <col min="4" max="5" width="8.85546875" style="8"/>
    <col min="6" max="6" width="12.28515625" style="8" customWidth="1"/>
    <col min="7" max="16384" width="8.85546875" style="8"/>
  </cols>
  <sheetData>
    <row r="2" spans="3:7" ht="14.45" x14ac:dyDescent="0.3">
      <c r="C2" s="171">
        <f ca="1">TODAY()</f>
        <v>42735</v>
      </c>
      <c r="D2" s="304"/>
      <c r="E2" s="304"/>
      <c r="F2" s="304"/>
      <c r="G2" s="304"/>
    </row>
    <row r="3" spans="3:7" ht="15.75" thickBot="1" x14ac:dyDescent="0.3">
      <c r="C3" s="8" t="s">
        <v>256</v>
      </c>
    </row>
    <row r="4" spans="3:7" x14ac:dyDescent="0.25">
      <c r="C4" s="192" t="s">
        <v>264</v>
      </c>
      <c r="D4" s="193">
        <f ca="1">SUMIFS(Реестр[Стоимость реализации],Реестр[Дата заказа],C2)</f>
        <v>0</v>
      </c>
    </row>
    <row r="5" spans="3:7" x14ac:dyDescent="0.25">
      <c r="C5" s="305" t="s">
        <v>265</v>
      </c>
      <c r="D5" s="306">
        <f ca="1">SUMIFS(Касса[Сумма],Касса[Вид операции],"Получено",Касса[Кому],"Касса (Нал)",Касса[Дата],$C$2)</f>
        <v>0</v>
      </c>
    </row>
    <row r="6" spans="3:7" ht="15.75" thickBot="1" x14ac:dyDescent="0.3">
      <c r="C6" s="307" t="s">
        <v>266</v>
      </c>
      <c r="D6" s="308">
        <f ca="1">SUMIFS(Касса[Сумма],Касса[Вид операции],"Получено",Касса[Кому],"Терминал(р/с)",Касса[Дата],$C$2)</f>
        <v>0</v>
      </c>
    </row>
    <row r="7" spans="3:7" thickBot="1" x14ac:dyDescent="0.35"/>
    <row r="8" spans="3:7" x14ac:dyDescent="0.25">
      <c r="C8" s="192" t="s">
        <v>257</v>
      </c>
      <c r="D8" s="309">
        <f>ЗП!B13</f>
        <v>436723</v>
      </c>
    </row>
    <row r="9" spans="3:7" x14ac:dyDescent="0.25">
      <c r="C9" s="305" t="s">
        <v>258</v>
      </c>
      <c r="D9" s="310">
        <f>ЗП!B12</f>
        <v>498563</v>
      </c>
    </row>
    <row r="10" spans="3:7" x14ac:dyDescent="0.25">
      <c r="C10" s="305" t="s">
        <v>267</v>
      </c>
      <c r="D10" s="310">
        <f>касса!O17</f>
        <v>142785</v>
      </c>
    </row>
    <row r="11" spans="3:7" ht="15.75" thickBot="1" x14ac:dyDescent="0.3">
      <c r="C11" s="307" t="s">
        <v>268</v>
      </c>
      <c r="D11" s="311">
        <f>касса!O18</f>
        <v>994831</v>
      </c>
    </row>
    <row r="12" spans="3:7" thickBot="1" x14ac:dyDescent="0.35"/>
    <row r="13" spans="3:7" x14ac:dyDescent="0.25">
      <c r="C13" s="192" t="s">
        <v>259</v>
      </c>
      <c r="D13" s="309">
        <f>SUMIF(Реестр[Статус                            (в работе/ отгружен)],"В работе",Реестр[Стоимость реализации])</f>
        <v>61840</v>
      </c>
    </row>
    <row r="14" spans="3:7" x14ac:dyDescent="0.25">
      <c r="C14" s="305" t="s">
        <v>260</v>
      </c>
      <c r="D14" s="310">
        <f>SUMIF(Реестр[Статус                            (в работе/ отгружен)],"В работе",Реестр[Сумма Предоплаты])</f>
        <v>27000</v>
      </c>
    </row>
    <row r="15" spans="3:7" ht="15.75" thickBot="1" x14ac:dyDescent="0.3">
      <c r="C15" s="307" t="s">
        <v>261</v>
      </c>
      <c r="D15" s="311">
        <f>D13-D14</f>
        <v>34840</v>
      </c>
    </row>
    <row r="16" spans="3:7" ht="15.75" thickBot="1" x14ac:dyDescent="0.3">
      <c r="C16" s="312" t="s">
        <v>262</v>
      </c>
      <c r="D16" s="313">
        <f>D14/D13</f>
        <v>0.43661060802069857</v>
      </c>
    </row>
    <row r="17" spans="3:4" ht="15.75" thickBot="1" x14ac:dyDescent="0.3">
      <c r="C17" s="312" t="s">
        <v>333</v>
      </c>
      <c r="D17" s="353">
        <f>SUMIF(Реестр[Статус                            (в работе/ отгружен)],"Образец",Реестр[Стоимость реализации])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T61"/>
  <sheetViews>
    <sheetView topLeftCell="A13" workbookViewId="0">
      <selection activeCell="E26" sqref="D26:E27"/>
    </sheetView>
  </sheetViews>
  <sheetFormatPr defaultRowHeight="15" x14ac:dyDescent="0.25"/>
  <cols>
    <col min="1" max="1" width="23.7109375" customWidth="1"/>
    <col min="2" max="2" width="17.7109375" customWidth="1"/>
    <col min="3" max="3" width="9.28515625" customWidth="1"/>
    <col min="4" max="4" width="12.42578125" customWidth="1"/>
    <col min="5" max="5" width="11.85546875" style="5" customWidth="1"/>
    <col min="6" max="6" width="12.28515625" style="8" customWidth="1"/>
    <col min="7" max="7" width="16.7109375" style="8" customWidth="1"/>
    <col min="8" max="8" width="13.28515625" customWidth="1"/>
    <col min="9" max="9" width="12.28515625" customWidth="1"/>
    <col min="10" max="10" width="9.7109375" customWidth="1"/>
    <col min="11" max="12" width="11" style="5" customWidth="1"/>
    <col min="13" max="13" width="8.7109375" customWidth="1"/>
    <col min="14" max="14" width="14.140625" customWidth="1"/>
    <col min="15" max="15" width="14" customWidth="1"/>
    <col min="16" max="16" width="13.85546875" customWidth="1"/>
    <col min="17" max="17" width="9.85546875" bestFit="1" customWidth="1"/>
    <col min="18" max="18" width="11.42578125" customWidth="1"/>
    <col min="19" max="19" width="11.140625" customWidth="1"/>
    <col min="20" max="20" width="9.140625" customWidth="1"/>
  </cols>
  <sheetData>
    <row r="1" spans="1:6" x14ac:dyDescent="0.25">
      <c r="A1" s="8" t="s">
        <v>93</v>
      </c>
      <c r="B1" s="8"/>
      <c r="C1" s="20" t="s">
        <v>94</v>
      </c>
      <c r="D1" s="8"/>
      <c r="E1" s="8"/>
    </row>
    <row r="2" spans="1:6" thickBot="1" x14ac:dyDescent="0.35">
      <c r="A2" s="8"/>
      <c r="B2" s="8"/>
      <c r="C2" s="8"/>
      <c r="D2" s="8"/>
      <c r="E2" s="20"/>
    </row>
    <row r="3" spans="1:6" x14ac:dyDescent="0.25">
      <c r="A3" s="147" t="s">
        <v>50</v>
      </c>
      <c r="B3" s="148" t="s">
        <v>51</v>
      </c>
      <c r="C3" s="39" t="s">
        <v>52</v>
      </c>
      <c r="D3" s="47">
        <f>SUMIFS(Планы[План],Планы[Номер плана],C3,Планы[Год],$B$4,Планы[Месяц],$A$4)</f>
        <v>950000</v>
      </c>
      <c r="E3" s="20"/>
    </row>
    <row r="4" spans="1:6" ht="15.75" thickBot="1" x14ac:dyDescent="0.3">
      <c r="A4" s="33" t="s">
        <v>204</v>
      </c>
      <c r="B4" s="34">
        <v>2016</v>
      </c>
      <c r="C4" s="40" t="s">
        <v>54</v>
      </c>
      <c r="D4" s="48">
        <f>SUMIFS(Планы[План],Планы[Номер плана],C4,Планы[Год],$B$4,Планы[Месяц],$A$4)</f>
        <v>1150000</v>
      </c>
      <c r="E4" s="20"/>
    </row>
    <row r="5" spans="1:6" x14ac:dyDescent="0.25">
      <c r="A5" s="32" t="s">
        <v>55</v>
      </c>
      <c r="B5" s="22" t="s">
        <v>56</v>
      </c>
      <c r="C5" s="41" t="s">
        <v>57</v>
      </c>
      <c r="D5" s="48">
        <f>SUMIFS(Планы[План],Планы[Номер плана],C5,Планы[Год],$B$4,Планы[Месяц],$A$4)</f>
        <v>1350000</v>
      </c>
      <c r="E5" s="20"/>
    </row>
    <row r="6" spans="1:6" ht="15.75" thickBot="1" x14ac:dyDescent="0.3">
      <c r="A6" s="127">
        <f>DATEVALUE(A4&amp;B4)</f>
        <v>42705</v>
      </c>
      <c r="B6" s="128">
        <f>EOMONTH(A6,0)</f>
        <v>42735</v>
      </c>
      <c r="C6" s="40" t="s">
        <v>58</v>
      </c>
      <c r="D6" s="48">
        <f>SUMIFS(Планы[План],Планы[Номер плана],C6,Планы[Год],$B$4,Планы[Месяц],$A$4)</f>
        <v>1550000</v>
      </c>
      <c r="E6" s="20"/>
    </row>
    <row r="7" spans="1:6" s="8" customFormat="1" x14ac:dyDescent="0.25">
      <c r="C7" s="41" t="s">
        <v>59</v>
      </c>
      <c r="D7" s="48">
        <f>SUMIFS(Планы[План],Планы[Номер плана],C7,Планы[Год],$B$4,Планы[Месяц],$A$4)</f>
        <v>1750000</v>
      </c>
      <c r="E7" s="21"/>
      <c r="F7" s="20"/>
    </row>
    <row r="8" spans="1:6" s="8" customFormat="1" x14ac:dyDescent="0.25">
      <c r="C8" s="40" t="s">
        <v>60</v>
      </c>
      <c r="D8" s="48">
        <f>SUMIFS(Планы[План],Планы[Номер плана],C8,Планы[Год],$B$4,Планы[Месяц],$A$4)</f>
        <v>100000</v>
      </c>
      <c r="E8" s="21"/>
      <c r="F8" s="20"/>
    </row>
    <row r="9" spans="1:6" x14ac:dyDescent="0.25">
      <c r="A9" s="8"/>
      <c r="B9" s="8"/>
      <c r="C9" s="42" t="s">
        <v>61</v>
      </c>
      <c r="D9" s="48">
        <f>SUMIFS(Планы[План],Планы[Номер плана],C9,Планы[Год],$B$4,Планы[Месяц],$A$4)</f>
        <v>200000</v>
      </c>
      <c r="E9" s="9"/>
    </row>
    <row r="10" spans="1:6" s="8" customFormat="1" ht="15.75" thickBot="1" x14ac:dyDescent="0.3">
      <c r="C10" s="43" t="s">
        <v>62</v>
      </c>
      <c r="D10" s="49">
        <f>SUMIFS(Планы[План],Планы[Номер плана],C10,Планы[Год],$B$4,Планы[Месяц],$A$4)</f>
        <v>400000</v>
      </c>
      <c r="E10" s="9"/>
    </row>
    <row r="11" spans="1:6" thickBot="1" x14ac:dyDescent="0.35">
      <c r="A11" s="8"/>
      <c r="B11" s="8"/>
      <c r="C11" s="8"/>
      <c r="D11" s="8"/>
      <c r="E11" s="8"/>
    </row>
    <row r="12" spans="1:6" ht="15.75" thickBot="1" x14ac:dyDescent="0.3">
      <c r="A12" s="27" t="s">
        <v>63</v>
      </c>
      <c r="B12" s="50">
        <f>SUMIFS(Реестр[Стоимость реализации],Реестр[Дата заказа],"&gt;="&amp;НП,Реестр[Дата заказа],"&lt;="&amp;КП)</f>
        <v>498563</v>
      </c>
      <c r="C12" s="9"/>
      <c r="D12" s="8"/>
      <c r="E12" s="8"/>
    </row>
    <row r="13" spans="1:6" ht="20.45" customHeight="1" thickBot="1" x14ac:dyDescent="0.3">
      <c r="A13" s="37" t="s">
        <v>64</v>
      </c>
      <c r="B13" s="51">
        <f>SUMIFS(Реестр[Стоимость реализации],Реестр[Дата отгрузки ФАКТ],"&gt;="&amp;НП,Реестр[Дата отгрузки ФАКТ],"&lt;="&amp;КП)</f>
        <v>436723</v>
      </c>
      <c r="C13" s="9"/>
      <c r="D13" s="8"/>
      <c r="E13" s="8"/>
    </row>
    <row r="14" spans="1:6" ht="15.75" thickBot="1" x14ac:dyDescent="0.3">
      <c r="A14" s="37" t="s">
        <v>65</v>
      </c>
      <c r="B14" s="38" t="str">
        <f>IF(B12&lt;D3,"план не выполнен",IF(AND(B12&gt;D3,B12&lt;D4),C3,IF(AND(B12&gt;D4,B12&lt;D5),C4,IF(AND(B12&gt;D5,B12&lt;D6),C5,IF(AND(B12&gt;D6,B12&lt;D7),C6,IF(B12&gt;D7,C7,0))))))</f>
        <v>план не выполнен</v>
      </c>
      <c r="C14" s="9"/>
      <c r="D14" s="8"/>
      <c r="E14" s="8"/>
    </row>
    <row r="15" spans="1:6" s="8" customFormat="1" thickBot="1" x14ac:dyDescent="0.35"/>
    <row r="16" spans="1:6" ht="15.75" thickBot="1" x14ac:dyDescent="0.3">
      <c r="A16" s="44" t="s">
        <v>66</v>
      </c>
      <c r="B16" s="46">
        <f>SUMIF(Таблица3[Должность],"стажер",Таблица3[Сумма продаж])</f>
        <v>403611</v>
      </c>
      <c r="C16" s="8"/>
      <c r="D16" s="8"/>
      <c r="E16" s="6"/>
      <c r="F16" s="6"/>
    </row>
    <row r="17" spans="1:20" s="8" customFormat="1" ht="15.75" thickBot="1" x14ac:dyDescent="0.3">
      <c r="A17" s="44" t="s">
        <v>67</v>
      </c>
      <c r="B17" s="45" t="str">
        <f>IF(B16&lt;D8,"план не выполнен",IF(AND(B16&gt;D8,B16&lt;D9),C8,IF(AND(B16&gt;D9,B16&lt;D10),C9,IF(B16&gt;D10,C10,0))))</f>
        <v>План Ст3</v>
      </c>
      <c r="E17" s="6"/>
      <c r="F17" s="6"/>
      <c r="L17" s="8" t="s">
        <v>95</v>
      </c>
      <c r="O17" s="8" t="s">
        <v>96</v>
      </c>
    </row>
    <row r="18" spans="1:20" ht="14.45" x14ac:dyDescent="0.3">
      <c r="A18" s="8"/>
      <c r="B18" s="8"/>
      <c r="C18" s="8"/>
      <c r="D18" s="8"/>
      <c r="E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54" customHeight="1" x14ac:dyDescent="0.25">
      <c r="A19" s="157" t="s">
        <v>71</v>
      </c>
      <c r="B19" s="158" t="s">
        <v>72</v>
      </c>
      <c r="C19" s="213" t="s">
        <v>97</v>
      </c>
      <c r="D19" s="213" t="s">
        <v>98</v>
      </c>
      <c r="E19" s="213" t="s">
        <v>99</v>
      </c>
      <c r="F19" s="213" t="s">
        <v>100</v>
      </c>
      <c r="G19" s="213" t="s">
        <v>101</v>
      </c>
      <c r="H19" s="28" t="s">
        <v>102</v>
      </c>
      <c r="I19" s="213" t="s">
        <v>76</v>
      </c>
      <c r="J19" s="8"/>
      <c r="K19" s="7"/>
      <c r="L19" s="153" t="s">
        <v>50</v>
      </c>
      <c r="M19" s="153" t="s">
        <v>51</v>
      </c>
      <c r="N19" s="10" t="s">
        <v>55</v>
      </c>
      <c r="O19" s="10" t="s">
        <v>56</v>
      </c>
      <c r="P19" s="159" t="s">
        <v>103</v>
      </c>
      <c r="Q19" s="154" t="s">
        <v>104</v>
      </c>
      <c r="R19" s="155" t="s">
        <v>77</v>
      </c>
      <c r="S19" s="156" t="s">
        <v>105</v>
      </c>
      <c r="T19" s="156" t="s">
        <v>106</v>
      </c>
    </row>
    <row r="20" spans="1:20" x14ac:dyDescent="0.25">
      <c r="A20" s="29" t="s">
        <v>273</v>
      </c>
      <c r="B20" s="30" t="s">
        <v>106</v>
      </c>
      <c r="C20" s="30">
        <f>SUMIFS(Реестр[Стоимость реализации],Реестр[Дата отгрузки ФАКТ],"&gt;="&amp;НП,Реестр[Дата отгрузки ФАКТ],"&lt;="&amp;КП,Реестр[Менеджер],ЗП!A20)</f>
        <v>341771</v>
      </c>
      <c r="D20" s="30">
        <f>SUMIFS(Реестр[Стоимость реализации],Реестр[Дата заказа],"&gt;="&amp;НП,Реестр[Дата заказа],"&lt;="&amp;КП,Реестр[Менеджер],ЗП!A20)</f>
        <v>403611</v>
      </c>
      <c r="E20" s="30">
        <f>SUMIFS(Табель[Итого],Табель[Дата],"&gt;="&amp;НП,Табель[Дата],"&lt;="&amp;КП,Табель[ФИО],A20)</f>
        <v>18400</v>
      </c>
      <c r="F20" s="30">
        <f>IF(B20="Стажер",SUMIFS(Реестр[Сумма бонус],Реестр[Дата заказа],"&gt;="&amp;НП,Реестр[Дата заказа],"&lt;="&amp;КП,Реестр[Менеджер],ЗП!A20),SUMIFS(Реестр[Сумма бонус],Реестр[Дата отгрузки ФАКТ],"&gt;="&amp;НП,Реестр[Дата отгрузки ФАКТ],"&lt;="&amp;КП,Реестр[Менеджер],ЗП!A20))</f>
        <v>16377.76</v>
      </c>
      <c r="G20" s="30">
        <f>IF(Таблица3[[#This Row],[Должность]]="Стажер",SUMIFS(Планы[Стажер],Планы[Месяц],$A$4,Планы[Год],$B$4,Планы[Номер плана],$B$17),IF(Таблица3[[#This Row],[Должность]]="Директор",SUMIFS(Планы[Директор],Планы[Месяц],$A$4,Планы[Год],$B$4,Планы[Номер плана],$B$14),IF(Таблица3[[#This Row],[Должность]]="Продавец",SUMIFS(Планы[Продавец],Планы[Месяц],$A$4,Планы[Год],$B$4,Планы[Номер плана],$B$14),0)))</f>
        <v>7000</v>
      </c>
      <c r="H20" s="30"/>
      <c r="I20" s="31">
        <f>SUM(Таблица3[[#This Row],[Сумма за выход и  за продажи в день]:[прочие удержанием или премии]])</f>
        <v>41777.760000000002</v>
      </c>
      <c r="J20" s="8"/>
      <c r="K20" s="9"/>
      <c r="L20" s="210" t="s">
        <v>53</v>
      </c>
      <c r="M20" s="11">
        <v>2016</v>
      </c>
      <c r="N20" s="211">
        <f t="shared" ref="N20:N28" si="0">IFERROR(DATEVALUE(L20&amp;M20),"-")</f>
        <v>42675</v>
      </c>
      <c r="O20" s="161">
        <f t="shared" ref="O20:O28" si="1">IFERROR(EOMONTH(N20,0),"-")</f>
        <v>42704</v>
      </c>
      <c r="P20" s="150" t="s">
        <v>60</v>
      </c>
      <c r="Q20" s="151">
        <v>100000</v>
      </c>
      <c r="R20" s="150"/>
      <c r="S20" s="150"/>
      <c r="T20" s="152">
        <v>3000</v>
      </c>
    </row>
    <row r="21" spans="1:20" x14ac:dyDescent="0.25">
      <c r="A21" s="29" t="s">
        <v>27</v>
      </c>
      <c r="B21" s="30" t="s">
        <v>77</v>
      </c>
      <c r="C21" s="30"/>
      <c r="D21" s="30"/>
      <c r="E21" s="30"/>
      <c r="F21" s="30"/>
      <c r="G21" s="30">
        <f>IF(Таблица3[[#This Row],[Должность]]="Стажер",SUMIFS(Планы[Стажер],Планы[Месяц],$A$4,Планы[Год],$B$4,Планы[Номер плана],$B$17),IF(Таблица3[[#This Row],[Должность]]="Директор",SUMIFS(Планы[Директор],Планы[Месяц],$A$4,Планы[Год],$B$4,Планы[Номер плана],$B$14),IF(Таблица3[[#This Row],[Должность]]="Продавец",SUMIFS(Планы[Продавец],Планы[Месяц],$A$4,Планы[Год],$B$4,Планы[Номер плана],$B$14),0)))</f>
        <v>0</v>
      </c>
      <c r="H21" s="30"/>
      <c r="I21" s="31"/>
      <c r="J21" s="8"/>
      <c r="K21" s="9"/>
      <c r="L21" s="210" t="s">
        <v>53</v>
      </c>
      <c r="M21" s="11">
        <v>2016</v>
      </c>
      <c r="N21" s="211">
        <f t="shared" si="0"/>
        <v>42675</v>
      </c>
      <c r="O21" s="161">
        <f t="shared" si="1"/>
        <v>42704</v>
      </c>
      <c r="P21" s="13" t="s">
        <v>61</v>
      </c>
      <c r="Q21" s="12">
        <v>200000</v>
      </c>
      <c r="R21" s="11"/>
      <c r="S21" s="11"/>
      <c r="T21" s="15">
        <v>5000</v>
      </c>
    </row>
    <row r="22" spans="1:20" x14ac:dyDescent="0.25">
      <c r="A22" s="29"/>
      <c r="B22" s="30"/>
      <c r="C22" s="30"/>
      <c r="D22" s="30"/>
      <c r="E22" s="30"/>
      <c r="F22" s="30"/>
      <c r="G22" s="30">
        <f>IF(Таблица3[[#This Row],[Должность]]="Стажер",SUMIFS(Планы[Стажер],Планы[Месяц],$A$4,Планы[Год],$B$4,Планы[Номер плана],$B$17),IF(Таблица3[[#This Row],[Должность]]="Директор",SUMIFS(Планы[Директор],Планы[Месяц],$A$4,Планы[Год],$B$4,Планы[Номер плана],$B$14),IF(Таблица3[[#This Row],[Должность]]="Продавец",SUMIFS(Планы[Продавец],Планы[Месяц],$A$4,Планы[Год],$B$4,Планы[Номер плана],$B$14),0)))</f>
        <v>0</v>
      </c>
      <c r="H22" s="30"/>
      <c r="I22" s="31"/>
      <c r="J22" s="8"/>
      <c r="K22" s="9"/>
      <c r="L22" s="210" t="s">
        <v>53</v>
      </c>
      <c r="M22" s="11">
        <v>2016</v>
      </c>
      <c r="N22" s="211">
        <f t="shared" si="0"/>
        <v>42675</v>
      </c>
      <c r="O22" s="161">
        <f t="shared" si="1"/>
        <v>42704</v>
      </c>
      <c r="P22" s="13" t="s">
        <v>62</v>
      </c>
      <c r="Q22" s="12">
        <v>400000</v>
      </c>
      <c r="R22" s="11"/>
      <c r="S22" s="11"/>
      <c r="T22" s="15">
        <v>7000</v>
      </c>
    </row>
    <row r="23" spans="1:20" x14ac:dyDescent="0.25">
      <c r="A23" s="29"/>
      <c r="B23" s="30"/>
      <c r="C23" s="30"/>
      <c r="D23" s="30"/>
      <c r="E23" s="30"/>
      <c r="F23" s="30"/>
      <c r="G23" s="30">
        <f>IF(Таблица3[[#This Row],[Должность]]="Стажер",SUMIFS(Планы[Стажер],Планы[Месяц],$A$4,Планы[Год],$B$4,Планы[Номер плана],$B$17),IF(Таблица3[[#This Row],[Должность]]="Директор",SUMIFS(Планы[Директор],Планы[Месяц],$A$4,Планы[Год],$B$4,Планы[Номер плана],$B$14),IF(Таблица3[[#This Row],[Должность]]="Продавец",SUMIFS(Планы[Продавец],Планы[Месяц],$A$4,Планы[Год],$B$4,Планы[Номер плана],$B$14),0)))</f>
        <v>0</v>
      </c>
      <c r="H23" s="30"/>
      <c r="I23" s="31"/>
      <c r="J23" s="8"/>
      <c r="K23" s="9"/>
      <c r="L23" s="210" t="s">
        <v>53</v>
      </c>
      <c r="M23" s="11">
        <v>2016</v>
      </c>
      <c r="N23" s="211">
        <f t="shared" si="0"/>
        <v>42675</v>
      </c>
      <c r="O23" s="161">
        <f t="shared" si="1"/>
        <v>42704</v>
      </c>
      <c r="P23" s="11" t="s">
        <v>52</v>
      </c>
      <c r="Q23" s="12">
        <v>950000</v>
      </c>
      <c r="R23" s="212">
        <v>2500</v>
      </c>
      <c r="S23" s="11">
        <v>5000</v>
      </c>
      <c r="T23" s="15"/>
    </row>
    <row r="24" spans="1:20" x14ac:dyDescent="0.25">
      <c r="A24" s="29"/>
      <c r="B24" s="30"/>
      <c r="C24" s="30"/>
      <c r="D24" s="30"/>
      <c r="E24" s="30"/>
      <c r="F24" s="30"/>
      <c r="G24" s="30">
        <f>IF(Таблица3[[#This Row],[Должность]]="Стажер",SUMIFS(Планы[Стажер],Планы[Месяц],$A$4,Планы[Год],$B$4,Планы[Номер плана],$B$17),IF(Таблица3[[#This Row],[Должность]]="Директор",SUMIFS(Планы[Директор],Планы[Месяц],$A$4,Планы[Год],$B$4,Планы[Номер плана],$B$14),IF(Таблица3[[#This Row],[Должность]]="Продавец",SUMIFS(Планы[Продавец],Планы[Месяц],$A$4,Планы[Год],$B$4,Планы[Номер плана],$B$14),0)))</f>
        <v>0</v>
      </c>
      <c r="H24" s="30"/>
      <c r="I24" s="31"/>
      <c r="J24" s="8"/>
      <c r="K24" s="9"/>
      <c r="L24" s="210" t="s">
        <v>53</v>
      </c>
      <c r="M24" s="11">
        <v>2016</v>
      </c>
      <c r="N24" s="211">
        <f t="shared" si="0"/>
        <v>42675</v>
      </c>
      <c r="O24" s="161">
        <f t="shared" si="1"/>
        <v>42704</v>
      </c>
      <c r="P24" s="11" t="s">
        <v>54</v>
      </c>
      <c r="Q24" s="12">
        <v>1150000</v>
      </c>
      <c r="R24" s="212">
        <v>5000</v>
      </c>
      <c r="S24" s="11">
        <v>10000</v>
      </c>
      <c r="T24" s="15"/>
    </row>
    <row r="25" spans="1:20" x14ac:dyDescent="0.25">
      <c r="A25" s="8"/>
      <c r="B25" s="8"/>
      <c r="C25" s="8"/>
      <c r="D25" s="8"/>
      <c r="E25" s="8"/>
      <c r="H25" s="8"/>
      <c r="I25" s="8"/>
      <c r="J25" s="8"/>
      <c r="K25" s="8"/>
      <c r="L25" s="210" t="s">
        <v>53</v>
      </c>
      <c r="M25" s="11">
        <v>2016</v>
      </c>
      <c r="N25" s="161">
        <f t="shared" si="0"/>
        <v>42675</v>
      </c>
      <c r="O25" s="161">
        <f t="shared" si="1"/>
        <v>42704</v>
      </c>
      <c r="P25" s="11" t="s">
        <v>57</v>
      </c>
      <c r="Q25" s="17">
        <v>1350000</v>
      </c>
      <c r="R25" s="212">
        <v>10000</v>
      </c>
      <c r="S25" s="16">
        <v>20000</v>
      </c>
      <c r="T25" s="18"/>
    </row>
    <row r="26" spans="1:20" x14ac:dyDescent="0.25">
      <c r="A26" s="8"/>
      <c r="B26" s="8"/>
      <c r="C26" s="8"/>
      <c r="D26" s="8"/>
      <c r="E26" s="8"/>
      <c r="H26" s="8"/>
      <c r="I26" s="8"/>
      <c r="J26" s="8"/>
      <c r="K26" s="8"/>
      <c r="L26" s="210" t="s">
        <v>53</v>
      </c>
      <c r="M26" s="11">
        <v>2016</v>
      </c>
      <c r="N26" s="161">
        <f t="shared" si="0"/>
        <v>42675</v>
      </c>
      <c r="O26" s="161">
        <f t="shared" si="1"/>
        <v>42704</v>
      </c>
      <c r="P26" s="11" t="s">
        <v>58</v>
      </c>
      <c r="Q26" s="17">
        <v>0</v>
      </c>
      <c r="R26" s="212">
        <v>15000</v>
      </c>
      <c r="S26" s="16">
        <v>25000</v>
      </c>
      <c r="T26" s="18"/>
    </row>
    <row r="27" spans="1:20" x14ac:dyDescent="0.25">
      <c r="A27" s="8"/>
      <c r="B27" s="8"/>
      <c r="C27" s="8"/>
      <c r="D27" s="8"/>
      <c r="E27" s="8"/>
      <c r="H27" s="8"/>
      <c r="I27" s="8"/>
      <c r="J27" s="8"/>
      <c r="K27" s="8"/>
      <c r="L27" s="210" t="s">
        <v>53</v>
      </c>
      <c r="M27" s="11">
        <v>2016</v>
      </c>
      <c r="N27" s="161">
        <f t="shared" si="0"/>
        <v>42675</v>
      </c>
      <c r="O27" s="161">
        <f t="shared" si="1"/>
        <v>42704</v>
      </c>
      <c r="P27" s="11" t="s">
        <v>59</v>
      </c>
      <c r="Q27" s="17">
        <v>0</v>
      </c>
      <c r="R27" s="212">
        <v>20000</v>
      </c>
      <c r="S27" s="16">
        <v>30000</v>
      </c>
      <c r="T27" s="18"/>
    </row>
    <row r="28" spans="1:20" x14ac:dyDescent="0.25">
      <c r="A28" s="8"/>
      <c r="B28" s="8"/>
      <c r="C28" s="8"/>
      <c r="D28" s="8"/>
      <c r="E28" s="8"/>
      <c r="H28" s="8"/>
      <c r="I28" s="8"/>
      <c r="J28" s="8"/>
      <c r="K28" s="8"/>
      <c r="L28" s="210" t="s">
        <v>204</v>
      </c>
      <c r="M28" s="11">
        <v>2016</v>
      </c>
      <c r="N28" s="161">
        <f t="shared" si="0"/>
        <v>42705</v>
      </c>
      <c r="O28" s="161">
        <f t="shared" si="1"/>
        <v>42735</v>
      </c>
      <c r="P28" s="150" t="s">
        <v>60</v>
      </c>
      <c r="Q28" s="151">
        <v>100000</v>
      </c>
      <c r="R28" s="150"/>
      <c r="S28" s="150"/>
      <c r="T28" s="152">
        <v>3000</v>
      </c>
    </row>
    <row r="29" spans="1:20" x14ac:dyDescent="0.25">
      <c r="A29" s="8"/>
      <c r="B29" s="8"/>
      <c r="C29" s="8"/>
      <c r="D29" s="8"/>
      <c r="E29" s="8"/>
      <c r="H29" s="8"/>
      <c r="I29" s="8"/>
      <c r="J29" s="8"/>
      <c r="K29" s="8"/>
      <c r="L29" s="210" t="s">
        <v>204</v>
      </c>
      <c r="M29" s="11">
        <v>2016</v>
      </c>
      <c r="N29" s="161">
        <f t="shared" ref="N29:N35" si="2">IFERROR(DATEVALUE(L29&amp;M29),"-")</f>
        <v>42705</v>
      </c>
      <c r="O29" s="161">
        <f t="shared" ref="O29:O35" si="3">IFERROR(EOMONTH(N29,0),"-")</f>
        <v>42735</v>
      </c>
      <c r="P29" s="13" t="s">
        <v>61</v>
      </c>
      <c r="Q29" s="12">
        <v>200000</v>
      </c>
      <c r="R29" s="11"/>
      <c r="S29" s="11"/>
      <c r="T29" s="15">
        <v>5000</v>
      </c>
    </row>
    <row r="30" spans="1:20" x14ac:dyDescent="0.25">
      <c r="A30" s="8"/>
      <c r="B30" s="8"/>
      <c r="C30" s="8"/>
      <c r="D30" s="8"/>
      <c r="E30" s="8"/>
      <c r="H30" s="8"/>
      <c r="I30" s="8"/>
      <c r="J30" s="8"/>
      <c r="K30" s="8"/>
      <c r="L30" s="210" t="s">
        <v>204</v>
      </c>
      <c r="M30" s="11">
        <v>2016</v>
      </c>
      <c r="N30" s="161">
        <f t="shared" si="2"/>
        <v>42705</v>
      </c>
      <c r="O30" s="161">
        <f t="shared" si="3"/>
        <v>42735</v>
      </c>
      <c r="P30" s="13" t="s">
        <v>62</v>
      </c>
      <c r="Q30" s="12">
        <v>400000</v>
      </c>
      <c r="R30" s="11"/>
      <c r="S30" s="11"/>
      <c r="T30" s="15">
        <v>7000</v>
      </c>
    </row>
    <row r="31" spans="1:20" x14ac:dyDescent="0.25">
      <c r="A31" s="8"/>
      <c r="B31" s="8"/>
      <c r="C31" s="8"/>
      <c r="D31" s="8"/>
      <c r="E31" s="8"/>
      <c r="H31" s="8"/>
      <c r="I31" s="8"/>
      <c r="J31" s="8"/>
      <c r="K31" s="8"/>
      <c r="L31" s="210" t="s">
        <v>204</v>
      </c>
      <c r="M31" s="11">
        <v>2016</v>
      </c>
      <c r="N31" s="161">
        <f t="shared" si="2"/>
        <v>42705</v>
      </c>
      <c r="O31" s="161">
        <f t="shared" si="3"/>
        <v>42735</v>
      </c>
      <c r="P31" s="11" t="s">
        <v>52</v>
      </c>
      <c r="Q31" s="12">
        <v>950000</v>
      </c>
      <c r="R31" s="212">
        <v>2500</v>
      </c>
      <c r="S31" s="11">
        <v>5000</v>
      </c>
      <c r="T31" s="15"/>
    </row>
    <row r="32" spans="1:20" x14ac:dyDescent="0.25">
      <c r="A32" s="8"/>
      <c r="B32" s="8"/>
      <c r="C32" s="8"/>
      <c r="D32" s="8"/>
      <c r="E32" s="8"/>
      <c r="H32" s="8"/>
      <c r="I32" s="8"/>
      <c r="J32" s="8"/>
      <c r="K32" s="8"/>
      <c r="L32" s="210" t="s">
        <v>204</v>
      </c>
      <c r="M32" s="11">
        <v>2016</v>
      </c>
      <c r="N32" s="161">
        <f t="shared" si="2"/>
        <v>42705</v>
      </c>
      <c r="O32" s="161">
        <f t="shared" si="3"/>
        <v>42735</v>
      </c>
      <c r="P32" s="11" t="s">
        <v>54</v>
      </c>
      <c r="Q32" s="12">
        <v>1150000</v>
      </c>
      <c r="R32" s="212">
        <v>5000</v>
      </c>
      <c r="S32" s="11">
        <v>10000</v>
      </c>
      <c r="T32" s="15"/>
    </row>
    <row r="33" spans="12:20" x14ac:dyDescent="0.25">
      <c r="L33" s="210" t="s">
        <v>204</v>
      </c>
      <c r="M33" s="11">
        <v>2016</v>
      </c>
      <c r="N33" s="161">
        <f t="shared" si="2"/>
        <v>42705</v>
      </c>
      <c r="O33" s="161">
        <f t="shared" si="3"/>
        <v>42735</v>
      </c>
      <c r="P33" s="11" t="s">
        <v>57</v>
      </c>
      <c r="Q33" s="17">
        <v>1350000</v>
      </c>
      <c r="R33" s="212">
        <v>10000</v>
      </c>
      <c r="S33" s="16">
        <v>20000</v>
      </c>
      <c r="T33" s="18"/>
    </row>
    <row r="34" spans="12:20" x14ac:dyDescent="0.25">
      <c r="L34" s="210" t="s">
        <v>204</v>
      </c>
      <c r="M34" s="11">
        <v>2016</v>
      </c>
      <c r="N34" s="161">
        <f t="shared" si="2"/>
        <v>42705</v>
      </c>
      <c r="O34" s="161">
        <f t="shared" si="3"/>
        <v>42735</v>
      </c>
      <c r="P34" s="11" t="s">
        <v>58</v>
      </c>
      <c r="Q34" s="17">
        <v>1550000</v>
      </c>
      <c r="R34" s="212">
        <v>15000</v>
      </c>
      <c r="S34" s="16">
        <v>25000</v>
      </c>
      <c r="T34" s="18"/>
    </row>
    <row r="35" spans="12:20" x14ac:dyDescent="0.25">
      <c r="L35" s="210" t="s">
        <v>204</v>
      </c>
      <c r="M35" s="11">
        <v>2016</v>
      </c>
      <c r="N35" s="161">
        <f t="shared" si="2"/>
        <v>42705</v>
      </c>
      <c r="O35" s="161">
        <f t="shared" si="3"/>
        <v>42735</v>
      </c>
      <c r="P35" s="11" t="s">
        <v>59</v>
      </c>
      <c r="Q35" s="17">
        <v>1750000</v>
      </c>
      <c r="R35" s="212">
        <v>20000</v>
      </c>
      <c r="S35" s="16">
        <v>30000</v>
      </c>
      <c r="T35" s="18"/>
    </row>
    <row r="36" spans="12:20" ht="14.45" x14ac:dyDescent="0.3">
      <c r="L36" s="11"/>
      <c r="M36" s="160"/>
      <c r="N36" s="161" t="str">
        <f>IFERROR(DATEVALUE(L36&amp;M36),"-")</f>
        <v>-</v>
      </c>
      <c r="O36" s="161" t="str">
        <f t="shared" ref="O36:O61" si="4">IFERROR(EOMONTH(N36,0),"-")</f>
        <v>-</v>
      </c>
      <c r="P36" s="11"/>
      <c r="Q36" s="12"/>
      <c r="R36" s="14"/>
      <c r="S36" s="11"/>
      <c r="T36" s="11"/>
    </row>
    <row r="37" spans="12:20" x14ac:dyDescent="0.25">
      <c r="L37" s="11"/>
      <c r="M37" s="160"/>
      <c r="N37" s="161" t="str">
        <f>IFERROR(DATEVALUE(L37&amp;M37),"-")</f>
        <v>-</v>
      </c>
      <c r="O37" s="161" t="str">
        <f t="shared" si="4"/>
        <v>-</v>
      </c>
      <c r="P37" s="11"/>
      <c r="Q37" s="12"/>
      <c r="R37" s="14"/>
      <c r="S37" s="11"/>
      <c r="T37" s="11"/>
    </row>
    <row r="38" spans="12:20" x14ac:dyDescent="0.25">
      <c r="L38" s="11"/>
      <c r="M38" s="160"/>
      <c r="N38" s="161" t="str">
        <f>IFERROR(DATEVALUE(L38&amp;M38),"-")</f>
        <v>-</v>
      </c>
      <c r="O38" s="161" t="str">
        <f t="shared" si="4"/>
        <v>-</v>
      </c>
      <c r="P38" s="11"/>
      <c r="Q38" s="12"/>
      <c r="R38" s="14"/>
      <c r="S38" s="11"/>
      <c r="T38" s="11"/>
    </row>
    <row r="39" spans="12:20" x14ac:dyDescent="0.25">
      <c r="L39" s="11"/>
      <c r="M39" s="160"/>
      <c r="N39" s="161" t="str">
        <f>IFERROR(DATEVALUE(L39&amp;M39),"-")</f>
        <v>-</v>
      </c>
      <c r="O39" s="161" t="str">
        <f t="shared" si="4"/>
        <v>-</v>
      </c>
      <c r="P39" s="11"/>
      <c r="Q39" s="12"/>
      <c r="R39" s="14"/>
      <c r="S39" s="11"/>
      <c r="T39" s="11"/>
    </row>
    <row r="40" spans="12:20" x14ac:dyDescent="0.25">
      <c r="L40" s="11"/>
      <c r="M40" s="160"/>
      <c r="N40" s="161" t="str">
        <f t="shared" ref="N40:N61" si="5">IFERROR(DATEVALUE(L40&amp;M40),"-")</f>
        <v>-</v>
      </c>
      <c r="O40" s="161" t="str">
        <f t="shared" si="4"/>
        <v>-</v>
      </c>
      <c r="P40" s="11"/>
      <c r="Q40" s="12"/>
      <c r="R40" s="14"/>
      <c r="S40" s="11"/>
      <c r="T40" s="11"/>
    </row>
    <row r="41" spans="12:20" x14ac:dyDescent="0.25">
      <c r="L41" s="11"/>
      <c r="M41" s="160"/>
      <c r="N41" s="161" t="str">
        <f t="shared" si="5"/>
        <v>-</v>
      </c>
      <c r="O41" s="161" t="str">
        <f t="shared" si="4"/>
        <v>-</v>
      </c>
      <c r="P41" s="11"/>
      <c r="Q41" s="12"/>
      <c r="R41" s="14"/>
      <c r="S41" s="11"/>
      <c r="T41" s="11"/>
    </row>
    <row r="42" spans="12:20" x14ac:dyDescent="0.25">
      <c r="L42" s="11"/>
      <c r="M42" s="160"/>
      <c r="N42" s="161" t="str">
        <f t="shared" si="5"/>
        <v>-</v>
      </c>
      <c r="O42" s="161" t="str">
        <f t="shared" si="4"/>
        <v>-</v>
      </c>
      <c r="P42" s="11"/>
      <c r="Q42" s="12"/>
      <c r="R42" s="14"/>
      <c r="S42" s="11"/>
      <c r="T42" s="11"/>
    </row>
    <row r="43" spans="12:20" x14ac:dyDescent="0.25">
      <c r="L43" s="11"/>
      <c r="M43" s="160"/>
      <c r="N43" s="161" t="str">
        <f t="shared" si="5"/>
        <v>-</v>
      </c>
      <c r="O43" s="161" t="str">
        <f t="shared" si="4"/>
        <v>-</v>
      </c>
      <c r="P43" s="11"/>
      <c r="Q43" s="12"/>
      <c r="R43" s="14"/>
      <c r="S43" s="11"/>
      <c r="T43" s="11"/>
    </row>
    <row r="44" spans="12:20" x14ac:dyDescent="0.25">
      <c r="L44" s="11"/>
      <c r="M44" s="160"/>
      <c r="N44" s="161" t="str">
        <f t="shared" si="5"/>
        <v>-</v>
      </c>
      <c r="O44" s="161" t="str">
        <f t="shared" si="4"/>
        <v>-</v>
      </c>
      <c r="P44" s="11"/>
      <c r="Q44" s="12"/>
      <c r="R44" s="14"/>
      <c r="S44" s="11"/>
      <c r="T44" s="11"/>
    </row>
    <row r="45" spans="12:20" x14ac:dyDescent="0.25">
      <c r="L45" s="11"/>
      <c r="M45" s="160"/>
      <c r="N45" s="161" t="str">
        <f t="shared" si="5"/>
        <v>-</v>
      </c>
      <c r="O45" s="161" t="str">
        <f t="shared" si="4"/>
        <v>-</v>
      </c>
      <c r="P45" s="11"/>
      <c r="Q45" s="12"/>
      <c r="R45" s="14"/>
      <c r="S45" s="11"/>
      <c r="T45" s="11"/>
    </row>
    <row r="46" spans="12:20" x14ac:dyDescent="0.25">
      <c r="L46" s="11"/>
      <c r="M46" s="160"/>
      <c r="N46" s="161" t="str">
        <f t="shared" si="5"/>
        <v>-</v>
      </c>
      <c r="O46" s="161" t="str">
        <f t="shared" si="4"/>
        <v>-</v>
      </c>
      <c r="P46" s="11"/>
      <c r="Q46" s="12"/>
      <c r="R46" s="14"/>
      <c r="S46" s="11"/>
      <c r="T46" s="11"/>
    </row>
    <row r="47" spans="12:20" x14ac:dyDescent="0.25">
      <c r="L47" s="11"/>
      <c r="M47" s="160"/>
      <c r="N47" s="161" t="str">
        <f t="shared" si="5"/>
        <v>-</v>
      </c>
      <c r="O47" s="161" t="str">
        <f t="shared" si="4"/>
        <v>-</v>
      </c>
      <c r="P47" s="11"/>
      <c r="Q47" s="12"/>
      <c r="R47" s="14"/>
      <c r="S47" s="11"/>
      <c r="T47" s="11"/>
    </row>
    <row r="48" spans="12:20" x14ac:dyDescent="0.25">
      <c r="L48" s="11"/>
      <c r="M48" s="160"/>
      <c r="N48" s="161" t="str">
        <f t="shared" si="5"/>
        <v>-</v>
      </c>
      <c r="O48" s="161" t="str">
        <f t="shared" si="4"/>
        <v>-</v>
      </c>
      <c r="P48" s="11"/>
      <c r="Q48" s="12"/>
      <c r="R48" s="14"/>
      <c r="S48" s="11"/>
      <c r="T48" s="11"/>
    </row>
    <row r="49" spans="12:20" x14ac:dyDescent="0.25">
      <c r="L49" s="11"/>
      <c r="M49" s="160"/>
      <c r="N49" s="161" t="str">
        <f t="shared" si="5"/>
        <v>-</v>
      </c>
      <c r="O49" s="161" t="str">
        <f t="shared" si="4"/>
        <v>-</v>
      </c>
      <c r="P49" s="11"/>
      <c r="Q49" s="12"/>
      <c r="R49" s="14"/>
      <c r="S49" s="11"/>
      <c r="T49" s="11"/>
    </row>
    <row r="50" spans="12:20" x14ac:dyDescent="0.25">
      <c r="L50" s="11"/>
      <c r="M50" s="160"/>
      <c r="N50" s="161" t="str">
        <f t="shared" si="5"/>
        <v>-</v>
      </c>
      <c r="O50" s="161" t="str">
        <f t="shared" si="4"/>
        <v>-</v>
      </c>
      <c r="P50" s="11"/>
      <c r="Q50" s="12"/>
      <c r="R50" s="14"/>
      <c r="S50" s="11"/>
      <c r="T50" s="11"/>
    </row>
    <row r="51" spans="12:20" x14ac:dyDescent="0.25">
      <c r="L51" s="11"/>
      <c r="M51" s="160"/>
      <c r="N51" s="161" t="str">
        <f t="shared" si="5"/>
        <v>-</v>
      </c>
      <c r="O51" s="161" t="str">
        <f t="shared" si="4"/>
        <v>-</v>
      </c>
      <c r="P51" s="11"/>
      <c r="Q51" s="12"/>
      <c r="R51" s="14"/>
      <c r="S51" s="11"/>
      <c r="T51" s="11"/>
    </row>
    <row r="52" spans="12:20" x14ac:dyDescent="0.25">
      <c r="L52" s="11"/>
      <c r="M52" s="160"/>
      <c r="N52" s="161" t="str">
        <f t="shared" si="5"/>
        <v>-</v>
      </c>
      <c r="O52" s="161" t="str">
        <f t="shared" si="4"/>
        <v>-</v>
      </c>
      <c r="P52" s="11"/>
      <c r="Q52" s="12"/>
      <c r="R52" s="14"/>
      <c r="S52" s="11"/>
      <c r="T52" s="11"/>
    </row>
    <row r="53" spans="12:20" x14ac:dyDescent="0.25">
      <c r="L53" s="11"/>
      <c r="M53" s="160"/>
      <c r="N53" s="161" t="str">
        <f t="shared" si="5"/>
        <v>-</v>
      </c>
      <c r="O53" s="161" t="str">
        <f t="shared" si="4"/>
        <v>-</v>
      </c>
      <c r="P53" s="11"/>
      <c r="Q53" s="12"/>
      <c r="R53" s="14"/>
      <c r="S53" s="11"/>
      <c r="T53" s="11"/>
    </row>
    <row r="54" spans="12:20" x14ac:dyDescent="0.25">
      <c r="L54" s="11"/>
      <c r="M54" s="160"/>
      <c r="N54" s="161" t="str">
        <f t="shared" si="5"/>
        <v>-</v>
      </c>
      <c r="O54" s="161" t="str">
        <f t="shared" si="4"/>
        <v>-</v>
      </c>
      <c r="P54" s="11"/>
      <c r="Q54" s="12"/>
      <c r="R54" s="14"/>
      <c r="S54" s="11"/>
      <c r="T54" s="11"/>
    </row>
    <row r="55" spans="12:20" x14ac:dyDescent="0.25">
      <c r="L55" s="11"/>
      <c r="M55" s="160"/>
      <c r="N55" s="161" t="str">
        <f t="shared" si="5"/>
        <v>-</v>
      </c>
      <c r="O55" s="161" t="str">
        <f t="shared" si="4"/>
        <v>-</v>
      </c>
      <c r="P55" s="11"/>
      <c r="Q55" s="12"/>
      <c r="R55" s="14"/>
      <c r="S55" s="11"/>
      <c r="T55" s="11"/>
    </row>
    <row r="56" spans="12:20" x14ac:dyDescent="0.25">
      <c r="L56" s="11"/>
      <c r="M56" s="160"/>
      <c r="N56" s="161" t="str">
        <f t="shared" si="5"/>
        <v>-</v>
      </c>
      <c r="O56" s="161" t="str">
        <f t="shared" si="4"/>
        <v>-</v>
      </c>
      <c r="P56" s="11"/>
      <c r="Q56" s="12"/>
      <c r="R56" s="14"/>
      <c r="S56" s="11"/>
      <c r="T56" s="11"/>
    </row>
    <row r="57" spans="12:20" x14ac:dyDescent="0.25">
      <c r="L57" s="11"/>
      <c r="M57" s="160"/>
      <c r="N57" s="161" t="str">
        <f t="shared" si="5"/>
        <v>-</v>
      </c>
      <c r="O57" s="161" t="str">
        <f t="shared" si="4"/>
        <v>-</v>
      </c>
      <c r="P57" s="11"/>
      <c r="Q57" s="12"/>
      <c r="R57" s="14"/>
      <c r="S57" s="11"/>
      <c r="T57" s="11"/>
    </row>
    <row r="58" spans="12:20" x14ac:dyDescent="0.25">
      <c r="L58" s="11"/>
      <c r="M58" s="160"/>
      <c r="N58" s="161" t="str">
        <f t="shared" si="5"/>
        <v>-</v>
      </c>
      <c r="O58" s="161" t="str">
        <f t="shared" si="4"/>
        <v>-</v>
      </c>
      <c r="P58" s="11"/>
      <c r="Q58" s="12"/>
      <c r="R58" s="14"/>
      <c r="S58" s="11"/>
      <c r="T58" s="11"/>
    </row>
    <row r="59" spans="12:20" x14ac:dyDescent="0.25">
      <c r="L59" s="11"/>
      <c r="M59" s="160"/>
      <c r="N59" s="161" t="str">
        <f t="shared" si="5"/>
        <v>-</v>
      </c>
      <c r="O59" s="161" t="str">
        <f t="shared" si="4"/>
        <v>-</v>
      </c>
      <c r="P59" s="11"/>
      <c r="Q59" s="12"/>
      <c r="R59" s="14"/>
      <c r="S59" s="11"/>
      <c r="T59" s="11"/>
    </row>
    <row r="60" spans="12:20" x14ac:dyDescent="0.25">
      <c r="L60" s="11"/>
      <c r="M60" s="160"/>
      <c r="N60" s="161" t="str">
        <f t="shared" si="5"/>
        <v>-</v>
      </c>
      <c r="O60" s="161" t="str">
        <f t="shared" si="4"/>
        <v>-</v>
      </c>
      <c r="P60" s="11"/>
      <c r="Q60" s="12"/>
      <c r="R60" s="14"/>
      <c r="S60" s="11"/>
      <c r="T60" s="11"/>
    </row>
    <row r="61" spans="12:20" x14ac:dyDescent="0.25">
      <c r="L61" s="11"/>
      <c r="M61" s="160"/>
      <c r="N61" s="161" t="str">
        <f t="shared" si="5"/>
        <v>-</v>
      </c>
      <c r="O61" s="161" t="str">
        <f t="shared" si="4"/>
        <v>-</v>
      </c>
      <c r="P61" s="11"/>
      <c r="Q61" s="12"/>
      <c r="R61" s="14"/>
      <c r="S61" s="11"/>
      <c r="T61" s="11"/>
    </row>
  </sheetData>
  <dataValidations disablePrompts="1" count="5">
    <dataValidation type="list" allowBlank="1" showInputMessage="1" showErrorMessage="1" sqref="A4 L20:L61">
      <formula1>месяц</formula1>
    </dataValidation>
    <dataValidation type="list" allowBlank="1" showInputMessage="1" showErrorMessage="1" sqref="B4 M20:M61">
      <formula1>год</formula1>
    </dataValidation>
    <dataValidation type="list" allowBlank="1" showInputMessage="1" showErrorMessage="1" sqref="B20:B24">
      <formula1>INDIRECT("Должность")</formula1>
    </dataValidation>
    <dataValidation type="list" allowBlank="1" showInputMessage="1" showErrorMessage="1" sqref="P20:P61">
      <formula1>INDIRECT("Номер_плана")</formula1>
    </dataValidation>
    <dataValidation type="list" allowBlank="1" showInputMessage="1" showErrorMessage="1" sqref="A20:A24">
      <formula1>INDIRECT("Штатка[ФИО]")</formula1>
    </dataValidation>
  </dataValidations>
  <pageMargins left="0.7" right="0.7" top="0.75" bottom="0.75" header="0.3" footer="0.3"/>
  <ignoredErrors>
    <ignoredError sqref="H20:I20" emptyCellReference="1"/>
  </ignoredErrors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2"/>
  <sheetViews>
    <sheetView workbookViewId="0">
      <selection activeCell="B3" sqref="B3"/>
    </sheetView>
  </sheetViews>
  <sheetFormatPr defaultRowHeight="15" x14ac:dyDescent="0.25"/>
  <cols>
    <col min="1" max="9" width="15.28515625" customWidth="1"/>
  </cols>
  <sheetData>
    <row r="1" spans="1:10" ht="45" customHeight="1" x14ac:dyDescent="0.25">
      <c r="A1" s="250" t="s">
        <v>71</v>
      </c>
      <c r="B1" s="250" t="s">
        <v>72</v>
      </c>
      <c r="C1" s="251" t="s">
        <v>97</v>
      </c>
      <c r="D1" s="251" t="s">
        <v>98</v>
      </c>
      <c r="E1" s="251" t="s">
        <v>99</v>
      </c>
      <c r="F1" s="251" t="s">
        <v>100</v>
      </c>
      <c r="G1" s="251" t="s">
        <v>101</v>
      </c>
      <c r="H1" s="252" t="s">
        <v>102</v>
      </c>
      <c r="I1" s="253" t="s">
        <v>76</v>
      </c>
    </row>
    <row r="2" spans="1:10" x14ac:dyDescent="0.25">
      <c r="A2" s="249" t="s">
        <v>27</v>
      </c>
      <c r="B2" s="249" t="s">
        <v>77</v>
      </c>
      <c r="C2" s="249">
        <v>255646</v>
      </c>
      <c r="D2" s="249">
        <v>435221</v>
      </c>
      <c r="E2" s="249">
        <v>20800</v>
      </c>
      <c r="F2" s="249">
        <v>9645.7899999999991</v>
      </c>
      <c r="G2" s="249">
        <v>0</v>
      </c>
      <c r="H2" s="249"/>
      <c r="I2" s="254">
        <v>30445.79</v>
      </c>
      <c r="J2" t="s">
        <v>255</v>
      </c>
    </row>
  </sheetData>
  <dataValidations count="2">
    <dataValidation type="list" allowBlank="1" showInputMessage="1" showErrorMessage="1" sqref="A2">
      <formula1>INDIRECT("Штатка[ФИО]")</formula1>
    </dataValidation>
    <dataValidation type="list" allowBlank="1" showInputMessage="1" showErrorMessage="1" sqref="B2">
      <formula1>INDIRECT("Должность")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N183"/>
  <sheetViews>
    <sheetView topLeftCell="V1" zoomScale="70" zoomScaleNormal="70" workbookViewId="0">
      <selection activeCell="AI27" sqref="AI27"/>
    </sheetView>
  </sheetViews>
  <sheetFormatPr defaultColWidth="8.85546875" defaultRowHeight="15" x14ac:dyDescent="0.25"/>
  <cols>
    <col min="1" max="1" width="29.85546875" style="81" bestFit="1" customWidth="1"/>
    <col min="2" max="2" width="5.42578125" style="88" customWidth="1"/>
    <col min="3" max="3" width="29.85546875" style="81" bestFit="1" customWidth="1"/>
    <col min="4" max="4" width="5.42578125" style="88" customWidth="1"/>
    <col min="5" max="5" width="29.85546875" style="81" bestFit="1" customWidth="1"/>
    <col min="6" max="6" width="5.42578125" style="88" customWidth="1"/>
    <col min="7" max="7" width="37" style="81" bestFit="1" customWidth="1"/>
    <col min="8" max="8" width="5.42578125" style="88" customWidth="1"/>
    <col min="9" max="9" width="29.85546875" style="81" bestFit="1" customWidth="1"/>
    <col min="10" max="10" width="5.42578125" style="88" customWidth="1"/>
    <col min="11" max="11" width="29.85546875" style="81" bestFit="1" customWidth="1"/>
    <col min="12" max="12" width="5.42578125" style="88" customWidth="1"/>
    <col min="13" max="13" width="29.85546875" style="81" bestFit="1" customWidth="1"/>
    <col min="14" max="14" width="5.42578125" style="88" customWidth="1"/>
    <col min="15" max="15" width="29.85546875" style="81" bestFit="1" customWidth="1"/>
    <col min="16" max="16" width="5.42578125" style="88" customWidth="1"/>
    <col min="17" max="17" width="29.85546875" style="81" bestFit="1" customWidth="1"/>
    <col min="18" max="18" width="5.42578125" style="88" customWidth="1"/>
    <col min="19" max="19" width="29.85546875" style="81" bestFit="1" customWidth="1"/>
    <col min="20" max="20" width="5.42578125" style="88" customWidth="1"/>
    <col min="21" max="21" width="29.85546875" style="81" bestFit="1" customWidth="1"/>
    <col min="22" max="22" width="5.42578125" style="88" customWidth="1"/>
    <col min="23" max="23" width="33" style="81" bestFit="1" customWidth="1"/>
    <col min="24" max="24" width="5.42578125" style="88" customWidth="1"/>
    <col min="25" max="25" width="8.85546875" style="81"/>
    <col min="26" max="26" width="21.5703125" style="81" customWidth="1"/>
    <col min="27" max="27" width="17.85546875" style="81" customWidth="1"/>
    <col min="28" max="29" width="8.85546875" style="81"/>
    <col min="30" max="30" width="34.42578125" style="81" customWidth="1"/>
    <col min="31" max="34" width="8.85546875" style="81"/>
    <col min="35" max="35" width="13.28515625" style="81" customWidth="1"/>
    <col min="36" max="37" width="8.85546875" style="81"/>
    <col min="38" max="38" width="16.28515625" style="81" customWidth="1"/>
    <col min="39" max="39" width="8.85546875" style="81"/>
    <col min="40" max="40" width="11.85546875" style="81" customWidth="1"/>
    <col min="41" max="16384" width="8.85546875" style="81"/>
  </cols>
  <sheetData>
    <row r="1" spans="1:40" s="74" customFormat="1" x14ac:dyDescent="0.25">
      <c r="A1" s="66" t="s">
        <v>40</v>
      </c>
      <c r="B1" s="69" t="s">
        <v>107</v>
      </c>
      <c r="C1" s="66" t="s">
        <v>28</v>
      </c>
      <c r="D1" s="69" t="s">
        <v>107</v>
      </c>
      <c r="E1" s="66" t="s">
        <v>35</v>
      </c>
      <c r="F1" s="69" t="s">
        <v>107</v>
      </c>
      <c r="G1" s="66" t="s">
        <v>108</v>
      </c>
      <c r="H1" s="70" t="s">
        <v>107</v>
      </c>
      <c r="I1" s="66" t="s">
        <v>44</v>
      </c>
      <c r="J1" s="70" t="s">
        <v>107</v>
      </c>
      <c r="K1" s="71" t="s">
        <v>32</v>
      </c>
      <c r="L1" s="72" t="s">
        <v>107</v>
      </c>
      <c r="M1" s="66" t="s">
        <v>25</v>
      </c>
      <c r="N1" s="70" t="s">
        <v>107</v>
      </c>
      <c r="O1" s="66" t="s">
        <v>37</v>
      </c>
      <c r="P1" s="73" t="s">
        <v>107</v>
      </c>
      <c r="Q1" s="66" t="s">
        <v>109</v>
      </c>
      <c r="R1" s="70" t="s">
        <v>107</v>
      </c>
      <c r="S1" s="66" t="s">
        <v>110</v>
      </c>
      <c r="T1" s="70" t="s">
        <v>107</v>
      </c>
      <c r="U1" s="66" t="s">
        <v>111</v>
      </c>
      <c r="V1" s="70" t="s">
        <v>107</v>
      </c>
      <c r="W1" s="66" t="s">
        <v>112</v>
      </c>
      <c r="X1" s="70" t="s">
        <v>107</v>
      </c>
      <c r="Z1" s="75" t="s">
        <v>113</v>
      </c>
      <c r="AA1" s="75"/>
      <c r="AB1" s="76"/>
    </row>
    <row r="2" spans="1:40" x14ac:dyDescent="0.25">
      <c r="A2" s="67" t="s">
        <v>114</v>
      </c>
      <c r="B2" s="77">
        <v>0.06</v>
      </c>
      <c r="C2" s="67" t="s">
        <v>29</v>
      </c>
      <c r="D2" s="77">
        <v>0.04</v>
      </c>
      <c r="E2" s="67" t="s">
        <v>29</v>
      </c>
      <c r="F2" s="77">
        <v>0.04</v>
      </c>
      <c r="G2" s="67" t="s">
        <v>115</v>
      </c>
      <c r="H2" s="78">
        <v>0.04</v>
      </c>
      <c r="I2" s="67" t="s">
        <v>43</v>
      </c>
      <c r="J2" s="78">
        <v>0.05</v>
      </c>
      <c r="K2" s="79" t="s">
        <v>29</v>
      </c>
      <c r="L2" s="78">
        <v>0.03</v>
      </c>
      <c r="M2" s="67" t="s">
        <v>48</v>
      </c>
      <c r="N2" s="78">
        <v>0.04</v>
      </c>
      <c r="O2" s="67" t="s">
        <v>29</v>
      </c>
      <c r="P2" s="80">
        <v>0.04</v>
      </c>
      <c r="Q2" s="67" t="s">
        <v>116</v>
      </c>
      <c r="R2" s="78">
        <v>0.03</v>
      </c>
      <c r="S2" s="67" t="s">
        <v>117</v>
      </c>
      <c r="T2" s="78">
        <v>0.05</v>
      </c>
      <c r="U2" s="67" t="s">
        <v>46</v>
      </c>
      <c r="V2" s="78">
        <v>0.05</v>
      </c>
      <c r="W2" s="67" t="s">
        <v>118</v>
      </c>
      <c r="X2" s="78">
        <v>0.06</v>
      </c>
      <c r="Z2" s="238" t="s">
        <v>119</v>
      </c>
      <c r="AA2" s="238" t="s">
        <v>8</v>
      </c>
      <c r="AB2" s="239" t="s">
        <v>107</v>
      </c>
      <c r="AD2" s="71" t="s">
        <v>7</v>
      </c>
      <c r="AF2" s="82" t="s">
        <v>120</v>
      </c>
      <c r="AG2" s="82" t="s">
        <v>121</v>
      </c>
      <c r="AI2" s="81" t="s">
        <v>122</v>
      </c>
      <c r="AL2" s="81" t="s">
        <v>123</v>
      </c>
      <c r="AN2" s="81" t="s">
        <v>124</v>
      </c>
    </row>
    <row r="3" spans="1:40" x14ac:dyDescent="0.25">
      <c r="A3" s="67" t="s">
        <v>125</v>
      </c>
      <c r="B3" s="77">
        <v>0.01</v>
      </c>
      <c r="C3" s="67" t="s">
        <v>115</v>
      </c>
      <c r="D3" s="77">
        <v>0.03</v>
      </c>
      <c r="E3" s="67" t="s">
        <v>115</v>
      </c>
      <c r="F3" s="77">
        <v>0.03</v>
      </c>
      <c r="G3" s="67" t="s">
        <v>126</v>
      </c>
      <c r="H3" s="78">
        <v>0.02</v>
      </c>
      <c r="I3" s="67" t="s">
        <v>127</v>
      </c>
      <c r="J3" s="78">
        <v>0.05</v>
      </c>
      <c r="K3" s="79" t="s">
        <v>115</v>
      </c>
      <c r="L3" s="78">
        <v>0.03</v>
      </c>
      <c r="M3" s="67" t="s">
        <v>128</v>
      </c>
      <c r="N3" s="78">
        <v>0.04</v>
      </c>
      <c r="O3" s="67" t="s">
        <v>38</v>
      </c>
      <c r="P3" s="80">
        <v>0.04</v>
      </c>
      <c r="Q3" s="67" t="s">
        <v>129</v>
      </c>
      <c r="R3" s="78">
        <v>0.03</v>
      </c>
      <c r="S3" s="67" t="s">
        <v>130</v>
      </c>
      <c r="T3" s="78">
        <v>0.05</v>
      </c>
      <c r="U3" s="67" t="s">
        <v>131</v>
      </c>
      <c r="V3" s="78">
        <v>0.05</v>
      </c>
      <c r="W3" s="67" t="s">
        <v>132</v>
      </c>
      <c r="X3" s="78">
        <v>0.01</v>
      </c>
      <c r="Z3" s="240" t="s">
        <v>40</v>
      </c>
      <c r="AA3" s="241" t="s">
        <v>114</v>
      </c>
      <c r="AB3" s="242">
        <v>0.06</v>
      </c>
      <c r="AD3" s="83" t="s">
        <v>40</v>
      </c>
      <c r="AF3" s="84" t="s">
        <v>133</v>
      </c>
      <c r="AG3" s="84">
        <v>2016</v>
      </c>
      <c r="AI3" s="114" t="s">
        <v>47</v>
      </c>
      <c r="AL3" s="174" t="s">
        <v>91</v>
      </c>
      <c r="AN3" s="168" t="s">
        <v>89</v>
      </c>
    </row>
    <row r="4" spans="1:40" ht="15.75" thickBot="1" x14ac:dyDescent="0.3">
      <c r="A4" s="67" t="s">
        <v>134</v>
      </c>
      <c r="B4" s="77">
        <v>0.04</v>
      </c>
      <c r="C4" s="67" t="s">
        <v>135</v>
      </c>
      <c r="D4" s="77">
        <v>0.03</v>
      </c>
      <c r="E4" s="67" t="s">
        <v>135</v>
      </c>
      <c r="F4" s="77">
        <v>0.03</v>
      </c>
      <c r="G4" s="67" t="s">
        <v>136</v>
      </c>
      <c r="H4" s="78">
        <v>0.03</v>
      </c>
      <c r="I4" s="67" t="s">
        <v>137</v>
      </c>
      <c r="J4" s="78">
        <v>0.05</v>
      </c>
      <c r="K4" s="79" t="s">
        <v>138</v>
      </c>
      <c r="L4" s="78">
        <v>0.03</v>
      </c>
      <c r="M4" s="67" t="s">
        <v>36</v>
      </c>
      <c r="N4" s="78">
        <v>0.04</v>
      </c>
      <c r="O4" s="67" t="s">
        <v>139</v>
      </c>
      <c r="P4" s="80">
        <v>0.04</v>
      </c>
      <c r="Q4" s="67" t="s">
        <v>140</v>
      </c>
      <c r="R4" s="78">
        <v>0.03</v>
      </c>
      <c r="S4" s="67" t="s">
        <v>141</v>
      </c>
      <c r="T4" s="78">
        <v>0.05</v>
      </c>
      <c r="U4" s="67" t="s">
        <v>142</v>
      </c>
      <c r="V4" s="78">
        <v>0.05</v>
      </c>
      <c r="W4" s="67" t="s">
        <v>143</v>
      </c>
      <c r="X4" s="78">
        <v>0.04</v>
      </c>
      <c r="Z4" s="238" t="s">
        <v>40</v>
      </c>
      <c r="AA4" s="114" t="s">
        <v>125</v>
      </c>
      <c r="AB4" s="243">
        <v>0.01</v>
      </c>
      <c r="AD4" s="85" t="s">
        <v>28</v>
      </c>
      <c r="AF4" s="84" t="s">
        <v>144</v>
      </c>
      <c r="AG4" s="84">
        <v>2017</v>
      </c>
      <c r="AI4" s="115" t="s">
        <v>24</v>
      </c>
      <c r="AL4" s="167" t="s">
        <v>92</v>
      </c>
      <c r="AN4" s="189" t="s">
        <v>90</v>
      </c>
    </row>
    <row r="5" spans="1:40" ht="15.75" thickBot="1" x14ac:dyDescent="0.3">
      <c r="A5" s="67" t="s">
        <v>145</v>
      </c>
      <c r="B5" s="77">
        <v>0.02</v>
      </c>
      <c r="C5" s="67" t="s">
        <v>146</v>
      </c>
      <c r="D5" s="77">
        <v>0.03</v>
      </c>
      <c r="E5" s="67" t="s">
        <v>146</v>
      </c>
      <c r="F5" s="77">
        <v>0.03</v>
      </c>
      <c r="G5" s="67" t="s">
        <v>147</v>
      </c>
      <c r="H5" s="78">
        <v>0.03</v>
      </c>
      <c r="I5" s="67" t="s">
        <v>46</v>
      </c>
      <c r="J5" s="78">
        <v>0.05</v>
      </c>
      <c r="K5" s="79" t="s">
        <v>148</v>
      </c>
      <c r="L5" s="78">
        <v>0.03</v>
      </c>
      <c r="M5" s="67" t="s">
        <v>149</v>
      </c>
      <c r="N5" s="78">
        <v>0.04</v>
      </c>
      <c r="O5" s="67" t="s">
        <v>150</v>
      </c>
      <c r="P5" s="80">
        <v>0.04</v>
      </c>
      <c r="Q5" s="67" t="s">
        <v>141</v>
      </c>
      <c r="R5" s="78">
        <v>0.05</v>
      </c>
      <c r="S5" s="68" t="s">
        <v>151</v>
      </c>
      <c r="T5" s="86">
        <v>0</v>
      </c>
      <c r="U5" s="67" t="s">
        <v>49</v>
      </c>
      <c r="V5" s="78">
        <v>0.05</v>
      </c>
      <c r="W5" s="67" t="s">
        <v>152</v>
      </c>
      <c r="X5" s="78">
        <v>0.02</v>
      </c>
      <c r="Z5" s="240" t="s">
        <v>40</v>
      </c>
      <c r="AA5" s="241" t="s">
        <v>134</v>
      </c>
      <c r="AB5" s="242">
        <v>0.04</v>
      </c>
      <c r="AD5" s="87" t="s">
        <v>35</v>
      </c>
      <c r="AF5" s="84" t="s">
        <v>153</v>
      </c>
      <c r="AG5" s="84">
        <v>2018</v>
      </c>
      <c r="AI5" s="116" t="s">
        <v>154</v>
      </c>
      <c r="AL5" s="167" t="s">
        <v>155</v>
      </c>
    </row>
    <row r="6" spans="1:40" ht="15.75" thickBot="1" x14ac:dyDescent="0.3">
      <c r="A6" s="67" t="s">
        <v>135</v>
      </c>
      <c r="B6" s="77">
        <v>0.03</v>
      </c>
      <c r="C6" s="67" t="s">
        <v>156</v>
      </c>
      <c r="D6" s="77">
        <v>0.03</v>
      </c>
      <c r="E6" s="67" t="s">
        <v>156</v>
      </c>
      <c r="F6" s="77">
        <v>0.03</v>
      </c>
      <c r="G6" s="67" t="s">
        <v>157</v>
      </c>
      <c r="H6" s="78">
        <v>0.04</v>
      </c>
      <c r="I6" s="67" t="s">
        <v>158</v>
      </c>
      <c r="J6" s="78">
        <v>0.05</v>
      </c>
      <c r="K6" s="79" t="s">
        <v>33</v>
      </c>
      <c r="L6" s="78">
        <v>0.03</v>
      </c>
      <c r="M6" s="67" t="s">
        <v>31</v>
      </c>
      <c r="N6" s="78">
        <v>0.04</v>
      </c>
      <c r="O6" s="67" t="s">
        <v>159</v>
      </c>
      <c r="P6" s="80">
        <v>0.04</v>
      </c>
      <c r="Q6" s="68" t="s">
        <v>151</v>
      </c>
      <c r="R6" s="86">
        <v>0</v>
      </c>
      <c r="U6" s="89" t="s">
        <v>160</v>
      </c>
      <c r="V6" s="78">
        <v>0.05</v>
      </c>
      <c r="W6" s="67" t="s">
        <v>135</v>
      </c>
      <c r="X6" s="78">
        <v>0.03</v>
      </c>
      <c r="Z6" s="238" t="s">
        <v>40</v>
      </c>
      <c r="AA6" s="114" t="s">
        <v>145</v>
      </c>
      <c r="AB6" s="243">
        <v>0.02</v>
      </c>
      <c r="AD6" s="85" t="s">
        <v>108</v>
      </c>
      <c r="AF6" s="84" t="s">
        <v>161</v>
      </c>
      <c r="AG6" s="84">
        <v>2019</v>
      </c>
      <c r="AI6" s="116" t="s">
        <v>162</v>
      </c>
      <c r="AL6" s="168" t="s">
        <v>163</v>
      </c>
    </row>
    <row r="7" spans="1:40" x14ac:dyDescent="0.25">
      <c r="A7" s="67" t="s">
        <v>164</v>
      </c>
      <c r="B7" s="77">
        <v>0.03</v>
      </c>
      <c r="C7" s="67" t="s">
        <v>165</v>
      </c>
      <c r="D7" s="77">
        <v>0.03</v>
      </c>
      <c r="E7" s="67" t="s">
        <v>165</v>
      </c>
      <c r="F7" s="77">
        <v>0.03</v>
      </c>
      <c r="G7" s="67" t="s">
        <v>33</v>
      </c>
      <c r="H7" s="78">
        <v>0.04</v>
      </c>
      <c r="I7" s="67" t="s">
        <v>49</v>
      </c>
      <c r="J7" s="78">
        <v>0.05</v>
      </c>
      <c r="K7" s="79" t="s">
        <v>141</v>
      </c>
      <c r="L7" s="78">
        <v>0.05</v>
      </c>
      <c r="M7" s="67" t="s">
        <v>166</v>
      </c>
      <c r="N7" s="78">
        <v>0.04</v>
      </c>
      <c r="O7" s="67" t="s">
        <v>167</v>
      </c>
      <c r="P7" s="78">
        <v>0.05</v>
      </c>
      <c r="Q7" s="90"/>
      <c r="R7" s="91"/>
      <c r="U7" s="89" t="s">
        <v>141</v>
      </c>
      <c r="V7" s="78">
        <v>0.05</v>
      </c>
      <c r="W7" s="67" t="s">
        <v>164</v>
      </c>
      <c r="X7" s="78">
        <v>0.03</v>
      </c>
      <c r="Z7" s="240" t="s">
        <v>40</v>
      </c>
      <c r="AA7" s="241" t="s">
        <v>135</v>
      </c>
      <c r="AB7" s="242">
        <v>0.03</v>
      </c>
      <c r="AD7" s="87" t="s">
        <v>44</v>
      </c>
      <c r="AF7" s="84" t="s">
        <v>168</v>
      </c>
      <c r="AG7" s="84">
        <v>2020</v>
      </c>
      <c r="AI7" s="90" t="s">
        <v>169</v>
      </c>
      <c r="AL7" s="172" t="s">
        <v>170</v>
      </c>
    </row>
    <row r="8" spans="1:40" ht="15.75" thickBot="1" x14ac:dyDescent="0.3">
      <c r="A8" s="67" t="s">
        <v>171</v>
      </c>
      <c r="B8" s="77">
        <v>0.03</v>
      </c>
      <c r="C8" s="67" t="s">
        <v>43</v>
      </c>
      <c r="D8" s="77">
        <v>0.05</v>
      </c>
      <c r="E8" s="67" t="s">
        <v>43</v>
      </c>
      <c r="F8" s="77">
        <v>0.05</v>
      </c>
      <c r="G8" s="67" t="s">
        <v>172</v>
      </c>
      <c r="H8" s="78">
        <v>0.02</v>
      </c>
      <c r="I8" s="67" t="s">
        <v>45</v>
      </c>
      <c r="J8" s="78">
        <v>0.05</v>
      </c>
      <c r="K8" s="92" t="s">
        <v>151</v>
      </c>
      <c r="L8" s="86">
        <v>0</v>
      </c>
      <c r="M8" s="67" t="s">
        <v>26</v>
      </c>
      <c r="N8" s="78">
        <v>0.04</v>
      </c>
      <c r="O8" s="67" t="s">
        <v>141</v>
      </c>
      <c r="P8" s="78">
        <v>0.05</v>
      </c>
      <c r="U8" s="93" t="s">
        <v>151</v>
      </c>
      <c r="V8" s="86">
        <v>0</v>
      </c>
      <c r="W8" s="67" t="s">
        <v>171</v>
      </c>
      <c r="X8" s="78">
        <v>0.03</v>
      </c>
      <c r="Z8" s="238" t="s">
        <v>40</v>
      </c>
      <c r="AA8" s="114" t="s">
        <v>164</v>
      </c>
      <c r="AB8" s="243">
        <v>0.03</v>
      </c>
      <c r="AD8" s="85" t="s">
        <v>32</v>
      </c>
      <c r="AF8" s="84" t="s">
        <v>173</v>
      </c>
      <c r="AG8" s="84">
        <v>2021</v>
      </c>
      <c r="AI8" s="84" t="s">
        <v>174</v>
      </c>
      <c r="AL8" s="172" t="s">
        <v>175</v>
      </c>
    </row>
    <row r="9" spans="1:40" ht="15.75" thickBot="1" x14ac:dyDescent="0.3">
      <c r="A9" s="67" t="s">
        <v>176</v>
      </c>
      <c r="B9" s="77">
        <v>0.03</v>
      </c>
      <c r="C9" s="67" t="s">
        <v>127</v>
      </c>
      <c r="D9" s="77">
        <v>0.05</v>
      </c>
      <c r="E9" s="67" t="s">
        <v>127</v>
      </c>
      <c r="F9" s="77">
        <v>0.05</v>
      </c>
      <c r="G9" s="67" t="s">
        <v>177</v>
      </c>
      <c r="H9" s="78">
        <v>0.04</v>
      </c>
      <c r="I9" s="67" t="s">
        <v>178</v>
      </c>
      <c r="J9" s="78">
        <v>0.05</v>
      </c>
      <c r="M9" s="89" t="s">
        <v>179</v>
      </c>
      <c r="N9" s="78">
        <v>0.04</v>
      </c>
      <c r="O9" s="68" t="s">
        <v>151</v>
      </c>
      <c r="P9" s="86">
        <v>0</v>
      </c>
      <c r="W9" s="89" t="s">
        <v>176</v>
      </c>
      <c r="X9" s="78">
        <v>0.03</v>
      </c>
      <c r="Z9" s="240" t="s">
        <v>40</v>
      </c>
      <c r="AA9" s="241" t="s">
        <v>171</v>
      </c>
      <c r="AB9" s="242">
        <v>0.03</v>
      </c>
      <c r="AD9" s="94" t="s">
        <v>25</v>
      </c>
      <c r="AF9" s="84" t="s">
        <v>180</v>
      </c>
      <c r="AI9" s="113" t="s">
        <v>181</v>
      </c>
      <c r="AL9" s="168" t="s">
        <v>182</v>
      </c>
    </row>
    <row r="10" spans="1:40" ht="15.75" thickBot="1" x14ac:dyDescent="0.3">
      <c r="A10" s="67" t="s">
        <v>183</v>
      </c>
      <c r="B10" s="77">
        <v>0.03</v>
      </c>
      <c r="C10" s="67" t="s">
        <v>137</v>
      </c>
      <c r="D10" s="77">
        <v>0.05</v>
      </c>
      <c r="E10" s="67" t="s">
        <v>137</v>
      </c>
      <c r="F10" s="77">
        <v>0.05</v>
      </c>
      <c r="G10" s="67" t="s">
        <v>184</v>
      </c>
      <c r="H10" s="78">
        <v>0.02</v>
      </c>
      <c r="I10" s="67" t="s">
        <v>142</v>
      </c>
      <c r="J10" s="78">
        <v>0.05</v>
      </c>
      <c r="M10" s="89" t="s">
        <v>141</v>
      </c>
      <c r="N10" s="78">
        <v>0.05</v>
      </c>
      <c r="W10" s="89" t="s">
        <v>183</v>
      </c>
      <c r="X10" s="78">
        <v>0.03</v>
      </c>
      <c r="Z10" s="238" t="s">
        <v>40</v>
      </c>
      <c r="AA10" s="114" t="s">
        <v>176</v>
      </c>
      <c r="AB10" s="243">
        <v>0.03</v>
      </c>
      <c r="AD10" s="85" t="s">
        <v>37</v>
      </c>
      <c r="AF10" s="84" t="s">
        <v>185</v>
      </c>
      <c r="AI10" s="81" t="s">
        <v>263</v>
      </c>
      <c r="AL10" s="168" t="s">
        <v>186</v>
      </c>
    </row>
    <row r="11" spans="1:40" ht="15.75" thickBot="1" x14ac:dyDescent="0.3">
      <c r="A11" s="67" t="s">
        <v>187</v>
      </c>
      <c r="B11" s="77">
        <v>0.03</v>
      </c>
      <c r="C11" s="67" t="s">
        <v>158</v>
      </c>
      <c r="D11" s="77">
        <v>0.05</v>
      </c>
      <c r="E11" s="67" t="s">
        <v>158</v>
      </c>
      <c r="F11" s="77">
        <v>0.05</v>
      </c>
      <c r="G11" s="67" t="s">
        <v>188</v>
      </c>
      <c r="H11" s="78">
        <v>0.04</v>
      </c>
      <c r="I11" s="67" t="s">
        <v>141</v>
      </c>
      <c r="J11" s="78">
        <v>0.05</v>
      </c>
      <c r="M11" s="93" t="s">
        <v>151</v>
      </c>
      <c r="N11" s="86">
        <v>0</v>
      </c>
      <c r="W11" s="89" t="s">
        <v>187</v>
      </c>
      <c r="X11" s="78">
        <v>0.03</v>
      </c>
      <c r="Z11" s="240" t="s">
        <v>40</v>
      </c>
      <c r="AA11" s="241" t="s">
        <v>183</v>
      </c>
      <c r="AB11" s="242">
        <v>0.03</v>
      </c>
      <c r="AD11" s="94" t="s">
        <v>109</v>
      </c>
      <c r="AF11" s="84" t="s">
        <v>189</v>
      </c>
      <c r="AL11" s="167" t="s">
        <v>190</v>
      </c>
    </row>
    <row r="12" spans="1:40" ht="15.75" thickBot="1" x14ac:dyDescent="0.3">
      <c r="A12" s="67" t="s">
        <v>191</v>
      </c>
      <c r="B12" s="77">
        <v>0.06</v>
      </c>
      <c r="C12" s="67" t="s">
        <v>157</v>
      </c>
      <c r="D12" s="77">
        <v>0.05</v>
      </c>
      <c r="E12" s="67" t="s">
        <v>157</v>
      </c>
      <c r="F12" s="77">
        <v>0.05</v>
      </c>
      <c r="G12" s="67" t="s">
        <v>192</v>
      </c>
      <c r="H12" s="78">
        <v>0.02</v>
      </c>
      <c r="I12" s="68" t="s">
        <v>151</v>
      </c>
      <c r="J12" s="86">
        <v>0</v>
      </c>
      <c r="M12" s="93" t="s">
        <v>269</v>
      </c>
      <c r="N12" s="78">
        <v>0.04</v>
      </c>
      <c r="W12" s="89" t="s">
        <v>193</v>
      </c>
      <c r="X12" s="78">
        <v>0.06</v>
      </c>
      <c r="Z12" s="238" t="s">
        <v>40</v>
      </c>
      <c r="AA12" s="114" t="s">
        <v>187</v>
      </c>
      <c r="AB12" s="243">
        <v>0.03</v>
      </c>
      <c r="AD12" s="85" t="s">
        <v>110</v>
      </c>
      <c r="AF12" s="84" t="s">
        <v>194</v>
      </c>
      <c r="AL12" s="188" t="s">
        <v>195</v>
      </c>
    </row>
    <row r="13" spans="1:40" x14ac:dyDescent="0.25">
      <c r="A13" s="67" t="s">
        <v>196</v>
      </c>
      <c r="B13" s="77">
        <v>0.06</v>
      </c>
      <c r="C13" s="67" t="s">
        <v>197</v>
      </c>
      <c r="D13" s="77">
        <v>0.05</v>
      </c>
      <c r="E13" s="67" t="s">
        <v>197</v>
      </c>
      <c r="F13" s="77">
        <v>0.05</v>
      </c>
      <c r="G13" s="67" t="s">
        <v>198</v>
      </c>
      <c r="H13" s="78">
        <v>0.04</v>
      </c>
      <c r="I13" s="68"/>
      <c r="M13" s="93" t="s">
        <v>270</v>
      </c>
      <c r="N13" s="78">
        <v>0.04</v>
      </c>
      <c r="W13" s="89" t="s">
        <v>199</v>
      </c>
      <c r="X13" s="78">
        <v>0.06</v>
      </c>
      <c r="Z13" s="240" t="s">
        <v>40</v>
      </c>
      <c r="AA13" s="241" t="s">
        <v>191</v>
      </c>
      <c r="AB13" s="242">
        <v>0.06</v>
      </c>
      <c r="AD13" s="95" t="s">
        <v>111</v>
      </c>
      <c r="AF13" s="84" t="s">
        <v>53</v>
      </c>
      <c r="AL13" s="81" t="s">
        <v>276</v>
      </c>
    </row>
    <row r="14" spans="1:40" x14ac:dyDescent="0.25">
      <c r="A14" s="67" t="s">
        <v>200</v>
      </c>
      <c r="B14" s="77">
        <v>0.05</v>
      </c>
      <c r="C14" s="67" t="s">
        <v>201</v>
      </c>
      <c r="D14" s="77">
        <v>0.03</v>
      </c>
      <c r="E14" s="67" t="s">
        <v>201</v>
      </c>
      <c r="F14" s="77">
        <v>0.03</v>
      </c>
      <c r="G14" s="67" t="s">
        <v>202</v>
      </c>
      <c r="H14" s="78">
        <v>0.02</v>
      </c>
      <c r="W14" s="89" t="s">
        <v>203</v>
      </c>
      <c r="X14" s="78">
        <v>0.05</v>
      </c>
      <c r="Z14" s="238" t="s">
        <v>40</v>
      </c>
      <c r="AA14" s="114" t="s">
        <v>196</v>
      </c>
      <c r="AB14" s="243">
        <v>0.06</v>
      </c>
      <c r="AD14" s="71" t="s">
        <v>112</v>
      </c>
      <c r="AF14" s="84" t="s">
        <v>204</v>
      </c>
    </row>
    <row r="15" spans="1:40" x14ac:dyDescent="0.25">
      <c r="A15" s="67" t="s">
        <v>205</v>
      </c>
      <c r="B15" s="77">
        <v>0.06</v>
      </c>
      <c r="C15" s="67" t="s">
        <v>206</v>
      </c>
      <c r="D15" s="77">
        <v>0.03</v>
      </c>
      <c r="E15" s="67" t="s">
        <v>206</v>
      </c>
      <c r="F15" s="77">
        <v>0.03</v>
      </c>
      <c r="G15" s="67" t="s">
        <v>207</v>
      </c>
      <c r="H15" s="78">
        <v>0.04</v>
      </c>
      <c r="W15" s="89" t="s">
        <v>208</v>
      </c>
      <c r="X15" s="78">
        <v>0.06</v>
      </c>
      <c r="Z15" s="240" t="s">
        <v>40</v>
      </c>
      <c r="AA15" s="241" t="s">
        <v>200</v>
      </c>
      <c r="AB15" s="242">
        <v>0.05</v>
      </c>
    </row>
    <row r="16" spans="1:40" x14ac:dyDescent="0.25">
      <c r="A16" s="67" t="s">
        <v>209</v>
      </c>
      <c r="B16" s="77">
        <v>0.06</v>
      </c>
      <c r="C16" s="67" t="s">
        <v>210</v>
      </c>
      <c r="D16" s="77">
        <v>0.03</v>
      </c>
      <c r="E16" s="67" t="s">
        <v>210</v>
      </c>
      <c r="F16" s="77">
        <v>0.03</v>
      </c>
      <c r="G16" s="67" t="s">
        <v>211</v>
      </c>
      <c r="H16" s="78">
        <v>0.02</v>
      </c>
      <c r="W16" s="89" t="s">
        <v>212</v>
      </c>
      <c r="X16" s="78">
        <v>0.06</v>
      </c>
      <c r="Z16" s="238" t="s">
        <v>40</v>
      </c>
      <c r="AA16" s="114" t="s">
        <v>205</v>
      </c>
      <c r="AB16" s="243">
        <v>0.06</v>
      </c>
    </row>
    <row r="17" spans="1:28" x14ac:dyDescent="0.25">
      <c r="A17" s="67" t="s">
        <v>43</v>
      </c>
      <c r="B17" s="77">
        <v>0.05</v>
      </c>
      <c r="C17" s="67" t="s">
        <v>213</v>
      </c>
      <c r="D17" s="77">
        <v>0.03</v>
      </c>
      <c r="E17" s="67" t="s">
        <v>213</v>
      </c>
      <c r="F17" s="77">
        <v>0.03</v>
      </c>
      <c r="G17" s="67" t="s">
        <v>214</v>
      </c>
      <c r="H17" s="78">
        <v>0.04</v>
      </c>
      <c r="W17" s="89" t="s">
        <v>43</v>
      </c>
      <c r="X17" s="78">
        <v>0.05</v>
      </c>
      <c r="Z17" s="240" t="s">
        <v>40</v>
      </c>
      <c r="AA17" s="241" t="s">
        <v>209</v>
      </c>
      <c r="AB17" s="242">
        <v>0.06</v>
      </c>
    </row>
    <row r="18" spans="1:28" x14ac:dyDescent="0.25">
      <c r="A18" s="67" t="s">
        <v>127</v>
      </c>
      <c r="B18" s="77">
        <v>0.05</v>
      </c>
      <c r="C18" s="67" t="s">
        <v>215</v>
      </c>
      <c r="D18" s="77">
        <v>0.03</v>
      </c>
      <c r="E18" s="67" t="s">
        <v>215</v>
      </c>
      <c r="F18" s="77">
        <v>0.03</v>
      </c>
      <c r="G18" s="67" t="s">
        <v>216</v>
      </c>
      <c r="H18" s="78">
        <v>0.02</v>
      </c>
      <c r="W18" s="89" t="s">
        <v>127</v>
      </c>
      <c r="X18" s="78">
        <v>0.05</v>
      </c>
      <c r="Z18" s="238" t="s">
        <v>40</v>
      </c>
      <c r="AA18" s="114" t="s">
        <v>43</v>
      </c>
      <c r="AB18" s="243">
        <v>0.05</v>
      </c>
    </row>
    <row r="19" spans="1:28" x14ac:dyDescent="0.25">
      <c r="A19" s="67" t="s">
        <v>137</v>
      </c>
      <c r="B19" s="77">
        <v>0.05</v>
      </c>
      <c r="C19" s="67" t="s">
        <v>142</v>
      </c>
      <c r="D19" s="77">
        <v>0.05</v>
      </c>
      <c r="E19" s="67" t="s">
        <v>142</v>
      </c>
      <c r="F19" s="77">
        <v>0.05</v>
      </c>
      <c r="G19" s="67" t="s">
        <v>217</v>
      </c>
      <c r="H19" s="78">
        <v>0.04</v>
      </c>
      <c r="W19" s="89" t="s">
        <v>137</v>
      </c>
      <c r="X19" s="78">
        <v>0.05</v>
      </c>
      <c r="Z19" s="240" t="s">
        <v>40</v>
      </c>
      <c r="AA19" s="241" t="s">
        <v>127</v>
      </c>
      <c r="AB19" s="242">
        <v>0.05</v>
      </c>
    </row>
    <row r="20" spans="1:28" x14ac:dyDescent="0.25">
      <c r="A20" s="67" t="s">
        <v>158</v>
      </c>
      <c r="B20" s="77">
        <v>0.05</v>
      </c>
      <c r="C20" s="67" t="s">
        <v>141</v>
      </c>
      <c r="D20" s="77">
        <v>0.05</v>
      </c>
      <c r="E20" s="67" t="s">
        <v>141</v>
      </c>
      <c r="F20" s="77">
        <v>0.05</v>
      </c>
      <c r="G20" s="67" t="s">
        <v>218</v>
      </c>
      <c r="H20" s="78">
        <v>0.02</v>
      </c>
      <c r="W20" s="89" t="s">
        <v>158</v>
      </c>
      <c r="X20" s="78">
        <v>0.05</v>
      </c>
      <c r="Z20" s="238" t="s">
        <v>40</v>
      </c>
      <c r="AA20" s="114" t="s">
        <v>137</v>
      </c>
      <c r="AB20" s="243">
        <v>0.05</v>
      </c>
    </row>
    <row r="21" spans="1:28" x14ac:dyDescent="0.25">
      <c r="A21" s="67" t="s">
        <v>178</v>
      </c>
      <c r="B21" s="77">
        <v>0.05</v>
      </c>
      <c r="C21" s="67" t="s">
        <v>151</v>
      </c>
      <c r="D21" s="77">
        <v>0</v>
      </c>
      <c r="E21" s="67" t="s">
        <v>151</v>
      </c>
      <c r="F21" s="77">
        <v>0</v>
      </c>
      <c r="G21" s="67" t="s">
        <v>219</v>
      </c>
      <c r="H21" s="78">
        <v>0.04</v>
      </c>
      <c r="W21" s="89" t="s">
        <v>178</v>
      </c>
      <c r="X21" s="78">
        <v>0.05</v>
      </c>
      <c r="Z21" s="240" t="s">
        <v>40</v>
      </c>
      <c r="AA21" s="241" t="s">
        <v>158</v>
      </c>
      <c r="AB21" s="242">
        <v>0.05</v>
      </c>
    </row>
    <row r="22" spans="1:28" ht="15.75" thickBot="1" x14ac:dyDescent="0.3">
      <c r="A22" s="67" t="s">
        <v>136</v>
      </c>
      <c r="B22" s="77">
        <v>0.04</v>
      </c>
      <c r="C22" s="68" t="s">
        <v>220</v>
      </c>
      <c r="D22" s="96">
        <v>0.03</v>
      </c>
      <c r="E22" s="68" t="s">
        <v>220</v>
      </c>
      <c r="F22" s="96">
        <v>0.03</v>
      </c>
      <c r="G22" s="67" t="s">
        <v>221</v>
      </c>
      <c r="H22" s="78">
        <v>0.02</v>
      </c>
      <c r="W22" s="89" t="s">
        <v>222</v>
      </c>
      <c r="X22" s="78">
        <v>0.04</v>
      </c>
      <c r="Z22" s="238" t="s">
        <v>40</v>
      </c>
      <c r="AA22" s="114" t="s">
        <v>178</v>
      </c>
      <c r="AB22" s="243">
        <v>0.05</v>
      </c>
    </row>
    <row r="23" spans="1:28" x14ac:dyDescent="0.25">
      <c r="A23" s="67" t="s">
        <v>147</v>
      </c>
      <c r="B23" s="97">
        <v>0.04</v>
      </c>
      <c r="G23" s="67" t="s">
        <v>223</v>
      </c>
      <c r="H23" s="78">
        <v>0.04</v>
      </c>
      <c r="W23" s="89" t="s">
        <v>224</v>
      </c>
      <c r="X23" s="78">
        <v>0.04</v>
      </c>
      <c r="Z23" s="240" t="s">
        <v>40</v>
      </c>
      <c r="AA23" s="241" t="s">
        <v>136</v>
      </c>
      <c r="AB23" s="242">
        <v>0.04</v>
      </c>
    </row>
    <row r="24" spans="1:28" x14ac:dyDescent="0.25">
      <c r="A24" s="67" t="s">
        <v>206</v>
      </c>
      <c r="B24" s="97">
        <v>0.04</v>
      </c>
      <c r="G24" s="67" t="s">
        <v>225</v>
      </c>
      <c r="H24" s="78">
        <v>0.02</v>
      </c>
      <c r="W24" s="89" t="s">
        <v>226</v>
      </c>
      <c r="X24" s="78">
        <v>0.04</v>
      </c>
      <c r="Z24" s="238" t="s">
        <v>40</v>
      </c>
      <c r="AA24" s="114" t="s">
        <v>147</v>
      </c>
      <c r="AB24" s="243">
        <v>0.04</v>
      </c>
    </row>
    <row r="25" spans="1:28" x14ac:dyDescent="0.25">
      <c r="A25" s="67" t="s">
        <v>227</v>
      </c>
      <c r="B25" s="97">
        <v>0.04</v>
      </c>
      <c r="G25" s="67" t="s">
        <v>228</v>
      </c>
      <c r="H25" s="78">
        <v>0.04</v>
      </c>
      <c r="W25" s="89" t="s">
        <v>229</v>
      </c>
      <c r="X25" s="78">
        <v>0.04</v>
      </c>
      <c r="Z25" s="240" t="s">
        <v>40</v>
      </c>
      <c r="AA25" s="241" t="s">
        <v>206</v>
      </c>
      <c r="AB25" s="242">
        <v>0.04</v>
      </c>
    </row>
    <row r="26" spans="1:28" x14ac:dyDescent="0.25">
      <c r="A26" s="67" t="s">
        <v>230</v>
      </c>
      <c r="B26" s="97">
        <v>0.05</v>
      </c>
      <c r="G26" s="67" t="s">
        <v>231</v>
      </c>
      <c r="H26" s="78">
        <v>0.02</v>
      </c>
      <c r="W26" s="89" t="s">
        <v>232</v>
      </c>
      <c r="X26" s="78">
        <v>0.05</v>
      </c>
      <c r="Z26" s="238" t="s">
        <v>40</v>
      </c>
      <c r="AA26" s="114" t="s">
        <v>227</v>
      </c>
      <c r="AB26" s="243">
        <v>0.04</v>
      </c>
    </row>
    <row r="27" spans="1:28" x14ac:dyDescent="0.25">
      <c r="A27" s="67" t="s">
        <v>233</v>
      </c>
      <c r="B27" s="97">
        <v>0</v>
      </c>
      <c r="G27" s="67" t="s">
        <v>141</v>
      </c>
      <c r="H27" s="78">
        <v>0.05</v>
      </c>
      <c r="W27" s="89" t="s">
        <v>234</v>
      </c>
      <c r="X27" s="78">
        <v>0</v>
      </c>
      <c r="Z27" s="240" t="s">
        <v>40</v>
      </c>
      <c r="AA27" s="241" t="s">
        <v>230</v>
      </c>
      <c r="AB27" s="242">
        <v>0.05</v>
      </c>
    </row>
    <row r="28" spans="1:28" ht="15.75" thickBot="1" x14ac:dyDescent="0.3">
      <c r="A28" s="68" t="s">
        <v>235</v>
      </c>
      <c r="B28" s="98">
        <v>0.03</v>
      </c>
      <c r="G28" s="68" t="s">
        <v>151</v>
      </c>
      <c r="H28" s="99">
        <v>0</v>
      </c>
      <c r="W28" s="93" t="s">
        <v>236</v>
      </c>
      <c r="X28" s="86">
        <v>0.03</v>
      </c>
      <c r="Z28" s="238" t="s">
        <v>40</v>
      </c>
      <c r="AA28" s="114" t="s">
        <v>233</v>
      </c>
      <c r="AB28" s="243">
        <v>0</v>
      </c>
    </row>
    <row r="29" spans="1:28" x14ac:dyDescent="0.25">
      <c r="A29" s="68" t="s">
        <v>41</v>
      </c>
      <c r="B29" s="88">
        <v>0.04</v>
      </c>
      <c r="G29" s="68"/>
      <c r="H29" s="99"/>
      <c r="Z29" s="240" t="s">
        <v>40</v>
      </c>
      <c r="AA29" s="241" t="s">
        <v>235</v>
      </c>
      <c r="AB29" s="242">
        <v>0.03</v>
      </c>
    </row>
    <row r="30" spans="1:28" ht="15.75" thickBot="1" x14ac:dyDescent="0.3">
      <c r="A30" s="230" t="s">
        <v>237</v>
      </c>
      <c r="B30" s="229">
        <v>0.05</v>
      </c>
      <c r="G30" s="68"/>
      <c r="H30" s="86"/>
      <c r="Z30" s="240" t="s">
        <v>40</v>
      </c>
      <c r="AA30" s="241" t="s">
        <v>41</v>
      </c>
      <c r="AB30" s="242">
        <v>0.04</v>
      </c>
    </row>
    <row r="31" spans="1:28" x14ac:dyDescent="0.25">
      <c r="A31" s="230" t="s">
        <v>238</v>
      </c>
      <c r="B31" s="229">
        <v>0.02</v>
      </c>
      <c r="G31" s="90"/>
      <c r="H31" s="91"/>
      <c r="Z31" s="240" t="s">
        <v>40</v>
      </c>
      <c r="AA31" s="244" t="s">
        <v>237</v>
      </c>
      <c r="AB31" s="245">
        <v>0.05</v>
      </c>
    </row>
    <row r="32" spans="1:28" x14ac:dyDescent="0.25">
      <c r="G32" s="90"/>
      <c r="H32" s="91"/>
      <c r="Z32" s="240" t="s">
        <v>40</v>
      </c>
      <c r="AA32" s="244" t="s">
        <v>238</v>
      </c>
      <c r="AB32" s="245">
        <v>0.02</v>
      </c>
    </row>
    <row r="33" spans="26:28" x14ac:dyDescent="0.25">
      <c r="Z33" s="238" t="s">
        <v>28</v>
      </c>
      <c r="AA33" s="241" t="s">
        <v>29</v>
      </c>
      <c r="AB33" s="243">
        <v>0.04</v>
      </c>
    </row>
    <row r="34" spans="26:28" x14ac:dyDescent="0.25">
      <c r="Z34" s="240" t="s">
        <v>28</v>
      </c>
      <c r="AA34" s="241" t="s">
        <v>115</v>
      </c>
      <c r="AB34" s="242">
        <v>0.03</v>
      </c>
    </row>
    <row r="35" spans="26:28" x14ac:dyDescent="0.25">
      <c r="Z35" s="238" t="s">
        <v>28</v>
      </c>
      <c r="AA35" s="241" t="s">
        <v>135</v>
      </c>
      <c r="AB35" s="243">
        <v>0.03</v>
      </c>
    </row>
    <row r="36" spans="26:28" x14ac:dyDescent="0.25">
      <c r="Z36" s="240" t="s">
        <v>28</v>
      </c>
      <c r="AA36" s="241" t="s">
        <v>146</v>
      </c>
      <c r="AB36" s="242">
        <v>0.03</v>
      </c>
    </row>
    <row r="37" spans="26:28" x14ac:dyDescent="0.25">
      <c r="Z37" s="238" t="s">
        <v>28</v>
      </c>
      <c r="AA37" s="241" t="s">
        <v>156</v>
      </c>
      <c r="AB37" s="243">
        <v>0.03</v>
      </c>
    </row>
    <row r="38" spans="26:28" x14ac:dyDescent="0.25">
      <c r="Z38" s="240" t="s">
        <v>28</v>
      </c>
      <c r="AA38" s="241" t="s">
        <v>165</v>
      </c>
      <c r="AB38" s="242">
        <v>0.03</v>
      </c>
    </row>
    <row r="39" spans="26:28" x14ac:dyDescent="0.25">
      <c r="Z39" s="238" t="s">
        <v>28</v>
      </c>
      <c r="AA39" s="241" t="s">
        <v>43</v>
      </c>
      <c r="AB39" s="243">
        <v>0.05</v>
      </c>
    </row>
    <row r="40" spans="26:28" x14ac:dyDescent="0.25">
      <c r="Z40" s="240" t="s">
        <v>28</v>
      </c>
      <c r="AA40" s="241" t="s">
        <v>127</v>
      </c>
      <c r="AB40" s="242">
        <v>0.05</v>
      </c>
    </row>
    <row r="41" spans="26:28" x14ac:dyDescent="0.25">
      <c r="Z41" s="238" t="s">
        <v>28</v>
      </c>
      <c r="AA41" s="241" t="s">
        <v>137</v>
      </c>
      <c r="AB41" s="243">
        <v>0.05</v>
      </c>
    </row>
    <row r="42" spans="26:28" x14ac:dyDescent="0.25">
      <c r="Z42" s="240" t="s">
        <v>28</v>
      </c>
      <c r="AA42" s="241" t="s">
        <v>158</v>
      </c>
      <c r="AB42" s="242">
        <v>0.05</v>
      </c>
    </row>
    <row r="43" spans="26:28" x14ac:dyDescent="0.25">
      <c r="Z43" s="238" t="s">
        <v>28</v>
      </c>
      <c r="AA43" s="241" t="s">
        <v>157</v>
      </c>
      <c r="AB43" s="243">
        <v>0.05</v>
      </c>
    </row>
    <row r="44" spans="26:28" x14ac:dyDescent="0.25">
      <c r="Z44" s="240" t="s">
        <v>28</v>
      </c>
      <c r="AA44" s="241" t="s">
        <v>197</v>
      </c>
      <c r="AB44" s="242">
        <v>0.05</v>
      </c>
    </row>
    <row r="45" spans="26:28" x14ac:dyDescent="0.25">
      <c r="Z45" s="238" t="s">
        <v>28</v>
      </c>
      <c r="AA45" s="241" t="s">
        <v>201</v>
      </c>
      <c r="AB45" s="243">
        <v>0.03</v>
      </c>
    </row>
    <row r="46" spans="26:28" x14ac:dyDescent="0.25">
      <c r="Z46" s="240" t="s">
        <v>28</v>
      </c>
      <c r="AA46" s="241" t="s">
        <v>206</v>
      </c>
      <c r="AB46" s="242">
        <v>0.03</v>
      </c>
    </row>
    <row r="47" spans="26:28" x14ac:dyDescent="0.25">
      <c r="Z47" s="238" t="s">
        <v>28</v>
      </c>
      <c r="AA47" s="241" t="s">
        <v>210</v>
      </c>
      <c r="AB47" s="243">
        <v>0.03</v>
      </c>
    </row>
    <row r="48" spans="26:28" x14ac:dyDescent="0.25">
      <c r="Z48" s="240" t="s">
        <v>28</v>
      </c>
      <c r="AA48" s="241" t="s">
        <v>213</v>
      </c>
      <c r="AB48" s="242">
        <v>0.03</v>
      </c>
    </row>
    <row r="49" spans="26:28" x14ac:dyDescent="0.25">
      <c r="Z49" s="238" t="s">
        <v>28</v>
      </c>
      <c r="AA49" s="241" t="s">
        <v>215</v>
      </c>
      <c r="AB49" s="243">
        <v>0.03</v>
      </c>
    </row>
    <row r="50" spans="26:28" x14ac:dyDescent="0.25">
      <c r="Z50" s="240" t="s">
        <v>28</v>
      </c>
      <c r="AA50" s="241" t="s">
        <v>142</v>
      </c>
      <c r="AB50" s="242">
        <v>0.05</v>
      </c>
    </row>
    <row r="51" spans="26:28" x14ac:dyDescent="0.25">
      <c r="Z51" s="238" t="s">
        <v>28</v>
      </c>
      <c r="AA51" s="241" t="s">
        <v>141</v>
      </c>
      <c r="AB51" s="243">
        <v>0.05</v>
      </c>
    </row>
    <row r="52" spans="26:28" x14ac:dyDescent="0.25">
      <c r="Z52" s="240" t="s">
        <v>28</v>
      </c>
      <c r="AA52" s="241" t="s">
        <v>151</v>
      </c>
      <c r="AB52" s="242">
        <v>0</v>
      </c>
    </row>
    <row r="53" spans="26:28" x14ac:dyDescent="0.25">
      <c r="Z53" s="238" t="s">
        <v>28</v>
      </c>
      <c r="AA53" s="241" t="s">
        <v>220</v>
      </c>
      <c r="AB53" s="243">
        <v>0.03</v>
      </c>
    </row>
    <row r="54" spans="26:28" x14ac:dyDescent="0.25">
      <c r="Z54" s="240" t="s">
        <v>35</v>
      </c>
      <c r="AA54" s="241" t="s">
        <v>29</v>
      </c>
      <c r="AB54" s="242">
        <v>0.04</v>
      </c>
    </row>
    <row r="55" spans="26:28" x14ac:dyDescent="0.25">
      <c r="Z55" s="238" t="s">
        <v>35</v>
      </c>
      <c r="AA55" s="114" t="s">
        <v>115</v>
      </c>
      <c r="AB55" s="243">
        <v>0.03</v>
      </c>
    </row>
    <row r="56" spans="26:28" x14ac:dyDescent="0.25">
      <c r="Z56" s="240" t="s">
        <v>35</v>
      </c>
      <c r="AA56" s="241" t="s">
        <v>135</v>
      </c>
      <c r="AB56" s="242">
        <v>0.03</v>
      </c>
    </row>
    <row r="57" spans="26:28" x14ac:dyDescent="0.25">
      <c r="Z57" s="238" t="s">
        <v>35</v>
      </c>
      <c r="AA57" s="114" t="s">
        <v>146</v>
      </c>
      <c r="AB57" s="243">
        <v>0.03</v>
      </c>
    </row>
    <row r="58" spans="26:28" x14ac:dyDescent="0.25">
      <c r="Z58" s="240" t="s">
        <v>35</v>
      </c>
      <c r="AA58" s="241" t="s">
        <v>156</v>
      </c>
      <c r="AB58" s="242">
        <v>0.03</v>
      </c>
    </row>
    <row r="59" spans="26:28" x14ac:dyDescent="0.25">
      <c r="Z59" s="238" t="s">
        <v>35</v>
      </c>
      <c r="AA59" s="114" t="s">
        <v>165</v>
      </c>
      <c r="AB59" s="243">
        <v>0.03</v>
      </c>
    </row>
    <row r="60" spans="26:28" x14ac:dyDescent="0.25">
      <c r="Z60" s="240" t="s">
        <v>35</v>
      </c>
      <c r="AA60" s="241" t="s">
        <v>43</v>
      </c>
      <c r="AB60" s="242">
        <v>0.05</v>
      </c>
    </row>
    <row r="61" spans="26:28" x14ac:dyDescent="0.25">
      <c r="Z61" s="238" t="s">
        <v>35</v>
      </c>
      <c r="AA61" s="114" t="s">
        <v>127</v>
      </c>
      <c r="AB61" s="243">
        <v>0.05</v>
      </c>
    </row>
    <row r="62" spans="26:28" x14ac:dyDescent="0.25">
      <c r="Z62" s="240" t="s">
        <v>35</v>
      </c>
      <c r="AA62" s="241" t="s">
        <v>137</v>
      </c>
      <c r="AB62" s="242">
        <v>0.05</v>
      </c>
    </row>
    <row r="63" spans="26:28" x14ac:dyDescent="0.25">
      <c r="Z63" s="238" t="s">
        <v>35</v>
      </c>
      <c r="AA63" s="114" t="s">
        <v>158</v>
      </c>
      <c r="AB63" s="243">
        <v>0.05</v>
      </c>
    </row>
    <row r="64" spans="26:28" x14ac:dyDescent="0.25">
      <c r="Z64" s="240" t="s">
        <v>35</v>
      </c>
      <c r="AA64" s="241" t="s">
        <v>157</v>
      </c>
      <c r="AB64" s="242">
        <v>0.05</v>
      </c>
    </row>
    <row r="65" spans="26:28" x14ac:dyDescent="0.25">
      <c r="Z65" s="238" t="s">
        <v>35</v>
      </c>
      <c r="AA65" s="114" t="s">
        <v>197</v>
      </c>
      <c r="AB65" s="243">
        <v>0.05</v>
      </c>
    </row>
    <row r="66" spans="26:28" x14ac:dyDescent="0.25">
      <c r="Z66" s="240" t="s">
        <v>35</v>
      </c>
      <c r="AA66" s="241" t="s">
        <v>201</v>
      </c>
      <c r="AB66" s="242">
        <v>0.03</v>
      </c>
    </row>
    <row r="67" spans="26:28" x14ac:dyDescent="0.25">
      <c r="Z67" s="238" t="s">
        <v>35</v>
      </c>
      <c r="AA67" s="114" t="s">
        <v>206</v>
      </c>
      <c r="AB67" s="243">
        <v>0.03</v>
      </c>
    </row>
    <row r="68" spans="26:28" x14ac:dyDescent="0.25">
      <c r="Z68" s="240" t="s">
        <v>35</v>
      </c>
      <c r="AA68" s="241" t="s">
        <v>210</v>
      </c>
      <c r="AB68" s="242">
        <v>0.03</v>
      </c>
    </row>
    <row r="69" spans="26:28" x14ac:dyDescent="0.25">
      <c r="Z69" s="238" t="s">
        <v>35</v>
      </c>
      <c r="AA69" s="114" t="s">
        <v>213</v>
      </c>
      <c r="AB69" s="243">
        <v>0.03</v>
      </c>
    </row>
    <row r="70" spans="26:28" x14ac:dyDescent="0.25">
      <c r="Z70" s="240" t="s">
        <v>35</v>
      </c>
      <c r="AA70" s="241" t="s">
        <v>215</v>
      </c>
      <c r="AB70" s="242">
        <v>0.03</v>
      </c>
    </row>
    <row r="71" spans="26:28" x14ac:dyDescent="0.25">
      <c r="Z71" s="238" t="s">
        <v>35</v>
      </c>
      <c r="AA71" s="114" t="s">
        <v>142</v>
      </c>
      <c r="AB71" s="243">
        <v>0.05</v>
      </c>
    </row>
    <row r="72" spans="26:28" x14ac:dyDescent="0.25">
      <c r="Z72" s="240" t="s">
        <v>35</v>
      </c>
      <c r="AA72" s="241" t="s">
        <v>141</v>
      </c>
      <c r="AB72" s="242">
        <v>0.05</v>
      </c>
    </row>
    <row r="73" spans="26:28" x14ac:dyDescent="0.25">
      <c r="Z73" s="238" t="s">
        <v>35</v>
      </c>
      <c r="AA73" s="114" t="s">
        <v>151</v>
      </c>
      <c r="AB73" s="243">
        <v>0</v>
      </c>
    </row>
    <row r="74" spans="26:28" x14ac:dyDescent="0.25">
      <c r="Z74" s="240" t="s">
        <v>35</v>
      </c>
      <c r="AA74" s="241" t="s">
        <v>220</v>
      </c>
      <c r="AB74" s="242">
        <v>0.03</v>
      </c>
    </row>
    <row r="75" spans="26:28" x14ac:dyDescent="0.25">
      <c r="Z75" s="238" t="s">
        <v>108</v>
      </c>
      <c r="AA75" s="241" t="s">
        <v>115</v>
      </c>
      <c r="AB75" s="243">
        <v>0.04</v>
      </c>
    </row>
    <row r="76" spans="26:28" x14ac:dyDescent="0.25">
      <c r="Z76" s="240" t="s">
        <v>108</v>
      </c>
      <c r="AA76" s="241" t="s">
        <v>126</v>
      </c>
      <c r="AB76" s="242">
        <v>0.02</v>
      </c>
    </row>
    <row r="77" spans="26:28" x14ac:dyDescent="0.25">
      <c r="Z77" s="238" t="s">
        <v>108</v>
      </c>
      <c r="AA77" s="241" t="s">
        <v>136</v>
      </c>
      <c r="AB77" s="243">
        <v>0.03</v>
      </c>
    </row>
    <row r="78" spans="26:28" x14ac:dyDescent="0.25">
      <c r="Z78" s="240" t="s">
        <v>108</v>
      </c>
      <c r="AA78" s="241" t="s">
        <v>147</v>
      </c>
      <c r="AB78" s="242">
        <v>0.03</v>
      </c>
    </row>
    <row r="79" spans="26:28" x14ac:dyDescent="0.25">
      <c r="Z79" s="238" t="s">
        <v>108</v>
      </c>
      <c r="AA79" s="241" t="s">
        <v>157</v>
      </c>
      <c r="AB79" s="243">
        <v>0.04</v>
      </c>
    </row>
    <row r="80" spans="26:28" x14ac:dyDescent="0.25">
      <c r="Z80" s="240" t="s">
        <v>108</v>
      </c>
      <c r="AA80" s="241" t="s">
        <v>33</v>
      </c>
      <c r="AB80" s="242">
        <v>0.04</v>
      </c>
    </row>
    <row r="81" spans="26:28" x14ac:dyDescent="0.25">
      <c r="Z81" s="238" t="s">
        <v>108</v>
      </c>
      <c r="AA81" s="241" t="s">
        <v>172</v>
      </c>
      <c r="AB81" s="243">
        <v>0.02</v>
      </c>
    </row>
    <row r="82" spans="26:28" x14ac:dyDescent="0.25">
      <c r="Z82" s="240" t="s">
        <v>108</v>
      </c>
      <c r="AA82" s="241" t="s">
        <v>177</v>
      </c>
      <c r="AB82" s="242">
        <v>0.04</v>
      </c>
    </row>
    <row r="83" spans="26:28" x14ac:dyDescent="0.25">
      <c r="Z83" s="238" t="s">
        <v>108</v>
      </c>
      <c r="AA83" s="241" t="s">
        <v>184</v>
      </c>
      <c r="AB83" s="243">
        <v>0.02</v>
      </c>
    </row>
    <row r="84" spans="26:28" x14ac:dyDescent="0.25">
      <c r="Z84" s="240" t="s">
        <v>108</v>
      </c>
      <c r="AA84" s="241" t="s">
        <v>188</v>
      </c>
      <c r="AB84" s="242">
        <v>0.04</v>
      </c>
    </row>
    <row r="85" spans="26:28" x14ac:dyDescent="0.25">
      <c r="Z85" s="238" t="s">
        <v>108</v>
      </c>
      <c r="AA85" s="241" t="s">
        <v>192</v>
      </c>
      <c r="AB85" s="243">
        <v>0.02</v>
      </c>
    </row>
    <row r="86" spans="26:28" x14ac:dyDescent="0.25">
      <c r="Z86" s="240" t="s">
        <v>108</v>
      </c>
      <c r="AA86" s="241" t="s">
        <v>198</v>
      </c>
      <c r="AB86" s="242">
        <v>0.04</v>
      </c>
    </row>
    <row r="87" spans="26:28" x14ac:dyDescent="0.25">
      <c r="Z87" s="238" t="s">
        <v>108</v>
      </c>
      <c r="AA87" s="241" t="s">
        <v>202</v>
      </c>
      <c r="AB87" s="243">
        <v>0.02</v>
      </c>
    </row>
    <row r="88" spans="26:28" x14ac:dyDescent="0.25">
      <c r="Z88" s="240" t="s">
        <v>108</v>
      </c>
      <c r="AA88" s="241" t="s">
        <v>207</v>
      </c>
      <c r="AB88" s="242">
        <v>0.04</v>
      </c>
    </row>
    <row r="89" spans="26:28" x14ac:dyDescent="0.25">
      <c r="Z89" s="238" t="s">
        <v>108</v>
      </c>
      <c r="AA89" s="241" t="s">
        <v>211</v>
      </c>
      <c r="AB89" s="243">
        <v>0.02</v>
      </c>
    </row>
    <row r="90" spans="26:28" x14ac:dyDescent="0.25">
      <c r="Z90" s="240" t="s">
        <v>108</v>
      </c>
      <c r="AA90" s="241" t="s">
        <v>214</v>
      </c>
      <c r="AB90" s="242">
        <v>0.04</v>
      </c>
    </row>
    <row r="91" spans="26:28" x14ac:dyDescent="0.25">
      <c r="Z91" s="238" t="s">
        <v>108</v>
      </c>
      <c r="AA91" s="241" t="s">
        <v>216</v>
      </c>
      <c r="AB91" s="243">
        <v>0.02</v>
      </c>
    </row>
    <row r="92" spans="26:28" x14ac:dyDescent="0.25">
      <c r="Z92" s="240" t="s">
        <v>108</v>
      </c>
      <c r="AA92" s="241" t="s">
        <v>217</v>
      </c>
      <c r="AB92" s="242">
        <v>0.04</v>
      </c>
    </row>
    <row r="93" spans="26:28" x14ac:dyDescent="0.25">
      <c r="Z93" s="238" t="s">
        <v>108</v>
      </c>
      <c r="AA93" s="241" t="s">
        <v>218</v>
      </c>
      <c r="AB93" s="243">
        <v>0.02</v>
      </c>
    </row>
    <row r="94" spans="26:28" x14ac:dyDescent="0.25">
      <c r="Z94" s="240" t="s">
        <v>108</v>
      </c>
      <c r="AA94" s="241" t="s">
        <v>219</v>
      </c>
      <c r="AB94" s="242">
        <v>0.04</v>
      </c>
    </row>
    <row r="95" spans="26:28" x14ac:dyDescent="0.25">
      <c r="Z95" s="238" t="s">
        <v>108</v>
      </c>
      <c r="AA95" s="241" t="s">
        <v>221</v>
      </c>
      <c r="AB95" s="243">
        <v>0.02</v>
      </c>
    </row>
    <row r="96" spans="26:28" x14ac:dyDescent="0.25">
      <c r="Z96" s="240" t="s">
        <v>108</v>
      </c>
      <c r="AA96" s="241" t="s">
        <v>223</v>
      </c>
      <c r="AB96" s="242">
        <v>0.04</v>
      </c>
    </row>
    <row r="97" spans="26:28" x14ac:dyDescent="0.25">
      <c r="Z97" s="238" t="s">
        <v>108</v>
      </c>
      <c r="AA97" s="241" t="s">
        <v>225</v>
      </c>
      <c r="AB97" s="243">
        <v>0.02</v>
      </c>
    </row>
    <row r="98" spans="26:28" x14ac:dyDescent="0.25">
      <c r="Z98" s="240" t="s">
        <v>108</v>
      </c>
      <c r="AA98" s="241" t="s">
        <v>228</v>
      </c>
      <c r="AB98" s="242">
        <v>0.04</v>
      </c>
    </row>
    <row r="99" spans="26:28" x14ac:dyDescent="0.25">
      <c r="Z99" s="238" t="s">
        <v>108</v>
      </c>
      <c r="AA99" s="241" t="s">
        <v>231</v>
      </c>
      <c r="AB99" s="243">
        <v>0.02</v>
      </c>
    </row>
    <row r="100" spans="26:28" x14ac:dyDescent="0.25">
      <c r="Z100" s="240" t="s">
        <v>108</v>
      </c>
      <c r="AA100" s="241" t="s">
        <v>141</v>
      </c>
      <c r="AB100" s="242">
        <v>0.05</v>
      </c>
    </row>
    <row r="101" spans="26:28" x14ac:dyDescent="0.25">
      <c r="Z101" s="238" t="s">
        <v>108</v>
      </c>
      <c r="AA101" s="241" t="s">
        <v>151</v>
      </c>
      <c r="AB101" s="243">
        <v>0</v>
      </c>
    </row>
    <row r="102" spans="26:28" x14ac:dyDescent="0.25">
      <c r="Z102" s="240" t="s">
        <v>44</v>
      </c>
      <c r="AA102" s="241" t="s">
        <v>43</v>
      </c>
      <c r="AB102" s="242">
        <v>0.05</v>
      </c>
    </row>
    <row r="103" spans="26:28" x14ac:dyDescent="0.25">
      <c r="Z103" s="238" t="s">
        <v>44</v>
      </c>
      <c r="AA103" s="114" t="s">
        <v>127</v>
      </c>
      <c r="AB103" s="243">
        <v>0.05</v>
      </c>
    </row>
    <row r="104" spans="26:28" x14ac:dyDescent="0.25">
      <c r="Z104" s="240" t="s">
        <v>44</v>
      </c>
      <c r="AA104" s="241" t="s">
        <v>137</v>
      </c>
      <c r="AB104" s="242">
        <v>0.05</v>
      </c>
    </row>
    <row r="105" spans="26:28" x14ac:dyDescent="0.25">
      <c r="Z105" s="238" t="s">
        <v>44</v>
      </c>
      <c r="AA105" s="114" t="s">
        <v>46</v>
      </c>
      <c r="AB105" s="243">
        <v>0.05</v>
      </c>
    </row>
    <row r="106" spans="26:28" x14ac:dyDescent="0.25">
      <c r="Z106" s="240" t="s">
        <v>44</v>
      </c>
      <c r="AA106" s="241" t="s">
        <v>158</v>
      </c>
      <c r="AB106" s="242">
        <v>0.05</v>
      </c>
    </row>
    <row r="107" spans="26:28" x14ac:dyDescent="0.25">
      <c r="Z107" s="238" t="s">
        <v>44</v>
      </c>
      <c r="AA107" s="114" t="s">
        <v>49</v>
      </c>
      <c r="AB107" s="243">
        <v>0.05</v>
      </c>
    </row>
    <row r="108" spans="26:28" x14ac:dyDescent="0.25">
      <c r="Z108" s="240" t="s">
        <v>44</v>
      </c>
      <c r="AA108" s="241" t="s">
        <v>45</v>
      </c>
      <c r="AB108" s="242">
        <v>0.05</v>
      </c>
    </row>
    <row r="109" spans="26:28" x14ac:dyDescent="0.25">
      <c r="Z109" s="238" t="s">
        <v>44</v>
      </c>
      <c r="AA109" s="114" t="s">
        <v>178</v>
      </c>
      <c r="AB109" s="243">
        <v>0.05</v>
      </c>
    </row>
    <row r="110" spans="26:28" x14ac:dyDescent="0.25">
      <c r="Z110" s="240" t="s">
        <v>44</v>
      </c>
      <c r="AA110" s="241" t="s">
        <v>142</v>
      </c>
      <c r="AB110" s="242">
        <v>0.05</v>
      </c>
    </row>
    <row r="111" spans="26:28" x14ac:dyDescent="0.25">
      <c r="Z111" s="238" t="s">
        <v>44</v>
      </c>
      <c r="AA111" s="114" t="s">
        <v>141</v>
      </c>
      <c r="AB111" s="243">
        <v>0.05</v>
      </c>
    </row>
    <row r="112" spans="26:28" x14ac:dyDescent="0.25">
      <c r="Z112" s="240" t="s">
        <v>44</v>
      </c>
      <c r="AA112" s="241" t="s">
        <v>151</v>
      </c>
      <c r="AB112" s="242">
        <v>0</v>
      </c>
    </row>
    <row r="113" spans="26:28" x14ac:dyDescent="0.25">
      <c r="Z113" s="238" t="s">
        <v>32</v>
      </c>
      <c r="AA113" s="241" t="s">
        <v>29</v>
      </c>
      <c r="AB113" s="243">
        <v>0.03</v>
      </c>
    </row>
    <row r="114" spans="26:28" x14ac:dyDescent="0.25">
      <c r="Z114" s="240" t="s">
        <v>32</v>
      </c>
      <c r="AA114" s="241" t="s">
        <v>115</v>
      </c>
      <c r="AB114" s="242">
        <v>0.03</v>
      </c>
    </row>
    <row r="115" spans="26:28" x14ac:dyDescent="0.25">
      <c r="Z115" s="238" t="s">
        <v>32</v>
      </c>
      <c r="AA115" s="241" t="s">
        <v>138</v>
      </c>
      <c r="AB115" s="243">
        <v>0.03</v>
      </c>
    </row>
    <row r="116" spans="26:28" x14ac:dyDescent="0.25">
      <c r="Z116" s="240" t="s">
        <v>32</v>
      </c>
      <c r="AA116" s="241" t="s">
        <v>148</v>
      </c>
      <c r="AB116" s="242">
        <v>0.03</v>
      </c>
    </row>
    <row r="117" spans="26:28" x14ac:dyDescent="0.25">
      <c r="Z117" s="238" t="s">
        <v>32</v>
      </c>
      <c r="AA117" s="241" t="s">
        <v>33</v>
      </c>
      <c r="AB117" s="243">
        <v>0.03</v>
      </c>
    </row>
    <row r="118" spans="26:28" x14ac:dyDescent="0.25">
      <c r="Z118" s="240" t="s">
        <v>32</v>
      </c>
      <c r="AA118" s="241" t="s">
        <v>141</v>
      </c>
      <c r="AB118" s="242">
        <v>0.05</v>
      </c>
    </row>
    <row r="119" spans="26:28" x14ac:dyDescent="0.25">
      <c r="Z119" s="238" t="s">
        <v>32</v>
      </c>
      <c r="AA119" s="241" t="s">
        <v>151</v>
      </c>
      <c r="AB119" s="243">
        <v>0</v>
      </c>
    </row>
    <row r="120" spans="26:28" x14ac:dyDescent="0.25">
      <c r="Z120" s="240" t="s">
        <v>25</v>
      </c>
      <c r="AA120" s="241" t="s">
        <v>48</v>
      </c>
      <c r="AB120" s="242">
        <v>0.04</v>
      </c>
    </row>
    <row r="121" spans="26:28" x14ac:dyDescent="0.25">
      <c r="Z121" s="238" t="s">
        <v>25</v>
      </c>
      <c r="AA121" s="114" t="s">
        <v>128</v>
      </c>
      <c r="AB121" s="243">
        <v>0.04</v>
      </c>
    </row>
    <row r="122" spans="26:28" x14ac:dyDescent="0.25">
      <c r="Z122" s="240" t="s">
        <v>25</v>
      </c>
      <c r="AA122" s="241" t="s">
        <v>36</v>
      </c>
      <c r="AB122" s="242">
        <v>0.04</v>
      </c>
    </row>
    <row r="123" spans="26:28" x14ac:dyDescent="0.25">
      <c r="Z123" s="238" t="s">
        <v>25</v>
      </c>
      <c r="AA123" s="114" t="s">
        <v>149</v>
      </c>
      <c r="AB123" s="243">
        <v>0.04</v>
      </c>
    </row>
    <row r="124" spans="26:28" x14ac:dyDescent="0.25">
      <c r="Z124" s="240" t="s">
        <v>25</v>
      </c>
      <c r="AA124" s="241" t="s">
        <v>31</v>
      </c>
      <c r="AB124" s="242">
        <v>0.04</v>
      </c>
    </row>
    <row r="125" spans="26:28" x14ac:dyDescent="0.25">
      <c r="Z125" s="238" t="s">
        <v>25</v>
      </c>
      <c r="AA125" s="114" t="s">
        <v>166</v>
      </c>
      <c r="AB125" s="243">
        <v>0.04</v>
      </c>
    </row>
    <row r="126" spans="26:28" x14ac:dyDescent="0.25">
      <c r="Z126" s="240" t="s">
        <v>25</v>
      </c>
      <c r="AA126" s="241" t="s">
        <v>26</v>
      </c>
      <c r="AB126" s="242">
        <v>0.04</v>
      </c>
    </row>
    <row r="127" spans="26:28" x14ac:dyDescent="0.25">
      <c r="Z127" s="238" t="s">
        <v>25</v>
      </c>
      <c r="AA127" s="114" t="s">
        <v>179</v>
      </c>
      <c r="AB127" s="243">
        <v>0.04</v>
      </c>
    </row>
    <row r="128" spans="26:28" x14ac:dyDescent="0.25">
      <c r="Z128" s="240" t="s">
        <v>25</v>
      </c>
      <c r="AA128" s="241" t="s">
        <v>141</v>
      </c>
      <c r="AB128" s="242">
        <v>0.05</v>
      </c>
    </row>
    <row r="129" spans="26:28" x14ac:dyDescent="0.25">
      <c r="Z129" s="238" t="s">
        <v>25</v>
      </c>
      <c r="AA129" s="114" t="s">
        <v>151</v>
      </c>
      <c r="AB129" s="243">
        <v>0</v>
      </c>
    </row>
    <row r="130" spans="26:28" x14ac:dyDescent="0.25">
      <c r="Z130" s="240" t="s">
        <v>37</v>
      </c>
      <c r="AA130" s="241" t="s">
        <v>29</v>
      </c>
      <c r="AB130" s="242">
        <v>0.04</v>
      </c>
    </row>
    <row r="131" spans="26:28" x14ac:dyDescent="0.25">
      <c r="Z131" s="238" t="s">
        <v>37</v>
      </c>
      <c r="AA131" s="114" t="s">
        <v>38</v>
      </c>
      <c r="AB131" s="243">
        <v>0.04</v>
      </c>
    </row>
    <row r="132" spans="26:28" x14ac:dyDescent="0.25">
      <c r="Z132" s="240" t="s">
        <v>37</v>
      </c>
      <c r="AA132" s="241" t="s">
        <v>139</v>
      </c>
      <c r="AB132" s="242">
        <v>0.04</v>
      </c>
    </row>
    <row r="133" spans="26:28" x14ac:dyDescent="0.25">
      <c r="Z133" s="238" t="s">
        <v>37</v>
      </c>
      <c r="AA133" s="114" t="s">
        <v>150</v>
      </c>
      <c r="AB133" s="243">
        <v>0.04</v>
      </c>
    </row>
    <row r="134" spans="26:28" x14ac:dyDescent="0.25">
      <c r="Z134" s="240" t="s">
        <v>37</v>
      </c>
      <c r="AA134" s="241" t="s">
        <v>159</v>
      </c>
      <c r="AB134" s="242">
        <v>0.04</v>
      </c>
    </row>
    <row r="135" spans="26:28" x14ac:dyDescent="0.25">
      <c r="Z135" s="238" t="s">
        <v>37</v>
      </c>
      <c r="AA135" s="114" t="s">
        <v>167</v>
      </c>
      <c r="AB135" s="243">
        <v>0.05</v>
      </c>
    </row>
    <row r="136" spans="26:28" x14ac:dyDescent="0.25">
      <c r="Z136" s="240" t="s">
        <v>37</v>
      </c>
      <c r="AA136" s="241" t="s">
        <v>141</v>
      </c>
      <c r="AB136" s="242">
        <v>0.05</v>
      </c>
    </row>
    <row r="137" spans="26:28" x14ac:dyDescent="0.25">
      <c r="Z137" s="238" t="s">
        <v>37</v>
      </c>
      <c r="AA137" s="114" t="s">
        <v>151</v>
      </c>
      <c r="AB137" s="243">
        <v>0</v>
      </c>
    </row>
    <row r="138" spans="26:28" x14ac:dyDescent="0.25">
      <c r="Z138" s="240" t="s">
        <v>109</v>
      </c>
      <c r="AA138" s="241" t="s">
        <v>116</v>
      </c>
      <c r="AB138" s="242">
        <v>0.03</v>
      </c>
    </row>
    <row r="139" spans="26:28" x14ac:dyDescent="0.25">
      <c r="Z139" s="238" t="s">
        <v>109</v>
      </c>
      <c r="AA139" s="114" t="s">
        <v>129</v>
      </c>
      <c r="AB139" s="243">
        <v>0.03</v>
      </c>
    </row>
    <row r="140" spans="26:28" x14ac:dyDescent="0.25">
      <c r="Z140" s="240" t="s">
        <v>109</v>
      </c>
      <c r="AA140" s="241" t="s">
        <v>140</v>
      </c>
      <c r="AB140" s="242">
        <v>0.03</v>
      </c>
    </row>
    <row r="141" spans="26:28" x14ac:dyDescent="0.25">
      <c r="Z141" s="238" t="s">
        <v>109</v>
      </c>
      <c r="AA141" s="114" t="s">
        <v>141</v>
      </c>
      <c r="AB141" s="243">
        <v>0.05</v>
      </c>
    </row>
    <row r="142" spans="26:28" x14ac:dyDescent="0.25">
      <c r="Z142" s="240" t="s">
        <v>109</v>
      </c>
      <c r="AA142" s="241" t="s">
        <v>151</v>
      </c>
      <c r="AB142" s="242">
        <v>0</v>
      </c>
    </row>
    <row r="143" spans="26:28" x14ac:dyDescent="0.25">
      <c r="Z143" s="238" t="s">
        <v>110</v>
      </c>
      <c r="AA143" s="241" t="s">
        <v>117</v>
      </c>
      <c r="AB143" s="243">
        <v>0.05</v>
      </c>
    </row>
    <row r="144" spans="26:28" x14ac:dyDescent="0.25">
      <c r="Z144" s="240" t="s">
        <v>110</v>
      </c>
      <c r="AA144" s="241" t="s">
        <v>130</v>
      </c>
      <c r="AB144" s="242">
        <v>0.05</v>
      </c>
    </row>
    <row r="145" spans="26:28" x14ac:dyDescent="0.25">
      <c r="Z145" s="238" t="s">
        <v>110</v>
      </c>
      <c r="AA145" s="241" t="s">
        <v>141</v>
      </c>
      <c r="AB145" s="243">
        <v>0.05</v>
      </c>
    </row>
    <row r="146" spans="26:28" x14ac:dyDescent="0.25">
      <c r="Z146" s="240" t="s">
        <v>110</v>
      </c>
      <c r="AA146" s="241" t="s">
        <v>151</v>
      </c>
      <c r="AB146" s="242">
        <v>0</v>
      </c>
    </row>
    <row r="147" spans="26:28" x14ac:dyDescent="0.25">
      <c r="Z147" s="238" t="s">
        <v>111</v>
      </c>
      <c r="AA147" s="241" t="s">
        <v>46</v>
      </c>
      <c r="AB147" s="243">
        <v>0.05</v>
      </c>
    </row>
    <row r="148" spans="26:28" x14ac:dyDescent="0.25">
      <c r="Z148" s="240" t="s">
        <v>111</v>
      </c>
      <c r="AA148" s="241" t="s">
        <v>131</v>
      </c>
      <c r="AB148" s="242">
        <v>0.05</v>
      </c>
    </row>
    <row r="149" spans="26:28" x14ac:dyDescent="0.25">
      <c r="Z149" s="238" t="s">
        <v>111</v>
      </c>
      <c r="AA149" s="241" t="s">
        <v>142</v>
      </c>
      <c r="AB149" s="243">
        <v>0.05</v>
      </c>
    </row>
    <row r="150" spans="26:28" x14ac:dyDescent="0.25">
      <c r="Z150" s="240" t="s">
        <v>111</v>
      </c>
      <c r="AA150" s="241" t="s">
        <v>49</v>
      </c>
      <c r="AB150" s="242">
        <v>0.05</v>
      </c>
    </row>
    <row r="151" spans="26:28" x14ac:dyDescent="0.25">
      <c r="Z151" s="238" t="s">
        <v>111</v>
      </c>
      <c r="AA151" s="241" t="s">
        <v>160</v>
      </c>
      <c r="AB151" s="243">
        <v>0.05</v>
      </c>
    </row>
    <row r="152" spans="26:28" x14ac:dyDescent="0.25">
      <c r="Z152" s="240" t="s">
        <v>111</v>
      </c>
      <c r="AA152" s="241" t="s">
        <v>141</v>
      </c>
      <c r="AB152" s="242">
        <v>0.05</v>
      </c>
    </row>
    <row r="153" spans="26:28" x14ac:dyDescent="0.25">
      <c r="Z153" s="238" t="s">
        <v>111</v>
      </c>
      <c r="AA153" s="241" t="s">
        <v>151</v>
      </c>
      <c r="AB153" s="243">
        <v>0</v>
      </c>
    </row>
    <row r="154" spans="26:28" x14ac:dyDescent="0.25">
      <c r="Z154" s="240" t="s">
        <v>112</v>
      </c>
      <c r="AA154" s="241" t="s">
        <v>118</v>
      </c>
      <c r="AB154" s="242">
        <v>0.06</v>
      </c>
    </row>
    <row r="155" spans="26:28" x14ac:dyDescent="0.25">
      <c r="Z155" s="238" t="s">
        <v>112</v>
      </c>
      <c r="AA155" s="114" t="s">
        <v>132</v>
      </c>
      <c r="AB155" s="243">
        <v>0.01</v>
      </c>
    </row>
    <row r="156" spans="26:28" x14ac:dyDescent="0.25">
      <c r="Z156" s="240" t="s">
        <v>112</v>
      </c>
      <c r="AA156" s="241" t="s">
        <v>143</v>
      </c>
      <c r="AB156" s="242">
        <v>0.04</v>
      </c>
    </row>
    <row r="157" spans="26:28" x14ac:dyDescent="0.25">
      <c r="Z157" s="238" t="s">
        <v>112</v>
      </c>
      <c r="AA157" s="114" t="s">
        <v>152</v>
      </c>
      <c r="AB157" s="243">
        <v>0.02</v>
      </c>
    </row>
    <row r="158" spans="26:28" x14ac:dyDescent="0.25">
      <c r="Z158" s="240" t="s">
        <v>112</v>
      </c>
      <c r="AA158" s="241" t="s">
        <v>135</v>
      </c>
      <c r="AB158" s="242">
        <v>0.03</v>
      </c>
    </row>
    <row r="159" spans="26:28" x14ac:dyDescent="0.25">
      <c r="Z159" s="238" t="s">
        <v>112</v>
      </c>
      <c r="AA159" s="114" t="s">
        <v>164</v>
      </c>
      <c r="AB159" s="243">
        <v>0.03</v>
      </c>
    </row>
    <row r="160" spans="26:28" x14ac:dyDescent="0.25">
      <c r="Z160" s="240" t="s">
        <v>112</v>
      </c>
      <c r="AA160" s="241" t="s">
        <v>171</v>
      </c>
      <c r="AB160" s="242">
        <v>0.03</v>
      </c>
    </row>
    <row r="161" spans="26:28" x14ac:dyDescent="0.25">
      <c r="Z161" s="238" t="s">
        <v>112</v>
      </c>
      <c r="AA161" s="114" t="s">
        <v>176</v>
      </c>
      <c r="AB161" s="243">
        <v>0.03</v>
      </c>
    </row>
    <row r="162" spans="26:28" x14ac:dyDescent="0.25">
      <c r="Z162" s="240" t="s">
        <v>112</v>
      </c>
      <c r="AA162" s="241" t="s">
        <v>183</v>
      </c>
      <c r="AB162" s="242">
        <v>0.03</v>
      </c>
    </row>
    <row r="163" spans="26:28" x14ac:dyDescent="0.25">
      <c r="Z163" s="238" t="s">
        <v>112</v>
      </c>
      <c r="AA163" s="114" t="s">
        <v>187</v>
      </c>
      <c r="AB163" s="243">
        <v>0.03</v>
      </c>
    </row>
    <row r="164" spans="26:28" x14ac:dyDescent="0.25">
      <c r="Z164" s="240" t="s">
        <v>112</v>
      </c>
      <c r="AA164" s="241" t="s">
        <v>193</v>
      </c>
      <c r="AB164" s="242">
        <v>0.06</v>
      </c>
    </row>
    <row r="165" spans="26:28" x14ac:dyDescent="0.25">
      <c r="Z165" s="238" t="s">
        <v>112</v>
      </c>
      <c r="AA165" s="114" t="s">
        <v>199</v>
      </c>
      <c r="AB165" s="243">
        <v>0.06</v>
      </c>
    </row>
    <row r="166" spans="26:28" x14ac:dyDescent="0.25">
      <c r="Z166" s="240" t="s">
        <v>112</v>
      </c>
      <c r="AA166" s="241" t="s">
        <v>203</v>
      </c>
      <c r="AB166" s="242">
        <v>0.05</v>
      </c>
    </row>
    <row r="167" spans="26:28" x14ac:dyDescent="0.25">
      <c r="Z167" s="238" t="s">
        <v>112</v>
      </c>
      <c r="AA167" s="114" t="s">
        <v>208</v>
      </c>
      <c r="AB167" s="243">
        <v>0.06</v>
      </c>
    </row>
    <row r="168" spans="26:28" x14ac:dyDescent="0.25">
      <c r="Z168" s="240" t="s">
        <v>112</v>
      </c>
      <c r="AA168" s="241" t="s">
        <v>212</v>
      </c>
      <c r="AB168" s="242">
        <v>0.06</v>
      </c>
    </row>
    <row r="169" spans="26:28" x14ac:dyDescent="0.25">
      <c r="Z169" s="238" t="s">
        <v>112</v>
      </c>
      <c r="AA169" s="114" t="s">
        <v>43</v>
      </c>
      <c r="AB169" s="243">
        <v>0.05</v>
      </c>
    </row>
    <row r="170" spans="26:28" x14ac:dyDescent="0.25">
      <c r="Z170" s="240" t="s">
        <v>112</v>
      </c>
      <c r="AA170" s="241" t="s">
        <v>127</v>
      </c>
      <c r="AB170" s="242">
        <v>0.05</v>
      </c>
    </row>
    <row r="171" spans="26:28" x14ac:dyDescent="0.25">
      <c r="Z171" s="238" t="s">
        <v>112</v>
      </c>
      <c r="AA171" s="114" t="s">
        <v>137</v>
      </c>
      <c r="AB171" s="243">
        <v>0.05</v>
      </c>
    </row>
    <row r="172" spans="26:28" x14ac:dyDescent="0.25">
      <c r="Z172" s="240" t="s">
        <v>112</v>
      </c>
      <c r="AA172" s="241" t="s">
        <v>158</v>
      </c>
      <c r="AB172" s="242">
        <v>0.05</v>
      </c>
    </row>
    <row r="173" spans="26:28" x14ac:dyDescent="0.25">
      <c r="Z173" s="238" t="s">
        <v>112</v>
      </c>
      <c r="AA173" s="114" t="s">
        <v>178</v>
      </c>
      <c r="AB173" s="243">
        <v>0.05</v>
      </c>
    </row>
    <row r="174" spans="26:28" x14ac:dyDescent="0.25">
      <c r="Z174" s="240" t="s">
        <v>112</v>
      </c>
      <c r="AA174" s="241" t="s">
        <v>222</v>
      </c>
      <c r="AB174" s="242">
        <v>0.04</v>
      </c>
    </row>
    <row r="175" spans="26:28" x14ac:dyDescent="0.25">
      <c r="Z175" s="238" t="s">
        <v>112</v>
      </c>
      <c r="AA175" s="114" t="s">
        <v>224</v>
      </c>
      <c r="AB175" s="243">
        <v>0.04</v>
      </c>
    </row>
    <row r="176" spans="26:28" x14ac:dyDescent="0.25">
      <c r="Z176" s="240" t="s">
        <v>112</v>
      </c>
      <c r="AA176" s="241" t="s">
        <v>226</v>
      </c>
      <c r="AB176" s="242">
        <v>0.04</v>
      </c>
    </row>
    <row r="177" spans="26:28" x14ac:dyDescent="0.25">
      <c r="Z177" s="238" t="s">
        <v>112</v>
      </c>
      <c r="AA177" s="114" t="s">
        <v>229</v>
      </c>
      <c r="AB177" s="243">
        <v>0.04</v>
      </c>
    </row>
    <row r="178" spans="26:28" x14ac:dyDescent="0.25">
      <c r="Z178" s="240" t="s">
        <v>112</v>
      </c>
      <c r="AA178" s="241" t="s">
        <v>232</v>
      </c>
      <c r="AB178" s="242">
        <v>0.05</v>
      </c>
    </row>
    <row r="179" spans="26:28" x14ac:dyDescent="0.25">
      <c r="Z179" s="238" t="s">
        <v>112</v>
      </c>
      <c r="AA179" s="114" t="s">
        <v>234</v>
      </c>
      <c r="AB179" s="243">
        <v>0</v>
      </c>
    </row>
    <row r="180" spans="26:28" x14ac:dyDescent="0.25">
      <c r="Z180" s="240" t="s">
        <v>112</v>
      </c>
      <c r="AA180" s="241" t="s">
        <v>236</v>
      </c>
      <c r="AB180" s="242">
        <v>0.03</v>
      </c>
    </row>
    <row r="181" spans="26:28" x14ac:dyDescent="0.25">
      <c r="Z181" s="240" t="s">
        <v>25</v>
      </c>
      <c r="AA181" s="314" t="s">
        <v>269</v>
      </c>
      <c r="AB181" s="315">
        <v>0.04</v>
      </c>
    </row>
    <row r="182" spans="26:28" x14ac:dyDescent="0.25">
      <c r="Z182" s="240" t="s">
        <v>25</v>
      </c>
      <c r="AA182" s="314" t="s">
        <v>270</v>
      </c>
      <c r="AB182" s="315">
        <v>0.04</v>
      </c>
    </row>
    <row r="183" spans="26:28" x14ac:dyDescent="0.25">
      <c r="Z183" s="235"/>
      <c r="AA183" s="236"/>
      <c r="AB183" s="237"/>
    </row>
  </sheetData>
  <sortState ref="AI3:AI9">
    <sortCondition ref="AI2"/>
  </sortState>
  <dataConsolidate link="1"/>
  <pageMargins left="0.7" right="0.7" top="0.75" bottom="0.75" header="0.3" footer="0.3"/>
  <pageSetup paperSize="9" orientation="portrait" r:id="rId1"/>
  <tableParts count="1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27"/>
  <sheetViews>
    <sheetView workbookViewId="0">
      <selection activeCell="G6" sqref="G6"/>
    </sheetView>
  </sheetViews>
  <sheetFormatPr defaultRowHeight="15" x14ac:dyDescent="0.25"/>
  <cols>
    <col min="1" max="1" width="22.140625" customWidth="1"/>
    <col min="2" max="2" width="13.42578125" customWidth="1"/>
    <col min="3" max="3" width="7" customWidth="1"/>
    <col min="4" max="4" width="9" customWidth="1"/>
    <col min="5" max="5" width="10.7109375" customWidth="1"/>
    <col min="8" max="8" width="19.28515625" customWidth="1"/>
    <col min="9" max="9" width="17.140625" customWidth="1"/>
  </cols>
  <sheetData>
    <row r="1" spans="1:9" ht="33.6" customHeight="1" x14ac:dyDescent="0.25">
      <c r="A1" s="8" t="s">
        <v>239</v>
      </c>
      <c r="B1" s="8"/>
      <c r="C1" s="8"/>
      <c r="D1" s="8"/>
      <c r="E1" s="8"/>
      <c r="F1" s="8"/>
      <c r="G1" s="8"/>
      <c r="H1" s="8"/>
      <c r="I1" s="8"/>
    </row>
    <row r="2" spans="1:9" s="4" customFormat="1" ht="81.599999999999994" customHeight="1" x14ac:dyDescent="0.25">
      <c r="A2" s="59" t="s">
        <v>71</v>
      </c>
      <c r="B2" s="60" t="s">
        <v>72</v>
      </c>
      <c r="C2" s="64" t="s">
        <v>73</v>
      </c>
      <c r="D2" s="61" t="s">
        <v>75</v>
      </c>
      <c r="E2" s="65" t="s">
        <v>240</v>
      </c>
      <c r="H2" s="66" t="s">
        <v>72</v>
      </c>
      <c r="I2" s="149" t="s">
        <v>103</v>
      </c>
    </row>
    <row r="3" spans="1:9" x14ac:dyDescent="0.25">
      <c r="A3" s="58" t="s">
        <v>273</v>
      </c>
      <c r="B3" s="30" t="s">
        <v>106</v>
      </c>
      <c r="C3" s="56">
        <v>800</v>
      </c>
      <c r="D3" s="63">
        <v>400</v>
      </c>
      <c r="E3" s="30"/>
      <c r="F3" s="8"/>
      <c r="G3" s="8"/>
      <c r="H3" s="67" t="s">
        <v>105</v>
      </c>
      <c r="I3" s="23" t="s">
        <v>60</v>
      </c>
    </row>
    <row r="4" spans="1:9" x14ac:dyDescent="0.25">
      <c r="A4" s="30" t="s">
        <v>272</v>
      </c>
      <c r="B4" s="30" t="s">
        <v>106</v>
      </c>
      <c r="C4" s="30">
        <v>800</v>
      </c>
      <c r="D4" s="62">
        <v>400</v>
      </c>
      <c r="E4" s="55"/>
      <c r="F4" s="8"/>
      <c r="G4" s="8"/>
      <c r="H4" s="67" t="s">
        <v>106</v>
      </c>
      <c r="I4" s="13" t="s">
        <v>61</v>
      </c>
    </row>
    <row r="5" spans="1:9" x14ac:dyDescent="0.25">
      <c r="A5" s="58" t="s">
        <v>274</v>
      </c>
      <c r="B5" s="30" t="s">
        <v>77</v>
      </c>
      <c r="C5" s="30">
        <v>800</v>
      </c>
      <c r="D5" s="62">
        <v>400</v>
      </c>
      <c r="E5" s="30"/>
      <c r="F5" s="8"/>
      <c r="G5" s="8"/>
      <c r="H5" s="68" t="s">
        <v>77</v>
      </c>
      <c r="I5" s="25" t="s">
        <v>62</v>
      </c>
    </row>
    <row r="6" spans="1:9" x14ac:dyDescent="0.25">
      <c r="A6" s="58" t="s">
        <v>27</v>
      </c>
      <c r="B6" s="30" t="s">
        <v>77</v>
      </c>
      <c r="C6" s="56">
        <v>800</v>
      </c>
      <c r="D6" s="63">
        <v>400</v>
      </c>
      <c r="E6" s="55"/>
      <c r="F6" s="8"/>
      <c r="G6" s="8"/>
      <c r="H6" s="8"/>
      <c r="I6" s="24" t="s">
        <v>52</v>
      </c>
    </row>
    <row r="7" spans="1:9" x14ac:dyDescent="0.25">
      <c r="A7" s="30"/>
      <c r="B7" s="30"/>
      <c r="C7" s="30"/>
      <c r="D7" s="62"/>
      <c r="E7" s="30"/>
      <c r="F7" s="8"/>
      <c r="G7" s="8"/>
      <c r="H7" s="8"/>
      <c r="I7" s="23" t="s">
        <v>54</v>
      </c>
    </row>
    <row r="8" spans="1:9" x14ac:dyDescent="0.25">
      <c r="A8" s="169"/>
      <c r="B8" s="30"/>
      <c r="C8" s="56"/>
      <c r="D8" s="63"/>
      <c r="E8" s="55"/>
      <c r="F8" s="8"/>
      <c r="G8" s="8"/>
      <c r="H8" s="8"/>
      <c r="I8" s="24" t="s">
        <v>57</v>
      </c>
    </row>
    <row r="9" spans="1:9" x14ac:dyDescent="0.25">
      <c r="A9" s="30"/>
      <c r="B9" s="30"/>
      <c r="C9" s="30"/>
      <c r="D9" s="62"/>
      <c r="E9" s="30"/>
      <c r="F9" s="8"/>
      <c r="G9" s="8"/>
      <c r="H9" s="8"/>
      <c r="I9" s="23" t="s">
        <v>58</v>
      </c>
    </row>
    <row r="10" spans="1:9" x14ac:dyDescent="0.25">
      <c r="A10" s="58"/>
      <c r="B10" s="30"/>
      <c r="C10" s="56"/>
      <c r="D10" s="63"/>
      <c r="E10" s="55"/>
      <c r="F10" s="8"/>
      <c r="G10" s="8"/>
      <c r="H10" s="8"/>
      <c r="I10" s="26" t="s">
        <v>59</v>
      </c>
    </row>
    <row r="11" spans="1:9" ht="14.45" x14ac:dyDescent="0.3">
      <c r="A11" s="30"/>
      <c r="B11" s="30"/>
      <c r="C11" s="30"/>
      <c r="D11" s="62"/>
      <c r="E11" s="30"/>
      <c r="F11" s="8"/>
      <c r="G11" s="8"/>
      <c r="H11" s="8"/>
      <c r="I11" s="8"/>
    </row>
    <row r="12" spans="1:9" ht="14.45" x14ac:dyDescent="0.3">
      <c r="A12" s="58"/>
      <c r="B12" s="30"/>
      <c r="C12" s="56"/>
      <c r="D12" s="57"/>
      <c r="E12" s="55"/>
      <c r="F12" s="8"/>
      <c r="G12" s="8"/>
      <c r="H12" s="8"/>
      <c r="I12" s="8"/>
    </row>
    <row r="13" spans="1:9" ht="14.45" x14ac:dyDescent="0.3">
      <c r="A13" s="36"/>
      <c r="B13" s="36"/>
      <c r="C13" s="36"/>
      <c r="D13" s="36"/>
      <c r="E13" s="8"/>
      <c r="F13" s="8"/>
      <c r="G13" s="8"/>
      <c r="H13" s="8"/>
      <c r="I13" s="8"/>
    </row>
    <row r="14" spans="1:9" ht="14.45" x14ac:dyDescent="0.3">
      <c r="A14" s="36"/>
      <c r="B14" s="36"/>
      <c r="C14" s="36"/>
      <c r="D14" s="36"/>
      <c r="E14" s="8"/>
      <c r="F14" s="8"/>
      <c r="G14" s="8"/>
      <c r="H14" s="8"/>
      <c r="I14" s="8"/>
    </row>
    <row r="15" spans="1:9" ht="14.45" x14ac:dyDescent="0.3">
      <c r="A15" s="36"/>
      <c r="B15" s="36"/>
      <c r="C15" s="36"/>
      <c r="D15" s="36"/>
      <c r="E15" s="8"/>
      <c r="F15" s="8"/>
      <c r="G15" s="8"/>
      <c r="H15" s="8"/>
      <c r="I15" s="8"/>
    </row>
    <row r="16" spans="1:9" ht="14.45" x14ac:dyDescent="0.3">
      <c r="A16" s="36"/>
      <c r="B16" s="36"/>
      <c r="C16" s="36"/>
      <c r="D16" s="36"/>
      <c r="E16" s="8"/>
      <c r="F16" s="8"/>
      <c r="G16" s="8"/>
      <c r="H16" s="8"/>
      <c r="I16" s="8"/>
    </row>
    <row r="17" spans="1:4" ht="14.45" x14ac:dyDescent="0.3">
      <c r="A17" s="36"/>
      <c r="B17" s="36"/>
      <c r="C17" s="36"/>
      <c r="D17" s="36"/>
    </row>
    <row r="18" spans="1:4" ht="14.45" x14ac:dyDescent="0.3">
      <c r="A18" s="36"/>
      <c r="B18" s="36"/>
      <c r="C18" s="36"/>
      <c r="D18" s="36"/>
    </row>
    <row r="19" spans="1:4" ht="14.45" x14ac:dyDescent="0.3">
      <c r="A19" s="36"/>
      <c r="B19" s="36"/>
      <c r="C19" s="36"/>
      <c r="D19" s="36"/>
    </row>
    <row r="20" spans="1:4" ht="14.45" x14ac:dyDescent="0.3">
      <c r="A20" s="36"/>
      <c r="B20" s="36"/>
      <c r="C20" s="36"/>
      <c r="D20" s="36"/>
    </row>
    <row r="21" spans="1:4" ht="14.45" x14ac:dyDescent="0.3">
      <c r="A21" s="36"/>
      <c r="B21" s="36"/>
      <c r="C21" s="36"/>
      <c r="D21" s="36"/>
    </row>
    <row r="22" spans="1:4" x14ac:dyDescent="0.25">
      <c r="A22" s="36"/>
      <c r="B22" s="36"/>
      <c r="C22" s="36"/>
      <c r="D22" s="36"/>
    </row>
    <row r="23" spans="1:4" x14ac:dyDescent="0.25">
      <c r="A23" s="36"/>
      <c r="B23" s="36"/>
      <c r="C23" s="36"/>
      <c r="D23" s="36"/>
    </row>
    <row r="24" spans="1:4" x14ac:dyDescent="0.25">
      <c r="A24" s="36"/>
      <c r="B24" s="36"/>
      <c r="C24" s="36"/>
      <c r="D24" s="36"/>
    </row>
    <row r="25" spans="1:4" x14ac:dyDescent="0.25">
      <c r="A25" s="36"/>
      <c r="B25" s="36"/>
      <c r="C25" s="36"/>
      <c r="D25" s="36"/>
    </row>
    <row r="26" spans="1:4" x14ac:dyDescent="0.25">
      <c r="A26" s="36"/>
      <c r="B26" s="36"/>
      <c r="C26" s="36"/>
      <c r="D26" s="36"/>
    </row>
    <row r="27" spans="1:4" x14ac:dyDescent="0.25">
      <c r="A27" s="35"/>
      <c r="B27" s="35"/>
      <c r="C27" s="35"/>
      <c r="D27" s="35"/>
    </row>
  </sheetData>
  <dataConsolidate link="1"/>
  <dataValidations count="1">
    <dataValidation type="list" allowBlank="1" showInputMessage="1" showErrorMessage="1" sqref="B3:B12">
      <formula1>INDIRECT("Должность")</formula1>
    </dataValidation>
  </dataValidation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B4:R22"/>
  <sheetViews>
    <sheetView workbookViewId="0">
      <selection activeCell="D24" activeCellId="1" sqref="D10 D24"/>
    </sheetView>
  </sheetViews>
  <sheetFormatPr defaultRowHeight="15" x14ac:dyDescent="0.25"/>
  <cols>
    <col min="6" max="6" width="16.42578125" customWidth="1"/>
  </cols>
  <sheetData>
    <row r="4" spans="2:18" x14ac:dyDescent="0.25">
      <c r="B4" s="169" t="s">
        <v>241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2:18" x14ac:dyDescent="0.25">
      <c r="B5" s="169" t="s">
        <v>242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2:18" x14ac:dyDescent="0.25">
      <c r="B6" s="170" t="s">
        <v>243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 t="s">
        <v>244</v>
      </c>
      <c r="O6" s="8"/>
      <c r="P6" s="8"/>
      <c r="Q6" s="8"/>
      <c r="R6" s="8"/>
    </row>
    <row r="7" spans="2:18" x14ac:dyDescent="0.25">
      <c r="B7" s="170" t="s">
        <v>245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 t="s">
        <v>246</v>
      </c>
      <c r="O7" s="8"/>
      <c r="P7" s="8"/>
      <c r="Q7" s="8"/>
      <c r="R7" s="8"/>
    </row>
    <row r="8" spans="2:18" x14ac:dyDescent="0.25">
      <c r="B8" s="170" t="s">
        <v>247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 t="s">
        <v>248</v>
      </c>
    </row>
    <row r="9" spans="2:18" x14ac:dyDescent="0.25">
      <c r="B9" s="170" t="s">
        <v>249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2:18" x14ac:dyDescent="0.25">
      <c r="B10" s="169" t="s">
        <v>250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2" spans="2:18" x14ac:dyDescent="0.25">
      <c r="B12" s="169" t="s">
        <v>251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2:18" x14ac:dyDescent="0.25">
      <c r="B13" s="169" t="s">
        <v>252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5" spans="2:18" x14ac:dyDescent="0.25">
      <c r="B15" s="169" t="s">
        <v>253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2:18" x14ac:dyDescent="0.25">
      <c r="B16" s="169" t="s">
        <v>254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22" spans="9:9" ht="14.45" x14ac:dyDescent="0.3">
      <c r="I22">
        <f>H22+H21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N Q w o S f n p w U + o A A A A + A A A A B I A H A B D b 2 5 m a W c v U G F j a 2 F n Z S 5 4 b W w g o h g A K K A U A A A A A A A A A A A A A A A A A A A A A A A A A A A A h Y 9 N D o I w F I S v Q r q n r / z E G P I o C 7 e S G I 3 G b Q M V G q G Y U i x 3 c + G R v I I k i r p z O Z N v k m 8 e t z t m Y 9 t 4 V 2 l 6 1 e m U B J Q R T + q i K 5 W u U j L Y k 7 8 k G c e N K M 6 i k t 4 E 6 z 4 Z e 5 W S 2 t p L A u C c o y 6 i n a k g Z C y A Y 7 7 e F b V s h a 9 0 b 4 U u J P m s y v 8 r w v H w k u E h j R Y 0 j q O Y B m G A M N e Y K / 1 F w s m Y M o S f E l d D Y w c j u R n 8 7 R 5 h j g j v F / w J U E s D B B Q A A g A I A D U M K E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1 D C h J K I p H u A 4 A A A A R A A A A E w A c A E Z v c m 1 1 b G F z L 1 N l Y 3 R p b 2 4 x L m 0 g o h g A K K A U A A A A A A A A A A A A A A A A A A A A A A A A A A A A K 0 5 N L s n M z 1 M I h t C G 1 g B Q S w E C L Q A U A A I A C A A 1 D C h J + e n B T 6 g A A A D 4 A A A A E g A A A A A A A A A A A A A A A A A A A A A A Q 2 9 u Z m l n L 1 B h Y 2 t h Z 2 U u e G 1 s U E s B A i 0 A F A A C A A g A N Q w o S Q / K 6 a u k A A A A 6 Q A A A B M A A A A A A A A A A A A A A A A A 9 A A A A F t D b 2 5 0 Z W 5 0 X 1 R 5 c G V z X S 5 4 b W x Q S w E C L Q A U A A I A C A A 1 D C h J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f 7 u 3 a 4 o v l U + i k L / P 1 2 Y o + Q A A A A A C A A A A A A A Q Z g A A A A E A A C A A A A A q d 1 8 G k z h S p s O K S k W 2 1 8 p n e T f u N 8 g C X 9 F g Q o W / F 2 2 t U w A A A A A O g A A A A A I A A C A A A A D a d o D 6 u i 0 J c E c n L / G f A / S e d p z B b V j T Z h u p N Z 6 X N 4 8 F 3 V A A A A D T f c t K 1 V l v m z O A G E x S 0 v X 2 + i e U C A F l 5 X x g C G i i 0 F 1 t Q n D o Z h i u R 4 V T X W l U k q 5 4 h V h 4 b M s m u o 9 9 Z x S J 4 0 S J E x h 8 3 Y 1 L g 0 r Y + 4 I v a R X s B Y R M d k A A A A B x 0 w 1 s N F W I G f N E S e g C q y / t J A W V B u K 5 g 6 s R J X j B p G 3 + P v i J X G l 9 7 H e Z J 2 A q T S 3 x X / 3 P n f c y P 9 U K 2 b A l h t W g T H d o < / D a t a M a s h u p > 
</file>

<file path=customXml/itemProps1.xml><?xml version="1.0" encoding="utf-8"?>
<ds:datastoreItem xmlns:ds="http://schemas.openxmlformats.org/officeDocument/2006/customXml" ds:itemID="{3BBB81C9-FB87-4C16-8823-552E521EEDA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Реестр</vt:lpstr>
      <vt:lpstr>Табель</vt:lpstr>
      <vt:lpstr>касса</vt:lpstr>
      <vt:lpstr>Отчет</vt:lpstr>
      <vt:lpstr>ЗП</vt:lpstr>
      <vt:lpstr>Архив</vt:lpstr>
      <vt:lpstr>Спр.Произ.процент</vt:lpstr>
      <vt:lpstr>Спр.ЗП</vt:lpstr>
      <vt:lpstr>Пожелнание</vt:lpstr>
      <vt:lpstr>Лист1</vt:lpstr>
      <vt:lpstr>год</vt:lpstr>
      <vt:lpstr>КП</vt:lpstr>
      <vt:lpstr>Спр.Произ.процент!Критерии</vt:lpstr>
      <vt:lpstr>месяц</vt:lpstr>
      <vt:lpstr>НП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2016-12-31T08:11:06Z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{15727DE6-F92D-4E46-ACB4-0E2C58B31A18}</vt:lpwstr>
  </property>
</Properties>
</file>