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BANOVA\Desktop\"/>
    </mc:Choice>
  </mc:AlternateContent>
  <bookViews>
    <workbookView xWindow="0" yWindow="0" windowWidth="28800" windowHeight="10605" tabRatio="851" firstSheet="1" activeTab="4"/>
  </bookViews>
  <sheets>
    <sheet name="Прайс_модель Miss Gel" sheetId="17" state="hidden" r:id="rId1"/>
    <sheet name="НС_Динамика продаж" sheetId="24" r:id="rId2"/>
    <sheet name="Прайс_модель" sheetId="15" r:id="rId3"/>
    <sheet name="Orders" sheetId="26" r:id="rId4"/>
    <sheet name="Stock" sheetId="22" r:id="rId5"/>
    <sheet name="Продажи_Прибыль" sheetId="20" r:id="rId6"/>
  </sheets>
  <definedNames>
    <definedName name="_xlnm._FilterDatabase" localSheetId="3" hidden="1">Orders!$A$20:$O$22</definedName>
    <definedName name="_xlnm._FilterDatabase" localSheetId="4" hidden="1">Stock!$A$3:$P$4</definedName>
    <definedName name="_xlnm._FilterDatabase" localSheetId="1" hidden="1">'НС_Динамика продаж'!$B$3:$B$4</definedName>
    <definedName name="_xlnm._FilterDatabase" localSheetId="2" hidden="1">Прайс_модель!$A$7:$AE$8</definedName>
    <definedName name="_xlnm._FilterDatabase" localSheetId="0" hidden="1">'Прайс_модель Miss Gel'!$B$6:$D$13</definedName>
    <definedName name="_xlnm.Print_Titles" localSheetId="3">Orders!$17:$17</definedName>
    <definedName name="_xlnm.Print_Titles" localSheetId="4">Stock!$1:$1</definedName>
    <definedName name="_xlnm.Print_Titles" localSheetId="1">'НС_Динамика продаж'!$1:$1</definedName>
    <definedName name="_xlnm.Print_Titles" localSheetId="2">Прайс_модель!$5:$5</definedName>
    <definedName name="_xlnm.Print_Titles" localSheetId="0">'Прайс_модель Miss Gel'!$5:$5</definedName>
    <definedName name="_xlnm.Print_Titles" localSheetId="5">Продажи_Прибыль!$17:$17</definedName>
    <definedName name="_xlnm.Print_Area" localSheetId="3">Orders!$A$17:$L$22</definedName>
    <definedName name="_xlnm.Print_Area" localSheetId="4">Stock!$A$1:$J$4</definedName>
    <definedName name="_xlnm.Print_Area" localSheetId="1">'НС_Динамика продаж'!$B$1:$G$4</definedName>
    <definedName name="_xlnm.Print_Area" localSheetId="2">Прайс_модель!$A$1:$AD$8</definedName>
    <definedName name="_xlnm.Print_Area" localSheetId="0">'Прайс_модель Miss Gel'!$A$1:$AJ$11</definedName>
    <definedName name="_xlnm.Print_Area" localSheetId="5">Продажи_Прибыль!$B$17:$M$29</definedName>
  </definedNames>
  <calcPr calcId="152511" fullCalcOnLoad="1"/>
</workbook>
</file>

<file path=xl/calcChain.xml><?xml version="1.0" encoding="utf-8"?>
<calcChain xmlns="http://schemas.openxmlformats.org/spreadsheetml/2006/main">
  <c r="N22" i="26" l="1"/>
  <c r="N21" i="26"/>
  <c r="R29" i="20"/>
  <c r="P29" i="20"/>
  <c r="J3" i="15"/>
  <c r="R28" i="20"/>
  <c r="P28" i="20"/>
  <c r="P27" i="20"/>
  <c r="P26" i="20"/>
  <c r="P23" i="20"/>
  <c r="P24" i="20"/>
  <c r="P22" i="20"/>
  <c r="P21" i="20"/>
  <c r="P20" i="20"/>
  <c r="P25" i="20"/>
  <c r="R23" i="20"/>
  <c r="A4" i="24"/>
  <c r="A4" i="22" s="1"/>
  <c r="R21" i="20"/>
  <c r="T8" i="15"/>
  <c r="R20" i="20"/>
  <c r="AD8" i="15"/>
  <c r="AC8" i="15" s="1"/>
  <c r="AB8" i="15"/>
  <c r="AA8" i="15"/>
  <c r="Z8" i="15"/>
  <c r="Y8" i="15" s="1"/>
  <c r="X8" i="15"/>
  <c r="W8" i="15"/>
  <c r="V8" i="15"/>
  <c r="U8" i="15" s="1"/>
  <c r="R8" i="15"/>
  <c r="AL9" i="17"/>
  <c r="AH9" i="17"/>
  <c r="AH11" i="17"/>
  <c r="AH12" i="17"/>
  <c r="AH13" i="17" s="1"/>
  <c r="AF9" i="17"/>
  <c r="R9" i="17"/>
  <c r="Q9" i="17"/>
  <c r="P9" i="17"/>
  <c r="AP11" i="17"/>
  <c r="AE11" i="17"/>
  <c r="AL10" i="17"/>
  <c r="AH10" i="17"/>
  <c r="AF10" i="17"/>
  <c r="R10" i="17"/>
  <c r="Q10" i="17" s="1"/>
  <c r="P10" i="17"/>
  <c r="AL8" i="17"/>
  <c r="AH8" i="17"/>
  <c r="AF8" i="17"/>
  <c r="AF11" i="17" s="1"/>
  <c r="R8" i="17"/>
  <c r="P8" i="17"/>
  <c r="W8" i="17"/>
  <c r="AL7" i="17"/>
  <c r="AH7" i="17"/>
  <c r="AF7" i="17"/>
  <c r="R7" i="17"/>
  <c r="P7" i="17"/>
  <c r="AN3" i="17"/>
  <c r="AN2" i="17"/>
  <c r="AN1" i="17"/>
  <c r="J9" i="17"/>
  <c r="K9" i="17"/>
  <c r="AI9" i="17"/>
  <c r="T7" i="17"/>
  <c r="S7" i="17" s="1"/>
  <c r="J10" i="17"/>
  <c r="K10" i="17"/>
  <c r="L10" i="17"/>
  <c r="J8" i="17"/>
  <c r="K8" i="17"/>
  <c r="J7" i="17"/>
  <c r="K7" i="17"/>
  <c r="L7" i="17" s="1"/>
  <c r="M7" i="17" s="1"/>
  <c r="AG7" i="17" s="1"/>
  <c r="L8" i="15"/>
  <c r="M8" i="15"/>
  <c r="N8" i="15" s="1"/>
  <c r="AC7" i="17"/>
  <c r="AC8" i="17"/>
  <c r="AA8" i="17"/>
  <c r="Y8" i="17"/>
  <c r="T8" i="17"/>
  <c r="U8" i="17"/>
  <c r="AI10" i="17"/>
  <c r="L9" i="17"/>
  <c r="M9" i="17" s="1"/>
  <c r="AG9" i="17" s="1"/>
  <c r="Q7" i="17"/>
  <c r="M10" i="17"/>
  <c r="AI8" i="17"/>
  <c r="L8" i="17"/>
  <c r="Q8" i="17" s="1"/>
  <c r="U10" i="17"/>
  <c r="T10" i="17"/>
  <c r="AA10" i="17"/>
  <c r="Y10" i="17"/>
  <c r="AC10" i="17"/>
  <c r="W10" i="17"/>
  <c r="AG10" i="17"/>
  <c r="S8" i="17"/>
  <c r="M8" i="17"/>
  <c r="B23" i="20"/>
  <c r="Q8" i="15" l="1"/>
  <c r="B28" i="20"/>
  <c r="B29" i="20"/>
  <c r="A21" i="26"/>
  <c r="U9" i="17"/>
  <c r="W9" i="17"/>
  <c r="Y9" i="17"/>
  <c r="AA9" i="17"/>
  <c r="T9" i="17"/>
  <c r="S9" i="17" s="1"/>
  <c r="AC9" i="17"/>
  <c r="A22" i="26"/>
  <c r="B21" i="20"/>
  <c r="B24" i="20"/>
  <c r="B20" i="20"/>
  <c r="A8" i="15"/>
  <c r="B26" i="20"/>
  <c r="B22" i="20"/>
  <c r="B25" i="20"/>
  <c r="B27" i="20"/>
  <c r="O8" i="15"/>
  <c r="S8" i="15"/>
  <c r="Y7" i="17"/>
  <c r="W7" i="17"/>
  <c r="U7" i="17"/>
  <c r="AG8" i="17"/>
  <c r="AG11" i="17" s="1"/>
  <c r="AG12" i="17" s="1"/>
  <c r="S10" i="17"/>
  <c r="AI7" i="17"/>
  <c r="AI11" i="17" s="1"/>
  <c r="AI12" i="17" s="1"/>
  <c r="AI13" i="17" s="1"/>
  <c r="AA7" i="17"/>
  <c r="M27" i="20" l="1"/>
  <c r="Q27" i="20"/>
  <c r="K21" i="26"/>
  <c r="M23" i="20"/>
  <c r="M29" i="20"/>
  <c r="L21" i="26"/>
  <c r="M28" i="20"/>
  <c r="Q23" i="20"/>
  <c r="Q29" i="20"/>
  <c r="Q28" i="20"/>
  <c r="Q20" i="20"/>
  <c r="M20" i="20"/>
  <c r="Q4" i="22"/>
  <c r="AG4" i="24"/>
  <c r="AD4" i="24"/>
  <c r="V4" i="24"/>
  <c r="AA4" i="24"/>
  <c r="AB4" i="24"/>
  <c r="Z4" i="24"/>
  <c r="X4" i="24"/>
  <c r="P4" i="24"/>
  <c r="J4" i="24"/>
  <c r="O4" i="24"/>
  <c r="AE4" i="24"/>
  <c r="AC4" i="24"/>
  <c r="T4" i="24"/>
  <c r="U4" i="24"/>
  <c r="R4" i="24"/>
  <c r="N4" i="24"/>
  <c r="M4" i="24"/>
  <c r="L4" i="24"/>
  <c r="H4" i="24"/>
  <c r="AF4" i="24"/>
  <c r="K4" i="24"/>
  <c r="W4" i="24"/>
  <c r="Q4" i="24"/>
  <c r="S4" i="24"/>
  <c r="Y4" i="24"/>
  <c r="M25" i="20"/>
  <c r="Q25" i="20"/>
  <c r="Q26" i="20"/>
  <c r="M26" i="20"/>
  <c r="Q24" i="20"/>
  <c r="M24" i="20"/>
  <c r="Q21" i="20"/>
  <c r="M21" i="20"/>
  <c r="K22" i="26"/>
  <c r="L22" i="26"/>
  <c r="M22" i="20"/>
  <c r="Q22" i="20"/>
  <c r="S24" i="20" l="1"/>
  <c r="O24" i="20"/>
  <c r="T24" i="20"/>
  <c r="V24" i="20" s="1"/>
  <c r="U24" i="20"/>
  <c r="T26" i="20"/>
  <c r="V26" i="20" s="1"/>
  <c r="U26" i="20"/>
  <c r="S26" i="20"/>
  <c r="O26" i="20"/>
  <c r="I4" i="22"/>
  <c r="J4" i="22" s="1"/>
  <c r="S22" i="20"/>
  <c r="O22" i="20"/>
  <c r="U22" i="20"/>
  <c r="T22" i="20"/>
  <c r="V22" i="20" s="1"/>
  <c r="O21" i="20"/>
  <c r="S21" i="20"/>
  <c r="T21" i="20"/>
  <c r="V21" i="20" s="1"/>
  <c r="U21" i="20"/>
  <c r="S25" i="20"/>
  <c r="O25" i="20"/>
  <c r="T25" i="20"/>
  <c r="V25" i="20" s="1"/>
  <c r="U25" i="20"/>
  <c r="S20" i="20"/>
  <c r="O20" i="20"/>
  <c r="T20" i="20"/>
  <c r="V20" i="20" s="1"/>
  <c r="U20" i="20"/>
  <c r="S29" i="20"/>
  <c r="O29" i="20"/>
  <c r="T29" i="20"/>
  <c r="V29" i="20" s="1"/>
  <c r="U29" i="20"/>
  <c r="AH4" i="24"/>
  <c r="O28" i="20"/>
  <c r="S28" i="20"/>
  <c r="U28" i="20"/>
  <c r="T28" i="20"/>
  <c r="V28" i="20" s="1"/>
  <c r="T23" i="20"/>
  <c r="V23" i="20" s="1"/>
  <c r="U23" i="20"/>
  <c r="S23" i="20"/>
  <c r="O23" i="20"/>
  <c r="L20" i="26"/>
  <c r="K20" i="26"/>
  <c r="S27" i="20"/>
  <c r="O27" i="20"/>
  <c r="U27" i="20"/>
  <c r="T27" i="20"/>
  <c r="V27" i="20" s="1"/>
  <c r="I4" i="24" l="1"/>
  <c r="AI4" i="24" s="1"/>
  <c r="L4" i="22"/>
  <c r="N4" i="22"/>
  <c r="M4" i="22"/>
  <c r="K4" i="22"/>
  <c r="O4" i="22" s="1"/>
  <c r="P4" i="22" l="1"/>
  <c r="N3" i="22"/>
</calcChain>
</file>

<file path=xl/sharedStrings.xml><?xml version="1.0" encoding="utf-8"?>
<sst xmlns="http://schemas.openxmlformats.org/spreadsheetml/2006/main" count="334" uniqueCount="156">
  <si>
    <t>Код</t>
  </si>
  <si>
    <t>НДС, %</t>
  </si>
  <si>
    <t>Наценка дистр, %</t>
  </si>
  <si>
    <t>Отпускная цена дистр, грн</t>
  </si>
  <si>
    <t>Цена конкурентов, грн.</t>
  </si>
  <si>
    <r>
      <t xml:space="preserve">Мы в паритете в пределах </t>
    </r>
    <r>
      <rPr>
        <b/>
        <sz val="11"/>
        <rFont val="Calibri"/>
        <family val="2"/>
      </rPr>
      <t>±7%</t>
    </r>
  </si>
  <si>
    <t>шт/мес</t>
  </si>
  <si>
    <t>грн/мес</t>
  </si>
  <si>
    <t>ИТОГО</t>
  </si>
  <si>
    <t>доставка, %</t>
  </si>
  <si>
    <t>процедурные, %</t>
  </si>
  <si>
    <t>затраты итого, дол.</t>
  </si>
  <si>
    <t>дол</t>
  </si>
  <si>
    <t>грн</t>
  </si>
  <si>
    <t>СС</t>
  </si>
  <si>
    <t>толщина</t>
  </si>
  <si>
    <t>изгиб</t>
  </si>
  <si>
    <t>SKU</t>
  </si>
  <si>
    <t>Мы дороже конкурентов более, чем на 7%</t>
  </si>
  <si>
    <t>Мы дешевле конкурентов более, чем на 7%</t>
  </si>
  <si>
    <t>Sell-out</t>
  </si>
  <si>
    <t>Затраты на единицу</t>
  </si>
  <si>
    <t>Таможенный код</t>
  </si>
  <si>
    <t>Производитель</t>
  </si>
  <si>
    <t>Бренд</t>
  </si>
  <si>
    <t>Объем, куб.м</t>
  </si>
  <si>
    <t>Брутто, кг</t>
  </si>
  <si>
    <t>Genie Lash</t>
  </si>
  <si>
    <t>ИТОГО вес брутто, кг</t>
  </si>
  <si>
    <t>ИТОГО объем, куб.м</t>
  </si>
  <si>
    <t>Кол-во в кор.</t>
  </si>
  <si>
    <t>Sell-in, кор.</t>
  </si>
  <si>
    <t>ИТОГО сумма, дол.</t>
  </si>
  <si>
    <t>6704 90 00 00</t>
  </si>
  <si>
    <t>D</t>
  </si>
  <si>
    <t>C</t>
  </si>
  <si>
    <t>i-Beauty</t>
  </si>
  <si>
    <t>там. пошлина, %</t>
  </si>
  <si>
    <t>Hollyren</t>
  </si>
  <si>
    <t>за 1 кг, грн</t>
  </si>
  <si>
    <t>Курс дол. ПБ</t>
  </si>
  <si>
    <t>Прибыль, грн</t>
  </si>
  <si>
    <t>Цена закупа, дол</t>
  </si>
  <si>
    <t>Сумма закупа, дол</t>
  </si>
  <si>
    <t>Таможенная сумма закупа, дол</t>
  </si>
  <si>
    <t>длина, мм</t>
  </si>
  <si>
    <t>рентабельность, %</t>
  </si>
  <si>
    <t>отпускная цена со скидкой 5%, грн</t>
  </si>
  <si>
    <t>отпускная цена со скидкой 10%, грн</t>
  </si>
  <si>
    <t>При покупке от 5шт одного вида</t>
  </si>
  <si>
    <t>При покупке от 10шт одного вида</t>
  </si>
  <si>
    <t>Lovely «Deluxe»</t>
  </si>
  <si>
    <t>Lovely  «Royal Lashes»</t>
  </si>
  <si>
    <t>Vivienne</t>
  </si>
  <si>
    <t>Kodi</t>
  </si>
  <si>
    <t>В розницу</t>
  </si>
  <si>
    <t>отпускная цена, грн</t>
  </si>
  <si>
    <t>DEBONDER AD-1 10 мл</t>
  </si>
  <si>
    <t>Наша рентабельность, %</t>
  </si>
  <si>
    <t>Miss Gel</t>
  </si>
  <si>
    <t>ТМ</t>
  </si>
  <si>
    <t>мл</t>
  </si>
  <si>
    <t>UV/LED Soak Of</t>
  </si>
  <si>
    <t>TOP</t>
  </si>
  <si>
    <t>BASE</t>
  </si>
  <si>
    <t>BASE AND TOP
2 in 1</t>
  </si>
  <si>
    <t>12 ml</t>
  </si>
  <si>
    <t>8 ml</t>
  </si>
  <si>
    <t>тип</t>
  </si>
  <si>
    <t>PRIMER 40 мл</t>
  </si>
  <si>
    <t>Микробраш fine 100 шт</t>
  </si>
  <si>
    <t>Закрепитель (прозрачный) 10 мл</t>
  </si>
  <si>
    <t>Патчи</t>
  </si>
  <si>
    <t>Щетка обычная</t>
  </si>
  <si>
    <t>Щетка силиконовая</t>
  </si>
  <si>
    <t>Камень нефритовый</t>
  </si>
  <si>
    <t>Клей 10 мл</t>
  </si>
  <si>
    <t>Ремувер 15 мл</t>
  </si>
  <si>
    <t>наименование</t>
  </si>
  <si>
    <t>для ресниц</t>
  </si>
  <si>
    <t>Доставка, грн</t>
  </si>
  <si>
    <t>Дата</t>
  </si>
  <si>
    <t>Клиент</t>
  </si>
  <si>
    <t>Город</t>
  </si>
  <si>
    <t>Скидка, %</t>
  </si>
  <si>
    <t>Курс дол. ПБ на дату</t>
  </si>
  <si>
    <t>Цена с учетом скидки, грн</t>
  </si>
  <si>
    <t>Ресницы чёрные</t>
  </si>
  <si>
    <t>mix</t>
  </si>
  <si>
    <t>Примечание</t>
  </si>
  <si>
    <t>Грицкевич Светлана</t>
  </si>
  <si>
    <t>г. Тирасполь</t>
  </si>
  <si>
    <t>Объём продаж, грн.</t>
  </si>
  <si>
    <t>Чистая скидка с учётом доставки, %</t>
  </si>
  <si>
    <t>прибыль, грн</t>
  </si>
  <si>
    <t>ИТОГО
после всех скидок</t>
  </si>
  <si>
    <t>наценка, %</t>
  </si>
  <si>
    <t>маржа, %</t>
  </si>
  <si>
    <t>СС на единицу, грн</t>
  </si>
  <si>
    <t>Остаток на дату, шт</t>
  </si>
  <si>
    <t>Текущий остаток</t>
  </si>
  <si>
    <t>шт</t>
  </si>
  <si>
    <t>Расход общий, шт</t>
  </si>
  <si>
    <t>в базовых отпускных ценах, грн.</t>
  </si>
  <si>
    <t>Пинцет прямой</t>
  </si>
  <si>
    <t>Пинцет изогнутый</t>
  </si>
  <si>
    <t>Деньги получены</t>
  </si>
  <si>
    <t>да</t>
  </si>
  <si>
    <t>в ценах закупа, дол.</t>
  </si>
  <si>
    <t>кол-во линий</t>
  </si>
  <si>
    <t>Лента хирургическая</t>
  </si>
  <si>
    <t>г. Днепр, Рабочая, 62</t>
  </si>
  <si>
    <t>Виноградова Инга</t>
  </si>
  <si>
    <t>Код уникальный</t>
  </si>
  <si>
    <t>г. Одесса</t>
  </si>
  <si>
    <t>Месяц</t>
  </si>
  <si>
    <t>Продажа боя</t>
  </si>
  <si>
    <t>месяц</t>
  </si>
  <si>
    <t>Таратынова Марина</t>
  </si>
  <si>
    <t>г. Кривой Рог</t>
  </si>
  <si>
    <t>Плевако Наталья</t>
  </si>
  <si>
    <t>Шостак Ирина</t>
  </si>
  <si>
    <t>Цена базовая</t>
  </si>
  <si>
    <t>Цена при покупке от 600 грн</t>
  </si>
  <si>
    <t>Цена при покупке от 1000 грн</t>
  </si>
  <si>
    <t>скидка 0%</t>
  </si>
  <si>
    <t>скидка 5%</t>
  </si>
  <si>
    <t>скидка 10%</t>
  </si>
  <si>
    <t>Рентабельность, %</t>
  </si>
  <si>
    <t>Объём продаж, шт</t>
  </si>
  <si>
    <t>г. Днепр, Парус, Времена года</t>
  </si>
  <si>
    <t>Виктория Копылова</t>
  </si>
  <si>
    <t>запас, шт/мес</t>
  </si>
  <si>
    <t>Наталья</t>
  </si>
  <si>
    <t>г. Днепр, Гладкова, 11</t>
  </si>
  <si>
    <t>г. Днепр, ул. Ленинградская, 27</t>
  </si>
  <si>
    <t>Ирина Ломака</t>
  </si>
  <si>
    <t>Дата прихода</t>
  </si>
  <si>
    <t>Заказано</t>
  </si>
  <si>
    <t>кол-во, шт</t>
  </si>
  <si>
    <t>в ценах СС, дол.</t>
  </si>
  <si>
    <t>Lash</t>
  </si>
  <si>
    <t>г. Днепр, Красный Камень, маг. Брусничка</t>
  </si>
  <si>
    <t>Михеева Лилия</t>
  </si>
  <si>
    <t>OOS</t>
  </si>
  <si>
    <t>Заказ</t>
  </si>
  <si>
    <t>среднемес.</t>
  </si>
  <si>
    <t>Кат.</t>
  </si>
  <si>
    <t>Нормативный коэф. запаса, мес.</t>
  </si>
  <si>
    <t>дата
оплаты</t>
  </si>
  <si>
    <t>Время в пути, дн.</t>
  </si>
  <si>
    <t>г. Борисполь, Киевская обл.</t>
  </si>
  <si>
    <t>статус</t>
  </si>
  <si>
    <t>кол-во,</t>
  </si>
  <si>
    <t>Добрый день! Нужна помощь. В ячейки О4 статус заказа светиться "размещения заказа" он рассчитывается из учета того сколько заказа на закладке Orders. заказ оплатился 3.10(ячейка I21) и товара  прибыл 21.10(ячейка М21), и согласно остаткам на сегодня товар необходим видем на текущем листе в ячейке j4, поєтому делаем второй заказ 7.12 ячейка I22 лист Orders но заказ еще не прибыл там пусто., а в моей формуле светится РАЗМЕЩЕНИЕ ЗАКАЗ а долно светиться ТОВАР в Пути. Я догадываюсь чото там надо применить функцию ПОИСКПОЗ, но у меня не получается. ПОМОГИТЕ.</t>
  </si>
  <si>
    <t>ВСЕХ С НАСТУПАЮЩИМ НОВЫМ ГОДОМ!!!!!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</si>
</sst>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2" formatCode="0.0%"/>
    <numFmt numFmtId="177" formatCode="#,##0.000000"/>
    <numFmt numFmtId="181" formatCode="#,##0.000"/>
    <numFmt numFmtId="182" formatCode="0.0"/>
    <numFmt numFmtId="195" formatCode="#,##0.0"/>
    <numFmt numFmtId="203" formatCode="_(* #,##0.00_);_(* \(#,##0.00\);_(* &quot;-&quot;??_);_(@_)"/>
  </numFmts>
  <fonts count="3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</font>
    <font>
      <b/>
      <sz val="14"/>
      <name val="Arial Cyr"/>
      <charset val="204"/>
    </font>
    <font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b/>
      <sz val="10"/>
      <color indexed="24"/>
      <name val="Arial Cyr"/>
      <family val="2"/>
      <charset val="204"/>
    </font>
    <font>
      <b/>
      <sz val="15"/>
      <color indexed="21"/>
      <name val="Arial Cyr"/>
      <family val="2"/>
      <charset val="204"/>
    </font>
    <font>
      <b/>
      <sz val="13"/>
      <color indexed="21"/>
      <name val="Arial Cyr"/>
      <family val="2"/>
      <charset val="204"/>
    </font>
    <font>
      <b/>
      <sz val="11"/>
      <color indexed="21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21"/>
      <name val="Cambria"/>
      <family val="2"/>
    </font>
    <font>
      <sz val="10"/>
      <color indexed="16"/>
      <name val="Arial Cyr"/>
      <family val="2"/>
      <charset val="204"/>
    </font>
    <font>
      <sz val="10"/>
      <color indexed="35"/>
      <name val="Arial Cyr"/>
      <family val="2"/>
      <charset val="204"/>
    </font>
    <font>
      <i/>
      <sz val="10"/>
      <color indexed="29"/>
      <name val="Arial Cyr"/>
      <family val="2"/>
      <charset val="204"/>
    </font>
    <font>
      <sz val="10"/>
      <color indexed="24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26"/>
      <name val="Arial Cyr"/>
      <family val="2"/>
      <charset val="204"/>
    </font>
    <font>
      <sz val="10"/>
      <name val="Arial Cyr"/>
      <charset val="204"/>
    </font>
    <font>
      <b/>
      <sz val="9"/>
      <name val="Arial Cyr"/>
      <charset val="204"/>
    </font>
    <font>
      <sz val="10"/>
      <name val="Helv"/>
      <family val="2"/>
    </font>
    <font>
      <b/>
      <sz val="11"/>
      <name val="Arial Cyr"/>
      <charset val="204"/>
    </font>
    <font>
      <b/>
      <sz val="11"/>
      <name val="Calibri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b/>
      <sz val="16"/>
      <name val="Arial Cyr"/>
      <charset val="204"/>
    </font>
    <font>
      <b/>
      <sz val="12"/>
      <color theme="0"/>
      <name val="Arial Cyr"/>
      <charset val="204"/>
    </font>
    <font>
      <b/>
      <sz val="10"/>
      <color rgb="FFFF0000"/>
      <name val="Arial Cyr"/>
      <charset val="204"/>
    </font>
    <font>
      <b/>
      <sz val="18"/>
      <color rgb="FFFF0000"/>
      <name val="Arial Cyr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33"/>
      </patternFill>
    </fill>
    <fill>
      <patternFill patternType="solid">
        <fgColor indexed="10"/>
      </patternFill>
    </fill>
    <fill>
      <patternFill patternType="solid">
        <fgColor indexed="32"/>
      </patternFill>
    </fill>
    <fill>
      <patternFill patternType="solid">
        <fgColor indexed="28"/>
      </patternFill>
    </fill>
    <fill>
      <patternFill patternType="solid">
        <fgColor indexed="24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DA8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</fills>
  <borders count="79">
    <border>
      <left/>
      <right/>
      <top/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3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medium">
        <color indexed="33"/>
      </bottom>
      <diagonal/>
    </border>
    <border>
      <left/>
      <right/>
      <top style="thin">
        <color indexed="33"/>
      </top>
      <bottom style="double">
        <color indexed="33"/>
      </bottom>
      <diagonal/>
    </border>
    <border>
      <left style="double">
        <color indexed="22"/>
      </left>
      <right style="double">
        <color indexed="22"/>
      </right>
      <top style="double">
        <color indexed="22"/>
      </top>
      <bottom style="double">
        <color indexed="22"/>
      </bottom>
      <diagonal/>
    </border>
    <border>
      <left/>
      <right/>
      <top/>
      <bottom style="double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0">
    <xf numFmtId="0" fontId="0" fillId="0" borderId="0"/>
    <xf numFmtId="0" fontId="20" fillId="0" borderId="0"/>
    <xf numFmtId="0" fontId="22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2" applyNumberFormat="0" applyAlignment="0" applyProtection="0"/>
    <xf numFmtId="0" fontId="7" fillId="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9" borderId="7" applyNumberFormat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15" fillId="10" borderId="0" applyNumberFormat="0" applyBorder="0" applyAlignment="0" applyProtection="0"/>
    <xf numFmtId="0" fontId="16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203" fontId="3" fillId="0" borderId="0" applyFont="0" applyFill="0" applyBorder="0" applyAlignment="0" applyProtection="0"/>
    <xf numFmtId="0" fontId="19" fillId="11" borderId="0" applyNumberFormat="0" applyBorder="0" applyAlignment="0" applyProtection="0"/>
  </cellStyleXfs>
  <cellXfs count="330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20" fillId="0" borderId="0" xfId="0" applyFont="1" applyFill="1"/>
    <xf numFmtId="0" fontId="0" fillId="0" borderId="0" xfId="0" applyAlignment="1">
      <alignment horizontal="center" vertical="center"/>
    </xf>
    <xf numFmtId="1" fontId="0" fillId="0" borderId="0" xfId="0" applyNumberFormat="1" applyFill="1"/>
    <xf numFmtId="0" fontId="1" fillId="0" borderId="0" xfId="0" applyFont="1" applyAlignment="1"/>
    <xf numFmtId="4" fontId="0" fillId="0" borderId="0" xfId="0" applyNumberFormat="1" applyFill="1" applyAlignment="1">
      <alignment vertical="center"/>
    </xf>
    <xf numFmtId="0" fontId="0" fillId="0" borderId="0" xfId="0" applyAlignment="1">
      <alignment vertical="center"/>
    </xf>
    <xf numFmtId="4" fontId="2" fillId="12" borderId="9" xfId="0" applyNumberFormat="1" applyFont="1" applyFill="1" applyBorder="1" applyAlignment="1">
      <alignment horizontal="right" vertical="center"/>
    </xf>
    <xf numFmtId="0" fontId="0" fillId="13" borderId="9" xfId="0" applyFill="1" applyBorder="1" applyAlignment="1">
      <alignment horizontal="center" vertical="center"/>
    </xf>
    <xf numFmtId="9" fontId="0" fillId="0" borderId="0" xfId="25" applyFont="1" applyFill="1" applyAlignment="1">
      <alignment horizontal="right" vertical="center"/>
    </xf>
    <xf numFmtId="0" fontId="0" fillId="14" borderId="9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1" fillId="16" borderId="10" xfId="0" applyNumberFormat="1" applyFont="1" applyFill="1" applyBorder="1" applyAlignment="1">
      <alignment horizontal="center" vertical="center" wrapText="1"/>
    </xf>
    <xf numFmtId="0" fontId="21" fillId="16" borderId="11" xfId="0" applyFont="1" applyFill="1" applyBorder="1" applyAlignment="1">
      <alignment horizontal="center" vertical="center" wrapText="1"/>
    </xf>
    <xf numFmtId="0" fontId="25" fillId="0" borderId="0" xfId="0" applyFont="1"/>
    <xf numFmtId="0" fontId="26" fillId="16" borderId="16" xfId="0" applyFont="1" applyFill="1" applyBorder="1" applyAlignment="1">
      <alignment horizontal="center" vertical="center"/>
    </xf>
    <xf numFmtId="2" fontId="26" fillId="16" borderId="17" xfId="0" applyNumberFormat="1" applyFont="1" applyFill="1" applyBorder="1" applyAlignment="1">
      <alignment horizontal="right" vertical="center"/>
    </xf>
    <xf numFmtId="9" fontId="26" fillId="16" borderId="17" xfId="25" applyFont="1" applyFill="1" applyBorder="1" applyAlignment="1">
      <alignment horizontal="right" vertical="center"/>
    </xf>
    <xf numFmtId="9" fontId="26" fillId="16" borderId="17" xfId="0" applyNumberFormat="1" applyFont="1" applyFill="1" applyBorder="1" applyAlignment="1">
      <alignment horizontal="right" vertical="center"/>
    </xf>
    <xf numFmtId="4" fontId="26" fillId="16" borderId="17" xfId="0" applyNumberFormat="1" applyFont="1" applyFill="1" applyBorder="1" applyAlignment="1">
      <alignment horizontal="right" vertical="center"/>
    </xf>
    <xf numFmtId="9" fontId="26" fillId="16" borderId="17" xfId="25" applyNumberFormat="1" applyFont="1" applyFill="1" applyBorder="1" applyAlignment="1">
      <alignment horizontal="right" vertical="center"/>
    </xf>
    <xf numFmtId="4" fontId="26" fillId="16" borderId="18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vertical="center"/>
    </xf>
    <xf numFmtId="2" fontId="25" fillId="0" borderId="19" xfId="0" applyNumberFormat="1" applyFont="1" applyFill="1" applyBorder="1" applyAlignment="1">
      <alignment horizontal="right" vertical="center"/>
    </xf>
    <xf numFmtId="0" fontId="2" fillId="16" borderId="20" xfId="0" applyFont="1" applyFill="1" applyBorder="1" applyAlignment="1">
      <alignment horizontal="center" vertical="center" wrapText="1"/>
    </xf>
    <xf numFmtId="9" fontId="25" fillId="0" borderId="25" xfId="25" applyNumberFormat="1" applyFont="1" applyFill="1" applyBorder="1" applyAlignment="1">
      <alignment horizontal="right" vertical="center"/>
    </xf>
    <xf numFmtId="4" fontId="25" fillId="0" borderId="26" xfId="0" applyNumberFormat="1" applyFont="1" applyFill="1" applyBorder="1" applyAlignment="1">
      <alignment horizontal="right" vertical="center"/>
    </xf>
    <xf numFmtId="0" fontId="0" fillId="0" borderId="0" xfId="0" applyFont="1" applyAlignment="1"/>
    <xf numFmtId="3" fontId="26" fillId="16" borderId="10" xfId="0" applyNumberFormat="1" applyFont="1" applyFill="1" applyBorder="1" applyAlignment="1">
      <alignment horizontal="right" vertical="center"/>
    </xf>
    <xf numFmtId="4" fontId="26" fillId="16" borderId="28" xfId="0" applyNumberFormat="1" applyFont="1" applyFill="1" applyBorder="1" applyAlignment="1">
      <alignment horizontal="right" vertical="center"/>
    </xf>
    <xf numFmtId="4" fontId="26" fillId="16" borderId="16" xfId="0" applyNumberFormat="1" applyFont="1" applyFill="1" applyBorder="1" applyAlignment="1">
      <alignment horizontal="right" vertical="center"/>
    </xf>
    <xf numFmtId="4" fontId="25" fillId="0" borderId="9" xfId="0" applyNumberFormat="1" applyFont="1" applyFill="1" applyBorder="1" applyAlignment="1">
      <alignment horizontal="center"/>
    </xf>
    <xf numFmtId="4" fontId="27" fillId="0" borderId="29" xfId="0" applyNumberFormat="1" applyFont="1" applyFill="1" applyBorder="1" applyAlignment="1">
      <alignment horizontal="left" vertical="center"/>
    </xf>
    <xf numFmtId="9" fontId="0" fillId="0" borderId="0" xfId="24" applyFont="1" applyFill="1"/>
    <xf numFmtId="4" fontId="0" fillId="0" borderId="9" xfId="0" applyNumberFormat="1" applyFill="1" applyBorder="1" applyAlignment="1">
      <alignment horizontal="center" vertical="center" wrapText="1"/>
    </xf>
    <xf numFmtId="0" fontId="23" fillId="16" borderId="30" xfId="0" applyFont="1" applyFill="1" applyBorder="1" applyAlignment="1">
      <alignment horizontal="center" vertical="top" wrapText="1"/>
    </xf>
    <xf numFmtId="0" fontId="23" fillId="16" borderId="30" xfId="0" applyFont="1" applyFill="1" applyBorder="1" applyAlignment="1">
      <alignment horizontal="center" vertical="top"/>
    </xf>
    <xf numFmtId="3" fontId="26" fillId="16" borderId="28" xfId="0" applyNumberFormat="1" applyFont="1" applyFill="1" applyBorder="1" applyAlignment="1">
      <alignment horizontal="right" vertical="center"/>
    </xf>
    <xf numFmtId="0" fontId="25" fillId="0" borderId="31" xfId="0" applyFont="1" applyFill="1" applyBorder="1" applyAlignment="1">
      <alignment horizontal="center"/>
    </xf>
    <xf numFmtId="4" fontId="25" fillId="0" borderId="36" xfId="0" applyNumberFormat="1" applyFont="1" applyFill="1" applyBorder="1" applyAlignment="1">
      <alignment horizontal="right" vertical="center"/>
    </xf>
    <xf numFmtId="4" fontId="29" fillId="16" borderId="10" xfId="0" applyNumberFormat="1" applyFont="1" applyFill="1" applyBorder="1" applyAlignment="1">
      <alignment horizontal="center" vertical="center" wrapText="1"/>
    </xf>
    <xf numFmtId="4" fontId="29" fillId="16" borderId="28" xfId="0" applyNumberFormat="1" applyFont="1" applyFill="1" applyBorder="1" applyAlignment="1">
      <alignment horizontal="center" vertical="center" wrapText="1"/>
    </xf>
    <xf numFmtId="0" fontId="0" fillId="0" borderId="37" xfId="0" applyBorder="1"/>
    <xf numFmtId="0" fontId="26" fillId="0" borderId="37" xfId="0" applyFont="1" applyBorder="1" applyAlignment="1">
      <alignment vertical="center"/>
    </xf>
    <xf numFmtId="4" fontId="2" fillId="16" borderId="38" xfId="0" applyNumberFormat="1" applyFont="1" applyFill="1" applyBorder="1" applyAlignment="1">
      <alignment horizontal="center" vertical="center" wrapText="1"/>
    </xf>
    <xf numFmtId="0" fontId="21" fillId="16" borderId="18" xfId="0" applyFont="1" applyFill="1" applyBorder="1" applyAlignment="1">
      <alignment horizontal="center" vertical="center" wrapText="1"/>
    </xf>
    <xf numFmtId="0" fontId="2" fillId="16" borderId="39" xfId="0" applyFont="1" applyFill="1" applyBorder="1" applyAlignment="1">
      <alignment horizontal="center" vertical="center" wrapText="1"/>
    </xf>
    <xf numFmtId="4" fontId="21" fillId="16" borderId="4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21" xfId="0" applyFont="1" applyFill="1" applyBorder="1" applyAlignment="1">
      <alignment horizontal="center" vertical="center"/>
    </xf>
    <xf numFmtId="3" fontId="25" fillId="0" borderId="41" xfId="0" applyNumberFormat="1" applyFont="1" applyFill="1" applyBorder="1" applyAlignment="1">
      <alignment vertical="center"/>
    </xf>
    <xf numFmtId="9" fontId="25" fillId="0" borderId="21" xfId="25" applyFont="1" applyFill="1" applyBorder="1" applyAlignment="1">
      <alignment horizontal="right" vertical="center"/>
    </xf>
    <xf numFmtId="9" fontId="25" fillId="0" borderId="22" xfId="25" applyFont="1" applyFill="1" applyBorder="1" applyAlignment="1">
      <alignment horizontal="right" vertical="center"/>
    </xf>
    <xf numFmtId="9" fontId="25" fillId="0" borderId="23" xfId="0" applyNumberFormat="1" applyFont="1" applyFill="1" applyBorder="1" applyAlignment="1">
      <alignment horizontal="right" vertical="center"/>
    </xf>
    <xf numFmtId="4" fontId="25" fillId="0" borderId="24" xfId="0" applyNumberFormat="1" applyFont="1" applyFill="1" applyBorder="1" applyAlignment="1">
      <alignment horizontal="right" vertical="center"/>
    </xf>
    <xf numFmtId="4" fontId="25" fillId="0" borderId="15" xfId="0" applyNumberFormat="1" applyFont="1" applyFill="1" applyBorder="1" applyAlignment="1">
      <alignment horizontal="right" vertical="center"/>
    </xf>
    <xf numFmtId="9" fontId="25" fillId="0" borderId="13" xfId="0" applyNumberFormat="1" applyFont="1" applyFill="1" applyBorder="1" applyAlignment="1">
      <alignment horizontal="right" vertical="center"/>
    </xf>
    <xf numFmtId="4" fontId="25" fillId="12" borderId="9" xfId="0" applyNumberFormat="1" applyFont="1" applyFill="1" applyBorder="1" applyAlignment="1">
      <alignment horizontal="right" vertical="center"/>
    </xf>
    <xf numFmtId="9" fontId="25" fillId="0" borderId="29" xfId="0" applyNumberFormat="1" applyFont="1" applyFill="1" applyBorder="1" applyAlignment="1">
      <alignment horizontal="right" vertical="center"/>
    </xf>
    <xf numFmtId="4" fontId="25" fillId="0" borderId="42" xfId="0" applyNumberFormat="1" applyFont="1" applyFill="1" applyBorder="1" applyAlignment="1">
      <alignment horizontal="right" vertical="center"/>
    </xf>
    <xf numFmtId="9" fontId="25" fillId="0" borderId="12" xfId="0" applyNumberFormat="1" applyFont="1" applyFill="1" applyBorder="1" applyAlignment="1">
      <alignment horizontal="right" vertical="center"/>
    </xf>
    <xf numFmtId="4" fontId="25" fillId="0" borderId="14" xfId="0" applyNumberFormat="1" applyFont="1" applyFill="1" applyBorder="1" applyAlignment="1">
      <alignment horizontal="right" vertical="center"/>
    </xf>
    <xf numFmtId="3" fontId="25" fillId="0" borderId="12" xfId="0" applyNumberFormat="1" applyFont="1" applyFill="1" applyBorder="1" applyAlignment="1">
      <alignment horizontal="right" vertical="center"/>
    </xf>
    <xf numFmtId="4" fontId="25" fillId="0" borderId="43" xfId="0" applyNumberFormat="1" applyFont="1" applyFill="1" applyBorder="1" applyAlignment="1">
      <alignment horizontal="right" vertical="center"/>
    </xf>
    <xf numFmtId="4" fontId="25" fillId="0" borderId="44" xfId="0" applyNumberFormat="1" applyFont="1" applyFill="1" applyBorder="1" applyAlignment="1">
      <alignment horizontal="right" vertical="center"/>
    </xf>
    <xf numFmtId="3" fontId="25" fillId="0" borderId="25" xfId="0" applyNumberFormat="1" applyFont="1" applyFill="1" applyBorder="1" applyAlignment="1">
      <alignment horizontal="right" vertical="center"/>
    </xf>
    <xf numFmtId="181" fontId="25" fillId="0" borderId="29" xfId="0" applyNumberFormat="1" applyFont="1" applyFill="1" applyBorder="1" applyAlignment="1">
      <alignment horizontal="right" vertical="center"/>
    </xf>
    <xf numFmtId="177" fontId="25" fillId="0" borderId="29" xfId="0" applyNumberFormat="1" applyFont="1" applyFill="1" applyBorder="1" applyAlignment="1">
      <alignment horizontal="right" vertical="center"/>
    </xf>
    <xf numFmtId="3" fontId="25" fillId="0" borderId="14" xfId="0" applyNumberFormat="1" applyFont="1" applyFill="1" applyBorder="1" applyAlignment="1">
      <alignment horizontal="right" vertical="center"/>
    </xf>
    <xf numFmtId="0" fontId="25" fillId="0" borderId="37" xfId="0" applyFont="1" applyBorder="1" applyAlignment="1">
      <alignment vertical="center"/>
    </xf>
    <xf numFmtId="3" fontId="25" fillId="0" borderId="29" xfId="0" applyNumberFormat="1" applyFont="1" applyFill="1" applyBorder="1" applyAlignment="1">
      <alignment vertical="center"/>
    </xf>
    <xf numFmtId="3" fontId="25" fillId="0" borderId="29" xfId="0" applyNumberFormat="1" applyFont="1" applyFill="1" applyBorder="1" applyAlignment="1">
      <alignment horizontal="center" vertical="center"/>
    </xf>
    <xf numFmtId="3" fontId="25" fillId="0" borderId="42" xfId="0" applyNumberFormat="1" applyFont="1" applyFill="1" applyBorder="1" applyAlignment="1">
      <alignment horizontal="center" vertical="center"/>
    </xf>
    <xf numFmtId="4" fontId="25" fillId="0" borderId="9" xfId="0" applyNumberFormat="1" applyFont="1" applyFill="1" applyBorder="1" applyAlignment="1">
      <alignment horizontal="center" vertical="center"/>
    </xf>
    <xf numFmtId="4" fontId="25" fillId="0" borderId="27" xfId="0" applyNumberFormat="1" applyFont="1" applyFill="1" applyBorder="1" applyAlignment="1">
      <alignment horizontal="center" vertical="center"/>
    </xf>
    <xf numFmtId="0" fontId="25" fillId="0" borderId="27" xfId="0" applyNumberFormat="1" applyFont="1" applyFill="1" applyBorder="1" applyAlignment="1">
      <alignment horizontal="center" vertical="center"/>
    </xf>
    <xf numFmtId="3" fontId="25" fillId="0" borderId="45" xfId="0" applyNumberFormat="1" applyFont="1" applyFill="1" applyBorder="1" applyAlignment="1">
      <alignment horizontal="right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5" fillId="0" borderId="29" xfId="0" applyNumberFormat="1" applyFont="1" applyFill="1" applyBorder="1" applyAlignment="1">
      <alignment vertical="center" wrapText="1"/>
    </xf>
    <xf numFmtId="2" fontId="25" fillId="0" borderId="33" xfId="0" applyNumberFormat="1" applyFont="1" applyFill="1" applyBorder="1" applyAlignment="1">
      <alignment horizontal="right" vertical="center"/>
    </xf>
    <xf numFmtId="1" fontId="25" fillId="0" borderId="33" xfId="0" applyNumberFormat="1" applyFont="1" applyFill="1" applyBorder="1" applyAlignment="1">
      <alignment horizontal="right" vertical="center"/>
    </xf>
    <xf numFmtId="0" fontId="0" fillId="0" borderId="0" xfId="0" applyAlignment="1"/>
    <xf numFmtId="2" fontId="1" fillId="0" borderId="0" xfId="0" applyNumberFormat="1" applyFont="1" applyAlignment="1"/>
    <xf numFmtId="2" fontId="25" fillId="0" borderId="27" xfId="0" applyNumberFormat="1" applyFont="1" applyFill="1" applyBorder="1" applyAlignment="1">
      <alignment horizontal="right" vertical="center"/>
    </xf>
    <xf numFmtId="3" fontId="25" fillId="0" borderId="27" xfId="0" applyNumberFormat="1" applyFont="1" applyFill="1" applyBorder="1" applyAlignment="1">
      <alignment horizontal="center" vertical="center"/>
    </xf>
    <xf numFmtId="0" fontId="25" fillId="0" borderId="34" xfId="0" applyNumberFormat="1" applyFont="1" applyFill="1" applyBorder="1" applyAlignment="1">
      <alignment horizontal="center" vertical="center"/>
    </xf>
    <xf numFmtId="9" fontId="25" fillId="0" borderId="32" xfId="24" applyFont="1" applyFill="1" applyBorder="1" applyAlignment="1">
      <alignment horizontal="right" vertical="center"/>
    </xf>
    <xf numFmtId="2" fontId="25" fillId="0" borderId="34" xfId="0" applyNumberFormat="1" applyFont="1" applyFill="1" applyBorder="1" applyAlignment="1">
      <alignment horizontal="left" vertical="center"/>
    </xf>
    <xf numFmtId="2" fontId="25" fillId="16" borderId="33" xfId="0" applyNumberFormat="1" applyFont="1" applyFill="1" applyBorder="1" applyAlignment="1">
      <alignment horizontal="right" vertical="center"/>
    </xf>
    <xf numFmtId="2" fontId="25" fillId="16" borderId="27" xfId="0" applyNumberFormat="1" applyFont="1" applyFill="1" applyBorder="1" applyAlignment="1">
      <alignment horizontal="right" vertical="center"/>
    </xf>
    <xf numFmtId="0" fontId="23" fillId="16" borderId="39" xfId="0" applyFont="1" applyFill="1" applyBorder="1" applyAlignment="1">
      <alignment vertical="center" wrapText="1"/>
    </xf>
    <xf numFmtId="9" fontId="25" fillId="0" borderId="0" xfId="24" applyFont="1"/>
    <xf numFmtId="172" fontId="25" fillId="16" borderId="27" xfId="24" applyNumberFormat="1" applyFont="1" applyFill="1" applyBorder="1" applyAlignment="1">
      <alignment horizontal="right" vertical="center"/>
    </xf>
    <xf numFmtId="9" fontId="25" fillId="16" borderId="27" xfId="24" applyFont="1" applyFill="1" applyBorder="1" applyAlignment="1">
      <alignment horizontal="right" vertical="center"/>
    </xf>
    <xf numFmtId="3" fontId="25" fillId="0" borderId="46" xfId="0" applyNumberFormat="1" applyFont="1" applyFill="1" applyBorder="1" applyAlignment="1">
      <alignment horizontal="left" vertical="center"/>
    </xf>
    <xf numFmtId="0" fontId="21" fillId="16" borderId="30" xfId="0" applyFont="1" applyFill="1" applyBorder="1" applyAlignment="1">
      <alignment horizontal="center" vertical="top" wrapText="1"/>
    </xf>
    <xf numFmtId="0" fontId="21" fillId="16" borderId="38" xfId="0" applyFont="1" applyFill="1" applyBorder="1" applyAlignment="1">
      <alignment horizontal="center" vertical="top" wrapText="1"/>
    </xf>
    <xf numFmtId="0" fontId="4" fillId="16" borderId="39" xfId="0" applyFont="1" applyFill="1" applyBorder="1" applyAlignment="1">
      <alignment vertical="center" wrapText="1"/>
    </xf>
    <xf numFmtId="3" fontId="25" fillId="0" borderId="29" xfId="0" applyNumberFormat="1" applyFont="1" applyFill="1" applyBorder="1" applyAlignment="1">
      <alignment horizontal="left" vertical="center"/>
    </xf>
    <xf numFmtId="1" fontId="25" fillId="0" borderId="47" xfId="0" applyNumberFormat="1" applyFont="1" applyFill="1" applyBorder="1" applyAlignment="1">
      <alignment horizontal="right" vertical="center"/>
    </xf>
    <xf numFmtId="3" fontId="25" fillId="0" borderId="48" xfId="0" applyNumberFormat="1" applyFont="1" applyFill="1" applyBorder="1" applyAlignment="1">
      <alignment horizontal="left" vertical="center"/>
    </xf>
    <xf numFmtId="3" fontId="25" fillId="0" borderId="49" xfId="0" applyNumberFormat="1" applyFont="1" applyFill="1" applyBorder="1" applyAlignment="1">
      <alignment horizontal="center" vertical="center"/>
    </xf>
    <xf numFmtId="4" fontId="25" fillId="0" borderId="50" xfId="0" applyNumberFormat="1" applyFont="1" applyFill="1" applyBorder="1" applyAlignment="1">
      <alignment horizontal="center" vertical="center"/>
    </xf>
    <xf numFmtId="4" fontId="25" fillId="0" borderId="49" xfId="0" applyNumberFormat="1" applyFont="1" applyFill="1" applyBorder="1" applyAlignment="1">
      <alignment horizontal="center" vertical="center"/>
    </xf>
    <xf numFmtId="0" fontId="25" fillId="0" borderId="5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2" fontId="25" fillId="0" borderId="34" xfId="0" applyNumberFormat="1" applyFont="1" applyFill="1" applyBorder="1" applyAlignment="1">
      <alignment horizontal="center" vertical="center"/>
    </xf>
    <xf numFmtId="14" fontId="2" fillId="16" borderId="52" xfId="0" applyNumberFormat="1" applyFont="1" applyFill="1" applyBorder="1" applyAlignment="1">
      <alignment horizontal="center" vertical="center" wrapText="1"/>
    </xf>
    <xf numFmtId="3" fontId="25" fillId="0" borderId="9" xfId="0" applyNumberFormat="1" applyFont="1" applyFill="1" applyBorder="1" applyAlignment="1">
      <alignment horizontal="left" vertical="center"/>
    </xf>
    <xf numFmtId="3" fontId="25" fillId="0" borderId="9" xfId="0" applyNumberFormat="1" applyFont="1" applyFill="1" applyBorder="1" applyAlignment="1">
      <alignment horizontal="center" vertical="center"/>
    </xf>
    <xf numFmtId="0" fontId="23" fillId="16" borderId="38" xfId="0" applyFont="1" applyFill="1" applyBorder="1" applyAlignment="1">
      <alignment horizontal="center" vertical="top" wrapText="1"/>
    </xf>
    <xf numFmtId="0" fontId="25" fillId="0" borderId="12" xfId="0" applyFont="1" applyFill="1" applyBorder="1" applyAlignment="1">
      <alignment horizontal="center"/>
    </xf>
    <xf numFmtId="0" fontId="25" fillId="0" borderId="14" xfId="0" applyNumberFormat="1" applyFont="1" applyFill="1" applyBorder="1" applyAlignment="1">
      <alignment horizontal="center" vertical="center"/>
    </xf>
    <xf numFmtId="0" fontId="25" fillId="17" borderId="53" xfId="0" applyFont="1" applyFill="1" applyBorder="1"/>
    <xf numFmtId="0" fontId="4" fillId="17" borderId="52" xfId="0" applyFont="1" applyFill="1" applyBorder="1" applyAlignment="1">
      <alignment vertical="center" wrapText="1"/>
    </xf>
    <xf numFmtId="0" fontId="25" fillId="16" borderId="19" xfId="0" applyFont="1" applyFill="1" applyBorder="1" applyAlignment="1">
      <alignment horizontal="center"/>
    </xf>
    <xf numFmtId="0" fontId="25" fillId="16" borderId="54" xfId="0" applyFont="1" applyFill="1" applyBorder="1" applyAlignment="1">
      <alignment horizontal="center" vertical="center"/>
    </xf>
    <xf numFmtId="17" fontId="0" fillId="0" borderId="0" xfId="0" applyNumberFormat="1" applyFill="1" applyAlignment="1">
      <alignment horizontal="center"/>
    </xf>
    <xf numFmtId="17" fontId="0" fillId="0" borderId="12" xfId="0" applyNumberFormat="1" applyFill="1" applyBorder="1" applyAlignment="1">
      <alignment horizontal="center"/>
    </xf>
    <xf numFmtId="17" fontId="0" fillId="0" borderId="31" xfId="0" applyNumberFormat="1" applyFill="1" applyBorder="1" applyAlignment="1">
      <alignment horizontal="center"/>
    </xf>
    <xf numFmtId="4" fontId="30" fillId="0" borderId="0" xfId="0" applyNumberFormat="1" applyFont="1" applyAlignment="1">
      <alignment horizontal="left"/>
    </xf>
    <xf numFmtId="14" fontId="25" fillId="0" borderId="27" xfId="0" applyNumberFormat="1" applyFont="1" applyFill="1" applyBorder="1" applyAlignment="1">
      <alignment horizontal="center" vertical="center"/>
    </xf>
    <xf numFmtId="4" fontId="32" fillId="18" borderId="16" xfId="0" applyNumberFormat="1" applyFont="1" applyFill="1" applyBorder="1" applyAlignment="1">
      <alignment horizontal="left" vertical="center"/>
    </xf>
    <xf numFmtId="4" fontId="32" fillId="18" borderId="10" xfId="0" applyNumberFormat="1" applyFont="1" applyFill="1" applyBorder="1" applyAlignment="1">
      <alignment horizontal="left"/>
    </xf>
    <xf numFmtId="4" fontId="32" fillId="18" borderId="60" xfId="0" applyNumberFormat="1" applyFont="1" applyFill="1" applyBorder="1" applyAlignment="1">
      <alignment horizontal="left"/>
    </xf>
    <xf numFmtId="4" fontId="32" fillId="18" borderId="28" xfId="0" applyNumberFormat="1" applyFont="1" applyFill="1" applyBorder="1" applyAlignment="1">
      <alignment horizontal="left"/>
    </xf>
    <xf numFmtId="4" fontId="32" fillId="18" borderId="61" xfId="0" applyNumberFormat="1" applyFont="1" applyFill="1" applyBorder="1" applyAlignment="1">
      <alignment horizontal="left"/>
    </xf>
    <xf numFmtId="3" fontId="32" fillId="18" borderId="60" xfId="0" applyNumberFormat="1" applyFont="1" applyFill="1" applyBorder="1" applyAlignment="1">
      <alignment horizontal="left"/>
    </xf>
    <xf numFmtId="0" fontId="4" fillId="16" borderId="58" xfId="0" applyFont="1" applyFill="1" applyBorder="1" applyAlignment="1">
      <alignment horizontal="center" vertical="center" wrapText="1"/>
    </xf>
    <xf numFmtId="0" fontId="4" fillId="16" borderId="38" xfId="0" applyFont="1" applyFill="1" applyBorder="1" applyAlignment="1">
      <alignment horizontal="center" vertical="center" wrapText="1"/>
    </xf>
    <xf numFmtId="2" fontId="25" fillId="0" borderId="62" xfId="0" applyNumberFormat="1" applyFont="1" applyFill="1" applyBorder="1" applyAlignment="1">
      <alignment horizontal="center" vertical="center"/>
    </xf>
    <xf numFmtId="4" fontId="25" fillId="0" borderId="34" xfId="0" applyNumberFormat="1" applyFont="1" applyFill="1" applyBorder="1" applyAlignment="1">
      <alignment horizontal="right" vertical="center"/>
    </xf>
    <xf numFmtId="4" fontId="2" fillId="16" borderId="10" xfId="0" applyNumberFormat="1" applyFont="1" applyFill="1" applyBorder="1" applyAlignment="1">
      <alignment horizontal="center" vertical="center" wrapText="1"/>
    </xf>
    <xf numFmtId="4" fontId="2" fillId="16" borderId="28" xfId="0" applyNumberFormat="1" applyFont="1" applyFill="1" applyBorder="1" applyAlignment="1">
      <alignment horizontal="center" vertical="center" wrapText="1"/>
    </xf>
    <xf numFmtId="3" fontId="25" fillId="0" borderId="48" xfId="0" applyNumberFormat="1" applyFont="1" applyFill="1" applyBorder="1" applyAlignment="1">
      <alignment horizontal="right" vertical="center"/>
    </xf>
    <xf numFmtId="4" fontId="25" fillId="0" borderId="49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95" fontId="25" fillId="0" borderId="50" xfId="0" applyNumberFormat="1" applyFont="1" applyFill="1" applyBorder="1" applyAlignment="1">
      <alignment horizontal="right" vertical="center"/>
    </xf>
    <xf numFmtId="4" fontId="2" fillId="16" borderId="39" xfId="0" applyNumberFormat="1" applyFont="1" applyFill="1" applyBorder="1" applyAlignment="1">
      <alignment vertical="center" wrapText="1"/>
    </xf>
    <xf numFmtId="4" fontId="2" fillId="16" borderId="40" xfId="0" applyNumberFormat="1" applyFont="1" applyFill="1" applyBorder="1" applyAlignment="1">
      <alignment vertical="center" wrapText="1"/>
    </xf>
    <xf numFmtId="4" fontId="2" fillId="16" borderId="52" xfId="0" applyNumberFormat="1" applyFont="1" applyFill="1" applyBorder="1" applyAlignment="1">
      <alignment vertical="center" wrapText="1"/>
    </xf>
    <xf numFmtId="3" fontId="0" fillId="0" borderId="0" xfId="0" applyNumberFormat="1" applyFill="1" applyAlignment="1">
      <alignment horizontal="right" vertical="center"/>
    </xf>
    <xf numFmtId="3" fontId="32" fillId="18" borderId="60" xfId="0" applyNumberFormat="1" applyFont="1" applyFill="1" applyBorder="1" applyAlignment="1">
      <alignment horizontal="right" vertical="center"/>
    </xf>
    <xf numFmtId="3" fontId="25" fillId="0" borderId="33" xfId="0" applyNumberFormat="1" applyFont="1" applyFill="1" applyBorder="1" applyAlignment="1">
      <alignment horizontal="right" vertical="center"/>
    </xf>
    <xf numFmtId="4" fontId="25" fillId="16" borderId="33" xfId="0" applyNumberFormat="1" applyFont="1" applyFill="1" applyBorder="1" applyAlignment="1">
      <alignment horizontal="right" vertical="center"/>
    </xf>
    <xf numFmtId="4" fontId="25" fillId="16" borderId="32" xfId="24" applyNumberFormat="1" applyFont="1" applyFill="1" applyBorder="1" applyAlignment="1">
      <alignment horizontal="right" vertical="center"/>
    </xf>
    <xf numFmtId="1" fontId="0" fillId="0" borderId="0" xfId="0" applyNumberFormat="1" applyFill="1" applyAlignment="1">
      <alignment horizontal="center" vertical="center"/>
    </xf>
    <xf numFmtId="4" fontId="32" fillId="18" borderId="60" xfId="0" applyNumberFormat="1" applyFont="1" applyFill="1" applyBorder="1" applyAlignment="1">
      <alignment horizontal="center" vertical="center"/>
    </xf>
    <xf numFmtId="14" fontId="25" fillId="0" borderId="29" xfId="0" applyNumberFormat="1" applyFont="1" applyFill="1" applyBorder="1" applyAlignment="1">
      <alignment horizontal="center" vertical="center"/>
    </xf>
    <xf numFmtId="17" fontId="0" fillId="0" borderId="0" xfId="0" applyNumberFormat="1" applyFill="1" applyAlignment="1">
      <alignment horizontal="center" vertical="center"/>
    </xf>
    <xf numFmtId="17" fontId="0" fillId="0" borderId="12" xfId="0" applyNumberForma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2" fontId="25" fillId="0" borderId="33" xfId="0" applyNumberFormat="1" applyFont="1" applyFill="1" applyBorder="1" applyAlignment="1">
      <alignment horizontal="left" vertical="center"/>
    </xf>
    <xf numFmtId="14" fontId="25" fillId="0" borderId="33" xfId="0" applyNumberFormat="1" applyFont="1" applyFill="1" applyBorder="1" applyAlignment="1">
      <alignment horizontal="center" vertical="center"/>
    </xf>
    <xf numFmtId="4" fontId="2" fillId="16" borderId="40" xfId="0" applyNumberFormat="1" applyFont="1" applyFill="1" applyBorder="1" applyAlignment="1">
      <alignment horizontal="center" vertical="center" wrapText="1"/>
    </xf>
    <xf numFmtId="4" fontId="2" fillId="16" borderId="38" xfId="0" applyNumberFormat="1" applyFont="1" applyFill="1" applyBorder="1" applyAlignment="1">
      <alignment horizontal="center" vertical="center" wrapText="1"/>
    </xf>
    <xf numFmtId="0" fontId="2" fillId="16" borderId="39" xfId="0" applyFont="1" applyFill="1" applyBorder="1" applyAlignment="1">
      <alignment horizontal="center" vertical="center" wrapText="1"/>
    </xf>
    <xf numFmtId="0" fontId="2" fillId="16" borderId="30" xfId="0" applyFont="1" applyFill="1" applyBorder="1" applyAlignment="1">
      <alignment horizontal="center" vertical="top" wrapText="1"/>
    </xf>
    <xf numFmtId="0" fontId="30" fillId="16" borderId="21" xfId="0" applyFont="1" applyFill="1" applyBorder="1" applyAlignment="1">
      <alignment horizontal="center" wrapText="1"/>
    </xf>
    <xf numFmtId="0" fontId="4" fillId="16" borderId="58" xfId="0" applyFont="1" applyFill="1" applyBorder="1" applyAlignment="1">
      <alignment vertical="center" wrapText="1"/>
    </xf>
    <xf numFmtId="0" fontId="25" fillId="0" borderId="48" xfId="0" applyFont="1" applyFill="1" applyBorder="1" applyAlignment="1">
      <alignment horizontal="center" vertical="center"/>
    </xf>
    <xf numFmtId="0" fontId="4" fillId="16" borderId="38" xfId="0" applyFont="1" applyFill="1" applyBorder="1" applyAlignment="1">
      <alignment vertical="center" wrapText="1"/>
    </xf>
    <xf numFmtId="0" fontId="25" fillId="0" borderId="51" xfId="0" applyFont="1" applyFill="1" applyBorder="1" applyAlignment="1">
      <alignment horizontal="center" vertical="center"/>
    </xf>
    <xf numFmtId="0" fontId="4" fillId="16" borderId="58" xfId="0" applyFont="1" applyFill="1" applyBorder="1" applyAlignment="1">
      <alignment horizontal="center" vertical="center" wrapText="1"/>
    </xf>
    <xf numFmtId="4" fontId="2" fillId="16" borderId="30" xfId="0" applyNumberFormat="1" applyFont="1" applyFill="1" applyBorder="1" applyAlignment="1">
      <alignment vertical="center" wrapText="1"/>
    </xf>
    <xf numFmtId="3" fontId="4" fillId="16" borderId="40" xfId="0" applyNumberFormat="1" applyFont="1" applyFill="1" applyBorder="1" applyAlignment="1">
      <alignment horizontal="center" vertical="center" wrapText="1"/>
    </xf>
    <xf numFmtId="4" fontId="2" fillId="16" borderId="59" xfId="0" applyNumberFormat="1" applyFont="1" applyFill="1" applyBorder="1" applyAlignment="1">
      <alignment horizontal="center" vertical="center" wrapText="1"/>
    </xf>
    <xf numFmtId="4" fontId="2" fillId="16" borderId="68" xfId="0" applyNumberFormat="1" applyFont="1" applyFill="1" applyBorder="1" applyAlignment="1">
      <alignment horizontal="center" vertical="center" wrapText="1"/>
    </xf>
    <xf numFmtId="4" fontId="2" fillId="16" borderId="69" xfId="0" applyNumberFormat="1" applyFont="1" applyFill="1" applyBorder="1" applyAlignment="1">
      <alignment horizontal="center" vertical="center" wrapText="1"/>
    </xf>
    <xf numFmtId="4" fontId="4" fillId="16" borderId="68" xfId="0" applyNumberFormat="1" applyFont="1" applyFill="1" applyBorder="1" applyAlignment="1">
      <alignment horizontal="center" vertical="center" wrapText="1"/>
    </xf>
    <xf numFmtId="4" fontId="4" fillId="16" borderId="69" xfId="0" applyNumberFormat="1" applyFont="1" applyFill="1" applyBorder="1" applyAlignment="1">
      <alignment horizontal="center" vertical="center" wrapText="1"/>
    </xf>
    <xf numFmtId="3" fontId="4" fillId="16" borderId="30" xfId="0" applyNumberFormat="1" applyFont="1" applyFill="1" applyBorder="1" applyAlignment="1">
      <alignment horizontal="center" vertical="center" wrapText="1"/>
    </xf>
    <xf numFmtId="0" fontId="4" fillId="16" borderId="24" xfId="0" applyFont="1" applyFill="1" applyBorder="1" applyAlignment="1">
      <alignment horizontal="center" vertical="center" wrapText="1"/>
    </xf>
    <xf numFmtId="3" fontId="26" fillId="0" borderId="25" xfId="0" applyNumberFormat="1" applyFont="1" applyFill="1" applyBorder="1" applyAlignment="1">
      <alignment horizontal="right" vertical="center"/>
    </xf>
    <xf numFmtId="4" fontId="26" fillId="0" borderId="3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82" fontId="31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3" fontId="32" fillId="18" borderId="60" xfId="0" applyNumberFormat="1" applyFont="1" applyFill="1" applyBorder="1" applyAlignment="1">
      <alignment horizontal="left" vertical="center"/>
    </xf>
    <xf numFmtId="1" fontId="25" fillId="16" borderId="33" xfId="0" applyNumberFormat="1" applyFont="1" applyFill="1" applyBorder="1" applyAlignment="1">
      <alignment horizontal="center" vertical="center"/>
    </xf>
    <xf numFmtId="0" fontId="25" fillId="16" borderId="35" xfId="0" applyFont="1" applyFill="1" applyBorder="1" applyAlignment="1">
      <alignment horizontal="center" vertical="center"/>
    </xf>
    <xf numFmtId="0" fontId="25" fillId="16" borderId="35" xfId="0" applyFont="1" applyFill="1" applyBorder="1" applyAlignment="1">
      <alignment horizontal="center"/>
    </xf>
    <xf numFmtId="4" fontId="32" fillId="18" borderId="61" xfId="0" applyNumberFormat="1" applyFont="1" applyFill="1" applyBorder="1" applyAlignment="1">
      <alignment horizontal="center" vertical="center"/>
    </xf>
    <xf numFmtId="3" fontId="25" fillId="0" borderId="35" xfId="0" applyNumberFormat="1" applyFont="1" applyFill="1" applyBorder="1" applyAlignment="1">
      <alignment horizontal="left" vertical="center"/>
    </xf>
    <xf numFmtId="3" fontId="25" fillId="0" borderId="15" xfId="0" applyNumberFormat="1" applyFont="1" applyFill="1" applyBorder="1" applyAlignment="1">
      <alignment vertical="center"/>
    </xf>
    <xf numFmtId="4" fontId="32" fillId="18" borderId="11" xfId="0" applyNumberFormat="1" applyFont="1" applyFill="1" applyBorder="1" applyAlignment="1">
      <alignment horizontal="center" vertical="center"/>
    </xf>
    <xf numFmtId="14" fontId="25" fillId="0" borderId="32" xfId="0" applyNumberFormat="1" applyFont="1" applyFill="1" applyBorder="1" applyAlignment="1">
      <alignment horizontal="center" vertical="center"/>
    </xf>
    <xf numFmtId="14" fontId="25" fillId="0" borderId="13" xfId="0" applyNumberFormat="1" applyFont="1" applyFill="1" applyBorder="1" applyAlignment="1">
      <alignment horizontal="center" vertical="center"/>
    </xf>
    <xf numFmtId="3" fontId="32" fillId="18" borderId="28" xfId="0" applyNumberFormat="1" applyFont="1" applyFill="1" applyBorder="1" applyAlignment="1">
      <alignment horizontal="left" vertical="center"/>
    </xf>
    <xf numFmtId="4" fontId="25" fillId="16" borderId="34" xfId="0" applyNumberFormat="1" applyFont="1" applyFill="1" applyBorder="1" applyAlignment="1">
      <alignment horizontal="right" vertical="center"/>
    </xf>
    <xf numFmtId="0" fontId="4" fillId="16" borderId="38" xfId="0" applyFont="1" applyFill="1" applyBorder="1" applyAlignment="1">
      <alignment horizontal="center" vertical="top" wrapText="1"/>
    </xf>
    <xf numFmtId="0" fontId="23" fillId="0" borderId="6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4" fontId="28" fillId="0" borderId="9" xfId="0" applyNumberFormat="1" applyFont="1" applyFill="1" applyBorder="1" applyAlignment="1">
      <alignment horizontal="left" vertical="center"/>
    </xf>
    <xf numFmtId="0" fontId="4" fillId="19" borderId="16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/>
    </xf>
    <xf numFmtId="0" fontId="4" fillId="19" borderId="18" xfId="0" applyFont="1" applyFill="1" applyBorder="1" applyAlignment="1">
      <alignment horizontal="center" vertical="center"/>
    </xf>
    <xf numFmtId="0" fontId="4" fillId="16" borderId="72" xfId="0" applyFont="1" applyFill="1" applyBorder="1" applyAlignment="1">
      <alignment horizontal="center" vertical="center" wrapText="1"/>
    </xf>
    <xf numFmtId="0" fontId="4" fillId="16" borderId="39" xfId="0" applyFont="1" applyFill="1" applyBorder="1" applyAlignment="1">
      <alignment horizontal="center" vertical="center" wrapText="1"/>
    </xf>
    <xf numFmtId="0" fontId="4" fillId="16" borderId="41" xfId="0" applyFont="1" applyFill="1" applyBorder="1" applyAlignment="1">
      <alignment horizontal="center" vertical="center"/>
    </xf>
    <xf numFmtId="0" fontId="4" fillId="16" borderId="74" xfId="0" applyFont="1" applyFill="1" applyBorder="1" applyAlignment="1">
      <alignment horizontal="center" vertical="center"/>
    </xf>
    <xf numFmtId="0" fontId="2" fillId="16" borderId="64" xfId="0" applyFont="1" applyFill="1" applyBorder="1" applyAlignment="1">
      <alignment horizontal="center" vertical="center" wrapText="1"/>
    </xf>
    <xf numFmtId="0" fontId="2" fillId="16" borderId="58" xfId="0" applyFont="1" applyFill="1" applyBorder="1" applyAlignment="1">
      <alignment horizontal="center" vertical="center" wrapText="1"/>
    </xf>
    <xf numFmtId="1" fontId="4" fillId="16" borderId="16" xfId="0" applyNumberFormat="1" applyFont="1" applyFill="1" applyBorder="1" applyAlignment="1">
      <alignment horizontal="center" vertical="center" wrapText="1"/>
    </xf>
    <xf numFmtId="1" fontId="4" fillId="16" borderId="17" xfId="0" applyNumberFormat="1" applyFont="1" applyFill="1" applyBorder="1" applyAlignment="1">
      <alignment horizontal="center" vertical="center" wrapText="1"/>
    </xf>
    <xf numFmtId="1" fontId="4" fillId="16" borderId="18" xfId="0" applyNumberFormat="1" applyFont="1" applyFill="1" applyBorder="1" applyAlignment="1">
      <alignment horizontal="center" vertical="center" wrapText="1"/>
    </xf>
    <xf numFmtId="0" fontId="4" fillId="16" borderId="16" xfId="0" applyFont="1" applyFill="1" applyBorder="1" applyAlignment="1">
      <alignment horizontal="center" vertical="center" wrapText="1"/>
    </xf>
    <xf numFmtId="0" fontId="4" fillId="16" borderId="18" xfId="0" applyFont="1" applyFill="1" applyBorder="1" applyAlignment="1">
      <alignment horizontal="center" vertical="center" wrapText="1"/>
    </xf>
    <xf numFmtId="4" fontId="2" fillId="16" borderId="16" xfId="0" applyNumberFormat="1" applyFont="1" applyFill="1" applyBorder="1" applyAlignment="1">
      <alignment horizontal="center" vertical="center" wrapText="1"/>
    </xf>
    <xf numFmtId="4" fontId="2" fillId="16" borderId="18" xfId="0" applyNumberFormat="1" applyFont="1" applyFill="1" applyBorder="1" applyAlignment="1">
      <alignment horizontal="center" vertical="center" wrapText="1"/>
    </xf>
    <xf numFmtId="4" fontId="21" fillId="16" borderId="75" xfId="0" applyNumberFormat="1" applyFont="1" applyFill="1" applyBorder="1" applyAlignment="1">
      <alignment horizontal="center" vertical="center" wrapText="1"/>
    </xf>
    <xf numFmtId="4" fontId="21" fillId="16" borderId="40" xfId="0" applyNumberFormat="1" applyFont="1" applyFill="1" applyBorder="1" applyAlignment="1">
      <alignment horizontal="center" vertical="center" wrapText="1"/>
    </xf>
    <xf numFmtId="4" fontId="21" fillId="16" borderId="65" xfId="0" applyNumberFormat="1" applyFont="1" applyFill="1" applyBorder="1" applyAlignment="1">
      <alignment horizontal="center" vertical="center" wrapText="1"/>
    </xf>
    <xf numFmtId="4" fontId="21" fillId="16" borderId="30" xfId="0" applyNumberFormat="1" applyFont="1" applyFill="1" applyBorder="1" applyAlignment="1">
      <alignment horizontal="center" vertical="center" wrapText="1"/>
    </xf>
    <xf numFmtId="4" fontId="2" fillId="16" borderId="73" xfId="0" applyNumberFormat="1" applyFont="1" applyFill="1" applyBorder="1" applyAlignment="1">
      <alignment horizontal="center" vertical="center" wrapText="1"/>
    </xf>
    <xf numFmtId="4" fontId="2" fillId="16" borderId="40" xfId="0" applyNumberFormat="1" applyFont="1" applyFill="1" applyBorder="1" applyAlignment="1">
      <alignment horizontal="center" vertical="center" wrapText="1"/>
    </xf>
    <xf numFmtId="0" fontId="4" fillId="16" borderId="17" xfId="0" applyFont="1" applyFill="1" applyBorder="1" applyAlignment="1">
      <alignment horizontal="center" vertical="center" wrapText="1"/>
    </xf>
    <xf numFmtId="0" fontId="2" fillId="16" borderId="63" xfId="0" applyFont="1" applyFill="1" applyBorder="1" applyAlignment="1">
      <alignment horizontal="center" vertical="center" wrapText="1"/>
    </xf>
    <xf numFmtId="0" fontId="2" fillId="16" borderId="52" xfId="0" applyFont="1" applyFill="1" applyBorder="1" applyAlignment="1">
      <alignment horizontal="center" vertical="center" wrapText="1"/>
    </xf>
    <xf numFmtId="0" fontId="2" fillId="16" borderId="71" xfId="0" applyFont="1" applyFill="1" applyBorder="1" applyAlignment="1">
      <alignment horizontal="center" vertical="center" wrapText="1"/>
    </xf>
    <xf numFmtId="0" fontId="2" fillId="16" borderId="38" xfId="0" applyFont="1" applyFill="1" applyBorder="1" applyAlignment="1">
      <alignment horizontal="center" vertical="center" wrapText="1"/>
    </xf>
    <xf numFmtId="4" fontId="26" fillId="16" borderId="17" xfId="0" applyNumberFormat="1" applyFont="1" applyFill="1" applyBorder="1" applyAlignment="1">
      <alignment horizontal="center" vertical="center"/>
    </xf>
    <xf numFmtId="4" fontId="2" fillId="16" borderId="71" xfId="0" applyNumberFormat="1" applyFont="1" applyFill="1" applyBorder="1" applyAlignment="1">
      <alignment horizontal="center" vertical="center" wrapText="1"/>
    </xf>
    <xf numFmtId="4" fontId="2" fillId="16" borderId="38" xfId="0" applyNumberFormat="1" applyFont="1" applyFill="1" applyBorder="1" applyAlignment="1">
      <alignment horizontal="center" vertical="center" wrapText="1"/>
    </xf>
    <xf numFmtId="0" fontId="21" fillId="16" borderId="58" xfId="0" applyFont="1" applyFill="1" applyBorder="1" applyAlignment="1">
      <alignment horizontal="center" vertical="center" wrapText="1"/>
    </xf>
    <xf numFmtId="0" fontId="21" fillId="16" borderId="20" xfId="0" applyFont="1" applyFill="1" applyBorder="1" applyAlignment="1">
      <alignment horizontal="center" vertical="center" wrapText="1"/>
    </xf>
    <xf numFmtId="0" fontId="2" fillId="16" borderId="72" xfId="0" applyFont="1" applyFill="1" applyBorder="1" applyAlignment="1">
      <alignment horizontal="center" vertical="center" wrapText="1"/>
    </xf>
    <xf numFmtId="0" fontId="2" fillId="16" borderId="39" xfId="0" applyFont="1" applyFill="1" applyBorder="1" applyAlignment="1">
      <alignment horizontal="center" vertical="center" wrapText="1"/>
    </xf>
    <xf numFmtId="17" fontId="4" fillId="16" borderId="64" xfId="0" applyNumberFormat="1" applyFont="1" applyFill="1" applyBorder="1" applyAlignment="1">
      <alignment horizontal="center" vertical="center" wrapText="1"/>
    </xf>
    <xf numFmtId="0" fontId="4" fillId="16" borderId="76" xfId="0" applyFont="1" applyFill="1" applyBorder="1" applyAlignment="1">
      <alignment horizontal="center" vertical="center" wrapText="1"/>
    </xf>
    <xf numFmtId="0" fontId="4" fillId="16" borderId="35" xfId="0" applyFont="1" applyFill="1" applyBorder="1" applyAlignment="1">
      <alignment horizontal="center" vertical="center" wrapText="1"/>
    </xf>
    <xf numFmtId="0" fontId="4" fillId="16" borderId="62" xfId="0" applyFont="1" applyFill="1" applyBorder="1" applyAlignment="1">
      <alignment horizontal="center" vertical="center" wrapText="1"/>
    </xf>
    <xf numFmtId="0" fontId="4" fillId="16" borderId="23" xfId="0" applyFont="1" applyFill="1" applyBorder="1" applyAlignment="1">
      <alignment horizontal="center" vertical="center" wrapText="1"/>
    </xf>
    <xf numFmtId="0" fontId="4" fillId="16" borderId="40" xfId="0" applyFont="1" applyFill="1" applyBorder="1" applyAlignment="1">
      <alignment horizontal="center" vertical="center" wrapText="1"/>
    </xf>
    <xf numFmtId="0" fontId="30" fillId="16" borderId="29" xfId="0" applyFont="1" applyFill="1" applyBorder="1" applyAlignment="1">
      <alignment horizontal="center" vertical="center"/>
    </xf>
    <xf numFmtId="0" fontId="30" fillId="16" borderId="46" xfId="0" applyFont="1" applyFill="1" applyBorder="1" applyAlignment="1">
      <alignment horizontal="center" vertical="center"/>
    </xf>
    <xf numFmtId="0" fontId="30" fillId="16" borderId="43" xfId="0" applyFont="1" applyFill="1" applyBorder="1" applyAlignment="1">
      <alignment horizontal="center" vertical="center"/>
    </xf>
    <xf numFmtId="0" fontId="4" fillId="16" borderId="72" xfId="0" applyFont="1" applyFill="1" applyBorder="1" applyAlignment="1">
      <alignment horizontal="center" wrapText="1"/>
    </xf>
    <xf numFmtId="0" fontId="4" fillId="16" borderId="59" xfId="0" applyFont="1" applyFill="1" applyBorder="1" applyAlignment="1">
      <alignment horizontal="center" wrapText="1"/>
    </xf>
    <xf numFmtId="0" fontId="4" fillId="16" borderId="57" xfId="0" applyFont="1" applyFill="1" applyBorder="1" applyAlignment="1">
      <alignment horizontal="center" vertical="center"/>
    </xf>
    <xf numFmtId="0" fontId="4" fillId="17" borderId="63" xfId="0" applyFont="1" applyFill="1" applyBorder="1" applyAlignment="1">
      <alignment horizontal="center" wrapText="1"/>
    </xf>
    <xf numFmtId="0" fontId="4" fillId="17" borderId="53" xfId="0" applyFont="1" applyFill="1" applyBorder="1" applyAlignment="1">
      <alignment horizontal="center" wrapText="1"/>
    </xf>
    <xf numFmtId="0" fontId="2" fillId="16" borderId="20" xfId="0" applyFont="1" applyFill="1" applyBorder="1" applyAlignment="1">
      <alignment horizontal="center" vertical="center" wrapText="1"/>
    </xf>
    <xf numFmtId="0" fontId="2" fillId="16" borderId="37" xfId="0" applyFont="1" applyFill="1" applyBorder="1" applyAlignment="1">
      <alignment horizontal="center" vertical="center" wrapText="1"/>
    </xf>
    <xf numFmtId="4" fontId="30" fillId="16" borderId="64" xfId="0" applyNumberFormat="1" applyFont="1" applyFill="1" applyBorder="1" applyAlignment="1">
      <alignment horizontal="center" vertical="center" wrapText="1"/>
    </xf>
    <xf numFmtId="4" fontId="30" fillId="16" borderId="66" xfId="0" applyNumberFormat="1" applyFont="1" applyFill="1" applyBorder="1" applyAlignment="1">
      <alignment horizontal="center" vertical="center" wrapText="1"/>
    </xf>
    <xf numFmtId="4" fontId="30" fillId="16" borderId="58" xfId="0" applyNumberFormat="1" applyFont="1" applyFill="1" applyBorder="1" applyAlignment="1">
      <alignment horizontal="center" vertical="center" wrapText="1"/>
    </xf>
    <xf numFmtId="4" fontId="30" fillId="16" borderId="77" xfId="0" applyNumberFormat="1" applyFont="1" applyFill="1" applyBorder="1" applyAlignment="1">
      <alignment horizontal="center" vertical="center" wrapText="1"/>
    </xf>
    <xf numFmtId="0" fontId="31" fillId="16" borderId="64" xfId="0" applyFont="1" applyFill="1" applyBorder="1" applyAlignment="1">
      <alignment horizontal="center" vertical="center" wrapText="1"/>
    </xf>
    <xf numFmtId="0" fontId="31" fillId="16" borderId="66" xfId="0" applyFont="1" applyFill="1" applyBorder="1" applyAlignment="1">
      <alignment horizontal="center" vertical="center" wrapText="1"/>
    </xf>
    <xf numFmtId="0" fontId="31" fillId="16" borderId="76" xfId="0" applyFont="1" applyFill="1" applyBorder="1" applyAlignment="1">
      <alignment horizontal="center" vertical="center" wrapText="1"/>
    </xf>
    <xf numFmtId="0" fontId="31" fillId="16" borderId="58" xfId="0" applyFont="1" applyFill="1" applyBorder="1" applyAlignment="1">
      <alignment horizontal="center" vertical="center" wrapText="1"/>
    </xf>
    <xf numFmtId="0" fontId="31" fillId="16" borderId="77" xfId="0" applyFont="1" applyFill="1" applyBorder="1" applyAlignment="1">
      <alignment horizontal="center" vertical="center" wrapText="1"/>
    </xf>
    <xf numFmtId="0" fontId="31" fillId="16" borderId="20" xfId="0" applyFont="1" applyFill="1" applyBorder="1" applyAlignment="1">
      <alignment horizontal="center" vertical="center" wrapText="1"/>
    </xf>
    <xf numFmtId="1" fontId="4" fillId="16" borderId="64" xfId="0" applyNumberFormat="1" applyFont="1" applyFill="1" applyBorder="1" applyAlignment="1">
      <alignment horizontal="center" vertical="center" wrapText="1"/>
    </xf>
    <xf numFmtId="1" fontId="4" fillId="16" borderId="66" xfId="0" applyNumberFormat="1" applyFont="1" applyFill="1" applyBorder="1" applyAlignment="1">
      <alignment horizontal="center" vertical="center" wrapText="1"/>
    </xf>
    <xf numFmtId="1" fontId="4" fillId="16" borderId="76" xfId="0" applyNumberFormat="1" applyFont="1" applyFill="1" applyBorder="1" applyAlignment="1">
      <alignment horizontal="center" vertical="center" wrapText="1"/>
    </xf>
    <xf numFmtId="1" fontId="4" fillId="16" borderId="58" xfId="0" applyNumberFormat="1" applyFont="1" applyFill="1" applyBorder="1" applyAlignment="1">
      <alignment horizontal="center" vertical="center" wrapText="1"/>
    </xf>
    <xf numFmtId="1" fontId="4" fillId="16" borderId="77" xfId="0" applyNumberFormat="1" applyFont="1" applyFill="1" applyBorder="1" applyAlignment="1">
      <alignment horizontal="center" vertical="center" wrapText="1"/>
    </xf>
    <xf numFmtId="1" fontId="4" fillId="16" borderId="20" xfId="0" applyNumberFormat="1" applyFont="1" applyFill="1" applyBorder="1" applyAlignment="1">
      <alignment horizontal="center" vertical="center" wrapText="1"/>
    </xf>
    <xf numFmtId="0" fontId="4" fillId="16" borderId="64" xfId="0" applyFont="1" applyFill="1" applyBorder="1" applyAlignment="1">
      <alignment horizontal="center" vertical="center" wrapText="1"/>
    </xf>
    <xf numFmtId="0" fontId="4" fillId="16" borderId="58" xfId="0" applyFont="1" applyFill="1" applyBorder="1" applyAlignment="1">
      <alignment horizontal="center" vertical="center" wrapText="1"/>
    </xf>
    <xf numFmtId="0" fontId="4" fillId="16" borderId="20" xfId="0" applyFont="1" applyFill="1" applyBorder="1" applyAlignment="1">
      <alignment horizontal="center" vertical="center" wrapText="1"/>
    </xf>
    <xf numFmtId="0" fontId="2" fillId="16" borderId="16" xfId="0" applyFont="1" applyFill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vertical="center" wrapText="1"/>
    </xf>
    <xf numFmtId="0" fontId="23" fillId="16" borderId="21" xfId="0" applyFont="1" applyFill="1" applyBorder="1" applyAlignment="1">
      <alignment horizontal="center" vertical="center" wrapText="1"/>
    </xf>
    <xf numFmtId="0" fontId="23" fillId="16" borderId="39" xfId="0" applyFont="1" applyFill="1" applyBorder="1" applyAlignment="1">
      <alignment horizontal="center" vertical="center" wrapText="1"/>
    </xf>
    <xf numFmtId="0" fontId="30" fillId="16" borderId="75" xfId="0" applyFont="1" applyFill="1" applyBorder="1" applyAlignment="1">
      <alignment horizontal="center" vertical="center" wrapText="1"/>
    </xf>
    <xf numFmtId="0" fontId="30" fillId="16" borderId="78" xfId="0" applyFont="1" applyFill="1" applyBorder="1" applyAlignment="1">
      <alignment horizontal="center" vertical="center" wrapText="1"/>
    </xf>
    <xf numFmtId="0" fontId="30" fillId="16" borderId="70" xfId="0" applyFont="1" applyFill="1" applyBorder="1" applyAlignment="1">
      <alignment horizontal="center" vertical="center" wrapText="1"/>
    </xf>
    <xf numFmtId="0" fontId="30" fillId="16" borderId="73" xfId="0" applyFont="1" applyFill="1" applyBorder="1" applyAlignment="1">
      <alignment horizontal="center" vertical="center" wrapText="1"/>
    </xf>
    <xf numFmtId="0" fontId="30" fillId="16" borderId="68" xfId="0" applyFont="1" applyFill="1" applyBorder="1" applyAlignment="1">
      <alignment horizontal="center" vertical="center" wrapText="1"/>
    </xf>
    <xf numFmtId="0" fontId="30" fillId="16" borderId="40" xfId="0" applyFont="1" applyFill="1" applyBorder="1" applyAlignment="1">
      <alignment horizontal="center" vertical="center" wrapText="1"/>
    </xf>
    <xf numFmtId="0" fontId="4" fillId="16" borderId="65" xfId="0" applyFont="1" applyFill="1" applyBorder="1" applyAlignment="1">
      <alignment horizontal="center" vertical="center" wrapText="1"/>
    </xf>
    <xf numFmtId="0" fontId="4" fillId="16" borderId="69" xfId="0" applyFont="1" applyFill="1" applyBorder="1" applyAlignment="1">
      <alignment horizontal="center" vertical="center" wrapText="1"/>
    </xf>
    <xf numFmtId="0" fontId="4" fillId="16" borderId="30" xfId="0" applyFont="1" applyFill="1" applyBorder="1" applyAlignment="1">
      <alignment horizontal="center" vertical="center" wrapText="1"/>
    </xf>
    <xf numFmtId="0" fontId="4" fillId="16" borderId="37" xfId="0" applyFont="1" applyFill="1" applyBorder="1" applyAlignment="1">
      <alignment horizontal="center" vertical="center" wrapText="1"/>
    </xf>
    <xf numFmtId="0" fontId="4" fillId="16" borderId="56" xfId="0" applyFont="1" applyFill="1" applyBorder="1" applyAlignment="1">
      <alignment horizontal="center" vertical="center"/>
    </xf>
    <xf numFmtId="0" fontId="23" fillId="16" borderId="29" xfId="0" applyFont="1" applyFill="1" applyBorder="1" applyAlignment="1">
      <alignment horizontal="center" vertical="center"/>
    </xf>
    <xf numFmtId="0" fontId="23" fillId="16" borderId="46" xfId="0" applyFont="1" applyFill="1" applyBorder="1" applyAlignment="1">
      <alignment horizontal="center" vertical="center"/>
    </xf>
    <xf numFmtId="0" fontId="23" fillId="16" borderId="43" xfId="0" applyFont="1" applyFill="1" applyBorder="1" applyAlignment="1">
      <alignment horizontal="center" vertical="center"/>
    </xf>
    <xf numFmtId="0" fontId="4" fillId="16" borderId="56" xfId="0" applyFont="1" applyFill="1" applyBorder="1" applyAlignment="1">
      <alignment horizontal="center" vertical="center" wrapText="1"/>
    </xf>
    <xf numFmtId="0" fontId="4" fillId="16" borderId="74" xfId="0" applyFont="1" applyFill="1" applyBorder="1" applyAlignment="1">
      <alignment horizontal="center" vertical="center" wrapText="1"/>
    </xf>
    <xf numFmtId="0" fontId="4" fillId="16" borderId="57" xfId="0" applyFont="1" applyFill="1" applyBorder="1" applyAlignment="1">
      <alignment horizontal="center" vertical="center" wrapText="1"/>
    </xf>
    <xf numFmtId="0" fontId="23" fillId="16" borderId="23" xfId="0" applyFont="1" applyFill="1" applyBorder="1" applyAlignment="1">
      <alignment horizontal="center" vertical="center" wrapText="1"/>
    </xf>
    <xf numFmtId="0" fontId="23" fillId="16" borderId="40" xfId="0" applyFont="1" applyFill="1" applyBorder="1" applyAlignment="1">
      <alignment horizontal="center" vertical="center" wrapText="1"/>
    </xf>
    <xf numFmtId="0" fontId="23" fillId="16" borderId="24" xfId="0" applyFont="1" applyFill="1" applyBorder="1" applyAlignment="1">
      <alignment horizontal="center" vertical="center" wrapText="1"/>
    </xf>
    <xf numFmtId="0" fontId="23" fillId="16" borderId="38" xfId="0" applyFont="1" applyFill="1" applyBorder="1" applyAlignment="1">
      <alignment horizontal="center" vertical="center" wrapText="1"/>
    </xf>
    <xf numFmtId="0" fontId="4" fillId="16" borderId="64" xfId="0" applyFont="1" applyFill="1" applyBorder="1" applyAlignment="1">
      <alignment horizontal="center" wrapText="1"/>
    </xf>
    <xf numFmtId="0" fontId="4" fillId="16" borderId="37" xfId="0" applyFont="1" applyFill="1" applyBorder="1" applyAlignment="1">
      <alignment horizontal="center" wrapText="1"/>
    </xf>
    <xf numFmtId="4" fontId="4" fillId="16" borderId="63" xfId="0" applyNumberFormat="1" applyFont="1" applyFill="1" applyBorder="1" applyAlignment="1">
      <alignment horizontal="center" vertical="center" wrapText="1"/>
    </xf>
    <xf numFmtId="4" fontId="4" fillId="16" borderId="53" xfId="0" applyNumberFormat="1" applyFont="1" applyFill="1" applyBorder="1" applyAlignment="1">
      <alignment horizontal="center" vertical="center" wrapText="1"/>
    </xf>
    <xf numFmtId="0" fontId="31" fillId="16" borderId="56" xfId="0" applyFont="1" applyFill="1" applyBorder="1" applyAlignment="1">
      <alignment horizontal="center" vertical="center"/>
    </xf>
    <xf numFmtId="0" fontId="31" fillId="16" borderId="74" xfId="0" applyFont="1" applyFill="1" applyBorder="1" applyAlignment="1">
      <alignment horizontal="center" vertical="center"/>
    </xf>
    <xf numFmtId="0" fontId="31" fillId="16" borderId="57" xfId="0" applyFont="1" applyFill="1" applyBorder="1" applyAlignment="1">
      <alignment horizontal="center" vertical="center"/>
    </xf>
    <xf numFmtId="0" fontId="4" fillId="16" borderId="63" xfId="0" applyFont="1" applyFill="1" applyBorder="1" applyAlignment="1">
      <alignment horizontal="center" vertical="center" wrapText="1"/>
    </xf>
    <xf numFmtId="0" fontId="4" fillId="16" borderId="19" xfId="0" applyFont="1" applyFill="1" applyBorder="1" applyAlignment="1">
      <alignment horizontal="center" vertical="center" wrapText="1"/>
    </xf>
    <xf numFmtId="0" fontId="4" fillId="16" borderId="71" xfId="0" applyFont="1" applyFill="1" applyBorder="1" applyAlignment="1">
      <alignment horizontal="center" wrapText="1"/>
    </xf>
    <xf numFmtId="0" fontId="4" fillId="16" borderId="67" xfId="0" applyFont="1" applyFill="1" applyBorder="1" applyAlignment="1">
      <alignment horizontal="center" wrapText="1"/>
    </xf>
    <xf numFmtId="4" fontId="31" fillId="16" borderId="56" xfId="0" applyNumberFormat="1" applyFont="1" applyFill="1" applyBorder="1" applyAlignment="1">
      <alignment horizontal="center" vertical="center" wrapText="1"/>
    </xf>
    <xf numFmtId="4" fontId="31" fillId="16" borderId="74" xfId="0" applyNumberFormat="1" applyFont="1" applyFill="1" applyBorder="1" applyAlignment="1">
      <alignment horizontal="center" vertical="center" wrapText="1"/>
    </xf>
    <xf numFmtId="4" fontId="31" fillId="16" borderId="55" xfId="0" applyNumberFormat="1" applyFont="1" applyFill="1" applyBorder="1" applyAlignment="1">
      <alignment horizontal="center" vertical="center" wrapText="1"/>
    </xf>
    <xf numFmtId="4" fontId="31" fillId="16" borderId="41" xfId="0" applyNumberFormat="1" applyFont="1" applyFill="1" applyBorder="1" applyAlignment="1">
      <alignment horizontal="center" vertical="center" wrapText="1"/>
    </xf>
    <xf numFmtId="4" fontId="31" fillId="16" borderId="57" xfId="0" applyNumberFormat="1" applyFont="1" applyFill="1" applyBorder="1" applyAlignment="1">
      <alignment horizontal="center" vertical="center" wrapText="1"/>
    </xf>
    <xf numFmtId="0" fontId="2" fillId="16" borderId="73" xfId="0" applyFont="1" applyFill="1" applyBorder="1" applyAlignment="1">
      <alignment horizontal="center" vertical="center" wrapText="1"/>
    </xf>
    <xf numFmtId="0" fontId="2" fillId="16" borderId="68" xfId="0" applyFont="1" applyFill="1" applyBorder="1" applyAlignment="1">
      <alignment horizontal="center" vertical="center" wrapText="1"/>
    </xf>
    <xf numFmtId="0" fontId="2" fillId="16" borderId="40" xfId="0" applyFont="1" applyFill="1" applyBorder="1" applyAlignment="1">
      <alignment horizontal="center" vertical="center" wrapText="1"/>
    </xf>
    <xf numFmtId="0" fontId="4" fillId="16" borderId="53" xfId="0" applyFont="1" applyFill="1" applyBorder="1" applyAlignment="1">
      <alignment horizontal="center" vertical="center" wrapText="1"/>
    </xf>
    <xf numFmtId="0" fontId="4" fillId="16" borderId="52" xfId="0" applyFont="1" applyFill="1" applyBorder="1" applyAlignment="1">
      <alignment horizontal="center" vertical="center" wrapText="1"/>
    </xf>
    <xf numFmtId="0" fontId="30" fillId="16" borderId="71" xfId="0" applyFont="1" applyFill="1" applyBorder="1" applyAlignment="1">
      <alignment horizontal="center" vertical="center" wrapText="1"/>
    </xf>
    <xf numFmtId="0" fontId="30" fillId="16" borderId="67" xfId="0" applyFont="1" applyFill="1" applyBorder="1" applyAlignment="1">
      <alignment horizontal="center" vertical="center" wrapText="1"/>
    </xf>
    <xf numFmtId="0" fontId="30" fillId="16" borderId="38" xfId="0" applyFont="1" applyFill="1" applyBorder="1" applyAlignment="1">
      <alignment horizontal="center" vertical="center" wrapText="1"/>
    </xf>
    <xf numFmtId="0" fontId="30" fillId="16" borderId="72" xfId="0" applyFont="1" applyFill="1" applyBorder="1" applyAlignment="1">
      <alignment horizontal="center" vertical="center" wrapText="1"/>
    </xf>
    <xf numFmtId="0" fontId="30" fillId="16" borderId="59" xfId="0" applyFont="1" applyFill="1" applyBorder="1" applyAlignment="1">
      <alignment horizontal="center" vertical="center" wrapText="1"/>
    </xf>
    <xf numFmtId="0" fontId="30" fillId="16" borderId="39" xfId="0" applyFont="1" applyFill="1" applyBorder="1" applyAlignment="1">
      <alignment horizontal="center" vertical="center" wrapText="1"/>
    </xf>
    <xf numFmtId="0" fontId="2" fillId="16" borderId="59" xfId="0" applyFont="1" applyFill="1" applyBorder="1" applyAlignment="1">
      <alignment horizontal="center" vertical="center" wrapText="1"/>
    </xf>
    <xf numFmtId="0" fontId="2" fillId="16" borderId="53" xfId="0" applyFont="1" applyFill="1" applyBorder="1" applyAlignment="1">
      <alignment horizontal="center" vertical="center" wrapText="1"/>
    </xf>
    <xf numFmtId="0" fontId="33" fillId="16" borderId="23" xfId="0" applyFont="1" applyFill="1" applyBorder="1" applyAlignment="1">
      <alignment horizontal="center" vertical="center" wrapText="1"/>
    </xf>
    <xf numFmtId="0" fontId="33" fillId="16" borderId="40" xfId="0" applyFont="1" applyFill="1" applyBorder="1" applyAlignment="1">
      <alignment horizontal="center" vertical="center" wrapText="1"/>
    </xf>
    <xf numFmtId="0" fontId="2" fillId="16" borderId="23" xfId="0" applyFont="1" applyFill="1" applyBorder="1" applyAlignment="1">
      <alignment horizontal="center" vertical="center" wrapText="1"/>
    </xf>
    <xf numFmtId="0" fontId="2" fillId="16" borderId="67" xfId="0" applyFont="1" applyFill="1" applyBorder="1" applyAlignment="1">
      <alignment horizontal="center" vertical="center" wrapText="1"/>
    </xf>
    <xf numFmtId="0" fontId="2" fillId="16" borderId="41" xfId="0" applyFont="1" applyFill="1" applyBorder="1" applyAlignment="1">
      <alignment horizontal="center" vertical="center" wrapText="1"/>
    </xf>
    <xf numFmtId="0" fontId="2" fillId="16" borderId="74" xfId="0" applyFont="1" applyFill="1" applyBorder="1" applyAlignment="1">
      <alignment horizontal="center" vertical="center" wrapText="1"/>
    </xf>
    <xf numFmtId="0" fontId="2" fillId="16" borderId="5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4" fillId="0" borderId="0" xfId="0" applyFont="1" applyAlignment="1">
      <alignment horizontal="center" vertical="center"/>
    </xf>
  </cellXfs>
  <cellStyles count="30">
    <cellStyle name="_Грузия" xfId="1"/>
    <cellStyle name="_Казахстан " xfId="2"/>
    <cellStyle name="Акцент1" xfId="3" builtinId="29" customBuiltin="1"/>
    <cellStyle name="Акцент2" xfId="4" builtinId="33" customBuiltin="1"/>
    <cellStyle name="Акцент3" xfId="5" builtinId="37" customBuiltin="1"/>
    <cellStyle name="Акцент4" xfId="6" builtinId="41" customBuiltin="1"/>
    <cellStyle name="Акцент5" xfId="7" builtinId="45" customBuiltin="1"/>
    <cellStyle name="Акцент6" xfId="8" builtinId="49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10" xfId="19"/>
    <cellStyle name="Обычный 2" xfId="20"/>
    <cellStyle name="Обычный 2 2" xfId="21"/>
    <cellStyle name="Плохой" xfId="22" builtinId="27" customBuiltin="1"/>
    <cellStyle name="Пояснение" xfId="23" builtinId="53" customBuiltin="1"/>
    <cellStyle name="Процентный" xfId="24" builtinId="5"/>
    <cellStyle name="Процентный 2" xfId="25"/>
    <cellStyle name="Связанная ячейка" xfId="26" builtinId="24" customBuiltin="1"/>
    <cellStyle name="Текст предупреждения" xfId="27" builtinId="11" customBuiltin="1"/>
    <cellStyle name="Финансовый 2" xfId="28"/>
    <cellStyle name="Хороший" xfId="29" builtinId="26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00"/>
      <rgbColor rgb="00333300"/>
      <rgbColor rgb="00003300"/>
      <rgbColor rgb="00003366"/>
      <rgbColor rgb="00000080"/>
      <rgbColor rgb="00333399"/>
      <rgbColor rgb="00333333"/>
      <rgbColor rgb="00800000"/>
      <rgbColor rgb="00FF6600"/>
      <rgbColor rgb="00808000"/>
      <rgbColor rgb="00008000"/>
      <rgbColor rgb="00008080"/>
      <rgbColor rgb="00666699"/>
      <rgbColor rgb="00808080"/>
      <rgbColor rgb="00FF9900"/>
      <rgbColor rgb="0099CC00"/>
      <rgbColor rgb="00339966"/>
      <rgbColor rgb="0033CCCC"/>
      <rgbColor rgb="003366FF"/>
      <rgbColor rgb="00800080"/>
      <rgbColor rgb="00999999"/>
      <rgbColor rgb="00FFCC00"/>
      <rgbColor rgb="0000CCFF"/>
      <rgbColor rgb="00993366"/>
      <rgbColor rgb="00C0C0C0"/>
      <rgbColor rgb="00FF99CC"/>
      <rgbColor rgb="00FFCC99"/>
      <rgbColor rgb="00FFFF99"/>
      <rgbColor rgb="00CCFFCC"/>
      <rgbColor rgb="00CCFFFF"/>
      <rgbColor rgb="0099CCFF"/>
      <rgbColor rgb="00CC99F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Q15"/>
  <sheetViews>
    <sheetView zoomScale="85" zoomScaleNormal="85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N14" sqref="N14"/>
    </sheetView>
  </sheetViews>
  <sheetFormatPr defaultColWidth="8.7109375" defaultRowHeight="12.75" outlineLevelCol="1" x14ac:dyDescent="0.2"/>
  <cols>
    <col min="1" max="1" width="9.140625" style="4" customWidth="1"/>
    <col min="2" max="2" width="11.7109375" style="6" customWidth="1"/>
    <col min="3" max="3" width="15.140625" style="6" bestFit="1" customWidth="1"/>
    <col min="4" max="4" width="11.7109375" style="6" customWidth="1"/>
    <col min="5" max="5" width="10" style="5" customWidth="1"/>
    <col min="6" max="6" width="10" style="5" hidden="1" customWidth="1" outlineLevel="1"/>
    <col min="7" max="10" width="10" style="2" hidden="1" customWidth="1" outlineLevel="1"/>
    <col min="11" max="11" width="9.5703125" style="3" customWidth="1" collapsed="1"/>
    <col min="12" max="12" width="9.5703125" style="2" customWidth="1"/>
    <col min="13" max="13" width="10" style="1" customWidth="1"/>
    <col min="14" max="14" width="10" style="2" customWidth="1"/>
    <col min="15" max="16" width="10" style="2" hidden="1" customWidth="1" outlineLevel="1"/>
    <col min="17" max="17" width="10" style="2" customWidth="1" collapsed="1"/>
    <col min="18" max="18" width="10" style="2" customWidth="1"/>
    <col min="19" max="19" width="10" style="2" customWidth="1" collapsed="1"/>
    <col min="20" max="20" width="10" style="2" customWidth="1"/>
    <col min="21" max="21" width="8.5703125" bestFit="1" customWidth="1"/>
    <col min="22" max="22" width="7.42578125" style="2" customWidth="1"/>
    <col min="23" max="23" width="8.5703125" bestFit="1" customWidth="1"/>
    <col min="24" max="26" width="7.42578125" customWidth="1"/>
    <col min="27" max="27" width="8.5703125" bestFit="1" customWidth="1"/>
    <col min="28" max="28" width="7.42578125" customWidth="1"/>
    <col min="29" max="29" width="8.5703125" bestFit="1" customWidth="1"/>
    <col min="30" max="30" width="7.42578125" customWidth="1"/>
    <col min="31" max="32" width="11.28515625" customWidth="1"/>
    <col min="33" max="34" width="10.5703125" style="2" customWidth="1"/>
    <col min="35" max="35" width="10.5703125" style="2" hidden="1" customWidth="1" outlineLevel="1"/>
    <col min="36" max="37" width="10.7109375" style="2" hidden="1" customWidth="1" outlineLevel="1"/>
    <col min="38" max="38" width="10" style="2" hidden="1" customWidth="1" outlineLevel="1"/>
    <col min="39" max="39" width="13.42578125" style="2" hidden="1" customWidth="1" outlineLevel="1"/>
    <col min="40" max="42" width="10" style="2" hidden="1" customWidth="1" outlineLevel="1"/>
    <col min="43" max="43" width="10" style="2" customWidth="1" collapsed="1"/>
  </cols>
  <sheetData>
    <row r="1" spans="1:43" ht="27.75" customHeight="1" x14ac:dyDescent="0.2">
      <c r="A1" s="10"/>
      <c r="B1" s="195" t="s">
        <v>18</v>
      </c>
      <c r="C1" s="196"/>
      <c r="D1" s="196"/>
      <c r="E1" s="196"/>
      <c r="F1" s="11"/>
      <c r="K1" s="37" t="s">
        <v>40</v>
      </c>
      <c r="L1" s="9">
        <v>27</v>
      </c>
      <c r="N1"/>
      <c r="O1"/>
      <c r="P1"/>
      <c r="Q1"/>
      <c r="R1"/>
      <c r="S1"/>
      <c r="T1"/>
      <c r="AL1" s="197" t="s">
        <v>32</v>
      </c>
      <c r="AM1" s="197"/>
      <c r="AN1" s="9" t="e">
        <f>SUMPRODUCT(#REF!,#REF!,#REF!)</f>
        <v>#REF!</v>
      </c>
    </row>
    <row r="2" spans="1:43" ht="27.75" customHeight="1" x14ac:dyDescent="0.2">
      <c r="A2" s="12"/>
      <c r="B2" s="195" t="s">
        <v>5</v>
      </c>
      <c r="C2" s="196"/>
      <c r="D2" s="196"/>
      <c r="E2" s="196"/>
      <c r="F2" s="11"/>
      <c r="K2" s="2"/>
      <c r="M2" s="2"/>
      <c r="AL2" s="197" t="s">
        <v>28</v>
      </c>
      <c r="AM2" s="197"/>
      <c r="AN2" s="9" t="e">
        <f>SUMPRODUCT(#REF!,#REF!)</f>
        <v>#REF!</v>
      </c>
    </row>
    <row r="3" spans="1:43" s="8" customFormat="1" ht="27.75" customHeight="1" thickBot="1" x14ac:dyDescent="0.25">
      <c r="A3" s="13"/>
      <c r="B3" s="195" t="s">
        <v>19</v>
      </c>
      <c r="C3" s="196"/>
      <c r="D3" s="196"/>
      <c r="E3" s="196"/>
      <c r="F3" s="1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V3" s="7"/>
      <c r="AG3" s="7"/>
      <c r="AH3" s="7"/>
      <c r="AI3" s="7"/>
      <c r="AJ3" s="7"/>
      <c r="AK3" s="7"/>
      <c r="AL3" s="197" t="s">
        <v>29</v>
      </c>
      <c r="AM3" s="197"/>
      <c r="AN3" s="9" t="e">
        <f>SUMPRODUCT(#REF!,#REF!)</f>
        <v>#REF!</v>
      </c>
      <c r="AO3" s="7"/>
      <c r="AP3" s="7"/>
      <c r="AQ3" s="7"/>
    </row>
    <row r="4" spans="1:43" ht="48" customHeight="1" thickBot="1" x14ac:dyDescent="0.25">
      <c r="M4" s="198" t="s">
        <v>58</v>
      </c>
      <c r="N4" s="199"/>
      <c r="O4" s="199"/>
      <c r="P4" s="199"/>
      <c r="Q4" s="199"/>
      <c r="R4" s="199"/>
      <c r="S4" s="199"/>
      <c r="T4" s="200"/>
    </row>
    <row r="5" spans="1:43" ht="38.25" customHeight="1" thickBot="1" x14ac:dyDescent="0.25">
      <c r="A5" s="201" t="s">
        <v>0</v>
      </c>
      <c r="B5" s="203" t="s">
        <v>17</v>
      </c>
      <c r="C5" s="204"/>
      <c r="D5" s="204"/>
      <c r="E5" s="205" t="s">
        <v>42</v>
      </c>
      <c r="F5" s="207" t="s">
        <v>21</v>
      </c>
      <c r="G5" s="208"/>
      <c r="H5" s="208"/>
      <c r="I5" s="208"/>
      <c r="J5" s="209"/>
      <c r="K5" s="210" t="s">
        <v>14</v>
      </c>
      <c r="L5" s="211"/>
      <c r="M5" s="212" t="s">
        <v>55</v>
      </c>
      <c r="N5" s="213"/>
      <c r="O5" s="214" t="s">
        <v>2</v>
      </c>
      <c r="P5" s="216" t="s">
        <v>3</v>
      </c>
      <c r="Q5" s="212" t="s">
        <v>49</v>
      </c>
      <c r="R5" s="213"/>
      <c r="S5" s="212" t="s">
        <v>50</v>
      </c>
      <c r="T5" s="213"/>
      <c r="U5" s="210" t="s">
        <v>4</v>
      </c>
      <c r="V5" s="220"/>
      <c r="W5" s="220"/>
      <c r="X5" s="220"/>
      <c r="Y5" s="220"/>
      <c r="Z5" s="220"/>
      <c r="AA5" s="220"/>
      <c r="AB5" s="220"/>
      <c r="AC5" s="220"/>
      <c r="AD5" s="211"/>
      <c r="AE5" s="210" t="s">
        <v>20</v>
      </c>
      <c r="AF5" s="211"/>
      <c r="AG5" s="221" t="s">
        <v>41</v>
      </c>
      <c r="AH5" s="205" t="s">
        <v>43</v>
      </c>
      <c r="AI5" s="223" t="s">
        <v>44</v>
      </c>
      <c r="AJ5" s="230" t="s">
        <v>30</v>
      </c>
      <c r="AK5" s="218" t="s">
        <v>26</v>
      </c>
      <c r="AL5" s="218" t="s">
        <v>25</v>
      </c>
      <c r="AM5" s="218" t="s">
        <v>22</v>
      </c>
      <c r="AN5" s="218" t="s">
        <v>23</v>
      </c>
      <c r="AO5" s="218" t="s">
        <v>24</v>
      </c>
      <c r="AP5" s="226" t="s">
        <v>31</v>
      </c>
      <c r="AQ5" s="45"/>
    </row>
    <row r="6" spans="1:43" ht="45.75" thickBot="1" x14ac:dyDescent="0.25">
      <c r="A6" s="202"/>
      <c r="B6" s="38" t="s">
        <v>60</v>
      </c>
      <c r="C6" s="38" t="s">
        <v>68</v>
      </c>
      <c r="D6" s="39" t="s">
        <v>61</v>
      </c>
      <c r="E6" s="206"/>
      <c r="F6" s="15" t="s">
        <v>9</v>
      </c>
      <c r="G6" s="16" t="s">
        <v>37</v>
      </c>
      <c r="H6" s="16" t="s">
        <v>1</v>
      </c>
      <c r="I6" s="16" t="s">
        <v>10</v>
      </c>
      <c r="J6" s="48" t="s">
        <v>11</v>
      </c>
      <c r="K6" s="49" t="s">
        <v>12</v>
      </c>
      <c r="L6" s="47" t="s">
        <v>13</v>
      </c>
      <c r="M6" s="43" t="s">
        <v>46</v>
      </c>
      <c r="N6" s="50" t="s">
        <v>56</v>
      </c>
      <c r="O6" s="215"/>
      <c r="P6" s="217"/>
      <c r="Q6" s="43" t="s">
        <v>46</v>
      </c>
      <c r="R6" s="44" t="s">
        <v>47</v>
      </c>
      <c r="S6" s="43" t="s">
        <v>46</v>
      </c>
      <c r="T6" s="44" t="s">
        <v>48</v>
      </c>
      <c r="U6" s="228" t="s">
        <v>54</v>
      </c>
      <c r="V6" s="229"/>
      <c r="W6" s="228"/>
      <c r="X6" s="229"/>
      <c r="Y6" s="228"/>
      <c r="Z6" s="229"/>
      <c r="AA6" s="228"/>
      <c r="AB6" s="229"/>
      <c r="AC6" s="228"/>
      <c r="AD6" s="229"/>
      <c r="AE6" s="49" t="s">
        <v>6</v>
      </c>
      <c r="AF6" s="27" t="s">
        <v>7</v>
      </c>
      <c r="AG6" s="222"/>
      <c r="AH6" s="206"/>
      <c r="AI6" s="224"/>
      <c r="AJ6" s="231"/>
      <c r="AK6" s="219"/>
      <c r="AL6" s="219"/>
      <c r="AM6" s="219"/>
      <c r="AN6" s="219"/>
      <c r="AO6" s="219"/>
      <c r="AP6" s="227"/>
      <c r="AQ6" s="45"/>
    </row>
    <row r="7" spans="1:43" s="51" customFormat="1" ht="33" customHeight="1" x14ac:dyDescent="0.2">
      <c r="A7" s="52"/>
      <c r="B7" s="53" t="s">
        <v>59</v>
      </c>
      <c r="C7" s="53" t="s">
        <v>62</v>
      </c>
      <c r="D7" s="79" t="s">
        <v>67</v>
      </c>
      <c r="E7" s="26">
        <v>2</v>
      </c>
      <c r="F7" s="54"/>
      <c r="G7" s="55"/>
      <c r="H7" s="56"/>
      <c r="I7" s="55"/>
      <c r="J7" s="57">
        <f>E7*F7+(E7+E7*F7)*G7+(E7+E7*F7+(E7+E7*F7)*G7)*H7+(E7+E7*F7)*I7</f>
        <v>0</v>
      </c>
      <c r="K7" s="58">
        <f>J7+E7</f>
        <v>2</v>
      </c>
      <c r="L7" s="57">
        <f>K7*$L$1</f>
        <v>54</v>
      </c>
      <c r="M7" s="59">
        <f>N7/L7-1</f>
        <v>1.0370370370370372</v>
      </c>
      <c r="N7" s="60">
        <v>110</v>
      </c>
      <c r="O7" s="61"/>
      <c r="P7" s="62">
        <f>N7*(1+O7)</f>
        <v>110</v>
      </c>
      <c r="Q7" s="63">
        <f>R7/L7-1</f>
        <v>0.93518518518518512</v>
      </c>
      <c r="R7" s="64">
        <f>ROUND(N7*0.95,2)</f>
        <v>104.5</v>
      </c>
      <c r="S7" s="63">
        <f>T7/L7-1</f>
        <v>0.83333333333333326</v>
      </c>
      <c r="T7" s="64">
        <f>ROUND(P7*0.9,2)</f>
        <v>99</v>
      </c>
      <c r="U7" s="28">
        <f>IFERROR((IF((1-V7/$P7)=100%,"-",(1-V7/$P7))),"-")</f>
        <v>-0.22727272727272729</v>
      </c>
      <c r="V7" s="29">
        <v>135</v>
      </c>
      <c r="W7" s="28" t="str">
        <f>IFERROR((IF((1-X7/$P7)=100%,"-",(1-X7/$P7))),"-")</f>
        <v>-</v>
      </c>
      <c r="X7" s="42"/>
      <c r="Y7" s="28" t="str">
        <f>IFERROR((IF((1-Z7/$P7)=100%,"-",(1-Z7/$P7))),"-")</f>
        <v>-</v>
      </c>
      <c r="Z7" s="42"/>
      <c r="AA7" s="28" t="str">
        <f>IFERROR((IF((1-AB7/$P7)=100%,"-",(1-AB7/$P7))),"-")</f>
        <v>-</v>
      </c>
      <c r="AB7" s="42"/>
      <c r="AC7" s="28" t="str">
        <f>IFERROR((IF((1-AD7/$P7)=100%,"-",(1-AD7/$P7))),"-")</f>
        <v>-</v>
      </c>
      <c r="AD7" s="42"/>
      <c r="AE7" s="65"/>
      <c r="AF7" s="57">
        <f>N7*AE7</f>
        <v>0</v>
      </c>
      <c r="AG7" s="66">
        <f>AF7*(M7/(1+M7))</f>
        <v>0</v>
      </c>
      <c r="AH7" s="67">
        <f>AE7*E7</f>
        <v>0</v>
      </c>
      <c r="AI7" s="64">
        <f>K7*AE7</f>
        <v>0</v>
      </c>
      <c r="AJ7" s="68">
        <v>1</v>
      </c>
      <c r="AK7" s="69">
        <v>0.02</v>
      </c>
      <c r="AL7" s="70">
        <f>0.12*0.06*0.02</f>
        <v>1.44E-4</v>
      </c>
      <c r="AM7" s="62" t="s">
        <v>33</v>
      </c>
      <c r="AN7" s="35" t="s">
        <v>38</v>
      </c>
      <c r="AO7" s="35" t="s">
        <v>27</v>
      </c>
      <c r="AP7" s="71">
        <v>20</v>
      </c>
      <c r="AQ7" s="72"/>
    </row>
    <row r="8" spans="1:43" s="51" customFormat="1" ht="33" customHeight="1" x14ac:dyDescent="0.2">
      <c r="A8" s="52"/>
      <c r="B8" s="73" t="s">
        <v>59</v>
      </c>
      <c r="C8" s="73" t="s">
        <v>64</v>
      </c>
      <c r="D8" s="80" t="s">
        <v>67</v>
      </c>
      <c r="E8" s="26">
        <v>2</v>
      </c>
      <c r="F8" s="54"/>
      <c r="G8" s="55"/>
      <c r="H8" s="56"/>
      <c r="I8" s="55"/>
      <c r="J8" s="57">
        <f>E8*F8+(E8+E8*F8)*G8+(E8+E8*F8+(E8+E8*F8)*G8)*H8+(E8+E8*F8)*I8</f>
        <v>0</v>
      </c>
      <c r="K8" s="58">
        <f>J8+E8</f>
        <v>2</v>
      </c>
      <c r="L8" s="57">
        <f>K8*$L$1</f>
        <v>54</v>
      </c>
      <c r="M8" s="59">
        <f>N8/L8-1</f>
        <v>1.0370370370370372</v>
      </c>
      <c r="N8" s="60">
        <v>110</v>
      </c>
      <c r="O8" s="61"/>
      <c r="P8" s="62">
        <f>N8*(1+O8)</f>
        <v>110</v>
      </c>
      <c r="Q8" s="63">
        <f>R8/L8-1</f>
        <v>0.93518518518518512</v>
      </c>
      <c r="R8" s="64">
        <f>ROUND(N8*0.95,2)</f>
        <v>104.5</v>
      </c>
      <c r="S8" s="63">
        <f>T8/L8-1</f>
        <v>0.83333333333333326</v>
      </c>
      <c r="T8" s="64">
        <f>ROUND(P8*0.9,2)</f>
        <v>99</v>
      </c>
      <c r="U8" s="28">
        <f>IFERROR((IF((1-V8/$P8)=100%,"-",(1-V8/$P8))),"-")</f>
        <v>-0.22727272727272729</v>
      </c>
      <c r="V8" s="29">
        <v>135</v>
      </c>
      <c r="W8" s="28" t="str">
        <f>IFERROR((IF((1-X8/$P8)=100%,"-",(1-X8/$P8))),"-")</f>
        <v>-</v>
      </c>
      <c r="X8" s="42"/>
      <c r="Y8" s="28" t="str">
        <f>IFERROR((IF((1-Z8/$P8)=100%,"-",(1-Z8/$P8))),"-")</f>
        <v>-</v>
      </c>
      <c r="Z8" s="42"/>
      <c r="AA8" s="28" t="str">
        <f>IFERROR((IF((1-AB8/$P8)=100%,"-",(1-AB8/$P8))),"-")</f>
        <v>-</v>
      </c>
      <c r="AB8" s="42"/>
      <c r="AC8" s="28" t="str">
        <f>IFERROR((IF((1-AD8/$P8)=100%,"-",(1-AD8/$P8))),"-")</f>
        <v>-</v>
      </c>
      <c r="AD8" s="42"/>
      <c r="AE8" s="65"/>
      <c r="AF8" s="57">
        <f>N8*AE8</f>
        <v>0</v>
      </c>
      <c r="AG8" s="66">
        <f>AF8*(M8/(1+M8))</f>
        <v>0</v>
      </c>
      <c r="AH8" s="67">
        <f>AE8*E8</f>
        <v>0</v>
      </c>
      <c r="AI8" s="64">
        <f>K8*AE8</f>
        <v>0</v>
      </c>
      <c r="AJ8" s="68">
        <v>1</v>
      </c>
      <c r="AK8" s="69">
        <v>0.02</v>
      </c>
      <c r="AL8" s="70">
        <f>0.12*0.06*0.02</f>
        <v>1.44E-4</v>
      </c>
      <c r="AM8" s="62" t="s">
        <v>33</v>
      </c>
      <c r="AN8" s="35" t="s">
        <v>38</v>
      </c>
      <c r="AO8" s="35" t="s">
        <v>27</v>
      </c>
      <c r="AP8" s="71">
        <v>20</v>
      </c>
      <c r="AQ8" s="72"/>
    </row>
    <row r="9" spans="1:43" s="51" customFormat="1" ht="33" customHeight="1" x14ac:dyDescent="0.2">
      <c r="A9" s="52"/>
      <c r="B9" s="73" t="s">
        <v>59</v>
      </c>
      <c r="C9" s="73" t="s">
        <v>63</v>
      </c>
      <c r="D9" s="80" t="s">
        <v>67</v>
      </c>
      <c r="E9" s="26">
        <v>2</v>
      </c>
      <c r="F9" s="54"/>
      <c r="G9" s="55"/>
      <c r="H9" s="56"/>
      <c r="I9" s="55"/>
      <c r="J9" s="57">
        <f>E9*F9+(E9+E9*F9)*G9+(E9+E9*F9+(E9+E9*F9)*G9)*H9+(E9+E9*F9)*I9</f>
        <v>0</v>
      </c>
      <c r="K9" s="58">
        <f>J9+E9</f>
        <v>2</v>
      </c>
      <c r="L9" s="57">
        <f>K9*$L$1</f>
        <v>54</v>
      </c>
      <c r="M9" s="59">
        <f>N9/L9-1</f>
        <v>1.0370370370370372</v>
      </c>
      <c r="N9" s="60">
        <v>110</v>
      </c>
      <c r="O9" s="61"/>
      <c r="P9" s="62">
        <f>N9*(1+O9)</f>
        <v>110</v>
      </c>
      <c r="Q9" s="63">
        <f>R9/L9-1</f>
        <v>0.93518518518518512</v>
      </c>
      <c r="R9" s="64">
        <f>ROUND(N9*0.95,2)</f>
        <v>104.5</v>
      </c>
      <c r="S9" s="63">
        <f>T9/L9-1</f>
        <v>0.83333333333333326</v>
      </c>
      <c r="T9" s="64">
        <f>ROUND(P9*0.9,2)</f>
        <v>99</v>
      </c>
      <c r="U9" s="28">
        <f>IFERROR((IF((1-V9/$P9)=100%,"-",(1-V9/$P9))),"-")</f>
        <v>-0.22727272727272729</v>
      </c>
      <c r="V9" s="29">
        <v>135</v>
      </c>
      <c r="W9" s="28" t="str">
        <f>IFERROR((IF((1-X9/$P9)=100%,"-",(1-X9/$P9))),"-")</f>
        <v>-</v>
      </c>
      <c r="X9" s="42"/>
      <c r="Y9" s="28" t="str">
        <f>IFERROR((IF((1-Z9/$P9)=100%,"-",(1-Z9/$P9))),"-")</f>
        <v>-</v>
      </c>
      <c r="Z9" s="42"/>
      <c r="AA9" s="28" t="str">
        <f>IFERROR((IF((1-AB9/$P9)=100%,"-",(1-AB9/$P9))),"-")</f>
        <v>-</v>
      </c>
      <c r="AB9" s="42"/>
      <c r="AC9" s="28" t="str">
        <f>IFERROR((IF((1-AD9/$P9)=100%,"-",(1-AD9/$P9))),"-")</f>
        <v>-</v>
      </c>
      <c r="AD9" s="42"/>
      <c r="AE9" s="65"/>
      <c r="AF9" s="57">
        <f>N9*AE9</f>
        <v>0</v>
      </c>
      <c r="AG9" s="66">
        <f>AF9*(M9/(1+M9))</f>
        <v>0</v>
      </c>
      <c r="AH9" s="67">
        <f>AE9*E9</f>
        <v>0</v>
      </c>
      <c r="AI9" s="64">
        <f>K9*AE9</f>
        <v>0</v>
      </c>
      <c r="AJ9" s="68">
        <v>1</v>
      </c>
      <c r="AK9" s="69">
        <v>0.02</v>
      </c>
      <c r="AL9" s="70">
        <f>0.12*0.06*0.02</f>
        <v>1.44E-4</v>
      </c>
      <c r="AM9" s="62" t="s">
        <v>33</v>
      </c>
      <c r="AN9" s="35" t="s">
        <v>38</v>
      </c>
      <c r="AO9" s="35" t="s">
        <v>27</v>
      </c>
      <c r="AP9" s="71">
        <v>20</v>
      </c>
      <c r="AQ9" s="72"/>
    </row>
    <row r="10" spans="1:43" s="51" customFormat="1" ht="33" customHeight="1" thickBot="1" x14ac:dyDescent="0.25">
      <c r="A10" s="52"/>
      <c r="B10" s="73" t="s">
        <v>59</v>
      </c>
      <c r="C10" s="81" t="s">
        <v>65</v>
      </c>
      <c r="D10" s="80" t="s">
        <v>66</v>
      </c>
      <c r="E10" s="26">
        <v>3.3</v>
      </c>
      <c r="F10" s="54"/>
      <c r="G10" s="55"/>
      <c r="H10" s="56"/>
      <c r="I10" s="55"/>
      <c r="J10" s="57">
        <f>E10*F10+(E10+E10*F10)*G10+(E10+E10*F10+(E10+E10*F10)*G10)*H10+(E10+E10*F10)*I10</f>
        <v>0</v>
      </c>
      <c r="K10" s="58">
        <f>J10+E10</f>
        <v>3.3</v>
      </c>
      <c r="L10" s="57">
        <f>K10*$L$1</f>
        <v>89.1</v>
      </c>
      <c r="M10" s="59">
        <f>N10/L10-1</f>
        <v>1.0763187429854097</v>
      </c>
      <c r="N10" s="60">
        <v>185</v>
      </c>
      <c r="O10" s="61"/>
      <c r="P10" s="62">
        <f>N10*(1+O10)</f>
        <v>185</v>
      </c>
      <c r="Q10" s="63">
        <f>R10/L10-1</f>
        <v>0.97250280583613935</v>
      </c>
      <c r="R10" s="64">
        <f>ROUND(N10*0.95,2)</f>
        <v>175.75</v>
      </c>
      <c r="S10" s="63">
        <f>T10/L10-1</f>
        <v>0.86868686868686873</v>
      </c>
      <c r="T10" s="64">
        <f>ROUND(P10*0.9,2)</f>
        <v>166.5</v>
      </c>
      <c r="U10" s="28">
        <f>IFERROR((IF((1-V10/$P10)=100%,"-",(1-V10/$P10))),"-")</f>
        <v>-0.22702702702702693</v>
      </c>
      <c r="V10" s="29">
        <v>227</v>
      </c>
      <c r="W10" s="28" t="str">
        <f>IFERROR((IF((1-X10/$P10)=100%,"-",(1-X10/$P10))),"-")</f>
        <v>-</v>
      </c>
      <c r="X10" s="42"/>
      <c r="Y10" s="28" t="str">
        <f>IFERROR((IF((1-Z10/$P10)=100%,"-",(1-Z10/$P10))),"-")</f>
        <v>-</v>
      </c>
      <c r="Z10" s="42"/>
      <c r="AA10" s="28" t="str">
        <f>IFERROR((IF((1-AB10/$P10)=100%,"-",(1-AB10/$P10))),"-")</f>
        <v>-</v>
      </c>
      <c r="AB10" s="42"/>
      <c r="AC10" s="28" t="str">
        <f>IFERROR((IF((1-AD10/$P10)=100%,"-",(1-AD10/$P10))),"-")</f>
        <v>-</v>
      </c>
      <c r="AD10" s="42"/>
      <c r="AE10" s="65"/>
      <c r="AF10" s="57">
        <f>N10*AE10</f>
        <v>0</v>
      </c>
      <c r="AG10" s="66">
        <f>AF10*(M10/(1+M10))</f>
        <v>0</v>
      </c>
      <c r="AH10" s="67">
        <f>AE10*E10</f>
        <v>0</v>
      </c>
      <c r="AI10" s="64">
        <f>K10*AE10</f>
        <v>0</v>
      </c>
      <c r="AJ10" s="68">
        <v>1</v>
      </c>
      <c r="AK10" s="69">
        <v>0.02</v>
      </c>
      <c r="AL10" s="70">
        <f>0.12*0.06*0.02</f>
        <v>1.44E-4</v>
      </c>
      <c r="AM10" s="62" t="s">
        <v>33</v>
      </c>
      <c r="AN10" s="35" t="s">
        <v>38</v>
      </c>
      <c r="AO10" s="35" t="s">
        <v>27</v>
      </c>
      <c r="AP10" s="71">
        <v>20</v>
      </c>
      <c r="AQ10" s="72"/>
    </row>
    <row r="11" spans="1:43" s="25" customFormat="1" ht="15.75" customHeight="1" thickBot="1" x14ac:dyDescent="0.25">
      <c r="A11" s="18"/>
      <c r="B11" s="225" t="s">
        <v>8</v>
      </c>
      <c r="C11" s="225"/>
      <c r="D11" s="225"/>
      <c r="E11" s="19"/>
      <c r="F11" s="20"/>
      <c r="G11" s="20"/>
      <c r="H11" s="20"/>
      <c r="I11" s="20"/>
      <c r="J11" s="22"/>
      <c r="K11" s="22"/>
      <c r="L11" s="22"/>
      <c r="M11" s="21"/>
      <c r="N11" s="22"/>
      <c r="O11" s="21"/>
      <c r="P11" s="22"/>
      <c r="Q11" s="21"/>
      <c r="R11" s="22"/>
      <c r="S11" s="21"/>
      <c r="T11" s="22"/>
      <c r="U11" s="23"/>
      <c r="V11" s="22"/>
      <c r="W11" s="23"/>
      <c r="X11" s="22"/>
      <c r="Y11" s="22"/>
      <c r="Z11" s="22"/>
      <c r="AA11" s="22"/>
      <c r="AB11" s="22"/>
      <c r="AC11" s="23"/>
      <c r="AD11" s="24"/>
      <c r="AE11" s="31">
        <f>SUM(AE7:AE10)</f>
        <v>0</v>
      </c>
      <c r="AF11" s="32">
        <f>SUM(AF7:AF10)</f>
        <v>0</v>
      </c>
      <c r="AG11" s="24">
        <f>SUM(AG7:AG10)</f>
        <v>0</v>
      </c>
      <c r="AH11" s="33">
        <f>SUM(AH7:AH10)</f>
        <v>0</v>
      </c>
      <c r="AI11" s="32">
        <f>SUM(AI7:AI10)</f>
        <v>0</v>
      </c>
      <c r="AJ11" s="33"/>
      <c r="AK11" s="22"/>
      <c r="AL11" s="22"/>
      <c r="AM11" s="22"/>
      <c r="AN11" s="22"/>
      <c r="AO11" s="22"/>
      <c r="AP11" s="40">
        <f>SUM(AP7:AP10)</f>
        <v>80</v>
      </c>
      <c r="AQ11" s="46"/>
    </row>
    <row r="12" spans="1:43" x14ac:dyDescent="0.2">
      <c r="AG12" s="2">
        <f>AG11/L1</f>
        <v>0</v>
      </c>
      <c r="AH12" s="2">
        <f>AH11*L1</f>
        <v>0</v>
      </c>
      <c r="AI12" s="2">
        <f>AI11*L1</f>
        <v>0</v>
      </c>
    </row>
    <row r="13" spans="1:43" x14ac:dyDescent="0.2">
      <c r="AH13" s="2" t="e">
        <f>AH12/AN2</f>
        <v>#REF!</v>
      </c>
      <c r="AI13" s="2" t="e">
        <f>AI12/AN2</f>
        <v>#REF!</v>
      </c>
    </row>
    <row r="14" spans="1:43" x14ac:dyDescent="0.2">
      <c r="B14" s="30"/>
      <c r="C14" s="30"/>
      <c r="D14" s="30"/>
      <c r="AH14" s="2" t="s">
        <v>39</v>
      </c>
    </row>
    <row r="15" spans="1:43" x14ac:dyDescent="0.2">
      <c r="AH15" s="36"/>
      <c r="AI15" s="36"/>
    </row>
  </sheetData>
  <autoFilter ref="B6:D13"/>
  <dataConsolidate/>
  <mergeCells count="35">
    <mergeCell ref="B11:D11"/>
    <mergeCell ref="AP5:AP6"/>
    <mergeCell ref="U6:V6"/>
    <mergeCell ref="W6:X6"/>
    <mergeCell ref="Y6:Z6"/>
    <mergeCell ref="AA6:AB6"/>
    <mergeCell ref="AC6:AD6"/>
    <mergeCell ref="AJ5:AJ6"/>
    <mergeCell ref="AK5:AK6"/>
    <mergeCell ref="AL5:AL6"/>
    <mergeCell ref="AM5:AM6"/>
    <mergeCell ref="AN5:AN6"/>
    <mergeCell ref="AO5:AO6"/>
    <mergeCell ref="S5:T5"/>
    <mergeCell ref="U5:AD5"/>
    <mergeCell ref="AE5:AF5"/>
    <mergeCell ref="AG5:AG6"/>
    <mergeCell ref="AH5:AH6"/>
    <mergeCell ref="AI5:AI6"/>
    <mergeCell ref="M4:T4"/>
    <mergeCell ref="A5:A6"/>
    <mergeCell ref="B5:D5"/>
    <mergeCell ref="E5:E6"/>
    <mergeCell ref="F5:J5"/>
    <mergeCell ref="K5:L5"/>
    <mergeCell ref="M5:N5"/>
    <mergeCell ref="O5:O6"/>
    <mergeCell ref="P5:P6"/>
    <mergeCell ref="Q5:R5"/>
    <mergeCell ref="B1:E1"/>
    <mergeCell ref="AL1:AM1"/>
    <mergeCell ref="B2:E2"/>
    <mergeCell ref="AL2:AM2"/>
    <mergeCell ref="B3:E3"/>
    <mergeCell ref="AL3:AM3"/>
  </mergeCells>
  <conditionalFormatting sqref="U11">
    <cfRule type="iconSet" priority="29">
      <iconSet reverse="1">
        <cfvo type="percent" val="0"/>
        <cfvo type="num" val="-7.0000000000000007E-2"/>
        <cfvo type="num" val="7.0000000000000007E-2"/>
      </iconSet>
    </cfRule>
  </conditionalFormatting>
  <conditionalFormatting sqref="W11">
    <cfRule type="iconSet" priority="28">
      <iconSet reverse="1">
        <cfvo type="percent" val="0"/>
        <cfvo type="num" val="-7.0000000000000007E-2"/>
        <cfvo type="num" val="7.0000000000000007E-2"/>
      </iconSet>
    </cfRule>
  </conditionalFormatting>
  <conditionalFormatting sqref="AC11">
    <cfRule type="iconSet" priority="27">
      <iconSet reverse="1">
        <cfvo type="percent" val="0"/>
        <cfvo type="num" val="-7.0000000000000007E-2"/>
        <cfvo type="num" val="7.0000000000000007E-2"/>
      </iconSet>
    </cfRule>
  </conditionalFormatting>
  <conditionalFormatting sqref="U7:U8 U10">
    <cfRule type="iconSet" priority="42">
      <iconSet reverse="1">
        <cfvo type="percent" val="0"/>
        <cfvo type="num" val="-7.0000000000000007E-2"/>
        <cfvo type="num" val="7.0000000000000007E-2"/>
      </iconSet>
    </cfRule>
  </conditionalFormatting>
  <conditionalFormatting sqref="W7:W8 W10">
    <cfRule type="iconSet" priority="43">
      <iconSet reverse="1">
        <cfvo type="percent" val="0"/>
        <cfvo type="num" val="-7.0000000000000007E-2"/>
        <cfvo type="num" val="7.0000000000000007E-2"/>
      </iconSet>
    </cfRule>
  </conditionalFormatting>
  <conditionalFormatting sqref="AC7:AC8 AC10">
    <cfRule type="iconSet" priority="44">
      <iconSet reverse="1">
        <cfvo type="percent" val="0"/>
        <cfvo type="num" val="-7.0000000000000007E-2"/>
        <cfvo type="num" val="7.0000000000000007E-2"/>
      </iconSet>
    </cfRule>
  </conditionalFormatting>
  <conditionalFormatting sqref="Y7:Y8 Y10">
    <cfRule type="iconSet" priority="45">
      <iconSet reverse="1">
        <cfvo type="percent" val="0"/>
        <cfvo type="num" val="-7.0000000000000007E-2"/>
        <cfvo type="num" val="7.0000000000000007E-2"/>
      </iconSet>
    </cfRule>
  </conditionalFormatting>
  <conditionalFormatting sqref="AA7:AA8 AA10">
    <cfRule type="iconSet" priority="46">
      <iconSet reverse="1">
        <cfvo type="percent" val="0"/>
        <cfvo type="num" val="-7.0000000000000007E-2"/>
        <cfvo type="num" val="7.0000000000000007E-2"/>
      </iconSet>
    </cfRule>
  </conditionalFormatting>
  <conditionalFormatting sqref="U9">
    <cfRule type="iconSet" priority="1">
      <iconSet reverse="1">
        <cfvo type="percent" val="0"/>
        <cfvo type="num" val="-7.0000000000000007E-2"/>
        <cfvo type="num" val="7.0000000000000007E-2"/>
      </iconSet>
    </cfRule>
  </conditionalFormatting>
  <conditionalFormatting sqref="W9">
    <cfRule type="iconSet" priority="2">
      <iconSet reverse="1">
        <cfvo type="percent" val="0"/>
        <cfvo type="num" val="-7.0000000000000007E-2"/>
        <cfvo type="num" val="7.0000000000000007E-2"/>
      </iconSet>
    </cfRule>
  </conditionalFormatting>
  <conditionalFormatting sqref="AC9">
    <cfRule type="iconSet" priority="3">
      <iconSet reverse="1">
        <cfvo type="percent" val="0"/>
        <cfvo type="num" val="-7.0000000000000007E-2"/>
        <cfvo type="num" val="7.0000000000000007E-2"/>
      </iconSet>
    </cfRule>
  </conditionalFormatting>
  <conditionalFormatting sqref="Y9">
    <cfRule type="iconSet" priority="4">
      <iconSet reverse="1">
        <cfvo type="percent" val="0"/>
        <cfvo type="num" val="-7.0000000000000007E-2"/>
        <cfvo type="num" val="7.0000000000000007E-2"/>
      </iconSet>
    </cfRule>
  </conditionalFormatting>
  <conditionalFormatting sqref="AA9">
    <cfRule type="iconSet" priority="5">
      <iconSet reverse="1">
        <cfvo type="percent" val="0"/>
        <cfvo type="num" val="-7.0000000000000007E-2"/>
        <cfvo type="num" val="7.0000000000000007E-2"/>
      </iconSet>
    </cfRule>
  </conditionalFormatting>
  <pageMargins left="0.16" right="0.16" top="0.23622047244094491" bottom="0.16" header="0.15748031496062992" footer="0.15748031496062992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"/>
  <sheetViews>
    <sheetView zoomScale="70" zoomScaleNormal="70" workbookViewId="0">
      <pane xSplit="7" ySplit="3" topLeftCell="H4" activePane="bottomRight" state="frozen"/>
      <selection pane="topRight" activeCell="F1" sqref="F1"/>
      <selection pane="bottomLeft" activeCell="A7" sqref="A7"/>
      <selection pane="bottomRight" activeCell="H4" sqref="H4"/>
    </sheetView>
  </sheetViews>
  <sheetFormatPr defaultColWidth="8.7109375" defaultRowHeight="12.75" outlineLevelCol="1" x14ac:dyDescent="0.2"/>
  <cols>
    <col min="1" max="1" width="30.5703125" hidden="1" customWidth="1" outlineLevel="1"/>
    <col min="2" max="2" width="10.5703125" style="4" customWidth="1" collapsed="1"/>
    <col min="3" max="3" width="30.5703125" style="6" bestFit="1" customWidth="1"/>
    <col min="4" max="7" width="8.42578125" style="6" customWidth="1"/>
    <col min="8" max="33" width="10.5703125" style="4" customWidth="1" collapsed="1"/>
    <col min="34" max="35" width="10.5703125" style="179" customWidth="1" collapsed="1"/>
  </cols>
  <sheetData>
    <row r="1" spans="1:35" ht="38.25" customHeight="1" x14ac:dyDescent="0.2">
      <c r="A1" s="244" t="s">
        <v>113</v>
      </c>
      <c r="B1" s="241" t="s">
        <v>0</v>
      </c>
      <c r="C1" s="203" t="s">
        <v>17</v>
      </c>
      <c r="D1" s="204"/>
      <c r="E1" s="204"/>
      <c r="F1" s="204"/>
      <c r="G1" s="243"/>
      <c r="H1" s="232">
        <v>42705</v>
      </c>
      <c r="I1" s="233"/>
      <c r="J1" s="232">
        <v>42736</v>
      </c>
      <c r="K1" s="233"/>
      <c r="L1" s="232">
        <v>42767</v>
      </c>
      <c r="M1" s="233"/>
      <c r="N1" s="232">
        <v>42795</v>
      </c>
      <c r="O1" s="233"/>
      <c r="P1" s="232">
        <v>42826</v>
      </c>
      <c r="Q1" s="233"/>
      <c r="R1" s="232">
        <v>42856</v>
      </c>
      <c r="S1" s="233"/>
      <c r="T1" s="232">
        <v>42887</v>
      </c>
      <c r="U1" s="233"/>
      <c r="V1" s="232">
        <v>42917</v>
      </c>
      <c r="W1" s="233"/>
      <c r="X1" s="232">
        <v>42948</v>
      </c>
      <c r="Y1" s="233"/>
      <c r="Z1" s="232">
        <v>42979</v>
      </c>
      <c r="AA1" s="233"/>
      <c r="AB1" s="232">
        <v>43009</v>
      </c>
      <c r="AC1" s="233"/>
      <c r="AD1" s="232">
        <v>43040</v>
      </c>
      <c r="AE1" s="233"/>
      <c r="AF1" s="232">
        <v>43070</v>
      </c>
      <c r="AG1" s="233"/>
      <c r="AH1" s="232" t="s">
        <v>146</v>
      </c>
      <c r="AI1" s="233"/>
    </row>
    <row r="2" spans="1:35" ht="23.25" customHeight="1" x14ac:dyDescent="0.2">
      <c r="A2" s="245"/>
      <c r="B2" s="242"/>
      <c r="C2" s="236" t="s">
        <v>78</v>
      </c>
      <c r="D2" s="238" t="s">
        <v>79</v>
      </c>
      <c r="E2" s="239"/>
      <c r="F2" s="239"/>
      <c r="G2" s="240"/>
      <c r="H2" s="234"/>
      <c r="I2" s="235"/>
      <c r="J2" s="234"/>
      <c r="K2" s="235"/>
      <c r="L2" s="234"/>
      <c r="M2" s="235"/>
      <c r="N2" s="234"/>
      <c r="O2" s="235"/>
      <c r="P2" s="234"/>
      <c r="Q2" s="235"/>
      <c r="R2" s="234"/>
      <c r="S2" s="235"/>
      <c r="T2" s="234"/>
      <c r="U2" s="235"/>
      <c r="V2" s="234"/>
      <c r="W2" s="235"/>
      <c r="X2" s="234"/>
      <c r="Y2" s="235"/>
      <c r="Z2" s="234"/>
      <c r="AA2" s="235"/>
      <c r="AB2" s="234"/>
      <c r="AC2" s="235"/>
      <c r="AD2" s="234"/>
      <c r="AE2" s="235"/>
      <c r="AF2" s="234"/>
      <c r="AG2" s="235"/>
      <c r="AH2" s="234"/>
      <c r="AI2" s="235"/>
    </row>
    <row r="3" spans="1:35" ht="30.75" thickBot="1" x14ac:dyDescent="0.25">
      <c r="A3" s="118"/>
      <c r="B3" s="100"/>
      <c r="C3" s="237"/>
      <c r="D3" s="38" t="s">
        <v>109</v>
      </c>
      <c r="E3" s="38" t="s">
        <v>15</v>
      </c>
      <c r="F3" s="38" t="s">
        <v>16</v>
      </c>
      <c r="G3" s="114" t="s">
        <v>45</v>
      </c>
      <c r="H3" s="132" t="s">
        <v>101</v>
      </c>
      <c r="I3" s="133" t="s">
        <v>13</v>
      </c>
      <c r="J3" s="132" t="s">
        <v>101</v>
      </c>
      <c r="K3" s="133" t="s">
        <v>13</v>
      </c>
      <c r="L3" s="132" t="s">
        <v>101</v>
      </c>
      <c r="M3" s="133" t="s">
        <v>13</v>
      </c>
      <c r="N3" s="132" t="s">
        <v>101</v>
      </c>
      <c r="O3" s="133" t="s">
        <v>13</v>
      </c>
      <c r="P3" s="132" t="s">
        <v>101</v>
      </c>
      <c r="Q3" s="133" t="s">
        <v>13</v>
      </c>
      <c r="R3" s="132" t="s">
        <v>101</v>
      </c>
      <c r="S3" s="133" t="s">
        <v>13</v>
      </c>
      <c r="T3" s="132" t="s">
        <v>101</v>
      </c>
      <c r="U3" s="133" t="s">
        <v>13</v>
      </c>
      <c r="V3" s="132" t="s">
        <v>101</v>
      </c>
      <c r="W3" s="133" t="s">
        <v>13</v>
      </c>
      <c r="X3" s="132" t="s">
        <v>101</v>
      </c>
      <c r="Y3" s="133" t="s">
        <v>13</v>
      </c>
      <c r="Z3" s="132" t="s">
        <v>101</v>
      </c>
      <c r="AA3" s="133" t="s">
        <v>13</v>
      </c>
      <c r="AB3" s="132" t="s">
        <v>101</v>
      </c>
      <c r="AC3" s="133" t="s">
        <v>13</v>
      </c>
      <c r="AD3" s="132" t="s">
        <v>101</v>
      </c>
      <c r="AE3" s="133" t="s">
        <v>13</v>
      </c>
      <c r="AF3" s="132" t="s">
        <v>101</v>
      </c>
      <c r="AG3" s="133" t="s">
        <v>13</v>
      </c>
      <c r="AH3" s="167" t="s">
        <v>101</v>
      </c>
      <c r="AI3" s="133" t="s">
        <v>13</v>
      </c>
    </row>
    <row r="4" spans="1:35" s="51" customFormat="1" x14ac:dyDescent="0.2">
      <c r="A4" s="117" t="str">
        <f t="shared" ref="A4" si="0">CONCATENATE(C4,D4,E4,F4,G4)</f>
        <v>Ресницы чёрные120,1Cmix</v>
      </c>
      <c r="B4" s="115">
        <v>1022</v>
      </c>
      <c r="C4" s="112" t="s">
        <v>87</v>
      </c>
      <c r="D4" s="113">
        <v>12</v>
      </c>
      <c r="E4" s="34">
        <v>0.1</v>
      </c>
      <c r="F4" s="76" t="s">
        <v>35</v>
      </c>
      <c r="G4" s="116" t="s">
        <v>88</v>
      </c>
      <c r="H4" s="68">
        <f>IF(SUMIFS(Продажи_Прибыль!$N$20:$N$29,Продажи_Прибыль!$B$20:$B$29,'НС_Динамика продаж'!$B4,Продажи_Прибыль!$H$20:$H$29,H1,Продажи_Прибыль!$X$20:$X$29,"&lt;&gt;акция")=0,"-",SUMIFS(Продажи_Прибыль!$N$20:$N$29,Продажи_Прибыль!$B$20:$B$29,'НС_Динамика продаж'!$B4,Продажи_Прибыль!$H$20:$H$29,H1,Продажи_Прибыль!$X$20:$X$29,"&lt;&gt;акция"))</f>
        <v>13</v>
      </c>
      <c r="I4" s="135">
        <f>IF(SUMIFS(Продажи_Прибыль!$O$20:$O$29,Продажи_Прибыль!$B$20:$B$29,'НС_Динамика продаж'!$B4,Продажи_Прибыль!$H$20:$H$29,H1,Продажи_Прибыль!$X$20:$X$29,"&lt;&gt;акция")=0,"-",SUMIFS(Продажи_Прибыль!$O$20:$O$29,Продажи_Прибыль!$B$20:$B$29,'НС_Динамика продаж'!$B4,Продажи_Прибыль!$H$20:$H$29,H1,Продажи_Прибыль!$X$20:$X$29,"&lt;&gt;акция"))</f>
        <v>1490.4</v>
      </c>
      <c r="J4" s="68" t="str">
        <f>IF(SUMIFS(Продажи_Прибыль!$N$20:$N$29,Продажи_Прибыль!$B$20:$B$29,'НС_Динамика продаж'!$B4,Продажи_Прибыль!$H$20:$H$29,J1,Продажи_Прибыль!$X$20:$X$29,"&lt;&gt;акция")=0,"-",SUMIFS(Продажи_Прибыль!$N$20:$N$29,Продажи_Прибыль!$B$20:$B$29,'НС_Динамика продаж'!$B4,Продажи_Прибыль!$H$20:$H$29,J1,Продажи_Прибыль!$X$20:$X$29,"&lt;&gt;акция"))</f>
        <v>-</v>
      </c>
      <c r="K4" s="135" t="str">
        <f>IF(SUMIFS(Продажи_Прибыль!$O$20:$O$29,Продажи_Прибыль!$B$20:$B$29,'НС_Динамика продаж'!$B4,Продажи_Прибыль!$H$20:$H$29,J1,Продажи_Прибыль!$X$20:$X$29,"&lt;&gt;акция")=0,"-",SUMIFS(Продажи_Прибыль!$O$20:$O$29,Продажи_Прибыль!$B$20:$B$29,'НС_Динамика продаж'!$B4,Продажи_Прибыль!$H$20:$H$29,J1,Продажи_Прибыль!$X$20:$X$29,"&lt;&gt;акция"))</f>
        <v>-</v>
      </c>
      <c r="L4" s="68" t="str">
        <f>IF(SUMIFS(Продажи_Прибыль!$N$20:$N$29,Продажи_Прибыль!$B$20:$B$29,'НС_Динамика продаж'!$B4,Продажи_Прибыль!$H$20:$H$29,L1,Продажи_Прибыль!$X$20:$X$29,"&lt;&gt;акция")=0,"-",SUMIFS(Продажи_Прибыль!$N$20:$N$29,Продажи_Прибыль!$B$20:$B$29,'НС_Динамика продаж'!$B4,Продажи_Прибыль!$H$20:$H$29,L1,Продажи_Прибыль!$X$20:$X$29,"&lt;&gt;акция"))</f>
        <v>-</v>
      </c>
      <c r="M4" s="135" t="str">
        <f>IF(SUMIFS(Продажи_Прибыль!$O$20:$O$29,Продажи_Прибыль!$B$20:$B$29,'НС_Динамика продаж'!$B4,Продажи_Прибыль!$H$20:$H$29,L1,Продажи_Прибыль!$X$20:$X$29,"&lt;&gt;акция")=0,"-",SUMIFS(Продажи_Прибыль!$O$20:$O$29,Продажи_Прибыль!$B$20:$B$29,'НС_Динамика продаж'!$B4,Продажи_Прибыль!$H$20:$H$29,L1,Продажи_Прибыль!$X$20:$X$29,"&lt;&gt;акция"))</f>
        <v>-</v>
      </c>
      <c r="N4" s="68" t="str">
        <f>IF(SUMIFS(Продажи_Прибыль!$N$20:$N$29,Продажи_Прибыль!$B$20:$B$29,'НС_Динамика продаж'!$B4,Продажи_Прибыль!$H$20:$H$29,N1,Продажи_Прибыль!$X$20:$X$29,"&lt;&gt;акция")=0,"-",SUMIFS(Продажи_Прибыль!$N$20:$N$29,Продажи_Прибыль!$B$20:$B$29,'НС_Динамика продаж'!$B4,Продажи_Прибыль!$H$20:$H$29,N1,Продажи_Прибыль!$X$20:$X$29,"&lt;&gt;акция"))</f>
        <v>-</v>
      </c>
      <c r="O4" s="135" t="str">
        <f>IF(SUMIFS(Продажи_Прибыль!$O$20:$O$29,Продажи_Прибыль!$B$20:$B$29,'НС_Динамика продаж'!$B4,Продажи_Прибыль!$H$20:$H$29,N1,Продажи_Прибыль!$X$20:$X$29,"&lt;&gt;акция")=0,"-",SUMIFS(Продажи_Прибыль!$O$20:$O$29,Продажи_Прибыль!$B$20:$B$29,'НС_Динамика продаж'!$B4,Продажи_Прибыль!$H$20:$H$29,N1,Продажи_Прибыль!$X$20:$X$29,"&lt;&gt;акция"))</f>
        <v>-</v>
      </c>
      <c r="P4" s="68" t="str">
        <f>IF(SUMIFS(Продажи_Прибыль!$N$20:$N$29,Продажи_Прибыль!$B$20:$B$29,'НС_Динамика продаж'!$B4,Продажи_Прибыль!$H$20:$H$29,P1,Продажи_Прибыль!$X$20:$X$29,"&lt;&gt;акция")=0,"-",SUMIFS(Продажи_Прибыль!$N$20:$N$29,Продажи_Прибыль!$B$20:$B$29,'НС_Динамика продаж'!$B4,Продажи_Прибыль!$H$20:$H$29,P1,Продажи_Прибыль!$X$20:$X$29,"&lt;&gt;акция"))</f>
        <v>-</v>
      </c>
      <c r="Q4" s="135" t="str">
        <f>IF(SUMIFS(Продажи_Прибыль!$O$20:$O$29,Продажи_Прибыль!$B$20:$B$29,'НС_Динамика продаж'!$B4,Продажи_Прибыль!$H$20:$H$29,P1,Продажи_Прибыль!$X$20:$X$29,"&lt;&gt;акция")=0,"-",SUMIFS(Продажи_Прибыль!$O$20:$O$29,Продажи_Прибыль!$B$20:$B$29,'НС_Динамика продаж'!$B4,Продажи_Прибыль!$H$20:$H$29,P1,Продажи_Прибыль!$X$20:$X$29,"&lt;&gt;акция"))</f>
        <v>-</v>
      </c>
      <c r="R4" s="68" t="str">
        <f>IF(SUMIFS(Продажи_Прибыль!$N$20:$N$29,Продажи_Прибыль!$B$20:$B$29,'НС_Динамика продаж'!$B4,Продажи_Прибыль!$H$20:$H$29,R1,Продажи_Прибыль!$X$20:$X$29,"&lt;&gt;акция")=0,"-",SUMIFS(Продажи_Прибыль!$N$20:$N$29,Продажи_Прибыль!$B$20:$B$29,'НС_Динамика продаж'!$B4,Продажи_Прибыль!$H$20:$H$29,R1,Продажи_Прибыль!$X$20:$X$29,"&lt;&gt;акция"))</f>
        <v>-</v>
      </c>
      <c r="S4" s="135" t="str">
        <f>IF(SUMIFS(Продажи_Прибыль!$O$20:$O$29,Продажи_Прибыль!$B$20:$B$29,'НС_Динамика продаж'!$B4,Продажи_Прибыль!$H$20:$H$29,R1,Продажи_Прибыль!$X$20:$X$29,"&lt;&gt;акция")=0,"-",SUMIFS(Продажи_Прибыль!$O$20:$O$29,Продажи_Прибыль!$B$20:$B$29,'НС_Динамика продаж'!$B4,Продажи_Прибыль!$H$20:$H$29,R1,Продажи_Прибыль!$X$20:$X$29,"&lt;&gt;акция"))</f>
        <v>-</v>
      </c>
      <c r="T4" s="68" t="str">
        <f>IF(SUMIFS(Продажи_Прибыль!$N$20:$N$29,Продажи_Прибыль!$B$20:$B$29,'НС_Динамика продаж'!$B4,Продажи_Прибыль!$H$20:$H$29,T1,Продажи_Прибыль!$X$20:$X$29,"&lt;&gt;акция")=0,"-",SUMIFS(Продажи_Прибыль!$N$20:$N$29,Продажи_Прибыль!$B$20:$B$29,'НС_Динамика продаж'!$B4,Продажи_Прибыль!$H$20:$H$29,T1,Продажи_Прибыль!$X$20:$X$29,"&lt;&gt;акция"))</f>
        <v>-</v>
      </c>
      <c r="U4" s="135" t="str">
        <f>IF(SUMIFS(Продажи_Прибыль!$O$20:$O$29,Продажи_Прибыль!$B$20:$B$29,'НС_Динамика продаж'!$B4,Продажи_Прибыль!$H$20:$H$29,T1,Продажи_Прибыль!$X$20:$X$29,"&lt;&gt;акция")=0,"-",SUMIFS(Продажи_Прибыль!$O$20:$O$29,Продажи_Прибыль!$B$20:$B$29,'НС_Динамика продаж'!$B4,Продажи_Прибыль!$H$20:$H$29,T1,Продажи_Прибыль!$X$20:$X$29,"&lt;&gt;акция"))</f>
        <v>-</v>
      </c>
      <c r="V4" s="68" t="str">
        <f>IF(SUMIFS(Продажи_Прибыль!$N$20:$N$29,Продажи_Прибыль!$B$20:$B$29,'НС_Динамика продаж'!$B4,Продажи_Прибыль!$H$20:$H$29,V1,Продажи_Прибыль!$X$20:$X$29,"&lt;&gt;акция")=0,"-",SUMIFS(Продажи_Прибыль!$N$20:$N$29,Продажи_Прибыль!$B$20:$B$29,'НС_Динамика продаж'!$B4,Продажи_Прибыль!$H$20:$H$29,V1,Продажи_Прибыль!$X$20:$X$29,"&lt;&gt;акция"))</f>
        <v>-</v>
      </c>
      <c r="W4" s="135" t="str">
        <f>IF(SUMIFS(Продажи_Прибыль!$O$20:$O$29,Продажи_Прибыль!$B$20:$B$29,'НС_Динамика продаж'!$B4,Продажи_Прибыль!$H$20:$H$29,V1,Продажи_Прибыль!$X$20:$X$29,"&lt;&gt;акция")=0,"-",SUMIFS(Продажи_Прибыль!$O$20:$O$29,Продажи_Прибыль!$B$20:$B$29,'НС_Динамика продаж'!$B4,Продажи_Прибыль!$H$20:$H$29,V1,Продажи_Прибыль!$X$20:$X$29,"&lt;&gt;акция"))</f>
        <v>-</v>
      </c>
      <c r="X4" s="68" t="str">
        <f>IF(SUMIFS(Продажи_Прибыль!$N$20:$N$29,Продажи_Прибыль!$B$20:$B$29,'НС_Динамика продаж'!$B4,Продажи_Прибыль!$H$20:$H$29,X1,Продажи_Прибыль!$X$20:$X$29,"&lt;&gt;акция")=0,"-",SUMIFS(Продажи_Прибыль!$N$20:$N$29,Продажи_Прибыль!$B$20:$B$29,'НС_Динамика продаж'!$B4,Продажи_Прибыль!$H$20:$H$29,X1,Продажи_Прибыль!$X$20:$X$29,"&lt;&gt;акция"))</f>
        <v>-</v>
      </c>
      <c r="Y4" s="135" t="str">
        <f>IF(SUMIFS(Продажи_Прибыль!$O$20:$O$29,Продажи_Прибыль!$B$20:$B$29,'НС_Динамика продаж'!$B4,Продажи_Прибыль!$H$20:$H$29,X1,Продажи_Прибыль!$X$20:$X$29,"&lt;&gt;акция")=0,"-",SUMIFS(Продажи_Прибыль!$O$20:$O$29,Продажи_Прибыль!$B$20:$B$29,'НС_Динамика продаж'!$B4,Продажи_Прибыль!$H$20:$H$29,X1,Продажи_Прибыль!$X$20:$X$29,"&lt;&gt;акция"))</f>
        <v>-</v>
      </c>
      <c r="Z4" s="68" t="str">
        <f>IF(SUMIFS(Продажи_Прибыль!$N$20:$N$29,Продажи_Прибыль!$B$20:$B$29,'НС_Динамика продаж'!$B4,Продажи_Прибыль!$H$20:$H$29,Z1,Продажи_Прибыль!$X$20:$X$29,"&lt;&gt;акция")=0,"-",SUMIFS(Продажи_Прибыль!$N$20:$N$29,Продажи_Прибыль!$B$20:$B$29,'НС_Динамика продаж'!$B4,Продажи_Прибыль!$H$20:$H$29,Z1,Продажи_Прибыль!$X$20:$X$29,"&lt;&gt;акция"))</f>
        <v>-</v>
      </c>
      <c r="AA4" s="135" t="str">
        <f>IF(SUMIFS(Продажи_Прибыль!$O$20:$O$29,Продажи_Прибыль!$B$20:$B$29,'НС_Динамика продаж'!$B4,Продажи_Прибыль!$H$20:$H$29,Z1,Продажи_Прибыль!$X$20:$X$29,"&lt;&gt;акция")=0,"-",SUMIFS(Продажи_Прибыль!$O$20:$O$29,Продажи_Прибыль!$B$20:$B$29,'НС_Динамика продаж'!$B4,Продажи_Прибыль!$H$20:$H$29,Z1,Продажи_Прибыль!$X$20:$X$29,"&lt;&gt;акция"))</f>
        <v>-</v>
      </c>
      <c r="AB4" s="68" t="str">
        <f>IF(SUMIFS(Продажи_Прибыль!$N$20:$N$29,Продажи_Прибыль!$B$20:$B$29,'НС_Динамика продаж'!$B4,Продажи_Прибыль!$H$20:$H$29,AB1,Продажи_Прибыль!$X$20:$X$29,"&lt;&gt;акция")=0,"-",SUMIFS(Продажи_Прибыль!$N$20:$N$29,Продажи_Прибыль!$B$20:$B$29,'НС_Динамика продаж'!$B4,Продажи_Прибыль!$H$20:$H$29,AB1,Продажи_Прибыль!$X$20:$X$29,"&lt;&gt;акция"))</f>
        <v>-</v>
      </c>
      <c r="AC4" s="135" t="str">
        <f>IF(SUMIFS(Продажи_Прибыль!$O$20:$O$29,Продажи_Прибыль!$B$20:$B$29,'НС_Динамика продаж'!$B4,Продажи_Прибыль!$H$20:$H$29,AB1,Продажи_Прибыль!$X$20:$X$29,"&lt;&gt;акция")=0,"-",SUMIFS(Продажи_Прибыль!$O$20:$O$29,Продажи_Прибыль!$B$20:$B$29,'НС_Динамика продаж'!$B4,Продажи_Прибыль!$H$20:$H$29,AB1,Продажи_Прибыль!$X$20:$X$29,"&lt;&gt;акция"))</f>
        <v>-</v>
      </c>
      <c r="AD4" s="68" t="str">
        <f>IF(SUMIFS(Продажи_Прибыль!$N$20:$N$29,Продажи_Прибыль!$B$20:$B$29,'НС_Динамика продаж'!$B4,Продажи_Прибыль!$H$20:$H$29,AD1,Продажи_Прибыль!$X$20:$X$29,"&lt;&gt;акция")=0,"-",SUMIFS(Продажи_Прибыль!$N$20:$N$29,Продажи_Прибыль!$B$20:$B$29,'НС_Динамика продаж'!$B4,Продажи_Прибыль!$H$20:$H$29,AD1,Продажи_Прибыль!$X$20:$X$29,"&lt;&gt;акция"))</f>
        <v>-</v>
      </c>
      <c r="AE4" s="135" t="str">
        <f>IF(SUMIFS(Продажи_Прибыль!$O$20:$O$29,Продажи_Прибыль!$B$20:$B$29,'НС_Динамика продаж'!$B4,Продажи_Прибыль!$H$20:$H$29,AD1,Продажи_Прибыль!$X$20:$X$29,"&lt;&gt;акция")=0,"-",SUMIFS(Продажи_Прибыль!$O$20:$O$29,Продажи_Прибыль!$B$20:$B$29,'НС_Динамика продаж'!$B4,Продажи_Прибыль!$H$20:$H$29,AD1,Продажи_Прибыль!$X$20:$X$29,"&lt;&gt;акция"))</f>
        <v>-</v>
      </c>
      <c r="AF4" s="68" t="str">
        <f>IF(SUMIFS(Продажи_Прибыль!$N$20:$N$29,Продажи_Прибыль!$B$20:$B$29,'НС_Динамика продаж'!$B4,Продажи_Прибыль!$H$20:$H$29,AF1,Продажи_Прибыль!$X$20:$X$29,"&lt;&gt;акция")=0,"-",SUMIFS(Продажи_Прибыль!$N$20:$N$29,Продажи_Прибыль!$B$20:$B$29,'НС_Динамика продаж'!$B4,Продажи_Прибыль!$H$20:$H$29,AF1,Продажи_Прибыль!$X$20:$X$29,"&lt;&gt;акция"))</f>
        <v>-</v>
      </c>
      <c r="AG4" s="135" t="str">
        <f>IF(SUMIFS(Продажи_Прибыль!$O$20:$O$29,Продажи_Прибыль!$B$20:$B$29,'НС_Динамика продаж'!$B4,Продажи_Прибыль!$H$20:$H$29,AF1,Продажи_Прибыль!$X$20:$X$29,"&lt;&gt;акция")=0,"-",SUMIFS(Продажи_Прибыль!$O$20:$O$29,Продажи_Прибыль!$B$20:$B$29,'НС_Динамика продаж'!$B4,Продажи_Прибыль!$H$20:$H$29,AF1,Продажи_Прибыль!$X$20:$X$29,"&lt;&gt;акция"))</f>
        <v>-</v>
      </c>
      <c r="AH4" s="177">
        <f t="shared" ref="AH4" si="1">IFERROR(AVERAGE(H4,J4,L4,N4,P4,R4,T4,V4,X4,Z4,AB4,AD4,AF4),"-")</f>
        <v>13</v>
      </c>
      <c r="AI4" s="178">
        <f t="shared" ref="AI4" si="2">IFERROR(AVERAGE(I4,K4,M4,O4,Q4,S4,U4,W4,Y4,AA4,AC4,AE4,AG4),"-")</f>
        <v>1490.4</v>
      </c>
    </row>
  </sheetData>
  <autoFilter ref="B3:B4"/>
  <dataConsolidate/>
  <mergeCells count="19">
    <mergeCell ref="C1:G1"/>
    <mergeCell ref="A1:A2"/>
    <mergeCell ref="AF1:AG2"/>
    <mergeCell ref="N1:O2"/>
    <mergeCell ref="P1:Q2"/>
    <mergeCell ref="R1:S2"/>
    <mergeCell ref="T1:U2"/>
    <mergeCell ref="H1:I2"/>
    <mergeCell ref="J1:K2"/>
    <mergeCell ref="L1:M2"/>
    <mergeCell ref="AH1:AI2"/>
    <mergeCell ref="V1:W2"/>
    <mergeCell ref="X1:Y2"/>
    <mergeCell ref="Z1:AA2"/>
    <mergeCell ref="AB1:AC2"/>
    <mergeCell ref="AD1:AE2"/>
    <mergeCell ref="C2:C3"/>
    <mergeCell ref="D2:G2"/>
    <mergeCell ref="B1:B2"/>
  </mergeCells>
  <pageMargins left="0.16" right="0.16" top="0.23622047244094491" bottom="0.16" header="0.15748031496062992" footer="0.15748031496062992"/>
  <pageSetup paperSize="9" scale="57" orientation="landscape" r:id="rId1"/>
  <headerFooter alignWithMargins="0"/>
  <ignoredErrors>
    <ignoredError sqref="I4:AF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zoomScale="70" zoomScaleNormal="70" workbookViewId="0">
      <pane xSplit="7" ySplit="7" topLeftCell="M8" activePane="bottomRight" state="frozen"/>
      <selection pane="topRight" activeCell="F1" sqref="F1"/>
      <selection pane="bottomLeft" activeCell="A7" sqref="A7"/>
      <selection pane="bottomRight" activeCell="Q25" sqref="Q25"/>
    </sheetView>
  </sheetViews>
  <sheetFormatPr defaultColWidth="8.7109375" defaultRowHeight="12.75" outlineLevelCol="1" x14ac:dyDescent="0.2"/>
  <cols>
    <col min="1" max="1" width="9.140625" style="4" customWidth="1"/>
    <col min="2" max="2" width="30.5703125" style="6" bestFit="1" customWidth="1"/>
    <col min="3" max="6" width="8.28515625" style="6" customWidth="1"/>
    <col min="7" max="7" width="10" style="5" customWidth="1"/>
    <col min="8" max="8" width="10" style="5" hidden="1" customWidth="1" outlineLevel="1"/>
    <col min="9" max="12" width="10" style="2" hidden="1" customWidth="1" outlineLevel="1"/>
    <col min="13" max="13" width="9.5703125" style="3" customWidth="1" collapsed="1"/>
    <col min="14" max="14" width="9.5703125" style="2" customWidth="1"/>
    <col min="15" max="15" width="10" style="1" customWidth="1"/>
    <col min="16" max="18" width="10" style="2" customWidth="1"/>
    <col min="19" max="19" width="10" style="2" customWidth="1" collapsed="1"/>
    <col min="20" max="20" width="10" style="2" customWidth="1"/>
    <col min="21" max="21" width="8.5703125" bestFit="1" customWidth="1"/>
    <col min="22" max="22" width="7.42578125" style="2" customWidth="1"/>
    <col min="23" max="23" width="8.7109375" customWidth="1"/>
    <col min="24" max="24" width="7.42578125" customWidth="1"/>
    <col min="25" max="25" width="8.85546875" customWidth="1"/>
    <col min="26" max="26" width="7.42578125" customWidth="1"/>
    <col min="27" max="27" width="9.85546875" customWidth="1"/>
    <col min="28" max="28" width="7.42578125" customWidth="1"/>
    <col min="29" max="29" width="9.140625" customWidth="1"/>
    <col min="30" max="30" width="7.42578125" customWidth="1"/>
    <col min="31" max="31" width="10" style="2" customWidth="1"/>
  </cols>
  <sheetData>
    <row r="1" spans="1:31" ht="27.75" customHeight="1" x14ac:dyDescent="0.2">
      <c r="A1" s="10"/>
      <c r="B1" s="195" t="s">
        <v>18</v>
      </c>
      <c r="C1" s="196"/>
      <c r="D1" s="196"/>
      <c r="E1" s="196"/>
      <c r="F1" s="196"/>
      <c r="G1" s="196"/>
      <c r="H1" s="11"/>
      <c r="M1" s="37" t="s">
        <v>40</v>
      </c>
      <c r="N1" s="9">
        <v>27</v>
      </c>
      <c r="P1"/>
      <c r="Q1"/>
      <c r="R1"/>
      <c r="S1"/>
      <c r="T1"/>
    </row>
    <row r="2" spans="1:31" ht="27.75" customHeight="1" x14ac:dyDescent="0.2">
      <c r="A2" s="12"/>
      <c r="B2" s="195" t="s">
        <v>5</v>
      </c>
      <c r="C2" s="196"/>
      <c r="D2" s="196"/>
      <c r="E2" s="196"/>
      <c r="F2" s="196"/>
      <c r="G2" s="196"/>
      <c r="H2" s="11"/>
      <c r="M2" s="2"/>
      <c r="O2" s="2"/>
    </row>
    <row r="3" spans="1:31" s="8" customFormat="1" ht="27.75" customHeight="1" thickBot="1" x14ac:dyDescent="0.25">
      <c r="A3" s="13"/>
      <c r="B3" s="195" t="s">
        <v>19</v>
      </c>
      <c r="C3" s="196"/>
      <c r="D3" s="196"/>
      <c r="E3" s="196"/>
      <c r="F3" s="196"/>
      <c r="G3" s="196"/>
      <c r="H3" s="5">
        <v>435</v>
      </c>
      <c r="J3" s="2">
        <f>(100+H3-150*1.06)/40</f>
        <v>9.4</v>
      </c>
      <c r="K3" s="7"/>
      <c r="L3" s="7"/>
      <c r="M3" s="7"/>
      <c r="N3" s="7"/>
      <c r="O3" s="7"/>
      <c r="P3" s="7"/>
      <c r="Q3" s="7"/>
      <c r="R3" s="7"/>
      <c r="S3" s="7"/>
      <c r="T3" s="7"/>
      <c r="V3" s="7"/>
      <c r="AE3" s="7"/>
    </row>
    <row r="4" spans="1:31" ht="38.25" customHeight="1" thickBot="1" x14ac:dyDescent="0.25">
      <c r="O4" s="198" t="s">
        <v>128</v>
      </c>
      <c r="P4" s="199"/>
      <c r="Q4" s="199"/>
      <c r="R4" s="199"/>
      <c r="S4" s="199"/>
      <c r="T4" s="200"/>
    </row>
    <row r="5" spans="1:31" ht="38.25" customHeight="1" x14ac:dyDescent="0.2">
      <c r="A5" s="241" t="s">
        <v>0</v>
      </c>
      <c r="B5" s="203" t="s">
        <v>17</v>
      </c>
      <c r="C5" s="204"/>
      <c r="D5" s="204"/>
      <c r="E5" s="204"/>
      <c r="F5" s="204"/>
      <c r="G5" s="205" t="s">
        <v>42</v>
      </c>
      <c r="H5" s="258" t="s">
        <v>21</v>
      </c>
      <c r="I5" s="259"/>
      <c r="J5" s="259"/>
      <c r="K5" s="259"/>
      <c r="L5" s="260"/>
      <c r="M5" s="264" t="s">
        <v>14</v>
      </c>
      <c r="N5" s="233"/>
      <c r="O5" s="248" t="s">
        <v>122</v>
      </c>
      <c r="P5" s="249"/>
      <c r="Q5" s="248" t="s">
        <v>123</v>
      </c>
      <c r="R5" s="249"/>
      <c r="S5" s="248" t="s">
        <v>124</v>
      </c>
      <c r="T5" s="249"/>
      <c r="U5" s="252" t="s">
        <v>4</v>
      </c>
      <c r="V5" s="253"/>
      <c r="W5" s="253"/>
      <c r="X5" s="253"/>
      <c r="Y5" s="253"/>
      <c r="Z5" s="253"/>
      <c r="AA5" s="253"/>
      <c r="AB5" s="253"/>
      <c r="AC5" s="253"/>
      <c r="AD5" s="254"/>
      <c r="AE5" s="45"/>
    </row>
    <row r="6" spans="1:31" ht="38.25" customHeight="1" thickBot="1" x14ac:dyDescent="0.25">
      <c r="A6" s="242"/>
      <c r="B6" s="236" t="s">
        <v>78</v>
      </c>
      <c r="C6" s="238" t="s">
        <v>79</v>
      </c>
      <c r="D6" s="239"/>
      <c r="E6" s="239"/>
      <c r="F6" s="240"/>
      <c r="G6" s="247"/>
      <c r="H6" s="261"/>
      <c r="I6" s="262"/>
      <c r="J6" s="262"/>
      <c r="K6" s="262"/>
      <c r="L6" s="263"/>
      <c r="M6" s="265"/>
      <c r="N6" s="266"/>
      <c r="O6" s="250"/>
      <c r="P6" s="251"/>
      <c r="Q6" s="250"/>
      <c r="R6" s="251"/>
      <c r="S6" s="250"/>
      <c r="T6" s="251"/>
      <c r="U6" s="255"/>
      <c r="V6" s="256"/>
      <c r="W6" s="256"/>
      <c r="X6" s="256"/>
      <c r="Y6" s="256"/>
      <c r="Z6" s="256"/>
      <c r="AA6" s="256"/>
      <c r="AB6" s="256"/>
      <c r="AC6" s="256"/>
      <c r="AD6" s="257"/>
      <c r="AE6" s="45"/>
    </row>
    <row r="7" spans="1:31" ht="39" thickBot="1" x14ac:dyDescent="0.25">
      <c r="A7" s="100"/>
      <c r="B7" s="237"/>
      <c r="C7" s="161" t="s">
        <v>109</v>
      </c>
      <c r="D7" s="161" t="s">
        <v>15</v>
      </c>
      <c r="E7" s="161" t="s">
        <v>16</v>
      </c>
      <c r="F7" s="161" t="s">
        <v>45</v>
      </c>
      <c r="G7" s="206"/>
      <c r="H7" s="15" t="s">
        <v>9</v>
      </c>
      <c r="I7" s="16" t="s">
        <v>37</v>
      </c>
      <c r="J7" s="16" t="s">
        <v>1</v>
      </c>
      <c r="K7" s="16" t="s">
        <v>10</v>
      </c>
      <c r="L7" s="48" t="s">
        <v>11</v>
      </c>
      <c r="M7" s="160" t="s">
        <v>12</v>
      </c>
      <c r="N7" s="159" t="s">
        <v>13</v>
      </c>
      <c r="O7" s="136" t="s">
        <v>46</v>
      </c>
      <c r="P7" s="158" t="s">
        <v>125</v>
      </c>
      <c r="Q7" s="136" t="s">
        <v>46</v>
      </c>
      <c r="R7" s="137" t="s">
        <v>126</v>
      </c>
      <c r="S7" s="136" t="s">
        <v>46</v>
      </c>
      <c r="T7" s="137" t="s">
        <v>127</v>
      </c>
      <c r="U7" s="267" t="s">
        <v>36</v>
      </c>
      <c r="V7" s="268"/>
      <c r="W7" s="206" t="s">
        <v>52</v>
      </c>
      <c r="X7" s="246"/>
      <c r="Y7" s="206" t="s">
        <v>51</v>
      </c>
      <c r="Z7" s="246"/>
      <c r="AA7" s="206" t="s">
        <v>53</v>
      </c>
      <c r="AB7" s="246"/>
      <c r="AC7" s="206" t="s">
        <v>54</v>
      </c>
      <c r="AD7" s="246"/>
      <c r="AE7" s="45"/>
    </row>
    <row r="8" spans="1:31" s="51" customFormat="1" x14ac:dyDescent="0.2">
      <c r="A8" s="41">
        <f>IFERROR(VLOOKUP(CONCATENATE(B8,C8,D8,E8,F8),'НС_Динамика продаж'!$A:$G,2,0),"-")</f>
        <v>1022</v>
      </c>
      <c r="B8" s="101" t="s">
        <v>87</v>
      </c>
      <c r="C8" s="75">
        <v>12</v>
      </c>
      <c r="D8" s="34">
        <v>0.1</v>
      </c>
      <c r="E8" s="77" t="s">
        <v>35</v>
      </c>
      <c r="F8" s="78" t="s">
        <v>88</v>
      </c>
      <c r="G8" s="26">
        <v>2.6</v>
      </c>
      <c r="H8" s="54"/>
      <c r="I8" s="55"/>
      <c r="J8" s="56"/>
      <c r="K8" s="55"/>
      <c r="L8" s="57">
        <f t="shared" ref="L8" si="0">G8*H8+(G8+G8*H8)*I8+(G8+G8*H8+(G8+G8*H8)*I8)*J8+(G8+G8*H8)*K8</f>
        <v>0</v>
      </c>
      <c r="M8" s="58">
        <f t="shared" ref="M8" si="1">L8+G8</f>
        <v>2.6</v>
      </c>
      <c r="N8" s="57">
        <f t="shared" ref="N8" si="2">M8*$N$1</f>
        <v>70.2</v>
      </c>
      <c r="O8" s="59">
        <f t="shared" ref="O8" si="3">P8/N8-1</f>
        <v>0.70940170940170932</v>
      </c>
      <c r="P8" s="60">
        <v>120</v>
      </c>
      <c r="Q8" s="63">
        <f t="shared" ref="Q8" si="4">R8/N8-1</f>
        <v>0.62393162393162394</v>
      </c>
      <c r="R8" s="64">
        <f t="shared" ref="R8" si="5">ROUND(P8*0.95,2)</f>
        <v>114</v>
      </c>
      <c r="S8" s="63">
        <f t="shared" ref="S8" si="6">T8/N8-1</f>
        <v>0.53846153846153832</v>
      </c>
      <c r="T8" s="64">
        <f t="shared" ref="T8" si="7">ROUND(P8*0.9,2)</f>
        <v>108</v>
      </c>
      <c r="U8" s="28">
        <f t="shared" ref="U8" si="8">IFERROR((IF((1-V8/$P8)=100%,"-",(1-V8/$P8))),"-")</f>
        <v>-0.14999999999999991</v>
      </c>
      <c r="V8" s="29">
        <f t="shared" ref="V8" si="9">230/20*C8</f>
        <v>138</v>
      </c>
      <c r="W8" s="28">
        <f t="shared" ref="W8" si="10">IFERROR((IF((1-X8/$P8)=100%,"-",(1-X8/$P8))),"-")</f>
        <v>-1.2781250000000002</v>
      </c>
      <c r="X8" s="42">
        <f t="shared" ref="X8" si="11">13.5*$N$1/16*C8</f>
        <v>273.375</v>
      </c>
      <c r="Y8" s="28">
        <f t="shared" ref="Y8" si="12">IFERROR((IF((1-Z8/$P8)=100%,"-",(1-Z8/$P8))),"-")</f>
        <v>-0.75500000000000012</v>
      </c>
      <c r="Z8" s="42">
        <f t="shared" ref="Z8" si="13">13*$N$1/20*C8</f>
        <v>210.60000000000002</v>
      </c>
      <c r="AA8" s="28">
        <f t="shared" ref="AA8" si="14">IFERROR((IF((1-AB8/$P8)=100%,"-",(1-AB8/$P8))),"-")</f>
        <v>-1.1949999999999998</v>
      </c>
      <c r="AB8" s="42">
        <f t="shared" ref="AB8" si="15">439/20*C8</f>
        <v>263.39999999999998</v>
      </c>
      <c r="AC8" s="28">
        <f t="shared" ref="AC8" si="16">IFERROR((IF((1-AD8/$P8)=100%,"-",(1-AD8/$P8))),"-")</f>
        <v>-1</v>
      </c>
      <c r="AD8" s="42">
        <f t="shared" ref="AD8" si="17">120/6*C8</f>
        <v>240</v>
      </c>
      <c r="AE8" s="72"/>
    </row>
  </sheetData>
  <sheetCalcPr fullCalcOnLoad="1"/>
  <autoFilter ref="A7:AE8">
    <filterColumn colId="20" showButton="0"/>
    <filterColumn colId="22" showButton="0"/>
    <filterColumn colId="24" showButton="0"/>
    <filterColumn colId="26" showButton="0"/>
    <filterColumn colId="28" showButton="0"/>
  </autoFilter>
  <dataConsolidate/>
  <mergeCells count="20">
    <mergeCell ref="B6:B7"/>
    <mergeCell ref="O4:T4"/>
    <mergeCell ref="S5:T6"/>
    <mergeCell ref="U5:AD6"/>
    <mergeCell ref="H5:L6"/>
    <mergeCell ref="M5:N6"/>
    <mergeCell ref="O5:P6"/>
    <mergeCell ref="Q5:R6"/>
    <mergeCell ref="U7:V7"/>
    <mergeCell ref="W7:X7"/>
    <mergeCell ref="C6:F6"/>
    <mergeCell ref="A5:A6"/>
    <mergeCell ref="B1:G1"/>
    <mergeCell ref="B2:G2"/>
    <mergeCell ref="B3:G3"/>
    <mergeCell ref="AC7:AD7"/>
    <mergeCell ref="G5:G7"/>
    <mergeCell ref="B5:F5"/>
    <mergeCell ref="Y7:Z7"/>
    <mergeCell ref="AA7:AB7"/>
  </mergeCells>
  <conditionalFormatting sqref="U8">
    <cfRule type="iconSet" priority="87">
      <iconSet reverse="1">
        <cfvo type="percent" val="0"/>
        <cfvo type="num" val="-7.0000000000000007E-2"/>
        <cfvo type="num" val="7.0000000000000007E-2"/>
      </iconSet>
    </cfRule>
  </conditionalFormatting>
  <conditionalFormatting sqref="W8">
    <cfRule type="iconSet" priority="86">
      <iconSet reverse="1">
        <cfvo type="percent" val="0"/>
        <cfvo type="num" val="-7.0000000000000007E-2"/>
        <cfvo type="num" val="7.0000000000000007E-2"/>
      </iconSet>
    </cfRule>
  </conditionalFormatting>
  <conditionalFormatting sqref="AC8">
    <cfRule type="iconSet" priority="85">
      <iconSet reverse="1">
        <cfvo type="percent" val="0"/>
        <cfvo type="num" val="-7.0000000000000007E-2"/>
        <cfvo type="num" val="7.0000000000000007E-2"/>
      </iconSet>
    </cfRule>
  </conditionalFormatting>
  <conditionalFormatting sqref="Y8">
    <cfRule type="iconSet" priority="79">
      <iconSet reverse="1">
        <cfvo type="percent" val="0"/>
        <cfvo type="num" val="-7.0000000000000007E-2"/>
        <cfvo type="num" val="7.0000000000000007E-2"/>
      </iconSet>
    </cfRule>
  </conditionalFormatting>
  <conditionalFormatting sqref="AA8">
    <cfRule type="iconSet" priority="76">
      <iconSet reverse="1">
        <cfvo type="percent" val="0"/>
        <cfvo type="num" val="-7.0000000000000007E-2"/>
        <cfvo type="num" val="7.0000000000000007E-2"/>
      </iconSet>
    </cfRule>
  </conditionalFormatting>
  <pageMargins left="0.16" right="0.16" top="0.23622047244094491" bottom="0.16" header="0.15748031496062992" footer="0.15748031496062992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zoomScale="70" zoomScaleNormal="70" workbookViewId="0">
      <pane ySplit="20" topLeftCell="A21" activePane="bottomLeft" state="frozen"/>
      <selection pane="bottomLeft" activeCell="J47" sqref="J47"/>
    </sheetView>
  </sheetViews>
  <sheetFormatPr defaultColWidth="8.7109375" defaultRowHeight="12.75" outlineLevelRow="1" x14ac:dyDescent="0.2"/>
  <cols>
    <col min="1" max="1" width="6.7109375" style="4" customWidth="1"/>
    <col min="2" max="2" width="6.7109375" style="150" customWidth="1"/>
    <col min="3" max="3" width="30.5703125" style="6" bestFit="1" customWidth="1"/>
    <col min="4" max="7" width="7.7109375" style="6" customWidth="1"/>
    <col min="8" max="8" width="10.5703125" style="109" customWidth="1"/>
    <col min="9" max="9" width="10.7109375" style="5" bestFit="1" customWidth="1"/>
    <col min="10" max="10" width="10.5703125" style="145" customWidth="1"/>
    <col min="11" max="12" width="12.42578125" style="2" customWidth="1"/>
    <col min="13" max="13" width="11.140625" style="150" bestFit="1" customWidth="1"/>
    <col min="14" max="14" width="11.140625" style="150" customWidth="1"/>
    <col min="15" max="15" width="15.85546875" style="5" bestFit="1" customWidth="1"/>
    <col min="19" max="19" width="10.5703125" bestFit="1" customWidth="1"/>
  </cols>
  <sheetData>
    <row r="1" spans="3:8" hidden="1" outlineLevel="1" x14ac:dyDescent="0.2">
      <c r="C1" s="84" t="s">
        <v>87</v>
      </c>
      <c r="D1" s="6">
        <v>12</v>
      </c>
      <c r="E1" s="6">
        <v>7.0000000000000007E-2</v>
      </c>
      <c r="F1" s="84" t="s">
        <v>35</v>
      </c>
      <c r="G1" s="6">
        <v>8</v>
      </c>
      <c r="H1" s="121">
        <v>42614</v>
      </c>
    </row>
    <row r="2" spans="3:8" hidden="1" outlineLevel="1" x14ac:dyDescent="0.2">
      <c r="C2" s="6" t="s">
        <v>69</v>
      </c>
      <c r="E2" s="85">
        <v>0.1</v>
      </c>
      <c r="F2" s="84" t="s">
        <v>34</v>
      </c>
      <c r="G2" s="6">
        <v>9</v>
      </c>
      <c r="H2" s="121">
        <v>42644</v>
      </c>
    </row>
    <row r="3" spans="3:8" hidden="1" outlineLevel="1" x14ac:dyDescent="0.2">
      <c r="C3" s="6" t="s">
        <v>57</v>
      </c>
      <c r="E3" s="6">
        <v>0.12</v>
      </c>
      <c r="G3" s="6">
        <v>10</v>
      </c>
      <c r="H3" s="121">
        <v>42675</v>
      </c>
    </row>
    <row r="4" spans="3:8" hidden="1" outlineLevel="1" x14ac:dyDescent="0.2">
      <c r="C4" s="6" t="s">
        <v>70</v>
      </c>
      <c r="E4" s="6">
        <v>0.15</v>
      </c>
      <c r="G4" s="6">
        <v>11</v>
      </c>
      <c r="H4" s="121">
        <v>42705</v>
      </c>
    </row>
    <row r="5" spans="3:8" hidden="1" outlineLevel="1" x14ac:dyDescent="0.2">
      <c r="C5" s="6" t="s">
        <v>71</v>
      </c>
      <c r="G5" s="6">
        <v>12</v>
      </c>
      <c r="H5" s="121">
        <v>42736</v>
      </c>
    </row>
    <row r="6" spans="3:8" hidden="1" outlineLevel="1" x14ac:dyDescent="0.2">
      <c r="C6" s="84" t="s">
        <v>110</v>
      </c>
      <c r="G6" s="6">
        <v>13</v>
      </c>
      <c r="H6" s="121">
        <v>42767</v>
      </c>
    </row>
    <row r="7" spans="3:8" hidden="1" outlineLevel="1" x14ac:dyDescent="0.2">
      <c r="C7" s="6" t="s">
        <v>104</v>
      </c>
      <c r="G7" s="84" t="s">
        <v>88</v>
      </c>
      <c r="H7" s="121">
        <v>42795</v>
      </c>
    </row>
    <row r="8" spans="3:8" hidden="1" outlineLevel="1" x14ac:dyDescent="0.2">
      <c r="C8" s="6" t="s">
        <v>105</v>
      </c>
      <c r="G8" s="84"/>
      <c r="H8" s="121">
        <v>42826</v>
      </c>
    </row>
    <row r="9" spans="3:8" hidden="1" outlineLevel="1" x14ac:dyDescent="0.2">
      <c r="C9" s="6" t="s">
        <v>72</v>
      </c>
      <c r="H9" s="121">
        <v>42856</v>
      </c>
    </row>
    <row r="10" spans="3:8" hidden="1" outlineLevel="1" x14ac:dyDescent="0.2">
      <c r="C10" s="6" t="s">
        <v>73</v>
      </c>
      <c r="H10" s="121">
        <v>42887</v>
      </c>
    </row>
    <row r="11" spans="3:8" hidden="1" outlineLevel="1" x14ac:dyDescent="0.2">
      <c r="C11" s="6" t="s">
        <v>74</v>
      </c>
      <c r="H11" s="121">
        <v>42917</v>
      </c>
    </row>
    <row r="12" spans="3:8" hidden="1" outlineLevel="1" x14ac:dyDescent="0.2">
      <c r="C12" s="6" t="s">
        <v>75</v>
      </c>
      <c r="H12" s="121">
        <v>42948</v>
      </c>
    </row>
    <row r="13" spans="3:8" hidden="1" outlineLevel="1" x14ac:dyDescent="0.2">
      <c r="C13" s="6" t="s">
        <v>76</v>
      </c>
      <c r="H13" s="121">
        <v>42979</v>
      </c>
    </row>
    <row r="14" spans="3:8" hidden="1" outlineLevel="1" x14ac:dyDescent="0.2">
      <c r="C14" s="6" t="s">
        <v>77</v>
      </c>
      <c r="H14" s="121">
        <v>43009</v>
      </c>
    </row>
    <row r="15" spans="3:8" hidden="1" outlineLevel="1" x14ac:dyDescent="0.2">
      <c r="H15" s="121">
        <v>43040</v>
      </c>
    </row>
    <row r="16" spans="3:8" ht="13.5" hidden="1" outlineLevel="1" thickBot="1" x14ac:dyDescent="0.25">
      <c r="H16" s="121">
        <v>43070</v>
      </c>
    </row>
    <row r="17" spans="1:16" ht="33.75" customHeight="1" collapsed="1" x14ac:dyDescent="0.2">
      <c r="A17" s="264" t="s">
        <v>0</v>
      </c>
      <c r="B17" s="277" t="s">
        <v>147</v>
      </c>
      <c r="C17" s="281" t="s">
        <v>17</v>
      </c>
      <c r="D17" s="204"/>
      <c r="E17" s="204"/>
      <c r="F17" s="204"/>
      <c r="G17" s="243"/>
      <c r="H17" s="285" t="s">
        <v>138</v>
      </c>
      <c r="I17" s="286"/>
      <c r="J17" s="286"/>
      <c r="K17" s="286"/>
      <c r="L17" s="287"/>
      <c r="M17" s="271" t="s">
        <v>137</v>
      </c>
      <c r="N17" s="274" t="s">
        <v>150</v>
      </c>
      <c r="O17" s="274" t="s">
        <v>89</v>
      </c>
    </row>
    <row r="18" spans="1:16" ht="25.5" customHeight="1" x14ac:dyDescent="0.2">
      <c r="A18" s="280"/>
      <c r="B18" s="278"/>
      <c r="C18" s="269" t="s">
        <v>78</v>
      </c>
      <c r="D18" s="282" t="s">
        <v>79</v>
      </c>
      <c r="E18" s="283"/>
      <c r="F18" s="283"/>
      <c r="G18" s="284"/>
      <c r="H18" s="269" t="s">
        <v>117</v>
      </c>
      <c r="I18" s="288" t="s">
        <v>149</v>
      </c>
      <c r="J18" s="288" t="s">
        <v>139</v>
      </c>
      <c r="K18" s="288" t="s">
        <v>108</v>
      </c>
      <c r="L18" s="290" t="s">
        <v>103</v>
      </c>
      <c r="M18" s="272"/>
      <c r="N18" s="275"/>
      <c r="O18" s="275"/>
    </row>
    <row r="19" spans="1:16" ht="45" customHeight="1" thickBot="1" x14ac:dyDescent="0.25">
      <c r="A19" s="265"/>
      <c r="B19" s="279"/>
      <c r="C19" s="270"/>
      <c r="D19" s="98" t="s">
        <v>109</v>
      </c>
      <c r="E19" s="98" t="s">
        <v>15</v>
      </c>
      <c r="F19" s="98" t="s">
        <v>16</v>
      </c>
      <c r="G19" s="99" t="s">
        <v>45</v>
      </c>
      <c r="H19" s="270"/>
      <c r="I19" s="289"/>
      <c r="J19" s="289"/>
      <c r="K19" s="289"/>
      <c r="L19" s="291"/>
      <c r="M19" s="273"/>
      <c r="N19" s="276"/>
      <c r="O19" s="276"/>
    </row>
    <row r="20" spans="1:16" s="124" customFormat="1" ht="16.5" thickBot="1" x14ac:dyDescent="0.3">
      <c r="A20" s="126"/>
      <c r="B20" s="186"/>
      <c r="C20" s="127"/>
      <c r="D20" s="128"/>
      <c r="E20" s="128"/>
      <c r="F20" s="128"/>
      <c r="G20" s="129"/>
      <c r="H20" s="127"/>
      <c r="I20" s="130"/>
      <c r="J20" s="146"/>
      <c r="K20" s="182">
        <f>SUM(K21:K22)</f>
        <v>104</v>
      </c>
      <c r="L20" s="192">
        <f>SUM(L21:L22)</f>
        <v>4800</v>
      </c>
      <c r="M20" s="189"/>
      <c r="N20" s="151"/>
      <c r="O20" s="131"/>
    </row>
    <row r="21" spans="1:16" s="17" customFormat="1" x14ac:dyDescent="0.2">
      <c r="A21" s="184">
        <f>IFERROR(VLOOKUP(CONCATENATE(C21,D21,E21,F21,G21),'НС_Динамика продаж'!$A:$G,2,0),"-")</f>
        <v>1022</v>
      </c>
      <c r="B21" s="125" t="s">
        <v>141</v>
      </c>
      <c r="C21" s="187" t="s">
        <v>87</v>
      </c>
      <c r="D21" s="87">
        <v>12</v>
      </c>
      <c r="E21" s="77">
        <v>0.1</v>
      </c>
      <c r="F21" s="77" t="s">
        <v>35</v>
      </c>
      <c r="G21" s="88" t="s">
        <v>88</v>
      </c>
      <c r="H21" s="123">
        <v>42644</v>
      </c>
      <c r="I21" s="125">
        <v>42646</v>
      </c>
      <c r="J21" s="147">
        <v>20</v>
      </c>
      <c r="K21" s="148">
        <f>IFERROR(VLOOKUP(A21,Прайс_модель!$A$8:$G$8,7,FALSE)*J21,"-")</f>
        <v>52</v>
      </c>
      <c r="L21" s="193">
        <f>IFERROR(VLOOKUP(A21,Прайс_модель!$A$8:$P$8,16,FALSE)*J21,"-")</f>
        <v>2400</v>
      </c>
      <c r="M21" s="190">
        <v>42668</v>
      </c>
      <c r="N21" s="183">
        <f>IF(M21-I21&lt;0,"",M21-I21)</f>
        <v>22</v>
      </c>
      <c r="O21" s="82"/>
    </row>
    <row r="22" spans="1:16" s="17" customFormat="1" x14ac:dyDescent="0.2">
      <c r="A22" s="185">
        <f>IFERROR(VLOOKUP(CONCATENATE(C22,D22,E22,F22,G22),'НС_Динамика продаж'!$A:$G,2,0),"-")</f>
        <v>1022</v>
      </c>
      <c r="B22" s="152" t="s">
        <v>141</v>
      </c>
      <c r="C22" s="188" t="s">
        <v>87</v>
      </c>
      <c r="D22" s="74">
        <v>12</v>
      </c>
      <c r="E22" s="77">
        <v>0.1</v>
      </c>
      <c r="F22" s="77" t="s">
        <v>35</v>
      </c>
      <c r="G22" s="88" t="s">
        <v>88</v>
      </c>
      <c r="H22" s="122">
        <v>42705</v>
      </c>
      <c r="I22" s="125">
        <v>42711</v>
      </c>
      <c r="J22" s="147">
        <v>20</v>
      </c>
      <c r="K22" s="149">
        <f>IFERROR(VLOOKUP(A22,Прайс_модель!$A$8:$G$8,7,FALSE)*J22,"-")</f>
        <v>52</v>
      </c>
      <c r="L22" s="193">
        <f>IFERROR(VLOOKUP(A22,Прайс_модель!$A$8:$P$8,16,FALSE)*J22,"-")</f>
        <v>2400</v>
      </c>
      <c r="M22" s="191"/>
      <c r="N22" s="183" t="str">
        <f>IF(M22-I22&lt;0,"",M22-I22)</f>
        <v/>
      </c>
      <c r="O22" s="82"/>
      <c r="P22" s="94"/>
    </row>
  </sheetData>
  <sheetCalcPr fullCalcOnLoad="1"/>
  <autoFilter ref="A20:O22"/>
  <dataConsolidate/>
  <mergeCells count="14">
    <mergeCell ref="I18:I19"/>
    <mergeCell ref="J18:J19"/>
    <mergeCell ref="K18:K19"/>
    <mergeCell ref="L18:L19"/>
    <mergeCell ref="C18:C19"/>
    <mergeCell ref="M17:M19"/>
    <mergeCell ref="N17:N19"/>
    <mergeCell ref="B17:B19"/>
    <mergeCell ref="O17:O19"/>
    <mergeCell ref="A17:A19"/>
    <mergeCell ref="C17:G17"/>
    <mergeCell ref="D18:G18"/>
    <mergeCell ref="H17:L17"/>
    <mergeCell ref="H18:H19"/>
  </mergeCells>
  <dataValidations count="6">
    <dataValidation type="list" allowBlank="1" showInputMessage="1" showErrorMessage="1" sqref="H21:H22">
      <formula1>$H$1:$H$16</formula1>
    </dataValidation>
    <dataValidation type="list" allowBlank="1" showInputMessage="1" showErrorMessage="1" sqref="G21:G22">
      <formula1>$G$1:$G$7</formula1>
    </dataValidation>
    <dataValidation type="list" allowBlank="1" showInputMessage="1" showErrorMessage="1" sqref="F21:F22">
      <formula1>$F$1:$F$2</formula1>
    </dataValidation>
    <dataValidation type="list" allowBlank="1" showInputMessage="1" showErrorMessage="1" sqref="D21:D22">
      <formula1>$D$1</formula1>
    </dataValidation>
    <dataValidation type="list" allowBlank="1" showInputMessage="1" showErrorMessage="1" sqref="C21:C22">
      <formula1>$C$1:$C$14</formula1>
    </dataValidation>
    <dataValidation type="list" allowBlank="1" showInputMessage="1" showErrorMessage="1" sqref="E21:E22">
      <formula1>$E$1:$E$4</formula1>
    </dataValidation>
  </dataValidations>
  <pageMargins left="0.16" right="0.16" top="0.23622047244094491" bottom="0.16" header="0.15748031496062992" footer="0.15748031496062992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9"/>
  <sheetViews>
    <sheetView tabSelected="1" zoomScale="80" zoomScaleNormal="80" workbookViewId="0">
      <pane ySplit="3" topLeftCell="A4" activePane="bottomLeft" state="frozen"/>
      <selection pane="bottomLeft" activeCell="S5" sqref="S5"/>
    </sheetView>
  </sheetViews>
  <sheetFormatPr defaultColWidth="8.7109375" defaultRowHeight="12.75" outlineLevelCol="1" x14ac:dyDescent="0.2"/>
  <cols>
    <col min="1" max="1" width="6.7109375" style="4" customWidth="1"/>
    <col min="2" max="2" width="6.7109375" style="4" bestFit="1" customWidth="1"/>
    <col min="3" max="3" width="30.5703125" style="140" bestFit="1" customWidth="1"/>
    <col min="4" max="7" width="8" style="140" customWidth="1"/>
    <col min="8" max="8" width="12.42578125" style="14" hidden="1" customWidth="1" outlineLevel="1"/>
    <col min="9" max="9" width="12.42578125" style="7" hidden="1" customWidth="1" outlineLevel="1"/>
    <col min="10" max="10" width="11.5703125" style="7" customWidth="1" collapsed="1"/>
    <col min="11" max="13" width="11.5703125" style="7" customWidth="1"/>
    <col min="14" max="14" width="9.140625" style="155" customWidth="1"/>
    <col min="15" max="15" width="20.42578125" style="155" bestFit="1" customWidth="1" collapsed="1"/>
    <col min="16" max="16" width="13.42578125" style="4" customWidth="1"/>
    <col min="17" max="18" width="17.28515625" style="8" customWidth="1"/>
    <col min="19" max="16384" width="8.7109375" style="8"/>
  </cols>
  <sheetData>
    <row r="1" spans="1:28" ht="38.25" customHeight="1" x14ac:dyDescent="0.2">
      <c r="A1" s="292" t="s">
        <v>0</v>
      </c>
      <c r="B1" s="301" t="s">
        <v>147</v>
      </c>
      <c r="C1" s="296" t="s">
        <v>17</v>
      </c>
      <c r="D1" s="297"/>
      <c r="E1" s="297"/>
      <c r="F1" s="297"/>
      <c r="G1" s="298"/>
      <c r="H1" s="299" t="s">
        <v>99</v>
      </c>
      <c r="I1" s="294" t="s">
        <v>102</v>
      </c>
      <c r="J1" s="303" t="s">
        <v>100</v>
      </c>
      <c r="K1" s="304"/>
      <c r="L1" s="304"/>
      <c r="M1" s="304"/>
      <c r="N1" s="305"/>
      <c r="O1" s="306" t="s">
        <v>145</v>
      </c>
      <c r="P1" s="307"/>
    </row>
    <row r="2" spans="1:28" ht="38.25" customHeight="1" x14ac:dyDescent="0.25">
      <c r="A2" s="293"/>
      <c r="B2" s="302"/>
      <c r="C2" s="162" t="s">
        <v>78</v>
      </c>
      <c r="D2" s="238" t="s">
        <v>79</v>
      </c>
      <c r="E2" s="239"/>
      <c r="F2" s="239"/>
      <c r="G2" s="240"/>
      <c r="H2" s="300"/>
      <c r="I2" s="295"/>
      <c r="J2" s="170" t="s">
        <v>101</v>
      </c>
      <c r="K2" s="171" t="s">
        <v>132</v>
      </c>
      <c r="L2" s="171" t="s">
        <v>140</v>
      </c>
      <c r="M2" s="172" t="s">
        <v>103</v>
      </c>
      <c r="N2" s="173" t="s">
        <v>144</v>
      </c>
      <c r="O2" s="174" t="s">
        <v>152</v>
      </c>
      <c r="P2" s="176" t="s">
        <v>153</v>
      </c>
      <c r="Q2" s="108" t="s">
        <v>148</v>
      </c>
      <c r="S2" s="328" t="s">
        <v>154</v>
      </c>
      <c r="T2" s="328"/>
      <c r="U2" s="328"/>
      <c r="V2" s="328"/>
      <c r="W2" s="328"/>
      <c r="X2" s="328"/>
      <c r="Y2" s="328"/>
      <c r="Z2" s="328"/>
      <c r="AA2" s="328"/>
      <c r="AB2" s="328"/>
    </row>
    <row r="3" spans="1:28" ht="42.75" customHeight="1" thickBot="1" x14ac:dyDescent="0.25">
      <c r="A3" s="163"/>
      <c r="B3" s="165"/>
      <c r="C3" s="93"/>
      <c r="D3" s="98" t="s">
        <v>109</v>
      </c>
      <c r="E3" s="98" t="s">
        <v>15</v>
      </c>
      <c r="F3" s="98" t="s">
        <v>16</v>
      </c>
      <c r="G3" s="99" t="s">
        <v>45</v>
      </c>
      <c r="H3" s="111">
        <v>42691</v>
      </c>
      <c r="I3" s="144"/>
      <c r="J3" s="142"/>
      <c r="K3" s="143"/>
      <c r="L3" s="143"/>
      <c r="M3" s="168"/>
      <c r="N3" s="169">
        <f ca="1">COUNTIF(N4:N4,"OOS")</f>
        <v>1</v>
      </c>
      <c r="O3" s="175"/>
      <c r="P3" s="194" t="s">
        <v>101</v>
      </c>
      <c r="Q3" s="180">
        <v>1.5</v>
      </c>
      <c r="S3" s="328"/>
      <c r="T3" s="328"/>
      <c r="U3" s="328"/>
      <c r="V3" s="328"/>
      <c r="W3" s="328"/>
      <c r="X3" s="328"/>
      <c r="Y3" s="328"/>
      <c r="Z3" s="328"/>
      <c r="AA3" s="328"/>
      <c r="AB3" s="328"/>
    </row>
    <row r="4" spans="1:28" s="51" customFormat="1" x14ac:dyDescent="0.2">
      <c r="A4" s="164">
        <f>IFERROR(VLOOKUP(CONCATENATE(C4,D4,E4,F4,G4),'НС_Динамика продаж'!$A:$G,2,0),"-")</f>
        <v>1022</v>
      </c>
      <c r="B4" s="166" t="s">
        <v>141</v>
      </c>
      <c r="C4" s="103" t="s">
        <v>87</v>
      </c>
      <c r="D4" s="104">
        <v>12</v>
      </c>
      <c r="E4" s="105">
        <v>0.1</v>
      </c>
      <c r="F4" s="106" t="s">
        <v>35</v>
      </c>
      <c r="G4" s="107" t="s">
        <v>88</v>
      </c>
      <c r="H4" s="102">
        <v>16</v>
      </c>
      <c r="I4" s="138">
        <f ca="1">SUMIF(Продажи_Прибыль!$B$20:$N$29,Stock!A4,Продажи_Прибыль!$N$20:$N$29)</f>
        <v>16</v>
      </c>
      <c r="J4" s="138">
        <f ca="1">H4-I4+SUMIFS(Orders!$J$22:$J$22,Orders!$A$22:$A$22,A4,Orders!$M$22:$M$22,"&gt;0")</f>
        <v>0</v>
      </c>
      <c r="K4" s="141">
        <f ca="1">IFERROR(J4/VLOOKUP(A4,'НС_Динамика продаж'!$B$4:$AI$4,33,FALSE),"-")</f>
        <v>0</v>
      </c>
      <c r="L4" s="139">
        <f ca="1">VLOOKUP(A4,Прайс_модель!$A$8:$M$8,13,FALSE)*J4</f>
        <v>0</v>
      </c>
      <c r="M4" s="139">
        <f ca="1">VLOOKUP(A4,Прайс_модель!$A$8:$P$8,16,FALSE)*J4</f>
        <v>0</v>
      </c>
      <c r="N4" s="105" t="str">
        <f t="shared" ref="N4" ca="1" si="0">IF(J4=0,"OOS","")</f>
        <v>OOS</v>
      </c>
      <c r="O4" s="104" t="str">
        <f ca="1">(IF(IF(AND(VLOOKUP(A4,Orders!$A$21:$M$22,9,FALSE)&gt;0,VLOOKUP(A4,Orders!$A$21:$M$22,13,FALSE)=0),"ТОВАР В ПУТИ","")="ТОВАР В ПУТИ",IF(AND(VLOOKUP(A4,Orders!$A$21:$M$22,9,FALSE)&gt;0,VLOOKUP(A4,Orders!$A$21:$M$22,13,FALSE)=0),"ТОВАР В ПУТИ",""),IF(OR(K4&lt;$Q$3,J4=0),"РАЗМЕЩАЕМ ЗАКАЗ","")))</f>
        <v>РАЗМЕЩАЕМ ЗАКАЗ</v>
      </c>
      <c r="P4" s="166">
        <f ca="1">IF(O4="ТОВАР В ПУТИ","",IFERROR(ROUNDUP(IF(VLOOKUP(A4,'НС_Динамика продаж'!$B$4:$AI$4,33,FALSE)*$Q$3-Stock!J4&lt;=0,"",VLOOKUP(A4,'НС_Динамика продаж'!$B$4:$AI$4,33,FALSE)*$Q$3-Stock!J4),0),""))</f>
        <v>20</v>
      </c>
      <c r="Q4" s="181" t="str">
        <f>IF(AND(VLOOKUP(A4,Orders!$A$21:$M$22,9,FALSE)&gt;0,VLOOKUP(A4,Orders!$A$21:$M$22,13,FALSE)=0),"ТОВАР В ПУТИ","")</f>
        <v/>
      </c>
      <c r="S4" s="328"/>
      <c r="T4" s="328"/>
      <c r="U4" s="328"/>
      <c r="V4" s="328"/>
      <c r="W4" s="328"/>
      <c r="X4" s="328"/>
      <c r="Y4" s="328"/>
      <c r="Z4" s="328"/>
      <c r="AA4" s="328"/>
      <c r="AB4" s="328"/>
    </row>
    <row r="9" spans="1:28" ht="23.25" x14ac:dyDescent="0.2">
      <c r="S9" s="329" t="s">
        <v>155</v>
      </c>
      <c r="T9" s="329"/>
      <c r="U9" s="329"/>
      <c r="V9" s="329"/>
      <c r="W9" s="329"/>
      <c r="X9" s="329"/>
      <c r="Y9" s="329"/>
      <c r="Z9" s="329"/>
      <c r="AA9" s="329"/>
    </row>
  </sheetData>
  <sheetCalcPr fullCalcOnLoad="1"/>
  <autoFilter ref="A3:P4"/>
  <dataConsolidate/>
  <mergeCells count="10">
    <mergeCell ref="B1:B2"/>
    <mergeCell ref="J1:N1"/>
    <mergeCell ref="O1:P1"/>
    <mergeCell ref="S2:AB4"/>
    <mergeCell ref="S9:AA9"/>
    <mergeCell ref="A1:A2"/>
    <mergeCell ref="I1:I2"/>
    <mergeCell ref="D2:G2"/>
    <mergeCell ref="C1:G1"/>
    <mergeCell ref="H1:H2"/>
  </mergeCells>
  <conditionalFormatting sqref="I4:J4">
    <cfRule type="cellIs" dxfId="5" priority="24" stopIfTrue="1" operator="equal">
      <formula>0</formula>
    </cfRule>
  </conditionalFormatting>
  <conditionalFormatting sqref="N4">
    <cfRule type="containsText" dxfId="4" priority="3" stopIfTrue="1" operator="containsText" text="OOS">
      <formula>NOT(ISERROR(SEARCH("OOS",N4)))</formula>
    </cfRule>
  </conditionalFormatting>
  <conditionalFormatting sqref="O1:O1048576">
    <cfRule type="containsText" dxfId="3" priority="2" stopIfTrue="1" operator="containsText" text="РАЗМЕЩАЕМ ЗАКАЗ">
      <formula>NOT(ISERROR(SEARCH("РАЗМЕЩАЕМ ЗАКАЗ",O1)))</formula>
    </cfRule>
  </conditionalFormatting>
  <conditionalFormatting sqref="O4">
    <cfRule type="containsText" dxfId="2" priority="1" stopIfTrue="1" operator="containsText" text="ТОВАР В ПУТИ">
      <formula>NOT(ISERROR(SEARCH("ТОВАР В ПУТИ",O4)))</formula>
    </cfRule>
  </conditionalFormatting>
  <conditionalFormatting sqref="J4">
    <cfRule type="dataBar" priority="135">
      <dataBar>
        <cfvo type="min"/>
        <cfvo type="max"/>
        <color rgb="FF638EC6"/>
      </dataBar>
    </cfRule>
  </conditionalFormatting>
  <conditionalFormatting sqref="I4">
    <cfRule type="dataBar" priority="136">
      <dataBar>
        <cfvo type="min"/>
        <cfvo type="max"/>
        <color rgb="FF638EC6"/>
      </dataBar>
    </cfRule>
  </conditionalFormatting>
  <pageMargins left="0.16" right="0.16" top="0.23622047244094491" bottom="0.16" header="0.15748031496062992" footer="0.15748031496062992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29"/>
  <sheetViews>
    <sheetView zoomScale="70" zoomScaleNormal="70" workbookViewId="0">
      <pane xSplit="9" ySplit="19" topLeftCell="J20" activePane="bottomRight" state="frozen"/>
      <selection pane="topRight" activeCell="I1" sqref="I1"/>
      <selection pane="bottomLeft" activeCell="A21" sqref="A21"/>
      <selection pane="bottomRight" activeCell="A20" sqref="A20:IV20"/>
    </sheetView>
  </sheetViews>
  <sheetFormatPr defaultColWidth="8.7109375" defaultRowHeight="12.75" outlineLevelRow="1" x14ac:dyDescent="0.2"/>
  <cols>
    <col min="1" max="2" width="7.140625" style="4" customWidth="1"/>
    <col min="3" max="3" width="20.28515625" style="6" customWidth="1"/>
    <col min="4" max="7" width="7.7109375" style="6" customWidth="1"/>
    <col min="8" max="8" width="8.7109375" style="150" bestFit="1" customWidth="1"/>
    <col min="9" max="9" width="10.7109375" style="150" customWidth="1"/>
    <col min="10" max="10" width="40.28515625" style="5" bestFit="1" customWidth="1"/>
    <col min="11" max="11" width="20.140625" style="5" bestFit="1" customWidth="1"/>
    <col min="12" max="14" width="9.140625" style="5" customWidth="1"/>
    <col min="15" max="15" width="10.7109375" style="5" customWidth="1"/>
    <col min="16" max="16" width="9.140625" style="5" customWidth="1"/>
    <col min="17" max="17" width="9.7109375" style="5" customWidth="1"/>
    <col min="18" max="18" width="10.28515625" style="5" customWidth="1"/>
    <col min="19" max="19" width="11.7109375" style="5" customWidth="1"/>
    <col min="20" max="20" width="10.42578125" style="5" customWidth="1"/>
    <col min="21" max="22" width="9.140625" style="5" customWidth="1"/>
    <col min="23" max="23" width="10.140625" style="5" customWidth="1"/>
    <col min="24" max="24" width="10.140625" style="109" customWidth="1"/>
    <col min="25" max="25" width="10.5703125" style="109" customWidth="1"/>
  </cols>
  <sheetData>
    <row r="1" spans="3:25" ht="12.75" hidden="1" customHeight="1" outlineLevel="1" x14ac:dyDescent="0.2">
      <c r="C1" s="84" t="s">
        <v>87</v>
      </c>
      <c r="D1" s="6">
        <v>12</v>
      </c>
      <c r="E1" s="6">
        <v>7.0000000000000007E-2</v>
      </c>
      <c r="F1" s="84" t="s">
        <v>35</v>
      </c>
      <c r="G1" s="6">
        <v>8</v>
      </c>
      <c r="H1" s="153">
        <v>42675</v>
      </c>
      <c r="Y1" s="109" t="s">
        <v>107</v>
      </c>
    </row>
    <row r="2" spans="3:25" ht="12.75" hidden="1" customHeight="1" outlineLevel="1" x14ac:dyDescent="0.2">
      <c r="C2" s="6" t="s">
        <v>69</v>
      </c>
      <c r="E2" s="85">
        <v>0.1</v>
      </c>
      <c r="F2" s="84" t="s">
        <v>34</v>
      </c>
      <c r="G2" s="6">
        <v>9</v>
      </c>
      <c r="H2" s="153">
        <v>42705</v>
      </c>
    </row>
    <row r="3" spans="3:25" ht="12.75" hidden="1" customHeight="1" outlineLevel="1" x14ac:dyDescent="0.2">
      <c r="C3" s="6" t="s">
        <v>57</v>
      </c>
      <c r="E3" s="6">
        <v>0.12</v>
      </c>
      <c r="G3" s="6">
        <v>10</v>
      </c>
      <c r="H3" s="153">
        <v>42736</v>
      </c>
    </row>
    <row r="4" spans="3:25" ht="12.75" hidden="1" customHeight="1" outlineLevel="1" x14ac:dyDescent="0.2">
      <c r="C4" s="6" t="s">
        <v>70</v>
      </c>
      <c r="E4" s="6">
        <v>0.15</v>
      </c>
      <c r="G4" s="6">
        <v>11</v>
      </c>
      <c r="H4" s="153">
        <v>42767</v>
      </c>
    </row>
    <row r="5" spans="3:25" ht="12.75" hidden="1" customHeight="1" outlineLevel="1" x14ac:dyDescent="0.2">
      <c r="C5" s="6" t="s">
        <v>71</v>
      </c>
      <c r="G5" s="6">
        <v>12</v>
      </c>
      <c r="H5" s="153">
        <v>42795</v>
      </c>
    </row>
    <row r="6" spans="3:25" ht="12.75" hidden="1" customHeight="1" outlineLevel="1" x14ac:dyDescent="0.2">
      <c r="C6" s="84" t="s">
        <v>110</v>
      </c>
      <c r="G6" s="6">
        <v>13</v>
      </c>
      <c r="H6" s="153">
        <v>42826</v>
      </c>
    </row>
    <row r="7" spans="3:25" ht="12.75" hidden="1" customHeight="1" outlineLevel="1" x14ac:dyDescent="0.2">
      <c r="C7" s="6" t="s">
        <v>104</v>
      </c>
      <c r="G7" s="84" t="s">
        <v>88</v>
      </c>
      <c r="H7" s="153">
        <v>42856</v>
      </c>
    </row>
    <row r="8" spans="3:25" ht="12.75" hidden="1" customHeight="1" outlineLevel="1" x14ac:dyDescent="0.2">
      <c r="C8" s="6" t="s">
        <v>105</v>
      </c>
      <c r="G8" s="84"/>
      <c r="H8" s="153">
        <v>42887</v>
      </c>
    </row>
    <row r="9" spans="3:25" ht="12.75" hidden="1" customHeight="1" outlineLevel="1" x14ac:dyDescent="0.2">
      <c r="C9" s="6" t="s">
        <v>72</v>
      </c>
      <c r="H9" s="153">
        <v>42917</v>
      </c>
    </row>
    <row r="10" spans="3:25" ht="12.75" hidden="1" customHeight="1" outlineLevel="1" x14ac:dyDescent="0.2">
      <c r="C10" s="6" t="s">
        <v>73</v>
      </c>
      <c r="H10" s="153">
        <v>42948</v>
      </c>
    </row>
    <row r="11" spans="3:25" ht="12.75" hidden="1" customHeight="1" outlineLevel="1" x14ac:dyDescent="0.2">
      <c r="C11" s="6" t="s">
        <v>74</v>
      </c>
      <c r="H11" s="153">
        <v>42979</v>
      </c>
    </row>
    <row r="12" spans="3:25" ht="12.75" hidden="1" customHeight="1" outlineLevel="1" x14ac:dyDescent="0.2">
      <c r="C12" s="6" t="s">
        <v>75</v>
      </c>
      <c r="H12" s="153">
        <v>43009</v>
      </c>
    </row>
    <row r="13" spans="3:25" ht="12.75" hidden="1" customHeight="1" outlineLevel="1" x14ac:dyDescent="0.2">
      <c r="C13" s="6" t="s">
        <v>76</v>
      </c>
      <c r="H13" s="153">
        <v>43040</v>
      </c>
    </row>
    <row r="14" spans="3:25" ht="12.75" hidden="1" customHeight="1" outlineLevel="1" x14ac:dyDescent="0.2">
      <c r="C14" s="6" t="s">
        <v>77</v>
      </c>
      <c r="H14" s="153">
        <v>43070</v>
      </c>
    </row>
    <row r="15" spans="3:25" ht="12.75" hidden="1" customHeight="1" outlineLevel="1" x14ac:dyDescent="0.2"/>
    <row r="16" spans="3:25" ht="13.5" hidden="1" customHeight="1" outlineLevel="1" thickBot="1" x14ac:dyDescent="0.25"/>
    <row r="17" spans="1:25" ht="33.75" customHeight="1" collapsed="1" x14ac:dyDescent="0.2">
      <c r="A17" s="299" t="s">
        <v>144</v>
      </c>
      <c r="B17" s="299" t="s">
        <v>0</v>
      </c>
      <c r="C17" s="281" t="s">
        <v>17</v>
      </c>
      <c r="D17" s="204"/>
      <c r="E17" s="204"/>
      <c r="F17" s="204"/>
      <c r="G17" s="243"/>
      <c r="H17" s="316" t="s">
        <v>115</v>
      </c>
      <c r="I17" s="274" t="s">
        <v>81</v>
      </c>
      <c r="J17" s="274" t="s">
        <v>83</v>
      </c>
      <c r="K17" s="313" t="s">
        <v>82</v>
      </c>
      <c r="L17" s="230" t="s">
        <v>84</v>
      </c>
      <c r="M17" s="308" t="s">
        <v>86</v>
      </c>
      <c r="N17" s="308" t="s">
        <v>129</v>
      </c>
      <c r="O17" s="308" t="s">
        <v>92</v>
      </c>
      <c r="P17" s="308" t="s">
        <v>85</v>
      </c>
      <c r="Q17" s="308" t="s">
        <v>98</v>
      </c>
      <c r="R17" s="308" t="s">
        <v>80</v>
      </c>
      <c r="S17" s="308" t="s">
        <v>93</v>
      </c>
      <c r="T17" s="325" t="s">
        <v>95</v>
      </c>
      <c r="U17" s="326"/>
      <c r="V17" s="327"/>
      <c r="W17" s="308" t="s">
        <v>116</v>
      </c>
      <c r="X17" s="223" t="s">
        <v>89</v>
      </c>
      <c r="Y17" s="221" t="s">
        <v>106</v>
      </c>
    </row>
    <row r="18" spans="1:25" ht="30" customHeight="1" x14ac:dyDescent="0.2">
      <c r="A18" s="311"/>
      <c r="B18" s="311"/>
      <c r="C18" s="269" t="s">
        <v>78</v>
      </c>
      <c r="D18" s="282" t="s">
        <v>79</v>
      </c>
      <c r="E18" s="283"/>
      <c r="F18" s="283"/>
      <c r="G18" s="284"/>
      <c r="H18" s="317"/>
      <c r="I18" s="275"/>
      <c r="J18" s="275"/>
      <c r="K18" s="314"/>
      <c r="L18" s="319"/>
      <c r="M18" s="309"/>
      <c r="N18" s="309"/>
      <c r="O18" s="309"/>
      <c r="P18" s="309"/>
      <c r="Q18" s="309"/>
      <c r="R18" s="309"/>
      <c r="S18" s="309"/>
      <c r="T18" s="321" t="s">
        <v>94</v>
      </c>
      <c r="U18" s="323" t="s">
        <v>96</v>
      </c>
      <c r="V18" s="323" t="s">
        <v>97</v>
      </c>
      <c r="W18" s="309"/>
      <c r="X18" s="324"/>
      <c r="Y18" s="320"/>
    </row>
    <row r="19" spans="1:25" ht="45" customHeight="1" thickBot="1" x14ac:dyDescent="0.25">
      <c r="A19" s="312"/>
      <c r="B19" s="312"/>
      <c r="C19" s="270"/>
      <c r="D19" s="98" t="s">
        <v>109</v>
      </c>
      <c r="E19" s="98" t="s">
        <v>15</v>
      </c>
      <c r="F19" s="98" t="s">
        <v>16</v>
      </c>
      <c r="G19" s="99" t="s">
        <v>45</v>
      </c>
      <c r="H19" s="318"/>
      <c r="I19" s="276"/>
      <c r="J19" s="276"/>
      <c r="K19" s="315"/>
      <c r="L19" s="231"/>
      <c r="M19" s="310"/>
      <c r="N19" s="310"/>
      <c r="O19" s="310"/>
      <c r="P19" s="310"/>
      <c r="Q19" s="310"/>
      <c r="R19" s="310"/>
      <c r="S19" s="310"/>
      <c r="T19" s="322"/>
      <c r="U19" s="310"/>
      <c r="V19" s="310"/>
      <c r="W19" s="310"/>
      <c r="X19" s="224"/>
      <c r="Y19" s="222"/>
    </row>
    <row r="20" spans="1:25" s="51" customFormat="1" x14ac:dyDescent="0.2">
      <c r="A20" s="119"/>
      <c r="B20" s="119">
        <f>IFERROR(VLOOKUP(CONCATENATE(C20,D20,E20,F20,G20),'НС_Динамика продаж'!$A:$G,2,0),"-")</f>
        <v>1022</v>
      </c>
      <c r="C20" s="97" t="s">
        <v>87</v>
      </c>
      <c r="D20" s="74">
        <v>12</v>
      </c>
      <c r="E20" s="77">
        <v>0.1</v>
      </c>
      <c r="F20" s="77" t="s">
        <v>35</v>
      </c>
      <c r="G20" s="88" t="s">
        <v>88</v>
      </c>
      <c r="H20" s="154">
        <v>42675</v>
      </c>
      <c r="I20" s="157">
        <v>42700</v>
      </c>
      <c r="J20" s="156" t="s">
        <v>91</v>
      </c>
      <c r="K20" s="90" t="s">
        <v>90</v>
      </c>
      <c r="L20" s="89">
        <v>-7.0000000000000007E-2</v>
      </c>
      <c r="M20" s="91">
        <f>IFERROR(VLOOKUP(B20,Прайс_модель!$A$8:$P$8,16,FALSE)*(1+L20),"-")</f>
        <v>111.6</v>
      </c>
      <c r="N20" s="83">
        <v>1</v>
      </c>
      <c r="O20" s="91">
        <f t="shared" ref="O20:O26" si="0">IFERROR(M20*N20,"-")</f>
        <v>111.6</v>
      </c>
      <c r="P20" s="82">
        <f t="shared" ref="P20" si="1">27.02*1.02</f>
        <v>27.560400000000001</v>
      </c>
      <c r="Q20" s="91">
        <f>IFERROR(VLOOKUP(B20,Прайс_модель!$A$8:$P$8,7,FALSE)*P20,"-")</f>
        <v>71.657040000000009</v>
      </c>
      <c r="R20" s="86">
        <f>38/COUNTA($K$20:$K$20)</f>
        <v>38</v>
      </c>
      <c r="S20" s="95">
        <f>IFERROR((M20*N20-R20)/(VLOOKUP(B20,Прайс_модель!$A$8:$P$8,16,FALSE)*N20)-1,"-")</f>
        <v>-0.38666666666666671</v>
      </c>
      <c r="T20" s="92">
        <f t="shared" ref="T20:T26" si="2">IFERROR((M20-Q20)*N20-R20,"-")</f>
        <v>1.9429599999999851</v>
      </c>
      <c r="U20" s="96">
        <f t="shared" ref="U20:U26" si="3">IFERROR((M20*N20)/(Q20*N20+R20)-1,"-")</f>
        <v>1.7718515838107463E-2</v>
      </c>
      <c r="V20" s="96">
        <f t="shared" ref="V20:V26" si="4">IFERROR((T20)/(M20*N20-R20),"-")</f>
        <v>2.6398913043478061E-2</v>
      </c>
      <c r="W20" s="82"/>
      <c r="X20" s="134"/>
      <c r="Y20" s="110" t="s">
        <v>107</v>
      </c>
    </row>
    <row r="21" spans="1:25" s="51" customFormat="1" x14ac:dyDescent="0.2">
      <c r="A21" s="119"/>
      <c r="B21" s="119">
        <f>IFERROR(VLOOKUP(CONCATENATE(C21,D21,E21,F21,G21),'НС_Динамика продаж'!$A:$G,2,0),"-")</f>
        <v>1022</v>
      </c>
      <c r="C21" s="97" t="s">
        <v>87</v>
      </c>
      <c r="D21" s="74">
        <v>12</v>
      </c>
      <c r="E21" s="77">
        <v>0.1</v>
      </c>
      <c r="F21" s="77" t="s">
        <v>35</v>
      </c>
      <c r="G21" s="88" t="s">
        <v>88</v>
      </c>
      <c r="H21" s="154">
        <v>42675</v>
      </c>
      <c r="I21" s="157">
        <v>42702</v>
      </c>
      <c r="J21" s="156" t="s">
        <v>111</v>
      </c>
      <c r="K21" s="90" t="s">
        <v>112</v>
      </c>
      <c r="L21" s="89">
        <v>-0.02</v>
      </c>
      <c r="M21" s="91">
        <f>IFERROR(VLOOKUP(B21,Прайс_модель!$A$8:$P$8,16,FALSE)*(1+L21),"-")</f>
        <v>117.6</v>
      </c>
      <c r="N21" s="83">
        <v>2</v>
      </c>
      <c r="O21" s="91">
        <f t="shared" si="0"/>
        <v>235.2</v>
      </c>
      <c r="P21" s="82">
        <f>27.1*1.02</f>
        <v>27.642000000000003</v>
      </c>
      <c r="Q21" s="91">
        <f>IFERROR(VLOOKUP(B21,Прайс_модель!$A$8:$P$8,7,FALSE)*P21,"-")</f>
        <v>71.869200000000006</v>
      </c>
      <c r="R21" s="86">
        <f>10/COUNTA($K$21:$K$21)</f>
        <v>10</v>
      </c>
      <c r="S21" s="95">
        <f>IFERROR((M21*N21-R21)/(VLOOKUP(B21,Прайс_модель!$A$8:$P$8,16,FALSE)*N21)-1,"-")</f>
        <v>-6.1666666666666758E-2</v>
      </c>
      <c r="T21" s="92">
        <f t="shared" si="2"/>
        <v>81.461599999999976</v>
      </c>
      <c r="U21" s="96">
        <f t="shared" si="3"/>
        <v>0.52987152201401844</v>
      </c>
      <c r="V21" s="96">
        <f t="shared" si="4"/>
        <v>0.36173001776198926</v>
      </c>
      <c r="W21" s="82"/>
      <c r="X21" s="134"/>
      <c r="Y21" s="110" t="s">
        <v>107</v>
      </c>
    </row>
    <row r="22" spans="1:25" s="51" customFormat="1" x14ac:dyDescent="0.2">
      <c r="A22" s="120"/>
      <c r="B22" s="120">
        <f>IFERROR(VLOOKUP(CONCATENATE(C22,D22,E22,F22,G22),'НС_Динамика продаж'!$A:$G,2,0),"-")</f>
        <v>1022</v>
      </c>
      <c r="C22" s="97" t="s">
        <v>87</v>
      </c>
      <c r="D22" s="75">
        <v>12</v>
      </c>
      <c r="E22" s="77">
        <v>0.1</v>
      </c>
      <c r="F22" s="77" t="s">
        <v>35</v>
      </c>
      <c r="G22" s="88" t="s">
        <v>88</v>
      </c>
      <c r="H22" s="154">
        <v>42705</v>
      </c>
      <c r="I22" s="157">
        <v>42711</v>
      </c>
      <c r="J22" s="156" t="s">
        <v>111</v>
      </c>
      <c r="K22" s="90" t="s">
        <v>112</v>
      </c>
      <c r="L22" s="89">
        <v>-7.0000000000000007E-2</v>
      </c>
      <c r="M22" s="91">
        <f>IFERROR(VLOOKUP(B22,Прайс_модель!$A$8:$P$8,16,FALSE)*(1+L22),"-")</f>
        <v>111.6</v>
      </c>
      <c r="N22" s="83">
        <v>5</v>
      </c>
      <c r="O22" s="91">
        <f t="shared" si="0"/>
        <v>558</v>
      </c>
      <c r="P22" s="82">
        <f>27.03*1.02</f>
        <v>27.570600000000002</v>
      </c>
      <c r="Q22" s="91">
        <f>IFERROR(VLOOKUP(B22,Прайс_модель!$A$8:$P$8,7,FALSE)*P22,"-")</f>
        <v>71.683560000000014</v>
      </c>
      <c r="R22" s="86">
        <v>12</v>
      </c>
      <c r="S22" s="95">
        <f>IFERROR((M22*N22-R22)/(VLOOKUP(B22,Прайс_модель!$A$8:$P$8,16,FALSE)*N22)-1,"-")</f>
        <v>-8.9999999999999969E-2</v>
      </c>
      <c r="T22" s="92">
        <f t="shared" si="2"/>
        <v>187.58219999999989</v>
      </c>
      <c r="U22" s="96">
        <f t="shared" si="3"/>
        <v>0.50640708950811741</v>
      </c>
      <c r="V22" s="96">
        <f t="shared" si="4"/>
        <v>0.34355714285714267</v>
      </c>
      <c r="W22" s="82"/>
      <c r="X22" s="134"/>
      <c r="Y22" s="110" t="s">
        <v>107</v>
      </c>
    </row>
    <row r="23" spans="1:25" s="51" customFormat="1" x14ac:dyDescent="0.2">
      <c r="A23" s="120"/>
      <c r="B23" s="120">
        <f>IFERROR(VLOOKUP(CONCATENATE(C23,D23,E23,F23,G23),'НС_Динамика продаж'!$A:$G,2,0),"-")</f>
        <v>1022</v>
      </c>
      <c r="C23" s="97" t="s">
        <v>87</v>
      </c>
      <c r="D23" s="75">
        <v>12</v>
      </c>
      <c r="E23" s="77">
        <v>0.1</v>
      </c>
      <c r="F23" s="77" t="s">
        <v>35</v>
      </c>
      <c r="G23" s="88" t="s">
        <v>88</v>
      </c>
      <c r="H23" s="154">
        <v>42705</v>
      </c>
      <c r="I23" s="157">
        <v>42711</v>
      </c>
      <c r="J23" s="156" t="s">
        <v>114</v>
      </c>
      <c r="K23" s="90" t="s">
        <v>118</v>
      </c>
      <c r="L23" s="89">
        <v>-7.0000000000000007E-2</v>
      </c>
      <c r="M23" s="91">
        <f>IFERROR(VLOOKUP(B23,Прайс_модель!$A$8:$P$8,16,FALSE)*(1+L23),"-")</f>
        <v>111.6</v>
      </c>
      <c r="N23" s="83">
        <v>1</v>
      </c>
      <c r="O23" s="91">
        <f t="shared" si="0"/>
        <v>111.6</v>
      </c>
      <c r="P23" s="82">
        <f t="shared" ref="P23:P24" si="5">27.03*1.02</f>
        <v>27.570600000000002</v>
      </c>
      <c r="Q23" s="91">
        <f>IFERROR(VLOOKUP(B23,Прайс_модель!$A$8:$P$8,7,FALSE)*P23,"-")</f>
        <v>71.683560000000014</v>
      </c>
      <c r="R23" s="86">
        <f>45/COUNTA($K$23:$K$23)</f>
        <v>45</v>
      </c>
      <c r="S23" s="95">
        <f>IFERROR((M23*N23-R23)/(VLOOKUP(B23,Прайс_модель!$A$8:$P$8,16,FALSE)*N23)-1,"-")</f>
        <v>-0.44500000000000006</v>
      </c>
      <c r="T23" s="92">
        <f t="shared" si="2"/>
        <v>-5.0835600000000198</v>
      </c>
      <c r="U23" s="96">
        <f t="shared" si="3"/>
        <v>-4.3567062917861055E-2</v>
      </c>
      <c r="V23" s="96">
        <f t="shared" si="4"/>
        <v>-7.6329729729730039E-2</v>
      </c>
      <c r="W23" s="82"/>
      <c r="X23" s="134"/>
      <c r="Y23" s="110" t="s">
        <v>107</v>
      </c>
    </row>
    <row r="24" spans="1:25" s="51" customFormat="1" x14ac:dyDescent="0.2">
      <c r="A24" s="120"/>
      <c r="B24" s="120">
        <f>IFERROR(VLOOKUP(CONCATENATE(C24,D24,E24,F24,G24),'НС_Динамика продаж'!$A:$G,2,0),"-")</f>
        <v>1022</v>
      </c>
      <c r="C24" s="97" t="s">
        <v>87</v>
      </c>
      <c r="D24" s="75">
        <v>12</v>
      </c>
      <c r="E24" s="77">
        <v>0.1</v>
      </c>
      <c r="F24" s="77" t="s">
        <v>35</v>
      </c>
      <c r="G24" s="88" t="s">
        <v>88</v>
      </c>
      <c r="H24" s="154">
        <v>42705</v>
      </c>
      <c r="I24" s="157">
        <v>42711</v>
      </c>
      <c r="J24" s="156" t="s">
        <v>119</v>
      </c>
      <c r="K24" s="90" t="s">
        <v>120</v>
      </c>
      <c r="L24" s="89">
        <v>-0.02</v>
      </c>
      <c r="M24" s="91">
        <f>IFERROR(VLOOKUP(B24,Прайс_модель!$A$8:$P$8,16,FALSE)*(1+L24),"-")</f>
        <v>117.6</v>
      </c>
      <c r="N24" s="83">
        <v>1</v>
      </c>
      <c r="O24" s="91">
        <f t="shared" si="0"/>
        <v>117.6</v>
      </c>
      <c r="P24" s="82">
        <f t="shared" si="5"/>
        <v>27.570600000000002</v>
      </c>
      <c r="Q24" s="91">
        <f>IFERROR(VLOOKUP(B24,Прайс_модель!$A$8:$P$8,7,FALSE)*P24,"-")</f>
        <v>71.683560000000014</v>
      </c>
      <c r="R24" s="86">
        <v>0</v>
      </c>
      <c r="S24" s="95">
        <f>IFERROR((M24*N24-R24)/(VLOOKUP(B24,Прайс_модель!$A$8:$P$8,16,FALSE)*N24)-1,"-")</f>
        <v>-2.0000000000000018E-2</v>
      </c>
      <c r="T24" s="92">
        <f t="shared" si="2"/>
        <v>45.91643999999998</v>
      </c>
      <c r="U24" s="96">
        <f t="shared" si="3"/>
        <v>0.64054352211301957</v>
      </c>
      <c r="V24" s="96">
        <f t="shared" si="4"/>
        <v>0.39044591836734677</v>
      </c>
      <c r="W24" s="82"/>
      <c r="X24" s="134"/>
      <c r="Y24" s="110" t="s">
        <v>107</v>
      </c>
    </row>
    <row r="25" spans="1:25" s="51" customFormat="1" x14ac:dyDescent="0.2">
      <c r="A25" s="120"/>
      <c r="B25" s="120">
        <f>IFERROR(VLOOKUP(CONCATENATE(C25,D25,E25,F25,G25),'НС_Динамика продаж'!$A:$G,2,0),"-")</f>
        <v>1022</v>
      </c>
      <c r="C25" s="97" t="s">
        <v>87</v>
      </c>
      <c r="D25" s="75">
        <v>12</v>
      </c>
      <c r="E25" s="77">
        <v>0.1</v>
      </c>
      <c r="F25" s="77" t="s">
        <v>35</v>
      </c>
      <c r="G25" s="88" t="s">
        <v>88</v>
      </c>
      <c r="H25" s="154">
        <v>42705</v>
      </c>
      <c r="I25" s="157">
        <v>42716</v>
      </c>
      <c r="J25" s="156" t="s">
        <v>151</v>
      </c>
      <c r="K25" s="90" t="s">
        <v>121</v>
      </c>
      <c r="L25" s="89">
        <v>0</v>
      </c>
      <c r="M25" s="91">
        <f>IFERROR(VLOOKUP(B25,Прайс_модель!$A$8:$P$8,16,FALSE)*(1+L25),"-")</f>
        <v>120</v>
      </c>
      <c r="N25" s="83">
        <v>1</v>
      </c>
      <c r="O25" s="91">
        <f t="shared" si="0"/>
        <v>120</v>
      </c>
      <c r="P25" s="82">
        <f t="shared" ref="P25:P26" si="6">27.03*1.02</f>
        <v>27.570600000000002</v>
      </c>
      <c r="Q25" s="91">
        <f>IFERROR(VLOOKUP(B25,Прайс_модель!$A$8:$P$8,7,FALSE)*P25,"-")</f>
        <v>71.683560000000014</v>
      </c>
      <c r="R25" s="86">
        <v>0</v>
      </c>
      <c r="S25" s="95">
        <f>IFERROR((M25*N25-R25)/(VLOOKUP(B25,Прайс_модель!$A$8:$P$8,16,FALSE)*N25)-1,"-")</f>
        <v>0</v>
      </c>
      <c r="T25" s="92">
        <f t="shared" si="2"/>
        <v>48.316439999999986</v>
      </c>
      <c r="U25" s="96">
        <f t="shared" si="3"/>
        <v>0.67402400215614255</v>
      </c>
      <c r="V25" s="96">
        <f t="shared" si="4"/>
        <v>0.40263699999999986</v>
      </c>
      <c r="W25" s="82"/>
      <c r="X25" s="134"/>
      <c r="Y25" s="110" t="s">
        <v>107</v>
      </c>
    </row>
    <row r="26" spans="1:25" s="51" customFormat="1" x14ac:dyDescent="0.2">
      <c r="A26" s="120"/>
      <c r="B26" s="120">
        <f>IFERROR(VLOOKUP(CONCATENATE(C26,D26,E26,F26,G26),'НС_Динамика продаж'!$A:$G,2,0),"-")</f>
        <v>1022</v>
      </c>
      <c r="C26" s="97" t="s">
        <v>87</v>
      </c>
      <c r="D26" s="75">
        <v>12</v>
      </c>
      <c r="E26" s="77">
        <v>0.1</v>
      </c>
      <c r="F26" s="77" t="s">
        <v>35</v>
      </c>
      <c r="G26" s="88" t="s">
        <v>88</v>
      </c>
      <c r="H26" s="154">
        <v>42705</v>
      </c>
      <c r="I26" s="157">
        <v>42719</v>
      </c>
      <c r="J26" s="156" t="s">
        <v>130</v>
      </c>
      <c r="K26" s="90" t="s">
        <v>131</v>
      </c>
      <c r="L26" s="89">
        <v>-0.02</v>
      </c>
      <c r="M26" s="91">
        <f>IFERROR(VLOOKUP(B26,Прайс_модель!$A$8:$P$8,16,FALSE)*(1+L26),"-")</f>
        <v>117.6</v>
      </c>
      <c r="N26" s="83">
        <v>2</v>
      </c>
      <c r="O26" s="91">
        <f t="shared" si="0"/>
        <v>235.2</v>
      </c>
      <c r="P26" s="82">
        <f t="shared" si="6"/>
        <v>27.570600000000002</v>
      </c>
      <c r="Q26" s="91">
        <f>IFERROR(VLOOKUP(B26,Прайс_модель!$A$8:$P$8,7,FALSE)*P26,"-")</f>
        <v>71.683560000000014</v>
      </c>
      <c r="R26" s="86">
        <v>0</v>
      </c>
      <c r="S26" s="95">
        <f>IFERROR((M26*N26-R26)/(VLOOKUP(B26,Прайс_модель!$A$8:$P$8,16,FALSE)*N26)-1,"-")</f>
        <v>-2.0000000000000018E-2</v>
      </c>
      <c r="T26" s="92">
        <f t="shared" si="2"/>
        <v>91.83287999999996</v>
      </c>
      <c r="U26" s="96">
        <f t="shared" si="3"/>
        <v>0.64054352211301957</v>
      </c>
      <c r="V26" s="96">
        <f t="shared" si="4"/>
        <v>0.39044591836734677</v>
      </c>
      <c r="W26" s="82"/>
      <c r="X26" s="134"/>
      <c r="Y26" s="110" t="s">
        <v>107</v>
      </c>
    </row>
    <row r="27" spans="1:25" s="17" customFormat="1" x14ac:dyDescent="0.2">
      <c r="A27" s="119"/>
      <c r="B27" s="119">
        <f>IFERROR(VLOOKUP(CONCATENATE(C27,D27,E27,F27,G27),'НС_Динамика продаж'!$A:$G,2,0),"-")</f>
        <v>1022</v>
      </c>
      <c r="C27" s="97" t="s">
        <v>87</v>
      </c>
      <c r="D27" s="74">
        <v>12</v>
      </c>
      <c r="E27" s="77">
        <v>0.1</v>
      </c>
      <c r="F27" s="77" t="s">
        <v>35</v>
      </c>
      <c r="G27" s="88" t="s">
        <v>88</v>
      </c>
      <c r="H27" s="154">
        <v>42705</v>
      </c>
      <c r="I27" s="157">
        <v>42720</v>
      </c>
      <c r="J27" s="156" t="s">
        <v>134</v>
      </c>
      <c r="K27" s="90" t="s">
        <v>133</v>
      </c>
      <c r="L27" s="89">
        <v>0</v>
      </c>
      <c r="M27" s="91">
        <f>IFERROR(VLOOKUP(B27,Прайс_модель!$A$8:$P$8,16,FALSE)*(1+L27),"-")</f>
        <v>120</v>
      </c>
      <c r="N27" s="83">
        <v>1</v>
      </c>
      <c r="O27" s="91">
        <f t="shared" ref="O27:O29" si="7">IFERROR(M27*N27,"-")</f>
        <v>120</v>
      </c>
      <c r="P27" s="82">
        <f t="shared" ref="P27" si="8">27.17*1.02</f>
        <v>27.713400000000004</v>
      </c>
      <c r="Q27" s="91">
        <f>IFERROR(VLOOKUP(B27,Прайс_модель!$A$8:$P$8,7,FALSE)*P27,"-")</f>
        <v>72.054840000000013</v>
      </c>
      <c r="R27" s="86">
        <v>0</v>
      </c>
      <c r="S27" s="95">
        <f>IFERROR((M27*N27-R27)/(VLOOKUP(B27,Прайс_модель!$A$8:$P$8,16,FALSE)*N27)-1,"-")</f>
        <v>0</v>
      </c>
      <c r="T27" s="92">
        <f t="shared" ref="T27:T29" si="9">IFERROR((M27-Q27)*N27-R27,"-")</f>
        <v>47.945159999999987</v>
      </c>
      <c r="U27" s="96">
        <f t="shared" ref="U27:U29" si="10">IFERROR((M27*N27)/(Q27*N27+R27)-1,"-")</f>
        <v>0.66539818837985032</v>
      </c>
      <c r="V27" s="96">
        <f t="shared" ref="V27:V29" si="11">IFERROR((T27)/(M27*N27-R27),"-")</f>
        <v>0.39954299999999987</v>
      </c>
      <c r="W27" s="82"/>
      <c r="X27" s="134"/>
      <c r="Y27" s="110" t="s">
        <v>107</v>
      </c>
    </row>
    <row r="28" spans="1:25" s="51" customFormat="1" x14ac:dyDescent="0.2">
      <c r="A28" s="120"/>
      <c r="B28" s="120">
        <f>IFERROR(VLOOKUP(CONCATENATE(C28,D28,E28,F28,G28),'НС_Динамика продаж'!$A:$G,2,0),"-")</f>
        <v>1022</v>
      </c>
      <c r="C28" s="97" t="s">
        <v>87</v>
      </c>
      <c r="D28" s="74">
        <v>12</v>
      </c>
      <c r="E28" s="77">
        <v>0.1</v>
      </c>
      <c r="F28" s="77" t="s">
        <v>35</v>
      </c>
      <c r="G28" s="88" t="s">
        <v>88</v>
      </c>
      <c r="H28" s="154">
        <v>42705</v>
      </c>
      <c r="I28" s="157">
        <v>42726</v>
      </c>
      <c r="J28" s="156" t="s">
        <v>135</v>
      </c>
      <c r="K28" s="90" t="s">
        <v>136</v>
      </c>
      <c r="L28" s="89">
        <v>-0.02</v>
      </c>
      <c r="M28" s="91">
        <f>IFERROR(VLOOKUP(B28,Прайс_модель!$A$8:$P$8,16,FALSE)*(1+L28),"-")</f>
        <v>117.6</v>
      </c>
      <c r="N28" s="83">
        <v>1</v>
      </c>
      <c r="O28" s="91">
        <f t="shared" si="7"/>
        <v>117.6</v>
      </c>
      <c r="P28" s="82">
        <f>27.25*1.02</f>
        <v>27.795000000000002</v>
      </c>
      <c r="Q28" s="91">
        <f>IFERROR(VLOOKUP(B28,Прайс_модель!$A$8:$P$8,7,FALSE)*P28,"-")</f>
        <v>72.26700000000001</v>
      </c>
      <c r="R28" s="86">
        <f>10/COUNTA($K$28:$K$28)</f>
        <v>10</v>
      </c>
      <c r="S28" s="95">
        <f>IFERROR((M28*N28-R28)/(VLOOKUP(B28,Прайс_модель!$A$8:$P$8,16,FALSE)*N28)-1,"-")</f>
        <v>-0.10333333333333339</v>
      </c>
      <c r="T28" s="92">
        <f t="shared" si="9"/>
        <v>35.332999999999984</v>
      </c>
      <c r="U28" s="96">
        <f t="shared" si="10"/>
        <v>0.42949177677562056</v>
      </c>
      <c r="V28" s="96">
        <f t="shared" si="11"/>
        <v>0.32837360594795528</v>
      </c>
      <c r="W28" s="82"/>
      <c r="X28" s="134"/>
      <c r="Y28" s="110" t="s">
        <v>107</v>
      </c>
    </row>
    <row r="29" spans="1:25" s="51" customFormat="1" x14ac:dyDescent="0.2">
      <c r="A29" s="120"/>
      <c r="B29" s="120">
        <f>IFERROR(VLOOKUP(CONCATENATE(C29,D29,E29,F29,G29),'НС_Динамика продаж'!$A:$G,2,0),"-")</f>
        <v>1022</v>
      </c>
      <c r="C29" s="97" t="s">
        <v>87</v>
      </c>
      <c r="D29" s="74">
        <v>12</v>
      </c>
      <c r="E29" s="77">
        <v>0.1</v>
      </c>
      <c r="F29" s="77" t="s">
        <v>35</v>
      </c>
      <c r="G29" s="88" t="s">
        <v>88</v>
      </c>
      <c r="H29" s="154">
        <v>42705</v>
      </c>
      <c r="I29" s="157">
        <v>42728</v>
      </c>
      <c r="J29" s="156" t="s">
        <v>142</v>
      </c>
      <c r="K29" s="90" t="s">
        <v>143</v>
      </c>
      <c r="L29" s="89">
        <v>-0.08</v>
      </c>
      <c r="M29" s="91">
        <f>IFERROR(VLOOKUP(B29,Прайс_модель!$A$8:$P$8,16,FALSE)*(1+L29),"-")</f>
        <v>110.4</v>
      </c>
      <c r="N29" s="83">
        <v>1</v>
      </c>
      <c r="O29" s="91">
        <f t="shared" si="7"/>
        <v>110.4</v>
      </c>
      <c r="P29" s="82">
        <f t="shared" ref="P29" si="12">27.25*1.02</f>
        <v>27.795000000000002</v>
      </c>
      <c r="Q29" s="91">
        <f>IFERROR(VLOOKUP(B29,Прайс_модель!$A$8:$P$8,7,FALSE)*P29,"-")</f>
        <v>72.26700000000001</v>
      </c>
      <c r="R29" s="86">
        <f>12/COUNTA($K$29:$K$29)</f>
        <v>12</v>
      </c>
      <c r="S29" s="95">
        <f>IFERROR((M29*N29-R29)/(VLOOKUP(B29,Прайс_модель!$A$8:$P$8,16,FALSE)*N29)-1,"-")</f>
        <v>-0.17999999999999994</v>
      </c>
      <c r="T29" s="92">
        <f t="shared" si="9"/>
        <v>26.132999999999996</v>
      </c>
      <c r="U29" s="96">
        <f t="shared" si="10"/>
        <v>0.31012139983623466</v>
      </c>
      <c r="V29" s="96">
        <f t="shared" si="11"/>
        <v>0.26557926829268286</v>
      </c>
      <c r="W29" s="82"/>
      <c r="X29" s="134"/>
      <c r="Y29" s="110" t="s">
        <v>107</v>
      </c>
    </row>
  </sheetData>
  <sheetCalcPr fullCalcOnLoad="1"/>
  <dataConsolidate/>
  <mergeCells count="24">
    <mergeCell ref="Y17:Y19"/>
    <mergeCell ref="S17:S19"/>
    <mergeCell ref="T18:T19"/>
    <mergeCell ref="U18:U19"/>
    <mergeCell ref="V18:V19"/>
    <mergeCell ref="W17:W19"/>
    <mergeCell ref="X17:X19"/>
    <mergeCell ref="T17:V17"/>
    <mergeCell ref="D18:G18"/>
    <mergeCell ref="C18:C19"/>
    <mergeCell ref="M17:M19"/>
    <mergeCell ref="N17:N19"/>
    <mergeCell ref="Q17:Q19"/>
    <mergeCell ref="R17:R19"/>
    <mergeCell ref="O17:O19"/>
    <mergeCell ref="P17:P19"/>
    <mergeCell ref="A17:A19"/>
    <mergeCell ref="K17:K19"/>
    <mergeCell ref="J17:J19"/>
    <mergeCell ref="I17:I19"/>
    <mergeCell ref="H17:H19"/>
    <mergeCell ref="B17:B19"/>
    <mergeCell ref="L17:L19"/>
    <mergeCell ref="C17:G17"/>
  </mergeCells>
  <conditionalFormatting sqref="T20:V29">
    <cfRule type="cellIs" dxfId="1" priority="5" stopIfTrue="1" operator="lessThan">
      <formula>0</formula>
    </cfRule>
  </conditionalFormatting>
  <conditionalFormatting sqref="Q20:Q29 Y20:Y29">
    <cfRule type="cellIs" dxfId="0" priority="2" stopIfTrue="1" operator="equal">
      <formula>0</formula>
    </cfRule>
  </conditionalFormatting>
  <dataValidations count="7">
    <dataValidation type="list" allowBlank="1" showInputMessage="1" showErrorMessage="1" sqref="C20:C29">
      <formula1>$C$1:$C$14</formula1>
    </dataValidation>
    <dataValidation type="list" allowBlank="1" showInputMessage="1" showErrorMessage="1" sqref="D20:D29">
      <formula1>$D$1</formula1>
    </dataValidation>
    <dataValidation type="list" allowBlank="1" showInputMessage="1" showErrorMessage="1" sqref="E20:E29">
      <formula1>$E$1:$E$4</formula1>
    </dataValidation>
    <dataValidation type="list" allowBlank="1" showInputMessage="1" showErrorMessage="1" sqref="F20:F29">
      <formula1>$F$1:$F$2</formula1>
    </dataValidation>
    <dataValidation type="list" allowBlank="1" showInputMessage="1" showErrorMessage="1" sqref="G20:G29">
      <formula1>$G$1:$G$7</formula1>
    </dataValidation>
    <dataValidation type="list" allowBlank="1" showInputMessage="1" showErrorMessage="1" sqref="Y20:Y29">
      <formula1>$Y$1</formula1>
    </dataValidation>
    <dataValidation type="list" allowBlank="1" showInputMessage="1" showErrorMessage="1" sqref="H20:H29">
      <formula1>$H$1:$H$14</formula1>
    </dataValidation>
  </dataValidations>
  <pageMargins left="0.16" right="0.16" top="0.23622047244094491" bottom="0.16" header="0.15748031496062992" footer="0.15748031496062992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Прайс_модель Miss Gel</vt:lpstr>
      <vt:lpstr>НС_Динамика продаж</vt:lpstr>
      <vt:lpstr>Прайс_модель</vt:lpstr>
      <vt:lpstr>Orders</vt:lpstr>
      <vt:lpstr>Stock</vt:lpstr>
      <vt:lpstr>Продажи_Прибыль</vt:lpstr>
      <vt:lpstr>Orders!Заголовки_для_печати</vt:lpstr>
      <vt:lpstr>Stock!Заголовки_для_печати</vt:lpstr>
      <vt:lpstr>'НС_Динамика продаж'!Заголовки_для_печати</vt:lpstr>
      <vt:lpstr>Прайс_модель!Заголовки_для_печати</vt:lpstr>
      <vt:lpstr>'Прайс_модель Miss Gel'!Заголовки_для_печати</vt:lpstr>
      <vt:lpstr>Продажи_Прибыль!Заголовки_для_печати</vt:lpstr>
      <vt:lpstr>Orders!Область_печати</vt:lpstr>
      <vt:lpstr>Stock!Область_печати</vt:lpstr>
      <vt:lpstr>'НС_Динамика продаж'!Область_печати</vt:lpstr>
      <vt:lpstr>Прайс_модель!Область_печати</vt:lpstr>
      <vt:lpstr>'Прайс_модель Miss Gel'!Область_печати</vt:lpstr>
      <vt:lpstr>Продажи_Прибыль!Область_печати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KABANOVA</cp:lastModifiedBy>
  <cp:lastPrinted>2016-12-02T11:15:02Z</cp:lastPrinted>
  <dcterms:created xsi:type="dcterms:W3CDTF">2008-01-09T13:09:23Z</dcterms:created>
  <dcterms:modified xsi:type="dcterms:W3CDTF">2016-12-29T14:19:35Z</dcterms:modified>
</cp:coreProperties>
</file>