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440" windowHeight="11310"/>
  </bookViews>
  <sheets>
    <sheet name="с одним товаром" sheetId="1" r:id="rId1"/>
    <sheet name="несколько товаров" sheetId="2" r:id="rId2"/>
  </sheets>
  <externalReferences>
    <externalReference r:id="rId3"/>
  </externalReferences>
  <definedNames>
    <definedName name="_xlnm._FilterDatabase" localSheetId="1" hidden="1">'несколько товаров'!$A$5:$P$49</definedName>
    <definedName name="_xlnm._FilterDatabase" localSheetId="0" hidden="1">'с одним товаром'!$A$5:$P$25</definedName>
    <definedName name="Z_29DC50B9_8C9B_452C_86B3_63F6AEFB8348_.wvu.FilterData" localSheetId="1" hidden="1">'несколько товаров'!$A$5:$P$49</definedName>
    <definedName name="Z_29DC50B9_8C9B_452C_86B3_63F6AEFB8348_.wvu.FilterData" localSheetId="0" hidden="1">'с одним товаром'!$A$5:$P$25</definedName>
  </definedNames>
  <calcPr calcId="162913"/>
  <customWorkbookViews>
    <customWorkbookView name="user - Личное представление" guid="{29DC50B9-8C9B-452C-86B3-63F6AEFB8348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2" i="2"/>
  <c r="F5" i="2"/>
  <c r="E5" i="2"/>
  <c r="D5" i="2"/>
  <c r="C5" i="2"/>
  <c r="B5" i="2"/>
  <c r="A5" i="2"/>
  <c r="G34" i="2" l="1"/>
  <c r="H34" i="2" s="1"/>
  <c r="G38" i="2"/>
  <c r="H38" i="2" s="1"/>
  <c r="G42" i="2"/>
  <c r="H42" i="2" s="1"/>
  <c r="G46" i="2"/>
  <c r="H46" i="2" s="1"/>
  <c r="G13" i="2"/>
  <c r="H13" i="2" s="1"/>
  <c r="G14" i="2"/>
  <c r="H14" i="2" s="1"/>
  <c r="G15" i="2"/>
  <c r="H15" i="2" s="1"/>
  <c r="G16" i="2"/>
  <c r="G36" i="2"/>
  <c r="H36" i="2" s="1"/>
  <c r="G40" i="2"/>
  <c r="H40" i="2" s="1"/>
  <c r="G44" i="2"/>
  <c r="H44" i="2" s="1"/>
  <c r="G48" i="2"/>
  <c r="H48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5" i="2"/>
  <c r="H35" i="2" s="1"/>
  <c r="G37" i="2"/>
  <c r="H37" i="2" s="1"/>
  <c r="G39" i="2"/>
  <c r="H39" i="2" s="1"/>
  <c r="G41" i="2"/>
  <c r="H41" i="2" s="1"/>
  <c r="G43" i="2"/>
  <c r="H43" i="2" s="1"/>
  <c r="G45" i="2"/>
  <c r="H45" i="2" s="1"/>
  <c r="G47" i="2"/>
  <c r="H47" i="2" s="1"/>
  <c r="G49" i="2"/>
  <c r="H49" i="2" s="1"/>
  <c r="J16" i="2" l="1"/>
  <c r="K16" i="2" s="1"/>
  <c r="L16" i="2" s="1"/>
  <c r="I49" i="2"/>
  <c r="J49" i="2"/>
  <c r="K49" i="2" s="1"/>
  <c r="L49" i="2" s="1"/>
  <c r="I45" i="2"/>
  <c r="J45" i="2"/>
  <c r="I41" i="2"/>
  <c r="J41" i="2"/>
  <c r="I37" i="2"/>
  <c r="J37" i="2"/>
  <c r="I33" i="2"/>
  <c r="J33" i="2"/>
  <c r="I31" i="2"/>
  <c r="J31" i="2"/>
  <c r="I29" i="2"/>
  <c r="J29" i="2"/>
  <c r="I27" i="2"/>
  <c r="J27" i="2"/>
  <c r="J25" i="2"/>
  <c r="I25" i="2"/>
  <c r="J23" i="2"/>
  <c r="I23" i="2"/>
  <c r="I21" i="2"/>
  <c r="J21" i="2"/>
  <c r="J19" i="2"/>
  <c r="I19" i="2"/>
  <c r="J17" i="2"/>
  <c r="I17" i="2"/>
  <c r="I11" i="2"/>
  <c r="J11" i="2"/>
  <c r="I9" i="2"/>
  <c r="J9" i="2"/>
  <c r="I7" i="2"/>
  <c r="J7" i="2"/>
  <c r="K7" i="2" s="1"/>
  <c r="L7" i="2" s="1"/>
  <c r="J48" i="2"/>
  <c r="I48" i="2"/>
  <c r="J40" i="2"/>
  <c r="I40" i="2"/>
  <c r="J14" i="2"/>
  <c r="I14" i="2"/>
  <c r="J46" i="2"/>
  <c r="I46" i="2"/>
  <c r="J38" i="2"/>
  <c r="I38" i="2"/>
  <c r="J12" i="2"/>
  <c r="K12" i="2" s="1"/>
  <c r="L12" i="2" s="1"/>
  <c r="I47" i="2"/>
  <c r="J47" i="2"/>
  <c r="I43" i="2"/>
  <c r="J43" i="2"/>
  <c r="I39" i="2"/>
  <c r="J39" i="2"/>
  <c r="K39" i="2" s="1"/>
  <c r="L39" i="2" s="1"/>
  <c r="I35" i="2"/>
  <c r="J35" i="2"/>
  <c r="J32" i="2"/>
  <c r="I32" i="2"/>
  <c r="J30" i="2"/>
  <c r="I30" i="2"/>
  <c r="J28" i="2"/>
  <c r="I28" i="2"/>
  <c r="J26" i="2"/>
  <c r="K26" i="2" s="1"/>
  <c r="L26" i="2" s="1"/>
  <c r="I26" i="2"/>
  <c r="J24" i="2"/>
  <c r="I24" i="2"/>
  <c r="I22" i="2"/>
  <c r="J22" i="2"/>
  <c r="K22" i="2" s="1"/>
  <c r="L22" i="2" s="1"/>
  <c r="J20" i="2"/>
  <c r="K20" i="2" s="1"/>
  <c r="L20" i="2" s="1"/>
  <c r="I20" i="2"/>
  <c r="J18" i="2"/>
  <c r="I18" i="2"/>
  <c r="I10" i="2"/>
  <c r="J10" i="2"/>
  <c r="I8" i="2"/>
  <c r="J8" i="2"/>
  <c r="I6" i="2"/>
  <c r="J6" i="2"/>
  <c r="K6" i="2" s="1"/>
  <c r="L6" i="2" s="1"/>
  <c r="J44" i="2"/>
  <c r="I44" i="2"/>
  <c r="J36" i="2"/>
  <c r="I36" i="2"/>
  <c r="J15" i="2"/>
  <c r="K15" i="2" s="1"/>
  <c r="L15" i="2" s="1"/>
  <c r="I15" i="2"/>
  <c r="J13" i="2"/>
  <c r="I13" i="2"/>
  <c r="J42" i="2"/>
  <c r="I42" i="2"/>
  <c r="J34" i="2"/>
  <c r="K34" i="2" s="1"/>
  <c r="I34" i="2"/>
  <c r="I12" i="2"/>
  <c r="I16" i="2"/>
  <c r="O12" i="2"/>
  <c r="O16" i="2"/>
  <c r="O22" i="2"/>
  <c r="O26" i="2"/>
  <c r="O39" i="2"/>
  <c r="O49" i="2"/>
  <c r="O7" i="2"/>
  <c r="O15" i="2" l="1"/>
  <c r="L34" i="2"/>
  <c r="K13" i="2"/>
  <c r="O6" i="2"/>
  <c r="O20" i="2"/>
  <c r="L13" i="2"/>
  <c r="K36" i="2"/>
  <c r="L36" i="2" s="1"/>
  <c r="K44" i="2"/>
  <c r="L44" i="2" s="1"/>
  <c r="I5" i="2"/>
  <c r="K18" i="2"/>
  <c r="L18" i="2" s="1"/>
  <c r="K24" i="2"/>
  <c r="L24" i="2" s="1"/>
  <c r="K28" i="2"/>
  <c r="L28" i="2" s="1"/>
  <c r="K30" i="2"/>
  <c r="L30" i="2" s="1"/>
  <c r="K32" i="2"/>
  <c r="L32" i="2" s="1"/>
  <c r="K9" i="2"/>
  <c r="L9" i="2" s="1"/>
  <c r="K11" i="2"/>
  <c r="L11" i="2" s="1"/>
  <c r="K21" i="2"/>
  <c r="L21" i="2" s="1"/>
  <c r="K27" i="2"/>
  <c r="L27" i="2" s="1"/>
  <c r="K29" i="2"/>
  <c r="L29" i="2" s="1"/>
  <c r="K31" i="2"/>
  <c r="L31" i="2" s="1"/>
  <c r="K33" i="2"/>
  <c r="L33" i="2" s="1"/>
  <c r="K37" i="2"/>
  <c r="L37" i="2" s="1"/>
  <c r="K41" i="2"/>
  <c r="L41" i="2" s="1"/>
  <c r="K45" i="2"/>
  <c r="L45" i="2" s="1"/>
  <c r="K42" i="2"/>
  <c r="L42" i="2" s="1"/>
  <c r="K8" i="2"/>
  <c r="L8" i="2" s="1"/>
  <c r="K10" i="2"/>
  <c r="L10" i="2" s="1"/>
  <c r="K35" i="2"/>
  <c r="L35" i="2" s="1"/>
  <c r="K43" i="2"/>
  <c r="L43" i="2" s="1"/>
  <c r="K47" i="2"/>
  <c r="L47" i="2" s="1"/>
  <c r="K38" i="2"/>
  <c r="L38" i="2" s="1"/>
  <c r="K46" i="2"/>
  <c r="L46" i="2" s="1"/>
  <c r="K14" i="2"/>
  <c r="L14" i="2" s="1"/>
  <c r="K40" i="2"/>
  <c r="L40" i="2" s="1"/>
  <c r="M31" i="2" s="1" a="1"/>
  <c r="M31" i="2" s="1"/>
  <c r="N31" i="2" s="1"/>
  <c r="O31" i="2" s="1"/>
  <c r="K48" i="2"/>
  <c r="L48" i="2" s="1"/>
  <c r="K17" i="2"/>
  <c r="L17" i="2" s="1"/>
  <c r="K19" i="2"/>
  <c r="L19" i="2" s="1"/>
  <c r="K23" i="2"/>
  <c r="L23" i="2" s="1"/>
  <c r="K25" i="2"/>
  <c r="L25" i="2" s="1"/>
  <c r="M27" i="2" a="1"/>
  <c r="M27" i="2" s="1"/>
  <c r="M35" i="2" a="1"/>
  <c r="M35" i="2" s="1"/>
  <c r="M43" i="2" a="1"/>
  <c r="M43" i="2" s="1"/>
  <c r="M29" i="2" a="1"/>
  <c r="M29" i="2" s="1"/>
  <c r="M33" i="2" a="1"/>
  <c r="M33" i="2" s="1"/>
  <c r="M37" i="2" a="1"/>
  <c r="M37" i="2" s="1"/>
  <c r="M41" i="2" a="1"/>
  <c r="M41" i="2" s="1"/>
  <c r="M45" i="2" a="1"/>
  <c r="M45" i="2" s="1"/>
  <c r="M46" i="2" a="1"/>
  <c r="M46" i="2" s="1"/>
  <c r="M42" i="2" a="1"/>
  <c r="M42" i="2" s="1"/>
  <c r="N42" i="2" s="1"/>
  <c r="O42" i="2" s="1"/>
  <c r="M38" i="2" a="1"/>
  <c r="M38" i="2" s="1"/>
  <c r="M34" i="2" a="1"/>
  <c r="M34" i="2" s="1"/>
  <c r="N34" i="2" s="1"/>
  <c r="O34" i="2" s="1"/>
  <c r="M30" i="2" a="1"/>
  <c r="M30" i="2" s="1"/>
  <c r="M48" i="2" a="1"/>
  <c r="M48" i="2" s="1"/>
  <c r="N48" i="2" s="1"/>
  <c r="O48" i="2" s="1"/>
  <c r="M44" i="2" a="1"/>
  <c r="M44" i="2" s="1"/>
  <c r="M40" i="2" a="1"/>
  <c r="M40" i="2" s="1"/>
  <c r="N40" i="2" s="1"/>
  <c r="O40" i="2" s="1"/>
  <c r="M36" i="2" a="1"/>
  <c r="M36" i="2" s="1"/>
  <c r="N36" i="2" s="1"/>
  <c r="O36" i="2" s="1"/>
  <c r="M32" i="2" a="1"/>
  <c r="M32" i="2" s="1"/>
  <c r="N32" i="2" s="1"/>
  <c r="O32" i="2" s="1"/>
  <c r="N45" i="2"/>
  <c r="O45" i="2" s="1"/>
  <c r="N46" i="2"/>
  <c r="O46" i="2" s="1"/>
  <c r="N38" i="2"/>
  <c r="O38" i="2" s="1"/>
  <c r="N43" i="2"/>
  <c r="O43" i="2" s="1"/>
  <c r="N35" i="2"/>
  <c r="O35" i="2" s="1"/>
  <c r="N41" i="2"/>
  <c r="O41" i="2" s="1"/>
  <c r="N33" i="2"/>
  <c r="O33" i="2" s="1"/>
  <c r="N44" i="2"/>
  <c r="O44" i="2" s="1"/>
  <c r="N37" i="2"/>
  <c r="O37" i="2" s="1"/>
  <c r="N27" i="2"/>
  <c r="O27" i="2" s="1"/>
  <c r="N29" i="2"/>
  <c r="O29" i="2" s="1"/>
  <c r="N30" i="2"/>
  <c r="O30" i="2" s="1"/>
  <c r="M47" i="2" l="1" a="1"/>
  <c r="M47" i="2" s="1"/>
  <c r="N47" i="2" s="1"/>
  <c r="O47" i="2" s="1"/>
  <c r="M39" i="2" a="1"/>
  <c r="M39" i="2" s="1"/>
  <c r="N39" i="2" s="1"/>
  <c r="L5" i="2"/>
  <c r="M49" i="2" a="1"/>
  <c r="M49" i="2" s="1"/>
  <c r="N49" i="2" s="1"/>
  <c r="M28" i="2" a="1"/>
  <c r="M28" i="2" s="1"/>
  <c r="N28" i="2" s="1"/>
  <c r="O28" i="2" s="1"/>
  <c r="M7" i="2" a="1"/>
  <c r="M7" i="2" s="1"/>
  <c r="N7" i="2" s="1"/>
  <c r="M13" i="2" a="1"/>
  <c r="M13" i="2" s="1"/>
  <c r="N13" i="2" s="1"/>
  <c r="O13" i="2" s="1"/>
  <c r="M21" i="2" a="1"/>
  <c r="M21" i="2" s="1"/>
  <c r="N21" i="2" s="1"/>
  <c r="O21" i="2" s="1"/>
  <c r="M11" i="2" a="1"/>
  <c r="M11" i="2" s="1"/>
  <c r="N11" i="2" s="1"/>
  <c r="O11" i="2" s="1"/>
  <c r="M19" i="2" a="1"/>
  <c r="M19" i="2" s="1"/>
  <c r="N19" i="2" s="1"/>
  <c r="O19" i="2" s="1"/>
  <c r="M26" i="2" a="1"/>
  <c r="M26" i="2" s="1"/>
  <c r="N26" i="2" s="1"/>
  <c r="M20" i="2" a="1"/>
  <c r="M20" i="2" s="1"/>
  <c r="N20" i="2" s="1"/>
  <c r="M12" i="2" a="1"/>
  <c r="M12" i="2" s="1"/>
  <c r="N12" i="2" s="1"/>
  <c r="M22" i="2" a="1"/>
  <c r="M22" i="2" s="1"/>
  <c r="N22" i="2" s="1"/>
  <c r="M14" i="2" a="1"/>
  <c r="M14" i="2" s="1"/>
  <c r="N14" i="2" s="1"/>
  <c r="O14" i="2" s="1"/>
  <c r="M6" i="2" a="1"/>
  <c r="M6" i="2" s="1"/>
  <c r="M9" i="2" a="1"/>
  <c r="M9" i="2" s="1"/>
  <c r="N9" i="2" s="1"/>
  <c r="O9" i="2" s="1"/>
  <c r="M17" i="2" a="1"/>
  <c r="M17" i="2" s="1"/>
  <c r="N17" i="2" s="1"/>
  <c r="O17" i="2" s="1"/>
  <c r="M25" i="2" a="1"/>
  <c r="M25" i="2" s="1"/>
  <c r="N25" i="2" s="1"/>
  <c r="O25" i="2" s="1"/>
  <c r="M15" i="2" a="1"/>
  <c r="M15" i="2" s="1"/>
  <c r="N15" i="2" s="1"/>
  <c r="M23" i="2" a="1"/>
  <c r="M23" i="2" s="1"/>
  <c r="N23" i="2" s="1"/>
  <c r="O23" i="2" s="1"/>
  <c r="M24" i="2" a="1"/>
  <c r="M24" i="2" s="1"/>
  <c r="N24" i="2" s="1"/>
  <c r="O24" i="2" s="1"/>
  <c r="M16" i="2" a="1"/>
  <c r="M16" i="2" s="1"/>
  <c r="N16" i="2" s="1"/>
  <c r="M8" i="2" a="1"/>
  <c r="M8" i="2" s="1"/>
  <c r="N8" i="2" s="1"/>
  <c r="O8" i="2" s="1"/>
  <c r="M18" i="2" a="1"/>
  <c r="M18" i="2" s="1"/>
  <c r="N18" i="2" s="1"/>
  <c r="O18" i="2" s="1"/>
  <c r="M10" i="2" a="1"/>
  <c r="M10" i="2" s="1"/>
  <c r="N10" i="2" s="1"/>
  <c r="O10" i="2" s="1"/>
  <c r="M5" i="2" l="1"/>
  <c r="M3" i="2" s="1"/>
  <c r="N6" i="2"/>
  <c r="N5" i="2" s="1"/>
  <c r="H23" i="1"/>
  <c r="H14" i="1"/>
  <c r="G24" i="1" l="1"/>
  <c r="H24" i="1" s="1"/>
  <c r="G23" i="1"/>
  <c r="G21" i="1"/>
  <c r="H21" i="1" s="1"/>
  <c r="G19" i="1"/>
  <c r="H19" i="1" s="1"/>
  <c r="G17" i="1"/>
  <c r="H17" i="1" s="1"/>
  <c r="G15" i="1"/>
  <c r="H15" i="1" s="1"/>
  <c r="G25" i="1"/>
  <c r="H25" i="1" s="1"/>
  <c r="G22" i="1"/>
  <c r="H22" i="1" s="1"/>
  <c r="G20" i="1"/>
  <c r="H20" i="1" s="1"/>
  <c r="G18" i="1"/>
  <c r="H18" i="1" s="1"/>
  <c r="G16" i="1"/>
  <c r="H16" i="1" s="1"/>
  <c r="G13" i="1"/>
  <c r="H13" i="1" s="1"/>
  <c r="G11" i="1"/>
  <c r="H11" i="1" s="1"/>
  <c r="G9" i="1"/>
  <c r="H9" i="1" s="1"/>
  <c r="G7" i="1"/>
  <c r="H7" i="1" s="1"/>
  <c r="G14" i="1"/>
  <c r="G12" i="1"/>
  <c r="H12" i="1" s="1"/>
  <c r="G10" i="1"/>
  <c r="H10" i="1" s="1"/>
  <c r="G8" i="1"/>
  <c r="H8" i="1" s="1"/>
  <c r="G6" i="1"/>
  <c r="H6" i="1" s="1"/>
  <c r="J14" i="1" l="1"/>
  <c r="O14" i="1" s="1"/>
  <c r="J12" i="1"/>
  <c r="I12" i="1"/>
  <c r="J16" i="1"/>
  <c r="I16" i="1"/>
  <c r="J25" i="1"/>
  <c r="I25" i="1"/>
  <c r="J15" i="1"/>
  <c r="I23" i="1"/>
  <c r="I15" i="1"/>
  <c r="J23" i="1"/>
  <c r="J6" i="1"/>
  <c r="I6" i="1"/>
  <c r="I14" i="1"/>
  <c r="J10" i="1"/>
  <c r="I10" i="1"/>
  <c r="J7" i="1"/>
  <c r="I7" i="1"/>
  <c r="J11" i="1"/>
  <c r="I11" i="1"/>
  <c r="J18" i="1"/>
  <c r="I18" i="1"/>
  <c r="J22" i="1"/>
  <c r="I22" i="1"/>
  <c r="J17" i="1"/>
  <c r="I17" i="1"/>
  <c r="J21" i="1"/>
  <c r="I21" i="1"/>
  <c r="J24" i="1"/>
  <c r="I24" i="1"/>
  <c r="J8" i="1"/>
  <c r="I8" i="1"/>
  <c r="J9" i="1"/>
  <c r="I9" i="1"/>
  <c r="J13" i="1"/>
  <c r="I13" i="1"/>
  <c r="J20" i="1"/>
  <c r="I20" i="1"/>
  <c r="J19" i="1"/>
  <c r="I19" i="1"/>
  <c r="K14" i="1" l="1"/>
  <c r="L14" i="1" s="1"/>
  <c r="K19" i="1"/>
  <c r="L19" i="1" s="1"/>
  <c r="K20" i="1"/>
  <c r="L20" i="1" s="1"/>
  <c r="O8" i="1"/>
  <c r="K8" i="1"/>
  <c r="L8" i="1" s="1"/>
  <c r="K22" i="1"/>
  <c r="L22" i="1" s="1"/>
  <c r="K18" i="1"/>
  <c r="L18" i="1" s="1"/>
  <c r="K11" i="1"/>
  <c r="L11" i="1" s="1"/>
  <c r="K7" i="1"/>
  <c r="L7" i="1" s="1"/>
  <c r="O10" i="1"/>
  <c r="K10" i="1"/>
  <c r="L10" i="1" s="1"/>
  <c r="I5" i="1"/>
  <c r="O23" i="1"/>
  <c r="K23" i="1"/>
  <c r="L23" i="1" s="1"/>
  <c r="K15" i="1"/>
  <c r="L15" i="1" s="1"/>
  <c r="K25" i="1"/>
  <c r="L25" i="1" s="1"/>
  <c r="O16" i="1"/>
  <c r="K16" i="1"/>
  <c r="L16" i="1" s="1"/>
  <c r="K13" i="1"/>
  <c r="L13" i="1" s="1"/>
  <c r="K9" i="1"/>
  <c r="L9" i="1" s="1"/>
  <c r="K24" i="1"/>
  <c r="L24" i="1" s="1"/>
  <c r="K21" i="1"/>
  <c r="L21" i="1" s="1"/>
  <c r="O17" i="1"/>
  <c r="K17" i="1"/>
  <c r="L17" i="1" s="1"/>
  <c r="K6" i="1"/>
  <c r="L6" i="1" s="1"/>
  <c r="K12" i="1"/>
  <c r="L12" i="1" s="1"/>
  <c r="M8" i="1" l="1" a="1"/>
  <c r="M8" i="1" s="1"/>
  <c r="M16" i="1" a="1"/>
  <c r="M16" i="1" s="1"/>
  <c r="M13" i="1" a="1"/>
  <c r="M13" i="1" s="1"/>
  <c r="M11" i="1" a="1"/>
  <c r="M11" i="1" s="1"/>
  <c r="N11" i="1" s="1"/>
  <c r="O11" i="1" s="1"/>
  <c r="M9" i="1" a="1"/>
  <c r="M9" i="1" s="1"/>
  <c r="M7" i="1" a="1"/>
  <c r="M7" i="1" s="1"/>
  <c r="N7" i="1" s="1"/>
  <c r="O7" i="1" s="1"/>
  <c r="M25" i="1" a="1"/>
  <c r="M25" i="1" s="1"/>
  <c r="M19" i="1" a="1"/>
  <c r="M19" i="1" s="1"/>
  <c r="N19" i="1" s="1"/>
  <c r="O19" i="1" s="1"/>
  <c r="M15" i="1" a="1"/>
  <c r="M15" i="1" s="1"/>
  <c r="N15" i="1" s="1"/>
  <c r="O15" i="1" s="1"/>
  <c r="M22" i="1" a="1"/>
  <c r="M22" i="1" s="1"/>
  <c r="M18" i="1" a="1"/>
  <c r="M18" i="1" s="1"/>
  <c r="M14" i="1" a="1"/>
  <c r="M14" i="1" s="1"/>
  <c r="N14" i="1" s="1"/>
  <c r="M12" i="1" a="1"/>
  <c r="M12" i="1" s="1"/>
  <c r="N12" i="1" s="1"/>
  <c r="O12" i="1" s="1"/>
  <c r="M10" i="1" a="1"/>
  <c r="M10" i="1" s="1"/>
  <c r="M21" i="1" a="1"/>
  <c r="M21" i="1" s="1"/>
  <c r="N21" i="1" s="1"/>
  <c r="O21" i="1" s="1"/>
  <c r="M23" i="1" a="1"/>
  <c r="M23" i="1" s="1"/>
  <c r="M17" i="1" a="1"/>
  <c r="M17" i="1" s="1"/>
  <c r="N17" i="1" s="1"/>
  <c r="M24" i="1" a="1"/>
  <c r="M24" i="1" s="1"/>
  <c r="N24" i="1" s="1"/>
  <c r="O24" i="1" s="1"/>
  <c r="M20" i="1" a="1"/>
  <c r="M20" i="1" s="1"/>
  <c r="N23" i="1"/>
  <c r="N16" i="1"/>
  <c r="M6" i="1" a="1"/>
  <c r="M6" i="1" s="1"/>
  <c r="N6" i="1" s="1"/>
  <c r="N18" i="1"/>
  <c r="O18" i="1" s="1"/>
  <c r="N22" i="1"/>
  <c r="O22" i="1" s="1"/>
  <c r="N25" i="1"/>
  <c r="O25" i="1" s="1"/>
  <c r="N9" i="1"/>
  <c r="O9" i="1" s="1"/>
  <c r="N13" i="1"/>
  <c r="O13" i="1" s="1"/>
  <c r="N10" i="1"/>
  <c r="L5" i="1"/>
  <c r="N20" i="1"/>
  <c r="O20" i="1" s="1"/>
  <c r="N8" i="1"/>
  <c r="O6" i="1" l="1"/>
  <c r="N5" i="1"/>
  <c r="M5" i="1"/>
  <c r="M3" i="1" s="1"/>
</calcChain>
</file>

<file path=xl/sharedStrings.xml><?xml version="1.0" encoding="utf-8"?>
<sst xmlns="http://schemas.openxmlformats.org/spreadsheetml/2006/main" count="291" uniqueCount="47">
  <si>
    <t>дней продажи</t>
  </si>
  <si>
    <t>ЮЛ</t>
  </si>
  <si>
    <t>Товар</t>
  </si>
  <si>
    <t>Производитель</t>
  </si>
  <si>
    <t>Продажи, уп.</t>
  </si>
  <si>
    <t>Остаток текущий, уп.</t>
  </si>
  <si>
    <t>Продажи упаковок в день</t>
  </si>
  <si>
    <t>Длинна склада, дн</t>
  </si>
  <si>
    <t>Необходимо для усреднения,дн</t>
  </si>
  <si>
    <t>Распределение с округлением,уп.</t>
  </si>
  <si>
    <t>Исключение округлений,уп.</t>
  </si>
  <si>
    <t>Итого примут,уп.</t>
  </si>
  <si>
    <t>Дл.склада послн распред.,дн</t>
  </si>
  <si>
    <t>Фирма 1</t>
  </si>
  <si>
    <t>Фирма 2</t>
  </si>
  <si>
    <t>склад</t>
  </si>
  <si>
    <t>Склад 1</t>
  </si>
  <si>
    <t>Склад 2</t>
  </si>
  <si>
    <t>Склад 3</t>
  </si>
  <si>
    <t>Склад 4</t>
  </si>
  <si>
    <t>Склад 5</t>
  </si>
  <si>
    <t>Склад 6</t>
  </si>
  <si>
    <t>Склад 7</t>
  </si>
  <si>
    <t>Склад 8</t>
  </si>
  <si>
    <t>Склад 9</t>
  </si>
  <si>
    <t>Склад 10</t>
  </si>
  <si>
    <t>Склад 11</t>
  </si>
  <si>
    <t xml:space="preserve">товар 1 </t>
  </si>
  <si>
    <t>н</t>
  </si>
  <si>
    <t>Макс.Забрать,   уп</t>
  </si>
  <si>
    <t>% склада с потребностью</t>
  </si>
  <si>
    <t>Если брать один товар, то формула в столбце "M" считает правильно</t>
  </si>
  <si>
    <t xml:space="preserve">Но если добавлять условие,чтобы выбирало не только по юр.лицу но и по товару, как на вкладке "несколько товаров", то выводит ошибку "ЗНАЧ" </t>
  </si>
  <si>
    <t>Склад 12</t>
  </si>
  <si>
    <t>Склад 13</t>
  </si>
  <si>
    <t>Склад 14</t>
  </si>
  <si>
    <t>Склад 15</t>
  </si>
  <si>
    <t>Склад 16</t>
  </si>
  <si>
    <t>Склад 17</t>
  </si>
  <si>
    <t>Склад 18</t>
  </si>
  <si>
    <t>Склад 19</t>
  </si>
  <si>
    <t>Склад 20</t>
  </si>
  <si>
    <t>Склад 21</t>
  </si>
  <si>
    <t>Склад 22</t>
  </si>
  <si>
    <t>Склад 23</t>
  </si>
  <si>
    <t>Склад</t>
  </si>
  <si>
    <t>Если добавлять условие,чтобы выбирало не только по юр.лицу но и по товару, как на вкладке "несколько товаров", то выводит ошибку "ЗНАЧ". И если смотреть пошаговое вычисление то ошибка в формуле  K6=МИН(ЕСЛИ(И($A$6:$A$500=A6;$C$6:$C$500=C6);$K$6:$K$500;"")).                                    Формула должна выравнивать столбец "L" по юр.лицу и  по товару и в столбец "М" записывать округления, чтобы сумма столбца "N" была равна сумме столбца "I"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</si>
</sst>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00"/>
  </numFmts>
  <fonts count="9" x14ac:knownFonts="1">
    <font>
      <sz val="10"/>
      <name val="Arial"/>
      <family val="2"/>
      <charset val="204"/>
    </font>
    <font>
      <b/>
      <sz val="9"/>
      <color indexed="63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63"/>
      <name val="Arial"/>
      <family val="2"/>
      <charset val="204"/>
    </font>
    <font>
      <sz val="9"/>
      <color indexed="53"/>
      <name val="Arial"/>
      <family val="2"/>
      <charset val="204"/>
    </font>
    <font>
      <sz val="18"/>
      <color rgb="FFFF0000"/>
      <name val="Arial"/>
      <family val="2"/>
      <charset val="204"/>
    </font>
    <font>
      <sz val="9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indexed="9"/>
      </patternFill>
    </fill>
    <fill>
      <patternFill patternType="solid">
        <fgColor rgb="FF00B05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2" fillId="6" borderId="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3" fillId="7" borderId="6" xfId="0" applyNumberFormat="1" applyFont="1" applyFill="1" applyBorder="1" applyAlignment="1">
      <alignment horizontal="center"/>
    </xf>
    <xf numFmtId="49" fontId="3" fillId="7" borderId="7" xfId="0" applyNumberFormat="1" applyFont="1" applyFill="1" applyBorder="1" applyAlignment="1">
      <alignment horizontal="center"/>
    </xf>
    <xf numFmtId="4" fontId="3" fillId="7" borderId="7" xfId="0" applyNumberFormat="1" applyFon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4" fontId="4" fillId="7" borderId="7" xfId="0" applyNumberFormat="1" applyFon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49" fontId="3" fillId="8" borderId="6" xfId="0" applyNumberFormat="1" applyFont="1" applyFill="1" applyBorder="1" applyAlignment="1">
      <alignment horizontal="center"/>
    </xf>
    <xf numFmtId="49" fontId="3" fillId="8" borderId="7" xfId="0" applyNumberFormat="1" applyFont="1" applyFill="1" applyBorder="1" applyAlignment="1">
      <alignment horizontal="center"/>
    </xf>
    <xf numFmtId="4" fontId="3" fillId="8" borderId="7" xfId="0" applyNumberFormat="1" applyFont="1" applyFill="1" applyBorder="1" applyAlignment="1">
      <alignment horizontal="center"/>
    </xf>
    <xf numFmtId="4" fontId="4" fillId="8" borderId="7" xfId="0" applyNumberFormat="1" applyFont="1" applyFill="1" applyBorder="1" applyAlignment="1">
      <alignment horizontal="center"/>
    </xf>
    <xf numFmtId="0" fontId="5" fillId="0" borderId="0" xfId="0" applyFont="1"/>
    <xf numFmtId="0" fontId="6" fillId="6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&#1090;&#1086;&#1074;&#1072;&#1088;&#1086;&#1074;_&#1055;&#1088;&#1077;&#1092;&#1077;&#1082;&#1090;&#1091;&#1088;&#1072;%20&#1074;&#1085;&#1091;&#1090;&#1088;&#1080;%20&#1070;&#1051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  <sheetName val="перераспределение"/>
      <sheetName val="по аптекам"/>
      <sheetName val="Лист1"/>
      <sheetName val="копия"/>
    </sheetNames>
    <sheetDataSet>
      <sheetData sheetId="0">
        <row r="2">
          <cell r="A2"/>
          <cell r="B2"/>
          <cell r="C2"/>
          <cell r="D2"/>
          <cell r="E2">
            <v>603884.07045999996</v>
          </cell>
          <cell r="F2">
            <v>109322.00399999999</v>
          </cell>
        </row>
      </sheetData>
      <sheetData sheetId="1"/>
      <sheetData sheetId="2"/>
      <sheetData sheetId="3"/>
      <sheetData sheetId="4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99CBF0B-6106-4DFD-85AF-BFDBC31F1EC6}" diskRevisions="1" revisionId="78168" version="5" keepChangeHistory="0" preserveHistory="0">
  <header guid="{299CBF0B-6106-4DFD-85AF-BFDBC31F1EC6}" dateTime="2017-01-23T10:04:16" maxSheetId="3" userName="user" r:id="rId5" minRId="7816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168" sId="2">
    <oc r="P2">
      <v>1</v>
    </oc>
    <nc r="P2"/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31"/>
  <sheetViews>
    <sheetView tabSelected="1" zoomScale="90" zoomScaleNormal="90" workbookViewId="0">
      <selection activeCell="T4" sqref="T4"/>
    </sheetView>
  </sheetViews>
  <sheetFormatPr defaultRowHeight="12.75" x14ac:dyDescent="0.2"/>
  <cols>
    <col min="1" max="1" width="15.5703125" customWidth="1"/>
    <col min="2" max="2" width="24" customWidth="1"/>
    <col min="3" max="3" width="21.140625" customWidth="1"/>
    <col min="4" max="4" width="14.140625" customWidth="1"/>
    <col min="5" max="5" width="14.42578125" customWidth="1"/>
    <col min="6" max="6" width="15.85546875" customWidth="1"/>
    <col min="7" max="7" width="9" customWidth="1"/>
    <col min="8" max="8" width="11.5703125" style="6" customWidth="1"/>
    <col min="9" max="10" width="14.5703125" style="6" customWidth="1"/>
    <col min="11" max="11" width="18" style="6" customWidth="1"/>
    <col min="12" max="12" width="14.85546875" style="6" customWidth="1"/>
    <col min="13" max="14" width="14.42578125" style="6" customWidth="1"/>
    <col min="15" max="15" width="13.5703125" style="6" customWidth="1"/>
  </cols>
  <sheetData>
    <row r="1" spans="1:16" ht="13.5" thickBot="1" x14ac:dyDescent="0.25">
      <c r="B1" s="1"/>
      <c r="C1" s="2"/>
      <c r="E1" s="3" t="s">
        <v>0</v>
      </c>
      <c r="F1" s="4">
        <v>18</v>
      </c>
      <c r="G1" s="5"/>
    </row>
    <row r="2" spans="1:16" ht="13.5" thickBot="1" x14ac:dyDescent="0.25">
      <c r="B2" s="7"/>
      <c r="C2" s="5"/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x14ac:dyDescent="0.2">
      <c r="A3" s="10"/>
      <c r="B3" s="11"/>
      <c r="C3" s="11"/>
      <c r="D3" s="11"/>
      <c r="E3" s="11"/>
      <c r="F3" s="12"/>
      <c r="G3" s="11"/>
      <c r="H3" s="11"/>
      <c r="I3" s="11"/>
      <c r="J3" s="11"/>
      <c r="K3" s="11"/>
      <c r="L3" s="11"/>
      <c r="M3" s="11" t="b">
        <f>I5-L5=M5</f>
        <v>1</v>
      </c>
      <c r="N3" s="11"/>
      <c r="O3" s="13"/>
    </row>
    <row r="4" spans="1:16" ht="43.5" customHeight="1" x14ac:dyDescent="0.2">
      <c r="A4" s="14" t="s">
        <v>1</v>
      </c>
      <c r="B4" s="15" t="s">
        <v>15</v>
      </c>
      <c r="C4" s="15" t="s">
        <v>2</v>
      </c>
      <c r="D4" s="15" t="s">
        <v>3</v>
      </c>
      <c r="E4" s="15" t="s">
        <v>4</v>
      </c>
      <c r="F4" s="15" t="s">
        <v>5</v>
      </c>
      <c r="G4" s="16" t="s">
        <v>6</v>
      </c>
      <c r="H4" s="16" t="s">
        <v>7</v>
      </c>
      <c r="I4" s="17" t="s">
        <v>29</v>
      </c>
      <c r="J4" s="16" t="s">
        <v>8</v>
      </c>
      <c r="K4" s="16" t="s">
        <v>30</v>
      </c>
      <c r="L4" s="16" t="s">
        <v>9</v>
      </c>
      <c r="M4" s="16" t="s">
        <v>10</v>
      </c>
      <c r="N4" s="17" t="s">
        <v>11</v>
      </c>
      <c r="O4" s="18" t="s">
        <v>12</v>
      </c>
      <c r="P4" s="19"/>
    </row>
    <row r="5" spans="1:16" ht="18" customHeight="1" x14ac:dyDescent="0.2">
      <c r="A5" s="20"/>
      <c r="B5" s="21"/>
      <c r="C5" s="21"/>
      <c r="D5" s="21"/>
      <c r="E5" s="22"/>
      <c r="F5" s="22"/>
      <c r="G5" s="23"/>
      <c r="H5" s="23"/>
      <c r="I5" s="24">
        <f>SUM(I6:I31)</f>
        <v>180</v>
      </c>
      <c r="J5" s="24"/>
      <c r="K5" s="24"/>
      <c r="L5" s="24">
        <f>SUM(L6:L31)</f>
        <v>183</v>
      </c>
      <c r="M5" s="24">
        <f>SUM(M6:M31)</f>
        <v>-3</v>
      </c>
      <c r="N5" s="24">
        <f>SUM(N6:N31)</f>
        <v>180</v>
      </c>
      <c r="O5" s="25"/>
    </row>
    <row r="6" spans="1:16" x14ac:dyDescent="0.2">
      <c r="A6" s="26" t="s">
        <v>13</v>
      </c>
      <c r="B6" s="27" t="s">
        <v>16</v>
      </c>
      <c r="C6" s="27" t="s">
        <v>27</v>
      </c>
      <c r="D6" s="27" t="s">
        <v>28</v>
      </c>
      <c r="E6" s="28">
        <v>784</v>
      </c>
      <c r="F6" s="28">
        <v>145</v>
      </c>
      <c r="G6" s="23">
        <f t="shared" ref="G6" si="0">ROUND(E6/$F$1,3)</f>
        <v>43.555999999999997</v>
      </c>
      <c r="H6" s="23">
        <f t="shared" ref="H6" si="1">IF(OR(E6=0,E6=""),0,ROUND(F6/G6,3))</f>
        <v>3.3290000000000002</v>
      </c>
      <c r="I6" s="23">
        <f t="shared" ref="I6:I25" si="2">IF(AND(E6&gt;0,H6&lt;AVERAGEIF($A$6:$A$31,A6,$H$6:$H$31)),0,IF(AND(E6=0,F6&gt;0),ROUND(F6,0),ROUND((H6-AVERAGEIF($A$6:$A$31,A6,$H$6:$H$31))*G6,0)))</f>
        <v>0</v>
      </c>
      <c r="J6" s="23">
        <f t="shared" ref="J6:J25" si="3">IF(OR(E6=0,H6&gt;AVERAGEIF($A$6:$A$31,A6,$H$6:$H$31)),0,ROUND((AVERAGEIF($A$6:$A$31,A6,$H$6:$H$31)-H6),4))</f>
        <v>7.9949000000000003</v>
      </c>
      <c r="K6" s="23">
        <f t="shared" ref="K6:K25" si="4">IF(J6=0,"",ROUND(J6/SUMIF($A$6:$A$31,A6,$J$6:$J$31),10))</f>
        <v>0.17447542150000001</v>
      </c>
      <c r="L6" s="23">
        <f t="shared" ref="L6:L25" si="5">IF(K6="",0,ROUND(K6*SUMIF($A$6:$A$31,A6,$I$6:$I$31),0))</f>
        <v>14</v>
      </c>
      <c r="M6" s="23">
        <f t="array" ref="M6">IF(AND(SUMIF($A$6:$A$31,A6,$I$6:$I$31)&gt;SUMIF($A$6:$A$31,A6,$L$6:$L$31),K6=MIN(IF($A$6:$A$31=A6,$K$6:$K$31,"")),COUNTIF($K$6:K6,K6)=1),-(SUMIF($A$6:$A$31,A6,$L$6:$L$31)-SUMIF($A$6:$A$31,A6,$I$6:$I$31)),IF(AND(SUMIF($A$6:$A$31,A6,$I$6:$I$31)&lt;SUMIF($A$6:$A$31,A6,$L$6:$L$31),K6=MAX(IF($A$6:$A$31=A6,$K$6:$K$31,"")),COUNTIF($K$6:K6,K6)=1),-(SUMIF($A$6:$A$31,A6,$L$6:$L$31)-SUMIF($A$6:$A$31,A6,$I$6:$I$31)),0))</f>
        <v>0</v>
      </c>
      <c r="N6" s="23">
        <f t="shared" ref="N6" si="6">IF(L6="",0,L6+M6)</f>
        <v>14</v>
      </c>
      <c r="O6" s="25">
        <f t="shared" ref="O6" si="7">IF(AND(J6=0,G6&lt;&gt;0),ROUND((F6-I6)/G6,2),IF(AND(G6&lt;&gt;0,J6&gt;0),ROUND((F6-I6+N6)/G6,2),0))</f>
        <v>3.65</v>
      </c>
    </row>
    <row r="7" spans="1:16" x14ac:dyDescent="0.2">
      <c r="A7" s="26" t="s">
        <v>13</v>
      </c>
      <c r="B7" s="27" t="s">
        <v>17</v>
      </c>
      <c r="C7" s="27" t="s">
        <v>27</v>
      </c>
      <c r="D7" s="27" t="s">
        <v>28</v>
      </c>
      <c r="E7" s="28">
        <v>444</v>
      </c>
      <c r="F7" s="30">
        <v>0</v>
      </c>
      <c r="G7" s="23">
        <f t="shared" ref="G7:G14" si="8">ROUND(E7/$F$1,3)</f>
        <v>24.667000000000002</v>
      </c>
      <c r="H7" s="23">
        <f t="shared" ref="H7:H14" si="9">IF(OR(E7=0,E7=""),0,ROUND(F7/G7,3))</f>
        <v>0</v>
      </c>
      <c r="I7" s="23">
        <f t="shared" si="2"/>
        <v>0</v>
      </c>
      <c r="J7" s="23">
        <f t="shared" si="3"/>
        <v>11.3239</v>
      </c>
      <c r="K7" s="23">
        <f t="shared" si="4"/>
        <v>0.2471253205</v>
      </c>
      <c r="L7" s="23">
        <f t="shared" si="5"/>
        <v>20</v>
      </c>
      <c r="M7" s="23">
        <f t="array" ref="M7">IF(AND(SUMIF($A$6:$A$31,A7,$I$6:$I$31)&gt;SUMIF($A$6:$A$31,A7,$L$6:$L$31),K7=MIN(IF($A$6:$A$31=A7,$K$6:$K$31,"")),COUNTIF($K$6:K7,K7)=1),-(SUMIF($A$6:$A$31,A7,$L$6:$L$31)-SUMIF($A$6:$A$31,A7,$I$6:$I$31)),IF(AND(SUMIF($A$6:$A$31,A7,$I$6:$I$31)&lt;SUMIF($A$6:$A$31,A7,$L$6:$L$31),K7=MAX(IF($A$6:$A$31=A7,$K$6:$K$31,"")),COUNTIF($K$6:K7,K7)=1),-(SUMIF($A$6:$A$31,A7,$L$6:$L$31)-SUMIF($A$6:$A$31,A7,$I$6:$I$31)),0))</f>
        <v>-1</v>
      </c>
      <c r="N7" s="23">
        <f t="shared" ref="N7:N14" si="10">IF(L7="",0,L7+M7)</f>
        <v>19</v>
      </c>
      <c r="O7" s="25">
        <f t="shared" ref="O7:O14" si="11">IF(AND(J7=0,G7&lt;&gt;0),ROUND((F7-I7)/G7,2),IF(AND(G7&lt;&gt;0,J7&gt;0),ROUND((F7-I7+N7)/G7,2),0))</f>
        <v>0.77</v>
      </c>
    </row>
    <row r="8" spans="1:16" x14ac:dyDescent="0.2">
      <c r="A8" s="26" t="s">
        <v>13</v>
      </c>
      <c r="B8" s="27" t="s">
        <v>18</v>
      </c>
      <c r="C8" s="27" t="s">
        <v>27</v>
      </c>
      <c r="D8" s="27" t="s">
        <v>28</v>
      </c>
      <c r="E8" s="28">
        <v>7</v>
      </c>
      <c r="F8" s="28">
        <v>20</v>
      </c>
      <c r="G8" s="23">
        <f t="shared" si="8"/>
        <v>0.38900000000000001</v>
      </c>
      <c r="H8" s="23">
        <f t="shared" si="9"/>
        <v>51.414000000000001</v>
      </c>
      <c r="I8" s="23">
        <f t="shared" si="2"/>
        <v>16</v>
      </c>
      <c r="J8" s="23">
        <f t="shared" si="3"/>
        <v>0</v>
      </c>
      <c r="K8" s="23" t="str">
        <f t="shared" si="4"/>
        <v/>
      </c>
      <c r="L8" s="23">
        <f t="shared" si="5"/>
        <v>0</v>
      </c>
      <c r="M8" s="23">
        <f t="array" ref="M8">IF(AND(SUMIF($A$6:$A$31,A8,$I$6:$I$31)&gt;SUMIF($A$6:$A$31,A8,$L$6:$L$31),K8=MIN(IF($A$6:$A$31=A8,$K$6:$K$31,"")),COUNTIF($K$6:K8,K8)=1),-(SUMIF($A$6:$A$31,A8,$L$6:$L$31)-SUMIF($A$6:$A$31,A8,$I$6:$I$31)),IF(AND(SUMIF($A$6:$A$31,A8,$I$6:$I$31)&lt;SUMIF($A$6:$A$31,A8,$L$6:$L$31),K8=MAX(IF($A$6:$A$31=A8,$K$6:$K$31,"")),COUNTIF($K$6:K8,K8)=1),-(SUMIF($A$6:$A$31,A8,$L$6:$L$31)-SUMIF($A$6:$A$31,A8,$I$6:$I$31)),0))</f>
        <v>0</v>
      </c>
      <c r="N8" s="23">
        <f t="shared" si="10"/>
        <v>0</v>
      </c>
      <c r="O8" s="25">
        <f t="shared" si="11"/>
        <v>10.28</v>
      </c>
    </row>
    <row r="9" spans="1:16" x14ac:dyDescent="0.2">
      <c r="A9" s="26" t="s">
        <v>13</v>
      </c>
      <c r="B9" s="27" t="s">
        <v>19</v>
      </c>
      <c r="C9" s="27" t="s">
        <v>27</v>
      </c>
      <c r="D9" s="27" t="s">
        <v>28</v>
      </c>
      <c r="E9" s="28">
        <v>125</v>
      </c>
      <c r="F9" s="28">
        <v>79</v>
      </c>
      <c r="G9" s="23">
        <f t="shared" si="8"/>
        <v>6.944</v>
      </c>
      <c r="H9" s="23">
        <f t="shared" si="9"/>
        <v>11.377000000000001</v>
      </c>
      <c r="I9" s="23">
        <f t="shared" si="2"/>
        <v>0</v>
      </c>
      <c r="J9" s="23">
        <f t="shared" si="3"/>
        <v>0</v>
      </c>
      <c r="K9" s="23" t="str">
        <f t="shared" si="4"/>
        <v/>
      </c>
      <c r="L9" s="23">
        <f t="shared" si="5"/>
        <v>0</v>
      </c>
      <c r="M9" s="23">
        <f t="array" ref="M9">IF(AND(SUMIF($A$6:$A$31,A9,$I$6:$I$31)&gt;SUMIF($A$6:$A$31,A9,$L$6:$L$31),K9=MIN(IF($A$6:$A$31=A9,$K$6:$K$31,"")),COUNTIF($K$6:K9,K9)=1),-(SUMIF($A$6:$A$31,A9,$L$6:$L$31)-SUMIF($A$6:$A$31,A9,$I$6:$I$31)),IF(AND(SUMIF($A$6:$A$31,A9,$I$6:$I$31)&lt;SUMIF($A$6:$A$31,A9,$L$6:$L$31),K9=MAX(IF($A$6:$A$31=A9,$K$6:$K$31,"")),COUNTIF($K$6:K9,K9)=1),-(SUMIF($A$6:$A$31,A9,$L$6:$L$31)-SUMIF($A$6:$A$31,A9,$I$6:$I$31)),0))</f>
        <v>0</v>
      </c>
      <c r="N9" s="23">
        <f t="shared" si="10"/>
        <v>0</v>
      </c>
      <c r="O9" s="25">
        <f t="shared" si="11"/>
        <v>11.38</v>
      </c>
    </row>
    <row r="10" spans="1:16" x14ac:dyDescent="0.2">
      <c r="A10" s="26" t="s">
        <v>13</v>
      </c>
      <c r="B10" s="27" t="s">
        <v>20</v>
      </c>
      <c r="C10" s="27" t="s">
        <v>27</v>
      </c>
      <c r="D10" s="27" t="s">
        <v>28</v>
      </c>
      <c r="E10" s="28">
        <v>61</v>
      </c>
      <c r="F10" s="28">
        <v>96</v>
      </c>
      <c r="G10" s="23">
        <f t="shared" si="8"/>
        <v>3.3889999999999998</v>
      </c>
      <c r="H10" s="23">
        <f t="shared" si="9"/>
        <v>28.327000000000002</v>
      </c>
      <c r="I10" s="23">
        <f t="shared" si="2"/>
        <v>58</v>
      </c>
      <c r="J10" s="23">
        <f t="shared" si="3"/>
        <v>0</v>
      </c>
      <c r="K10" s="23" t="str">
        <f t="shared" si="4"/>
        <v/>
      </c>
      <c r="L10" s="23">
        <f t="shared" si="5"/>
        <v>0</v>
      </c>
      <c r="M10" s="23">
        <f t="array" ref="M10">IF(AND(SUMIF($A$6:$A$31,A10,$I$6:$I$31)&gt;SUMIF($A$6:$A$31,A10,$L$6:$L$31),K10=MIN(IF($A$6:$A$31=A10,$K$6:$K$31,"")),COUNTIF($K$6:K10,K10)=1),-(SUMIF($A$6:$A$31,A10,$L$6:$L$31)-SUMIF($A$6:$A$31,A10,$I$6:$I$31)),IF(AND(SUMIF($A$6:$A$31,A10,$I$6:$I$31)&lt;SUMIF($A$6:$A$31,A10,$L$6:$L$31),K10=MAX(IF($A$6:$A$31=A10,$K$6:$K$31,"")),COUNTIF($K$6:K10,K10)=1),-(SUMIF($A$6:$A$31,A10,$L$6:$L$31)-SUMIF($A$6:$A$31,A10,$I$6:$I$31)),0))</f>
        <v>0</v>
      </c>
      <c r="N10" s="23">
        <f t="shared" si="10"/>
        <v>0</v>
      </c>
      <c r="O10" s="25">
        <f t="shared" si="11"/>
        <v>11.21</v>
      </c>
    </row>
    <row r="11" spans="1:16" x14ac:dyDescent="0.2">
      <c r="A11" s="26" t="s">
        <v>13</v>
      </c>
      <c r="B11" s="27" t="s">
        <v>21</v>
      </c>
      <c r="C11" s="27" t="s">
        <v>27</v>
      </c>
      <c r="D11" s="27" t="s">
        <v>28</v>
      </c>
      <c r="E11" s="28">
        <v>97</v>
      </c>
      <c r="F11" s="28">
        <v>23</v>
      </c>
      <c r="G11" s="23">
        <f t="shared" si="8"/>
        <v>5.3890000000000002</v>
      </c>
      <c r="H11" s="23">
        <f t="shared" si="9"/>
        <v>4.2679999999999998</v>
      </c>
      <c r="I11" s="23">
        <f t="shared" si="2"/>
        <v>0</v>
      </c>
      <c r="J11" s="23">
        <f t="shared" si="3"/>
        <v>7.0559000000000003</v>
      </c>
      <c r="K11" s="23">
        <f t="shared" si="4"/>
        <v>0.1539833051</v>
      </c>
      <c r="L11" s="23">
        <f t="shared" si="5"/>
        <v>12</v>
      </c>
      <c r="M11" s="23">
        <f t="array" ref="M11">IF(AND(SUMIF($A$6:$A$31,A11,$I$6:$I$31)&gt;SUMIF($A$6:$A$31,A11,$L$6:$L$31),K11=MIN(IF($A$6:$A$31=A11,$K$6:$K$31,"")),COUNTIF($K$6:K11,K11)=1),-(SUMIF($A$6:$A$31,A11,$L$6:$L$31)-SUMIF($A$6:$A$31,A11,$I$6:$I$31)),IF(AND(SUMIF($A$6:$A$31,A11,$I$6:$I$31)&lt;SUMIF($A$6:$A$31,A11,$L$6:$L$31),K11=MAX(IF($A$6:$A$31=A11,$K$6:$K$31,"")),COUNTIF($K$6:K11,K11)=1),-(SUMIF($A$6:$A$31,A11,$L$6:$L$31)-SUMIF($A$6:$A$31,A11,$I$6:$I$31)),0))</f>
        <v>0</v>
      </c>
      <c r="N11" s="23">
        <f t="shared" si="10"/>
        <v>12</v>
      </c>
      <c r="O11" s="25">
        <f t="shared" si="11"/>
        <v>6.49</v>
      </c>
    </row>
    <row r="12" spans="1:16" x14ac:dyDescent="0.2">
      <c r="A12" s="26" t="s">
        <v>13</v>
      </c>
      <c r="B12" s="27" t="s">
        <v>22</v>
      </c>
      <c r="C12" s="27" t="s">
        <v>27</v>
      </c>
      <c r="D12" s="27" t="s">
        <v>28</v>
      </c>
      <c r="E12" s="28">
        <v>1856</v>
      </c>
      <c r="F12" s="28">
        <v>330</v>
      </c>
      <c r="G12" s="23">
        <f t="shared" si="8"/>
        <v>103.111</v>
      </c>
      <c r="H12" s="23">
        <f t="shared" si="9"/>
        <v>3.2</v>
      </c>
      <c r="I12" s="23">
        <f t="shared" si="2"/>
        <v>0</v>
      </c>
      <c r="J12" s="23">
        <f t="shared" si="3"/>
        <v>8.1239000000000008</v>
      </c>
      <c r="K12" s="23">
        <f t="shared" si="4"/>
        <v>0.1772906323</v>
      </c>
      <c r="L12" s="23">
        <f t="shared" si="5"/>
        <v>14</v>
      </c>
      <c r="M12" s="23">
        <f t="array" ref="M12">IF(AND(SUMIF($A$6:$A$31,A12,$I$6:$I$31)&gt;SUMIF($A$6:$A$31,A12,$L$6:$L$31),K12=MIN(IF($A$6:$A$31=A12,$K$6:$K$31,"")),COUNTIF($K$6:K12,K12)=1),-(SUMIF($A$6:$A$31,A12,$L$6:$L$31)-SUMIF($A$6:$A$31,A12,$I$6:$I$31)),IF(AND(SUMIF($A$6:$A$31,A12,$I$6:$I$31)&lt;SUMIF($A$6:$A$31,A12,$L$6:$L$31),K12=MAX(IF($A$6:$A$31=A12,$K$6:$K$31,"")),COUNTIF($K$6:K12,K12)=1),-(SUMIF($A$6:$A$31,A12,$L$6:$L$31)-SUMIF($A$6:$A$31,A12,$I$6:$I$31)),0))</f>
        <v>0</v>
      </c>
      <c r="N12" s="23">
        <f t="shared" si="10"/>
        <v>14</v>
      </c>
      <c r="O12" s="25">
        <f t="shared" si="11"/>
        <v>3.34</v>
      </c>
    </row>
    <row r="13" spans="1:16" x14ac:dyDescent="0.2">
      <c r="A13" s="26" t="s">
        <v>13</v>
      </c>
      <c r="B13" s="27" t="s">
        <v>23</v>
      </c>
      <c r="C13" s="27" t="s">
        <v>27</v>
      </c>
      <c r="D13" s="27" t="s">
        <v>28</v>
      </c>
      <c r="E13" s="28">
        <v>12</v>
      </c>
      <c r="F13" s="30">
        <v>0</v>
      </c>
      <c r="G13" s="23">
        <f t="shared" si="8"/>
        <v>0.66700000000000004</v>
      </c>
      <c r="H13" s="23">
        <f t="shared" si="9"/>
        <v>0</v>
      </c>
      <c r="I13" s="23">
        <f t="shared" si="2"/>
        <v>0</v>
      </c>
      <c r="J13" s="23">
        <f t="shared" si="3"/>
        <v>11.3239</v>
      </c>
      <c r="K13" s="23">
        <f t="shared" si="4"/>
        <v>0.2471253205</v>
      </c>
      <c r="L13" s="23">
        <f t="shared" si="5"/>
        <v>20</v>
      </c>
      <c r="M13" s="23">
        <f t="array" ref="M13">IF(AND(SUMIF($A$6:$A$31,A13,$I$6:$I$31)&gt;SUMIF($A$6:$A$31,A13,$L$6:$L$31),K13=MIN(IF($A$6:$A$31=A13,$K$6:$K$31,"")),COUNTIF($K$6:K13,K13)=1),-(SUMIF($A$6:$A$31,A13,$L$6:$L$31)-SUMIF($A$6:$A$31,A13,$I$6:$I$31)),IF(AND(SUMIF($A$6:$A$31,A13,$I$6:$I$31)&lt;SUMIF($A$6:$A$31,A13,$L$6:$L$31),K13=MAX(IF($A$6:$A$31=A13,$K$6:$K$31,"")),COUNTIF($K$6:K13,K13)=1),-(SUMIF($A$6:$A$31,A13,$L$6:$L$31)-SUMIF($A$6:$A$31,A13,$I$6:$I$31)),0))</f>
        <v>0</v>
      </c>
      <c r="N13" s="23">
        <f t="shared" si="10"/>
        <v>20</v>
      </c>
      <c r="O13" s="25">
        <f t="shared" si="11"/>
        <v>29.99</v>
      </c>
    </row>
    <row r="14" spans="1:16" x14ac:dyDescent="0.2">
      <c r="A14" s="26" t="s">
        <v>13</v>
      </c>
      <c r="B14" s="27" t="s">
        <v>24</v>
      </c>
      <c r="C14" s="27" t="s">
        <v>27</v>
      </c>
      <c r="D14" s="27" t="s">
        <v>28</v>
      </c>
      <c r="E14" s="30">
        <v>0</v>
      </c>
      <c r="F14" s="28">
        <v>5</v>
      </c>
      <c r="G14" s="23">
        <f t="shared" si="8"/>
        <v>0</v>
      </c>
      <c r="H14" s="23">
        <f t="shared" si="9"/>
        <v>0</v>
      </c>
      <c r="I14" s="23">
        <f t="shared" si="2"/>
        <v>5</v>
      </c>
      <c r="J14" s="23">
        <f t="shared" si="3"/>
        <v>0</v>
      </c>
      <c r="K14" s="23" t="str">
        <f t="shared" si="4"/>
        <v/>
      </c>
      <c r="L14" s="23">
        <f t="shared" si="5"/>
        <v>0</v>
      </c>
      <c r="M14" s="23">
        <f t="array" ref="M14">IF(AND(SUMIF($A$6:$A$31,A14,$I$6:$I$31)&gt;SUMIF($A$6:$A$31,A14,$L$6:$L$31),K14=MIN(IF($A$6:$A$31=A14,$K$6:$K$31,"")),COUNTIF($K$6:K14,K14)=1),-(SUMIF($A$6:$A$31,A14,$L$6:$L$31)-SUMIF($A$6:$A$31,A14,$I$6:$I$31)),IF(AND(SUMIF($A$6:$A$31,A14,$I$6:$I$31)&lt;SUMIF($A$6:$A$31,A14,$L$6:$L$31),K14=MAX(IF($A$6:$A$31=A14,$K$6:$K$31,"")),COUNTIF($K$6:K14,K14)=1),-(SUMIF($A$6:$A$31,A14,$L$6:$L$31)-SUMIF($A$6:$A$31,A14,$I$6:$I$31)),0))</f>
        <v>0</v>
      </c>
      <c r="N14" s="23">
        <f t="shared" si="10"/>
        <v>0</v>
      </c>
      <c r="O14" s="25">
        <f t="shared" si="11"/>
        <v>0</v>
      </c>
    </row>
    <row r="15" spans="1:16" x14ac:dyDescent="0.2">
      <c r="A15" s="32" t="s">
        <v>14</v>
      </c>
      <c r="B15" s="33" t="s">
        <v>16</v>
      </c>
      <c r="C15" s="33" t="s">
        <v>27</v>
      </c>
      <c r="D15" s="33" t="s">
        <v>28</v>
      </c>
      <c r="E15" s="34">
        <v>346</v>
      </c>
      <c r="F15" s="35">
        <v>0</v>
      </c>
      <c r="G15" s="23">
        <f t="shared" ref="G15" si="12">ROUND(E15/$F$1,3)</f>
        <v>19.222000000000001</v>
      </c>
      <c r="H15" s="23">
        <f t="shared" ref="H15" si="13">IF(OR(E15=0,E15=""),0,ROUND(F15/G15,3))</f>
        <v>0</v>
      </c>
      <c r="I15" s="23">
        <f t="shared" si="2"/>
        <v>0</v>
      </c>
      <c r="J15" s="23">
        <f t="shared" si="3"/>
        <v>7.2380000000000004</v>
      </c>
      <c r="K15" s="31">
        <f t="shared" si="4"/>
        <v>0.22605328089999999</v>
      </c>
      <c r="L15" s="23">
        <f t="shared" si="5"/>
        <v>23</v>
      </c>
      <c r="M15" s="23">
        <f t="array" ref="M15">IF(AND(SUMIF($A$6:$A$31,A15,$I$6:$I$31)&gt;SUMIF($A$6:$A$31,A15,$L$6:$L$31),K15=MIN(IF($A$6:$A$31=A15,$K$6:$K$31,"")),COUNTIF($K$6:K15,K15)=1),-(SUMIF($A$6:$A$31,A15,$L$6:$L$31)-SUMIF($A$6:$A$31,A15,$I$6:$I$31)),IF(AND(SUMIF($A$6:$A$31,A15,$I$6:$I$31)&lt;SUMIF($A$6:$A$31,A15,$L$6:$L$31),K15=MAX(IF($A$6:$A$31=A15,$K$6:$K$31,"")),COUNTIF($K$6:K15,K15)=1),-(SUMIF($A$6:$A$31,A15,$L$6:$L$31)-SUMIF($A$6:$A$31,A15,$I$6:$I$31)),0))</f>
        <v>-2</v>
      </c>
      <c r="N15" s="23">
        <f t="shared" ref="N15" si="14">IF(L15="",0,L15+M15)</f>
        <v>21</v>
      </c>
      <c r="O15" s="25">
        <f t="shared" ref="O15" si="15">IF(AND(J15=0,G15&lt;&gt;0),ROUND((F15-I15)/G15,2),IF(AND(G15&lt;&gt;0,J15&gt;0),ROUND((F15-I15+N15)/G15,2),0))</f>
        <v>1.0900000000000001</v>
      </c>
    </row>
    <row r="16" spans="1:16" x14ac:dyDescent="0.2">
      <c r="A16" s="32" t="s">
        <v>14</v>
      </c>
      <c r="B16" s="33" t="s">
        <v>17</v>
      </c>
      <c r="C16" s="33" t="s">
        <v>27</v>
      </c>
      <c r="D16" s="33" t="s">
        <v>28</v>
      </c>
      <c r="E16" s="34">
        <v>122</v>
      </c>
      <c r="F16" s="34">
        <v>77</v>
      </c>
      <c r="G16" s="23">
        <f t="shared" ref="G16:G25" si="16">ROUND(E16/$F$1,3)</f>
        <v>6.7779999999999996</v>
      </c>
      <c r="H16" s="23">
        <f t="shared" ref="H16:H25" si="17">IF(OR(E16=0,E16=""),0,ROUND(F16/G16,3))</f>
        <v>11.36</v>
      </c>
      <c r="I16" s="23">
        <f t="shared" si="2"/>
        <v>28</v>
      </c>
      <c r="J16" s="23">
        <f t="shared" si="3"/>
        <v>0</v>
      </c>
      <c r="K16" s="31" t="str">
        <f t="shared" si="4"/>
        <v/>
      </c>
      <c r="L16" s="23">
        <f t="shared" si="5"/>
        <v>0</v>
      </c>
      <c r="M16" s="23">
        <f t="array" ref="M16">IF(AND(SUMIF($A$6:$A$31,A16,$I$6:$I$31)&gt;SUMIF($A$6:$A$31,A16,$L$6:$L$31),K16=MIN(IF($A$6:$A$31=A16,$K$6:$K$31,"")),COUNTIF($K$6:K16,K16)=1),-(SUMIF($A$6:$A$31,A16,$L$6:$L$31)-SUMIF($A$6:$A$31,A16,$I$6:$I$31)),IF(AND(SUMIF($A$6:$A$31,A16,$I$6:$I$31)&lt;SUMIF($A$6:$A$31,A16,$L$6:$L$31),K16=MAX(IF($A$6:$A$31=A16,$K$6:$K$31,"")),COUNTIF($K$6:K16,K16)=1),-(SUMIF($A$6:$A$31,A16,$L$6:$L$31)-SUMIF($A$6:$A$31,A16,$I$6:$I$31)),0))</f>
        <v>0</v>
      </c>
      <c r="N16" s="23">
        <f t="shared" ref="N16:N25" si="18">IF(L16="",0,L16+M16)</f>
        <v>0</v>
      </c>
      <c r="O16" s="25">
        <f t="shared" ref="O16:O25" si="19">IF(AND(J16=0,G16&lt;&gt;0),ROUND((F16-I16)/G16,2),IF(AND(G16&lt;&gt;0,J16&gt;0),ROUND((F16-I16+N16)/G16,2),0))</f>
        <v>7.23</v>
      </c>
    </row>
    <row r="17" spans="1:15" x14ac:dyDescent="0.2">
      <c r="A17" s="32" t="s">
        <v>14</v>
      </c>
      <c r="B17" s="33" t="s">
        <v>18</v>
      </c>
      <c r="C17" s="33" t="s">
        <v>27</v>
      </c>
      <c r="D17" s="33" t="s">
        <v>28</v>
      </c>
      <c r="E17" s="34">
        <v>17</v>
      </c>
      <c r="F17" s="34">
        <v>40</v>
      </c>
      <c r="G17" s="23">
        <f t="shared" si="16"/>
        <v>0.94399999999999995</v>
      </c>
      <c r="H17" s="23">
        <f t="shared" si="17"/>
        <v>42.372999999999998</v>
      </c>
      <c r="I17" s="23">
        <f t="shared" si="2"/>
        <v>33</v>
      </c>
      <c r="J17" s="23">
        <f t="shared" si="3"/>
        <v>0</v>
      </c>
      <c r="K17" s="31" t="str">
        <f t="shared" si="4"/>
        <v/>
      </c>
      <c r="L17" s="23">
        <f t="shared" si="5"/>
        <v>0</v>
      </c>
      <c r="M17" s="23">
        <f t="array" ref="M17">IF(AND(SUMIF($A$6:$A$31,A17,$I$6:$I$31)&gt;SUMIF($A$6:$A$31,A17,$L$6:$L$31),K17=MIN(IF($A$6:$A$31=A17,$K$6:$K$31,"")),COUNTIF($K$6:K17,K17)=1),-(SUMIF($A$6:$A$31,A17,$L$6:$L$31)-SUMIF($A$6:$A$31,A17,$I$6:$I$31)),IF(AND(SUMIF($A$6:$A$31,A17,$I$6:$I$31)&lt;SUMIF($A$6:$A$31,A17,$L$6:$L$31),K17=MAX(IF($A$6:$A$31=A17,$K$6:$K$31,"")),COUNTIF($K$6:K17,K17)=1),-(SUMIF($A$6:$A$31,A17,$L$6:$L$31)-SUMIF($A$6:$A$31,A17,$I$6:$I$31)),0))</f>
        <v>0</v>
      </c>
      <c r="N17" s="23">
        <f t="shared" si="18"/>
        <v>0</v>
      </c>
      <c r="O17" s="25">
        <f t="shared" si="19"/>
        <v>7.42</v>
      </c>
    </row>
    <row r="18" spans="1:15" x14ac:dyDescent="0.2">
      <c r="A18" s="32" t="s">
        <v>14</v>
      </c>
      <c r="B18" s="33" t="s">
        <v>19</v>
      </c>
      <c r="C18" s="33" t="s">
        <v>27</v>
      </c>
      <c r="D18" s="33" t="s">
        <v>28</v>
      </c>
      <c r="E18" s="34">
        <v>126</v>
      </c>
      <c r="F18" s="35">
        <v>0</v>
      </c>
      <c r="G18" s="23">
        <f t="shared" si="16"/>
        <v>7</v>
      </c>
      <c r="H18" s="23">
        <f t="shared" si="17"/>
        <v>0</v>
      </c>
      <c r="I18" s="23">
        <f t="shared" si="2"/>
        <v>0</v>
      </c>
      <c r="J18" s="23">
        <f t="shared" si="3"/>
        <v>7.2380000000000004</v>
      </c>
      <c r="K18" s="31">
        <f t="shared" si="4"/>
        <v>0.22605328089999999</v>
      </c>
      <c r="L18" s="23">
        <f t="shared" si="5"/>
        <v>23</v>
      </c>
      <c r="M18" s="23">
        <f t="array" ref="M18">IF(AND(SUMIF($A$6:$A$31,A18,$I$6:$I$31)&gt;SUMIF($A$6:$A$31,A18,$L$6:$L$31),K18=MIN(IF($A$6:$A$31=A18,$K$6:$K$31,"")),COUNTIF($K$6:K18,K18)=1),-(SUMIF($A$6:$A$31,A18,$L$6:$L$31)-SUMIF($A$6:$A$31,A18,$I$6:$I$31)),IF(AND(SUMIF($A$6:$A$31,A18,$I$6:$I$31)&lt;SUMIF($A$6:$A$31,A18,$L$6:$L$31),K18=MAX(IF($A$6:$A$31=A18,$K$6:$K$31,"")),COUNTIF($K$6:K18,K18)=1),-(SUMIF($A$6:$A$31,A18,$L$6:$L$31)-SUMIF($A$6:$A$31,A18,$I$6:$I$31)),0))</f>
        <v>0</v>
      </c>
      <c r="N18" s="23">
        <f t="shared" si="18"/>
        <v>23</v>
      </c>
      <c r="O18" s="25">
        <f t="shared" si="19"/>
        <v>3.29</v>
      </c>
    </row>
    <row r="19" spans="1:15" x14ac:dyDescent="0.2">
      <c r="A19" s="32" t="s">
        <v>14</v>
      </c>
      <c r="B19" s="33" t="s">
        <v>20</v>
      </c>
      <c r="C19" s="33" t="s">
        <v>27</v>
      </c>
      <c r="D19" s="33" t="s">
        <v>28</v>
      </c>
      <c r="E19" s="34">
        <v>269</v>
      </c>
      <c r="F19" s="34">
        <v>22</v>
      </c>
      <c r="G19" s="23">
        <f t="shared" si="16"/>
        <v>14.944000000000001</v>
      </c>
      <c r="H19" s="23">
        <f t="shared" si="17"/>
        <v>1.472</v>
      </c>
      <c r="I19" s="23">
        <f t="shared" si="2"/>
        <v>0</v>
      </c>
      <c r="J19" s="23">
        <f t="shared" si="3"/>
        <v>5.766</v>
      </c>
      <c r="K19" s="23">
        <f t="shared" si="4"/>
        <v>0.18008057720000001</v>
      </c>
      <c r="L19" s="23">
        <f t="shared" si="5"/>
        <v>18</v>
      </c>
      <c r="M19" s="23">
        <f t="array" ref="M19">IF(AND(SUMIF($A$6:$A$31,A19,$I$6:$I$31)&gt;SUMIF($A$6:$A$31,A19,$L$6:$L$31),K19=MIN(IF($A$6:$A$31=A19,$K$6:$K$31,"")),COUNTIF($K$6:K19,K19)=1),-(SUMIF($A$6:$A$31,A19,$L$6:$L$31)-SUMIF($A$6:$A$31,A19,$I$6:$I$31)),IF(AND(SUMIF($A$6:$A$31,A19,$I$6:$I$31)&lt;SUMIF($A$6:$A$31,A19,$L$6:$L$31),K19=MAX(IF($A$6:$A$31=A19,$K$6:$K$31,"")),COUNTIF($K$6:K19,K19)=1),-(SUMIF($A$6:$A$31,A19,$L$6:$L$31)-SUMIF($A$6:$A$31,A19,$I$6:$I$31)),0))</f>
        <v>0</v>
      </c>
      <c r="N19" s="23">
        <f t="shared" si="18"/>
        <v>18</v>
      </c>
      <c r="O19" s="25">
        <f t="shared" si="19"/>
        <v>2.68</v>
      </c>
    </row>
    <row r="20" spans="1:15" x14ac:dyDescent="0.2">
      <c r="A20" s="32" t="s">
        <v>14</v>
      </c>
      <c r="B20" s="33" t="s">
        <v>21</v>
      </c>
      <c r="C20" s="33" t="s">
        <v>27</v>
      </c>
      <c r="D20" s="33" t="s">
        <v>28</v>
      </c>
      <c r="E20" s="34">
        <v>195</v>
      </c>
      <c r="F20" s="34">
        <v>62</v>
      </c>
      <c r="G20" s="23">
        <f t="shared" si="16"/>
        <v>10.833</v>
      </c>
      <c r="H20" s="23">
        <f t="shared" si="17"/>
        <v>5.7229999999999999</v>
      </c>
      <c r="I20" s="23">
        <f t="shared" si="2"/>
        <v>0</v>
      </c>
      <c r="J20" s="23">
        <f t="shared" si="3"/>
        <v>1.5149999999999999</v>
      </c>
      <c r="K20" s="23">
        <f t="shared" si="4"/>
        <v>4.7315656300000002E-2</v>
      </c>
      <c r="L20" s="23">
        <f t="shared" si="5"/>
        <v>5</v>
      </c>
      <c r="M20" s="23">
        <f t="array" ref="M20">IF(AND(SUMIF($A$6:$A$31,A20,$I$6:$I$31)&gt;SUMIF($A$6:$A$31,A20,$L$6:$L$31),K20=MIN(IF($A$6:$A$31=A20,$K$6:$K$31,"")),COUNTIF($K$6:K20,K20)=1),-(SUMIF($A$6:$A$31,A20,$L$6:$L$31)-SUMIF($A$6:$A$31,A20,$I$6:$I$31)),IF(AND(SUMIF($A$6:$A$31,A20,$I$6:$I$31)&lt;SUMIF($A$6:$A$31,A20,$L$6:$L$31),K20=MAX(IF($A$6:$A$31=A20,$K$6:$K$31,"")),COUNTIF($K$6:K20,K20)=1),-(SUMIF($A$6:$A$31,A20,$L$6:$L$31)-SUMIF($A$6:$A$31,A20,$I$6:$I$31)),0))</f>
        <v>0</v>
      </c>
      <c r="N20" s="23">
        <f t="shared" si="18"/>
        <v>5</v>
      </c>
      <c r="O20" s="25">
        <f t="shared" si="19"/>
        <v>6.18</v>
      </c>
    </row>
    <row r="21" spans="1:15" x14ac:dyDescent="0.2">
      <c r="A21" s="32" t="s">
        <v>14</v>
      </c>
      <c r="B21" s="33" t="s">
        <v>22</v>
      </c>
      <c r="C21" s="33" t="s">
        <v>27</v>
      </c>
      <c r="D21" s="33" t="s">
        <v>28</v>
      </c>
      <c r="E21" s="34">
        <v>326</v>
      </c>
      <c r="F21" s="34">
        <v>82</v>
      </c>
      <c r="G21" s="23">
        <f t="shared" si="16"/>
        <v>18.111000000000001</v>
      </c>
      <c r="H21" s="23">
        <f t="shared" si="17"/>
        <v>4.5279999999999996</v>
      </c>
      <c r="I21" s="23">
        <f t="shared" si="2"/>
        <v>0</v>
      </c>
      <c r="J21" s="23">
        <f t="shared" si="3"/>
        <v>2.71</v>
      </c>
      <c r="K21" s="23">
        <f t="shared" si="4"/>
        <v>8.4637246599999993E-2</v>
      </c>
      <c r="L21" s="23">
        <f t="shared" si="5"/>
        <v>9</v>
      </c>
      <c r="M21" s="23">
        <f t="array" ref="M21">IF(AND(SUMIF($A$6:$A$31,A21,$I$6:$I$31)&gt;SUMIF($A$6:$A$31,A21,$L$6:$L$31),K21=MIN(IF($A$6:$A$31=A21,$K$6:$K$31,"")),COUNTIF($K$6:K21,K21)=1),-(SUMIF($A$6:$A$31,A21,$L$6:$L$31)-SUMIF($A$6:$A$31,A21,$I$6:$I$31)),IF(AND(SUMIF($A$6:$A$31,A21,$I$6:$I$31)&lt;SUMIF($A$6:$A$31,A21,$L$6:$L$31),K21=MAX(IF($A$6:$A$31=A21,$K$6:$K$31,"")),COUNTIF($K$6:K21,K21)=1),-(SUMIF($A$6:$A$31,A21,$L$6:$L$31)-SUMIF($A$6:$A$31,A21,$I$6:$I$31)),0))</f>
        <v>0</v>
      </c>
      <c r="N21" s="23">
        <f t="shared" si="18"/>
        <v>9</v>
      </c>
      <c r="O21" s="25">
        <f t="shared" si="19"/>
        <v>5.0199999999999996</v>
      </c>
    </row>
    <row r="22" spans="1:15" x14ac:dyDescent="0.2">
      <c r="A22" s="32" t="s">
        <v>14</v>
      </c>
      <c r="B22" s="33" t="s">
        <v>23</v>
      </c>
      <c r="C22" s="33" t="s">
        <v>27</v>
      </c>
      <c r="D22" s="33" t="s">
        <v>28</v>
      </c>
      <c r="E22" s="34">
        <v>613</v>
      </c>
      <c r="F22" s="34">
        <v>111</v>
      </c>
      <c r="G22" s="23">
        <f t="shared" si="16"/>
        <v>34.055999999999997</v>
      </c>
      <c r="H22" s="23">
        <f t="shared" si="17"/>
        <v>3.2589999999999999</v>
      </c>
      <c r="I22" s="23">
        <f t="shared" si="2"/>
        <v>0</v>
      </c>
      <c r="J22" s="23">
        <f t="shared" si="3"/>
        <v>3.9790000000000001</v>
      </c>
      <c r="K22" s="23">
        <f t="shared" si="4"/>
        <v>0.1242699647</v>
      </c>
      <c r="L22" s="23">
        <f t="shared" si="5"/>
        <v>13</v>
      </c>
      <c r="M22" s="23">
        <f t="array" ref="M22">IF(AND(SUMIF($A$6:$A$31,A22,$I$6:$I$31)&gt;SUMIF($A$6:$A$31,A22,$L$6:$L$31),K22=MIN(IF($A$6:$A$31=A22,$K$6:$K$31,"")),COUNTIF($K$6:K22,K22)=1),-(SUMIF($A$6:$A$31,A22,$L$6:$L$31)-SUMIF($A$6:$A$31,A22,$I$6:$I$31)),IF(AND(SUMIF($A$6:$A$31,A22,$I$6:$I$31)&lt;SUMIF($A$6:$A$31,A22,$L$6:$L$31),K22=MAX(IF($A$6:$A$31=A22,$K$6:$K$31,"")),COUNTIF($K$6:K22,K22)=1),-(SUMIF($A$6:$A$31,A22,$L$6:$L$31)-SUMIF($A$6:$A$31,A22,$I$6:$I$31)),0))</f>
        <v>0</v>
      </c>
      <c r="N22" s="23">
        <f t="shared" si="18"/>
        <v>13</v>
      </c>
      <c r="O22" s="25">
        <f t="shared" si="19"/>
        <v>3.64</v>
      </c>
    </row>
    <row r="23" spans="1:15" x14ac:dyDescent="0.2">
      <c r="A23" s="32" t="s">
        <v>14</v>
      </c>
      <c r="B23" s="33" t="s">
        <v>24</v>
      </c>
      <c r="C23" s="33" t="s">
        <v>27</v>
      </c>
      <c r="D23" s="33" t="s">
        <v>28</v>
      </c>
      <c r="E23" s="35">
        <v>0</v>
      </c>
      <c r="F23" s="34">
        <v>40</v>
      </c>
      <c r="G23" s="23">
        <f t="shared" si="16"/>
        <v>0</v>
      </c>
      <c r="H23" s="23">
        <f t="shared" si="17"/>
        <v>0</v>
      </c>
      <c r="I23" s="23">
        <f t="shared" si="2"/>
        <v>40</v>
      </c>
      <c r="J23" s="23">
        <f t="shared" si="3"/>
        <v>0</v>
      </c>
      <c r="K23" s="23" t="str">
        <f t="shared" si="4"/>
        <v/>
      </c>
      <c r="L23" s="23">
        <f t="shared" si="5"/>
        <v>0</v>
      </c>
      <c r="M23" s="23">
        <f t="array" ref="M23">IF(AND(SUMIF($A$6:$A$31,A23,$I$6:$I$31)&gt;SUMIF($A$6:$A$31,A23,$L$6:$L$31),K23=MIN(IF($A$6:$A$31=A23,$K$6:$K$31,"")),COUNTIF($K$6:K23,K23)=1),-(SUMIF($A$6:$A$31,A23,$L$6:$L$31)-SUMIF($A$6:$A$31,A23,$I$6:$I$31)),IF(AND(SUMIF($A$6:$A$31,A23,$I$6:$I$31)&lt;SUMIF($A$6:$A$31,A23,$L$6:$L$31),K23=MAX(IF($A$6:$A$31=A23,$K$6:$K$31,"")),COUNTIF($K$6:K23,K23)=1),-(SUMIF($A$6:$A$31,A23,$L$6:$L$31)-SUMIF($A$6:$A$31,A23,$I$6:$I$31)),0))</f>
        <v>0</v>
      </c>
      <c r="N23" s="23">
        <f t="shared" si="18"/>
        <v>0</v>
      </c>
      <c r="O23" s="25">
        <f t="shared" si="19"/>
        <v>0</v>
      </c>
    </row>
    <row r="24" spans="1:15" x14ac:dyDescent="0.2">
      <c r="A24" s="32" t="s">
        <v>14</v>
      </c>
      <c r="B24" s="33" t="s">
        <v>25</v>
      </c>
      <c r="C24" s="33" t="s">
        <v>27</v>
      </c>
      <c r="D24" s="33" t="s">
        <v>28</v>
      </c>
      <c r="E24" s="34">
        <v>224</v>
      </c>
      <c r="F24" s="34">
        <v>64</v>
      </c>
      <c r="G24" s="23">
        <f t="shared" si="16"/>
        <v>12.444000000000001</v>
      </c>
      <c r="H24" s="23">
        <f t="shared" si="17"/>
        <v>5.1429999999999998</v>
      </c>
      <c r="I24" s="23">
        <f t="shared" si="2"/>
        <v>0</v>
      </c>
      <c r="J24" s="23">
        <f t="shared" si="3"/>
        <v>2.0950000000000002</v>
      </c>
      <c r="K24" s="23">
        <f t="shared" si="4"/>
        <v>6.5429900999999999E-2</v>
      </c>
      <c r="L24" s="23">
        <f t="shared" si="5"/>
        <v>7</v>
      </c>
      <c r="M24" s="23">
        <f t="array" ref="M24">IF(AND(SUMIF($A$6:$A$31,A24,$I$6:$I$31)&gt;SUMIF($A$6:$A$31,A24,$L$6:$L$31),K24=MIN(IF($A$6:$A$31=A24,$K$6:$K$31,"")),COUNTIF($K$6:K24,K24)=1),-(SUMIF($A$6:$A$31,A24,$L$6:$L$31)-SUMIF($A$6:$A$31,A24,$I$6:$I$31)),IF(AND(SUMIF($A$6:$A$31,A24,$I$6:$I$31)&lt;SUMIF($A$6:$A$31,A24,$L$6:$L$31),K24=MAX(IF($A$6:$A$31=A24,$K$6:$K$31,"")),COUNTIF($K$6:K24,K24)=1),-(SUMIF($A$6:$A$31,A24,$L$6:$L$31)-SUMIF($A$6:$A$31,A24,$I$6:$I$31)),0))</f>
        <v>0</v>
      </c>
      <c r="N24" s="23">
        <f t="shared" si="18"/>
        <v>7</v>
      </c>
      <c r="O24" s="25">
        <f t="shared" si="19"/>
        <v>5.71</v>
      </c>
    </row>
    <row r="25" spans="1:15" x14ac:dyDescent="0.2">
      <c r="A25" s="32" t="s">
        <v>14</v>
      </c>
      <c r="B25" s="33" t="s">
        <v>26</v>
      </c>
      <c r="C25" s="33" t="s">
        <v>27</v>
      </c>
      <c r="D25" s="33" t="s">
        <v>28</v>
      </c>
      <c r="E25" s="34">
        <v>4069</v>
      </c>
      <c r="F25" s="34">
        <v>1302</v>
      </c>
      <c r="G25" s="23">
        <f t="shared" si="16"/>
        <v>226.05600000000001</v>
      </c>
      <c r="H25" s="23">
        <f t="shared" si="17"/>
        <v>5.76</v>
      </c>
      <c r="I25" s="23">
        <f t="shared" si="2"/>
        <v>0</v>
      </c>
      <c r="J25" s="23">
        <f t="shared" si="3"/>
        <v>1.478</v>
      </c>
      <c r="K25" s="23">
        <f t="shared" si="4"/>
        <v>4.6160092399999998E-2</v>
      </c>
      <c r="L25" s="23">
        <f t="shared" si="5"/>
        <v>5</v>
      </c>
      <c r="M25" s="23">
        <f t="array" ref="M25">IF(AND(SUMIF($A$6:$A$31,A25,$I$6:$I$31)&gt;SUMIF($A$6:$A$31,A25,$L$6:$L$31),K25=MIN(IF($A$6:$A$31=A25,$K$6:$K$31,"")),COUNTIF($K$6:K25,K25)=1),-(SUMIF($A$6:$A$31,A25,$L$6:$L$31)-SUMIF($A$6:$A$31,A25,$I$6:$I$31)),IF(AND(SUMIF($A$6:$A$31,A25,$I$6:$I$31)&lt;SUMIF($A$6:$A$31,A25,$L$6:$L$31),K25=MAX(IF($A$6:$A$31=A25,$K$6:$K$31,"")),COUNTIF($K$6:K25,K25)=1),-(SUMIF($A$6:$A$31,A25,$L$6:$L$31)-SUMIF($A$6:$A$31,A25,$I$6:$I$31)),0))</f>
        <v>0</v>
      </c>
      <c r="N25" s="23">
        <f t="shared" si="18"/>
        <v>5</v>
      </c>
      <c r="O25" s="25">
        <f t="shared" si="19"/>
        <v>5.78</v>
      </c>
    </row>
    <row r="26" spans="1:15" x14ac:dyDescent="0.2">
      <c r="D26" s="27"/>
      <c r="I26"/>
      <c r="J26"/>
    </row>
    <row r="27" spans="1:15" x14ac:dyDescent="0.2">
      <c r="I27"/>
      <c r="J27"/>
    </row>
    <row r="28" spans="1:15" x14ac:dyDescent="0.2">
      <c r="I28"/>
      <c r="J28"/>
    </row>
    <row r="29" spans="1:15" x14ac:dyDescent="0.2">
      <c r="I29"/>
      <c r="J29"/>
    </row>
    <row r="30" spans="1:15" ht="23.25" x14ac:dyDescent="0.35">
      <c r="A30" s="36" t="s">
        <v>31</v>
      </c>
      <c r="B30" s="36"/>
      <c r="I30"/>
      <c r="J30"/>
    </row>
    <row r="31" spans="1:15" ht="23.25" x14ac:dyDescent="0.35">
      <c r="A31" s="36" t="s">
        <v>32</v>
      </c>
      <c r="B31" s="36"/>
      <c r="I31"/>
      <c r="J31"/>
    </row>
  </sheetData>
  <autoFilter ref="A5:P25"/>
  <customSheetViews>
    <customSheetView guid="{29DC50B9-8C9B-452C-86B3-63F6AEFB8348}" scale="90" showAutoFilter="1">
      <selection activeCell="T12" sqref="T12"/>
      <pageMargins left="0.7" right="0.7" top="0.75" bottom="0.75" header="0.3" footer="0.3"/>
      <autoFilter ref="A5:P25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V49"/>
  <sheetViews>
    <sheetView zoomScale="90" zoomScaleNormal="90" workbookViewId="0">
      <pane ySplit="5" topLeftCell="A1048491" activePane="bottomLeft" state="frozen"/>
      <selection pane="bottomLeft" activeCell="A50" sqref="A50:XFD1048576"/>
    </sheetView>
  </sheetViews>
  <sheetFormatPr defaultRowHeight="12.75" x14ac:dyDescent="0.2"/>
  <cols>
    <col min="1" max="1" width="15.5703125" customWidth="1"/>
    <col min="2" max="2" width="24" customWidth="1"/>
    <col min="3" max="3" width="21.140625" customWidth="1"/>
    <col min="4" max="4" width="14.140625" customWidth="1"/>
    <col min="5" max="5" width="14.42578125" customWidth="1"/>
    <col min="6" max="6" width="15.85546875" customWidth="1"/>
    <col min="7" max="7" width="9" customWidth="1"/>
    <col min="8" max="8" width="11.5703125" style="6" customWidth="1"/>
    <col min="9" max="10" width="14.5703125" style="6" customWidth="1"/>
    <col min="11" max="11" width="18" style="6" customWidth="1"/>
    <col min="12" max="12" width="14.85546875" style="6" customWidth="1"/>
    <col min="13" max="14" width="14.42578125" style="6" customWidth="1"/>
    <col min="15" max="15" width="13.5703125" style="6" customWidth="1"/>
  </cols>
  <sheetData>
    <row r="1" spans="1:22" ht="13.5" thickBot="1" x14ac:dyDescent="0.25">
      <c r="B1" s="1"/>
      <c r="C1" s="2"/>
      <c r="E1" s="3" t="s">
        <v>0</v>
      </c>
      <c r="F1" s="4">
        <v>18</v>
      </c>
      <c r="G1" s="5"/>
    </row>
    <row r="2" spans="1:22" ht="13.5" thickBot="1" x14ac:dyDescent="0.25">
      <c r="B2" s="7"/>
      <c r="C2" s="5"/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22" x14ac:dyDescent="0.2">
      <c r="A3" s="10"/>
      <c r="B3" s="11"/>
      <c r="C3" s="11"/>
      <c r="D3" s="11"/>
      <c r="E3" s="11"/>
      <c r="F3" s="12"/>
      <c r="G3" s="11"/>
      <c r="H3" s="11"/>
      <c r="I3" s="11"/>
      <c r="J3" s="11"/>
      <c r="K3" s="11"/>
      <c r="L3" s="11"/>
      <c r="M3" s="11" t="e">
        <f>I5-L5=M5</f>
        <v>#VALUE!</v>
      </c>
      <c r="N3" s="11"/>
      <c r="O3" s="13"/>
    </row>
    <row r="4" spans="1:22" ht="43.5" customHeight="1" x14ac:dyDescent="0.2">
      <c r="A4" s="14" t="s">
        <v>1</v>
      </c>
      <c r="B4" s="15" t="s">
        <v>45</v>
      </c>
      <c r="C4" s="15" t="s">
        <v>2</v>
      </c>
      <c r="D4" s="15" t="s">
        <v>3</v>
      </c>
      <c r="E4" s="15" t="s">
        <v>4</v>
      </c>
      <c r="F4" s="15" t="s">
        <v>5</v>
      </c>
      <c r="G4" s="16" t="s">
        <v>6</v>
      </c>
      <c r="H4" s="16" t="s">
        <v>7</v>
      </c>
      <c r="I4" s="17" t="s">
        <v>29</v>
      </c>
      <c r="J4" s="16" t="s">
        <v>8</v>
      </c>
      <c r="K4" s="16" t="s">
        <v>30</v>
      </c>
      <c r="L4" s="16" t="s">
        <v>9</v>
      </c>
      <c r="M4" s="16" t="s">
        <v>10</v>
      </c>
      <c r="N4" s="17" t="s">
        <v>11</v>
      </c>
      <c r="O4" s="18" t="s">
        <v>12</v>
      </c>
      <c r="P4" s="19"/>
    </row>
    <row r="5" spans="1:22" ht="18" customHeight="1" x14ac:dyDescent="0.2">
      <c r="A5" s="37" t="str">
        <f>IF([1]исходник!A2="","",[1]исходник!A2)</f>
        <v/>
      </c>
      <c r="B5" s="37" t="str">
        <f>IF([1]исходник!B2="","",[1]исходник!B2)</f>
        <v/>
      </c>
      <c r="C5" s="37" t="str">
        <f>IF([1]исходник!C2="","",[1]исходник!C2)</f>
        <v/>
      </c>
      <c r="D5" s="37" t="str">
        <f>IF([1]исходник!D2="","",[1]исходник!D2)</f>
        <v/>
      </c>
      <c r="E5" s="37">
        <f>IF([1]исходник!E2="","",[1]исходник!E2)</f>
        <v>603884.07045999996</v>
      </c>
      <c r="F5" s="37">
        <f>IF([1]исходник!F2="","",[1]исходник!F2)</f>
        <v>109322.00399999999</v>
      </c>
      <c r="G5" s="23"/>
      <c r="H5" s="23"/>
      <c r="I5" s="24">
        <f>SUM(I6:I49)</f>
        <v>340</v>
      </c>
      <c r="J5" s="24"/>
      <c r="K5" s="24"/>
      <c r="L5" s="24">
        <f>SUM(L6:L49)</f>
        <v>340</v>
      </c>
      <c r="M5" s="24" t="e">
        <f>SUM(M6:M49)</f>
        <v>#VALUE!</v>
      </c>
      <c r="N5" s="24">
        <f>SUM(N6:N49)</f>
        <v>0</v>
      </c>
      <c r="O5" s="25"/>
    </row>
    <row r="6" spans="1:22" x14ac:dyDescent="0.2">
      <c r="A6" s="26" t="s">
        <v>13</v>
      </c>
      <c r="B6" s="27" t="s">
        <v>16</v>
      </c>
      <c r="C6" s="27" t="s">
        <v>27</v>
      </c>
      <c r="D6" s="27" t="s">
        <v>28</v>
      </c>
      <c r="E6" s="37">
        <v>1137</v>
      </c>
      <c r="F6" s="37">
        <v>673</v>
      </c>
      <c r="G6" s="23">
        <f>IFERROR(ROUND(E6/$F$1,2),0)</f>
        <v>63.17</v>
      </c>
      <c r="H6" s="23">
        <f>IFERROR(IF(OR(E6=0,E6=""),0,ROUND(F6/G6,2)),0)</f>
        <v>10.65</v>
      </c>
      <c r="I6" s="23">
        <f t="shared" ref="I6:I49" si="0">IFERROR(IF(AND(E6&gt;0,H6&lt;AVERAGEIFS($H$6:$H$49,$A$6:$A$49,A6,$C$6:$C$49,C6)),0,IF(AND(E6=0,F6&gt;0),ROUND(F6,0),ROUND((H6-AVERAGEIFS($H$6:$H$49,$A$6:$A$49,A6,$C$6:$C$49,C6))*G6,0))),0)</f>
        <v>99</v>
      </c>
      <c r="J6" s="23">
        <f t="shared" ref="J6:J49" si="1">IFERROR(IF(OR(E6=0,H6&gt;AVERAGEIFS($H$6:$H$49,$A$6:$A$49,A6,C$6:C$49,C6)),0,ROUND((AVERAGEIFS($H$6:$H$49,$A$6:$A$49,A6,C$6:C$49,C6)-H6),3)),0)</f>
        <v>0</v>
      </c>
      <c r="K6" s="29" t="str">
        <f t="shared" ref="K6:K49" si="2">IFERROR(IF(J6=0,"",ROUND(J6/SUMIFS($J$6:$J$49,$A$6:$A$49,A6,$C$6:$C$49,C6),10)),0)</f>
        <v/>
      </c>
      <c r="L6" s="29">
        <f t="shared" ref="L6:L49" si="3">IFERROR(IF(K6="",0,ROUND(K6*SUMIFS($I$6:$I$49,$A$6:$A$49,A6,$C$6:$C$49,C6),0)),0)</f>
        <v>0</v>
      </c>
      <c r="M6" s="23" t="e">
        <f t="array" ref="M6">IF(AND(SUMIFS($I$6:$I$49,$A$6:$A$49,A6,$C$6:$C$49,C6)&gt;SUMIFS($L$6:$L$49,$A$6:$A$49,A6,$C$6:$C$49,C6),K6=MIN(IF(AND($A$6:$A$49=A6,$C$6:$C$49=C6),$K$6:$K$49,"")),COUNTIFS($A$6:A6,A6,$C$6:C6,C6,$K$6:K6,K6)=1),-(SUMIFS($L$6:$L$49,$A$6:$A$49,A6,$C$6:$C$49,C6)-SUMIFS($I$6:$I$49,$A$6:$A$49,A6,$C$6:$C$49,C6)),IF(AND(SUMIFS($I$6:$I$49,$A$6:$A$49,A6,$C$6:$C$49,C6)&lt;SUMIFS($L$6:$L$49,$A$6:$A$49,A6,$C$6:$C$49,C6),K6=MAX(IF(AND($A$6:$A$49=A6,$C$6:$C$49=C6),$K$6:$K$49,"")),COUNTIFS($A$6:A6,A6,$C$6:C6,C6,$K$6:K6,K6)=1),-(SUMIFS($L$6:$L$49,$A$6:$A$49,A6,$C$6:$C$49,C6)-SUMIFS($I$6:$I$49,$A$6:$A$49,A6,$C$6:$C$49,C6)),0))</f>
        <v>#VALUE!</v>
      </c>
      <c r="N6" s="29">
        <f>IFERROR(IF(L6="",0,L6+M6),0)</f>
        <v>0</v>
      </c>
      <c r="O6" s="25">
        <f>IFERROR(IF(AND(J6=0,G6&lt;&gt;0),ROUND((F6-I6)/G6,2),IF(AND(G6&lt;&gt;0,J6&gt;0),ROUND((F6-I6+N6)/G6,2),0)),0)</f>
        <v>9.09</v>
      </c>
      <c r="Q6" s="38" t="s">
        <v>46</v>
      </c>
      <c r="R6" s="39"/>
      <c r="S6" s="39"/>
      <c r="T6" s="39"/>
      <c r="U6" s="39"/>
      <c r="V6" s="39"/>
    </row>
    <row r="7" spans="1:22" x14ac:dyDescent="0.2">
      <c r="A7" s="26" t="s">
        <v>13</v>
      </c>
      <c r="B7" s="27" t="s">
        <v>17</v>
      </c>
      <c r="C7" s="27" t="s">
        <v>27</v>
      </c>
      <c r="D7" s="27" t="s">
        <v>28</v>
      </c>
      <c r="E7" s="37">
        <v>275</v>
      </c>
      <c r="F7" s="37">
        <v>253</v>
      </c>
      <c r="G7" s="23">
        <f t="shared" ref="G7:G49" si="4">IFERROR(ROUND(E7/$F$1,2),0)</f>
        <v>15.28</v>
      </c>
      <c r="H7" s="23">
        <f t="shared" ref="H7:H49" si="5">IFERROR(IF(OR(E7=0,E7=""),0,ROUND(F7/G7,2)),0)</f>
        <v>16.559999999999999</v>
      </c>
      <c r="I7" s="23">
        <f t="shared" si="0"/>
        <v>114</v>
      </c>
      <c r="J7" s="23">
        <f t="shared" si="1"/>
        <v>0</v>
      </c>
      <c r="K7" s="29" t="str">
        <f t="shared" si="2"/>
        <v/>
      </c>
      <c r="L7" s="29">
        <f t="shared" si="3"/>
        <v>0</v>
      </c>
      <c r="M7" s="23" t="e">
        <f t="array" ref="M7">IF(AND(SUMIFS($I$6:$I$49,$A$6:$A$49,A7,$C$6:$C$49,C7)&gt;SUMIFS($L$6:$L$49,$A$6:$A$49,A7,$C$6:$C$49,C7),K7=MIN(IF(AND($A$6:$A$49=A7,$C$6:$C$49=C7),$K$6:$K$49,"")),COUNTIFS($A$6:A7,A7,$C$6:C7,C7,$K$6:K7,K7)=1),-(SUMIFS($L$6:$L$49,$A$6:$A$49,A7,$C$6:$C$49,C7)-SUMIFS($I$6:$I$49,$A$6:$A$49,A7,$C$6:$C$49,C7)),IF(AND(SUMIFS($I$6:$I$49,$A$6:$A$49,A7,$C$6:$C$49,C7)&lt;SUMIFS($L$6:$L$49,$A$6:$A$49,A7,$C$6:$C$49,C7),K7=MAX(IF(AND($A$6:$A$49=A7,$C$6:$C$49=C7),$K$6:$K$49,"")),COUNTIFS($A$6:A7,A7,$C$6:C7,C7,$K$6:K7,K7)=1),-(SUMIFS($L$6:$L$49,$A$6:$A$49,A7,$C$6:$C$49,C7)-SUMIFS($I$6:$I$49,$A$6:$A$49,A7,$C$6:$C$49,C7)),0))</f>
        <v>#VALUE!</v>
      </c>
      <c r="N7" s="29">
        <f t="shared" ref="N7:N49" si="6">IFERROR(IF(L7="",0,L7+M7),0)</f>
        <v>0</v>
      </c>
      <c r="O7" s="25">
        <f t="shared" ref="O7:O49" si="7">IFERROR(IF(AND(J7=0,G7&lt;&gt;0),ROUND((F7-I7)/G7,2),IF(AND(G7&lt;&gt;0,J7&gt;0),ROUND((F7-I7+N7)/G7,2),0)),0)</f>
        <v>9.1</v>
      </c>
      <c r="Q7" s="39"/>
      <c r="R7" s="39"/>
      <c r="S7" s="39"/>
      <c r="T7" s="39"/>
      <c r="U7" s="39"/>
      <c r="V7" s="39"/>
    </row>
    <row r="8" spans="1:22" x14ac:dyDescent="0.2">
      <c r="A8" s="26" t="s">
        <v>13</v>
      </c>
      <c r="B8" s="27" t="s">
        <v>18</v>
      </c>
      <c r="C8" s="27" t="s">
        <v>27</v>
      </c>
      <c r="D8" s="27" t="s">
        <v>28</v>
      </c>
      <c r="E8" s="37">
        <v>209</v>
      </c>
      <c r="F8" s="37">
        <v>46</v>
      </c>
      <c r="G8" s="23">
        <f t="shared" si="4"/>
        <v>11.61</v>
      </c>
      <c r="H8" s="23">
        <f t="shared" si="5"/>
        <v>3.96</v>
      </c>
      <c r="I8" s="23">
        <f t="shared" si="0"/>
        <v>0</v>
      </c>
      <c r="J8" s="23">
        <f t="shared" si="1"/>
        <v>5.12</v>
      </c>
      <c r="K8" s="29">
        <f t="shared" si="2"/>
        <v>6.6840731099999995E-2</v>
      </c>
      <c r="L8" s="29">
        <f t="shared" si="3"/>
        <v>21</v>
      </c>
      <c r="M8" s="23" t="e">
        <f t="array" ref="M8">IF(AND(SUMIFS($I$6:$I$49,$A$6:$A$49,A8,$C$6:$C$49,C8)&gt;SUMIFS($L$6:$L$49,$A$6:$A$49,A8,$C$6:$C$49,C8),K8=MIN(IF(AND($A$6:$A$49=A8,$C$6:$C$49=C8),$K$6:$K$49,"")),COUNTIFS($A$6:A8,A8,$C$6:C8,C8,$K$6:K8,K8)=1),-(SUMIFS($L$6:$L$49,$A$6:$A$49,A8,$C$6:$C$49,C8)-SUMIFS($I$6:$I$49,$A$6:$A$49,A8,$C$6:$C$49,C8)),IF(AND(SUMIFS($I$6:$I$49,$A$6:$A$49,A8,$C$6:$C$49,C8)&lt;SUMIFS($L$6:$L$49,$A$6:$A$49,A8,$C$6:$C$49,C8),K8=MAX(IF(AND($A$6:$A$49=A8,$C$6:$C$49=C8),$K$6:$K$49,"")),COUNTIFS($A$6:A8,A8,$C$6:C8,C8,$K$6:K8,K8)=1),-(SUMIFS($L$6:$L$49,$A$6:$A$49,A8,$C$6:$C$49,C8)-SUMIFS($I$6:$I$49,$A$6:$A$49,A8,$C$6:$C$49,C8)),0))</f>
        <v>#VALUE!</v>
      </c>
      <c r="N8" s="29">
        <f t="shared" si="6"/>
        <v>0</v>
      </c>
      <c r="O8" s="25">
        <f t="shared" si="7"/>
        <v>3.96</v>
      </c>
      <c r="Q8" s="39"/>
      <c r="R8" s="39"/>
      <c r="S8" s="39"/>
      <c r="T8" s="39"/>
      <c r="U8" s="39"/>
      <c r="V8" s="39"/>
    </row>
    <row r="9" spans="1:22" x14ac:dyDescent="0.2">
      <c r="A9" s="26" t="s">
        <v>13</v>
      </c>
      <c r="B9" s="27" t="s">
        <v>19</v>
      </c>
      <c r="C9" s="27" t="s">
        <v>27</v>
      </c>
      <c r="D9" s="27" t="s">
        <v>28</v>
      </c>
      <c r="E9" s="37">
        <v>1018</v>
      </c>
      <c r="F9" s="37">
        <v>226</v>
      </c>
      <c r="G9" s="23">
        <f t="shared" si="4"/>
        <v>56.56</v>
      </c>
      <c r="H9" s="23">
        <f t="shared" si="5"/>
        <v>4</v>
      </c>
      <c r="I9" s="23">
        <f t="shared" si="0"/>
        <v>0</v>
      </c>
      <c r="J9" s="23">
        <f t="shared" si="1"/>
        <v>5.08</v>
      </c>
      <c r="K9" s="29">
        <f t="shared" si="2"/>
        <v>6.6318537900000002E-2</v>
      </c>
      <c r="L9" s="29">
        <f t="shared" si="3"/>
        <v>20</v>
      </c>
      <c r="M9" s="23" t="e">
        <f t="array" ref="M9">IF(AND(SUMIFS($I$6:$I$49,$A$6:$A$49,A9,$C$6:$C$49,C9)&gt;SUMIFS($L$6:$L$49,$A$6:$A$49,A9,$C$6:$C$49,C9),K9=MIN(IF(AND($A$6:$A$49=A9,$C$6:$C$49=C9),$K$6:$K$49,"")),COUNTIFS($A$6:A9,A9,$C$6:C9,C9,$K$6:K9,K9)=1),-(SUMIFS($L$6:$L$49,$A$6:$A$49,A9,$C$6:$C$49,C9)-SUMIFS($I$6:$I$49,$A$6:$A$49,A9,$C$6:$C$49,C9)),IF(AND(SUMIFS($I$6:$I$49,$A$6:$A$49,A9,$C$6:$C$49,C9)&lt;SUMIFS($L$6:$L$49,$A$6:$A$49,A9,$C$6:$C$49,C9),K9=MAX(IF(AND($A$6:$A$49=A9,$C$6:$C$49=C9),$K$6:$K$49,"")),COUNTIFS($A$6:A9,A9,$C$6:C9,C9,$K$6:K9,K9)=1),-(SUMIFS($L$6:$L$49,$A$6:$A$49,A9,$C$6:$C$49,C9)-SUMIFS($I$6:$I$49,$A$6:$A$49,A9,$C$6:$C$49,C9)),0))</f>
        <v>#VALUE!</v>
      </c>
      <c r="N9" s="29">
        <f t="shared" si="6"/>
        <v>0</v>
      </c>
      <c r="O9" s="25">
        <f t="shared" si="7"/>
        <v>4</v>
      </c>
      <c r="Q9" s="39"/>
      <c r="R9" s="39"/>
      <c r="S9" s="39"/>
      <c r="T9" s="39"/>
      <c r="U9" s="39"/>
      <c r="V9" s="39"/>
    </row>
    <row r="10" spans="1:22" x14ac:dyDescent="0.2">
      <c r="A10" s="26" t="s">
        <v>13</v>
      </c>
      <c r="B10" s="27" t="s">
        <v>20</v>
      </c>
      <c r="C10" s="27" t="s">
        <v>27</v>
      </c>
      <c r="D10" s="27" t="s">
        <v>28</v>
      </c>
      <c r="E10" s="37">
        <v>793</v>
      </c>
      <c r="F10" s="37">
        <v>127</v>
      </c>
      <c r="G10" s="23">
        <f t="shared" si="4"/>
        <v>44.06</v>
      </c>
      <c r="H10" s="23">
        <f t="shared" si="5"/>
        <v>2.88</v>
      </c>
      <c r="I10" s="23">
        <f t="shared" si="0"/>
        <v>0</v>
      </c>
      <c r="J10" s="23">
        <f t="shared" si="1"/>
        <v>6.2</v>
      </c>
      <c r="K10" s="29">
        <f t="shared" si="2"/>
        <v>8.0939947799999995E-2</v>
      </c>
      <c r="L10" s="29">
        <f t="shared" si="3"/>
        <v>25</v>
      </c>
      <c r="M10" s="23" t="e">
        <f t="array" ref="M10">IF(AND(SUMIFS($I$6:$I$49,$A$6:$A$49,A10,$C$6:$C$49,C10)&gt;SUMIFS($L$6:$L$49,$A$6:$A$49,A10,$C$6:$C$49,C10),K10=MIN(IF(AND($A$6:$A$49=A10,$C$6:$C$49=C10),$K$6:$K$49,"")),COUNTIFS($A$6:A10,A10,$C$6:C10,C10,$K$6:K10,K10)=1),-(SUMIFS($L$6:$L$49,$A$6:$A$49,A10,$C$6:$C$49,C10)-SUMIFS($I$6:$I$49,$A$6:$A$49,A10,$C$6:$C$49,C10)),IF(AND(SUMIFS($I$6:$I$49,$A$6:$A$49,A10,$C$6:$C$49,C10)&lt;SUMIFS($L$6:$L$49,$A$6:$A$49,A10,$C$6:$C$49,C10),K10=MAX(IF(AND($A$6:$A$49=A10,$C$6:$C$49=C10),$K$6:$K$49,"")),COUNTIFS($A$6:A10,A10,$C$6:C10,C10,$K$6:K10,K10)=1),-(SUMIFS($L$6:$L$49,$A$6:$A$49,A10,$C$6:$C$49,C10)-SUMIFS($I$6:$I$49,$A$6:$A$49,A10,$C$6:$C$49,C10)),0))</f>
        <v>#VALUE!</v>
      </c>
      <c r="N10" s="29">
        <f t="shared" si="6"/>
        <v>0</v>
      </c>
      <c r="O10" s="25">
        <f t="shared" si="7"/>
        <v>2.88</v>
      </c>
      <c r="Q10" s="39"/>
      <c r="R10" s="39"/>
      <c r="S10" s="39"/>
      <c r="T10" s="39"/>
      <c r="U10" s="39"/>
      <c r="V10" s="39"/>
    </row>
    <row r="11" spans="1:22" x14ac:dyDescent="0.2">
      <c r="A11" s="26" t="s">
        <v>13</v>
      </c>
      <c r="B11" s="27" t="s">
        <v>21</v>
      </c>
      <c r="C11" s="27" t="s">
        <v>27</v>
      </c>
      <c r="D11" s="27" t="s">
        <v>28</v>
      </c>
      <c r="E11" s="37">
        <v>3856</v>
      </c>
      <c r="F11" s="37">
        <v>690</v>
      </c>
      <c r="G11" s="23">
        <f t="shared" si="4"/>
        <v>214.22</v>
      </c>
      <c r="H11" s="23">
        <f t="shared" si="5"/>
        <v>3.22</v>
      </c>
      <c r="I11" s="23">
        <f t="shared" si="0"/>
        <v>0</v>
      </c>
      <c r="J11" s="23">
        <f t="shared" si="1"/>
        <v>5.86</v>
      </c>
      <c r="K11" s="29">
        <f t="shared" si="2"/>
        <v>7.6501305500000005E-2</v>
      </c>
      <c r="L11" s="29">
        <f t="shared" si="3"/>
        <v>23</v>
      </c>
      <c r="M11" s="23" t="e">
        <f t="array" ref="M11">IF(AND(SUMIFS($I$6:$I$49,$A$6:$A$49,A11,$C$6:$C$49,C11)&gt;SUMIFS($L$6:$L$49,$A$6:$A$49,A11,$C$6:$C$49,C11),K11=MIN(IF(AND($A$6:$A$49=A11,$C$6:$C$49=C11),$K$6:$K$49,"")),COUNTIFS($A$6:A11,A11,$C$6:C11,C11,$K$6:K11,K11)=1),-(SUMIFS($L$6:$L$49,$A$6:$A$49,A11,$C$6:$C$49,C11)-SUMIFS($I$6:$I$49,$A$6:$A$49,A11,$C$6:$C$49,C11)),IF(AND(SUMIFS($I$6:$I$49,$A$6:$A$49,A11,$C$6:$C$49,C11)&lt;SUMIFS($L$6:$L$49,$A$6:$A$49,A11,$C$6:$C$49,C11),K11=MAX(IF(AND($A$6:$A$49=A11,$C$6:$C$49=C11),$K$6:$K$49,"")),COUNTIFS($A$6:A11,A11,$C$6:C11,C11,$K$6:K11,K11)=1),-(SUMIFS($L$6:$L$49,$A$6:$A$49,A11,$C$6:$C$49,C11)-SUMIFS($I$6:$I$49,$A$6:$A$49,A11,$C$6:$C$49,C11)),0))</f>
        <v>#VALUE!</v>
      </c>
      <c r="N11" s="29">
        <f t="shared" si="6"/>
        <v>0</v>
      </c>
      <c r="O11" s="25">
        <f t="shared" si="7"/>
        <v>3.22</v>
      </c>
      <c r="Q11" s="39"/>
      <c r="R11" s="39"/>
      <c r="S11" s="39"/>
      <c r="T11" s="39"/>
      <c r="U11" s="39"/>
      <c r="V11" s="39"/>
    </row>
    <row r="12" spans="1:22" x14ac:dyDescent="0.2">
      <c r="A12" s="26" t="s">
        <v>13</v>
      </c>
      <c r="B12" s="27" t="s">
        <v>22</v>
      </c>
      <c r="C12" s="27" t="s">
        <v>27</v>
      </c>
      <c r="D12" s="27" t="s">
        <v>28</v>
      </c>
      <c r="E12" s="37">
        <v>0</v>
      </c>
      <c r="F12" s="37">
        <v>20</v>
      </c>
      <c r="G12" s="23">
        <f t="shared" si="4"/>
        <v>0</v>
      </c>
      <c r="H12" s="23">
        <f t="shared" si="5"/>
        <v>0</v>
      </c>
      <c r="I12" s="23">
        <f t="shared" si="0"/>
        <v>20</v>
      </c>
      <c r="J12" s="23">
        <f t="shared" si="1"/>
        <v>0</v>
      </c>
      <c r="K12" s="29" t="str">
        <f t="shared" si="2"/>
        <v/>
      </c>
      <c r="L12" s="29">
        <f t="shared" si="3"/>
        <v>0</v>
      </c>
      <c r="M12" s="23" t="e">
        <f t="array" ref="M12">IF(AND(SUMIFS($I$6:$I$49,$A$6:$A$49,A12,$C$6:$C$49,C12)&gt;SUMIFS($L$6:$L$49,$A$6:$A$49,A12,$C$6:$C$49,C12),K12=MIN(IF(AND($A$6:$A$49=A12,$C$6:$C$49=C12),$K$6:$K$49,"")),COUNTIFS($A$6:A12,A12,$C$6:C12,C12,$K$6:K12,K12)=1),-(SUMIFS($L$6:$L$49,$A$6:$A$49,A12,$C$6:$C$49,C12)-SUMIFS($I$6:$I$49,$A$6:$A$49,A12,$C$6:$C$49,C12)),IF(AND(SUMIFS($I$6:$I$49,$A$6:$A$49,A12,$C$6:$C$49,C12)&lt;SUMIFS($L$6:$L$49,$A$6:$A$49,A12,$C$6:$C$49,C12),K12=MAX(IF(AND($A$6:$A$49=A12,$C$6:$C$49=C12),$K$6:$K$49,"")),COUNTIFS($A$6:A12,A12,$C$6:C12,C12,$K$6:K12,K12)=1),-(SUMIFS($L$6:$L$49,$A$6:$A$49,A12,$C$6:$C$49,C12)-SUMIFS($I$6:$I$49,$A$6:$A$49,A12,$C$6:$C$49,C12)),0))</f>
        <v>#VALUE!</v>
      </c>
      <c r="N12" s="29">
        <f t="shared" si="6"/>
        <v>0</v>
      </c>
      <c r="O12" s="25">
        <f t="shared" si="7"/>
        <v>0</v>
      </c>
      <c r="Q12" s="39"/>
      <c r="R12" s="39"/>
      <c r="S12" s="39"/>
      <c r="T12" s="39"/>
      <c r="U12" s="39"/>
      <c r="V12" s="39"/>
    </row>
    <row r="13" spans="1:22" x14ac:dyDescent="0.2">
      <c r="A13" s="26" t="s">
        <v>13</v>
      </c>
      <c r="B13" s="27" t="s">
        <v>23</v>
      </c>
      <c r="C13" s="27" t="s">
        <v>27</v>
      </c>
      <c r="D13" s="27" t="s">
        <v>28</v>
      </c>
      <c r="E13" s="37">
        <v>289</v>
      </c>
      <c r="F13" s="37">
        <v>46</v>
      </c>
      <c r="G13" s="23">
        <f t="shared" si="4"/>
        <v>16.059999999999999</v>
      </c>
      <c r="H13" s="23">
        <f t="shared" si="5"/>
        <v>2.86</v>
      </c>
      <c r="I13" s="23">
        <f t="shared" si="0"/>
        <v>0</v>
      </c>
      <c r="J13" s="23">
        <f t="shared" si="1"/>
        <v>6.22</v>
      </c>
      <c r="K13" s="29">
        <f t="shared" si="2"/>
        <v>8.1201044400000005E-2</v>
      </c>
      <c r="L13" s="29">
        <f t="shared" si="3"/>
        <v>25</v>
      </c>
      <c r="M13" s="23" t="e">
        <f t="array" ref="M13">IF(AND(SUMIFS($I$6:$I$49,$A$6:$A$49,A13,$C$6:$C$49,C13)&gt;SUMIFS($L$6:$L$49,$A$6:$A$49,A13,$C$6:$C$49,C13),K13=MIN(IF(AND($A$6:$A$49=A13,$C$6:$C$49=C13),$K$6:$K$49,"")),COUNTIFS($A$6:A13,A13,$C$6:C13,C13,$K$6:K13,K13)=1),-(SUMIFS($L$6:$L$49,$A$6:$A$49,A13,$C$6:$C$49,C13)-SUMIFS($I$6:$I$49,$A$6:$A$49,A13,$C$6:$C$49,C13)),IF(AND(SUMIFS($I$6:$I$49,$A$6:$A$49,A13,$C$6:$C$49,C13)&lt;SUMIFS($L$6:$L$49,$A$6:$A$49,A13,$C$6:$C$49,C13),K13=MAX(IF(AND($A$6:$A$49=A13,$C$6:$C$49=C13),$K$6:$K$49,"")),COUNTIFS($A$6:A13,A13,$C$6:C13,C13,$K$6:K13,K13)=1),-(SUMIFS($L$6:$L$49,$A$6:$A$49,A13,$C$6:$C$49,C13)-SUMIFS($I$6:$I$49,$A$6:$A$49,A13,$C$6:$C$49,C13)),0))</f>
        <v>#VALUE!</v>
      </c>
      <c r="N13" s="29">
        <f t="shared" si="6"/>
        <v>0</v>
      </c>
      <c r="O13" s="25">
        <f t="shared" si="7"/>
        <v>2.86</v>
      </c>
      <c r="Q13" s="39"/>
      <c r="R13" s="39"/>
      <c r="S13" s="39"/>
      <c r="T13" s="39"/>
      <c r="U13" s="39"/>
      <c r="V13" s="39"/>
    </row>
    <row r="14" spans="1:22" x14ac:dyDescent="0.2">
      <c r="A14" s="26" t="s">
        <v>13</v>
      </c>
      <c r="B14" s="27" t="s">
        <v>24</v>
      </c>
      <c r="C14" s="27" t="s">
        <v>27</v>
      </c>
      <c r="D14" s="27" t="s">
        <v>28</v>
      </c>
      <c r="E14" s="37">
        <v>2</v>
      </c>
      <c r="F14" s="37">
        <v>0</v>
      </c>
      <c r="G14" s="23">
        <f t="shared" si="4"/>
        <v>0.11</v>
      </c>
      <c r="H14" s="23">
        <f t="shared" si="5"/>
        <v>0</v>
      </c>
      <c r="I14" s="23">
        <f t="shared" si="0"/>
        <v>0</v>
      </c>
      <c r="J14" s="23">
        <f t="shared" si="1"/>
        <v>9.08</v>
      </c>
      <c r="K14" s="29">
        <f t="shared" si="2"/>
        <v>0.118537859</v>
      </c>
      <c r="L14" s="29">
        <f t="shared" si="3"/>
        <v>36</v>
      </c>
      <c r="M14" s="23" t="e">
        <f t="array" ref="M14">IF(AND(SUMIFS($I$6:$I$49,$A$6:$A$49,A14,$C$6:$C$49,C14)&gt;SUMIFS($L$6:$L$49,$A$6:$A$49,A14,$C$6:$C$49,C14),K14=MIN(IF(AND($A$6:$A$49=A14,$C$6:$C$49=C14),$K$6:$K$49,"")),COUNTIFS($A$6:A14,A14,$C$6:C14,C14,$K$6:K14,K14)=1),-(SUMIFS($L$6:$L$49,$A$6:$A$49,A14,$C$6:$C$49,C14)-SUMIFS($I$6:$I$49,$A$6:$A$49,A14,$C$6:$C$49,C14)),IF(AND(SUMIFS($I$6:$I$49,$A$6:$A$49,A14,$C$6:$C$49,C14)&lt;SUMIFS($L$6:$L$49,$A$6:$A$49,A14,$C$6:$C$49,C14),K14=MAX(IF(AND($A$6:$A$49=A14,$C$6:$C$49=C14),$K$6:$K$49,"")),COUNTIFS($A$6:A14,A14,$C$6:C14,C14,$K$6:K14,K14)=1),-(SUMIFS($L$6:$L$49,$A$6:$A$49,A14,$C$6:$C$49,C14)-SUMIFS($I$6:$I$49,$A$6:$A$49,A14,$C$6:$C$49,C14)),0))</f>
        <v>#VALUE!</v>
      </c>
      <c r="N14" s="29">
        <f t="shared" si="6"/>
        <v>0</v>
      </c>
      <c r="O14" s="25">
        <f t="shared" si="7"/>
        <v>0</v>
      </c>
      <c r="Q14" s="39"/>
      <c r="R14" s="39"/>
      <c r="S14" s="39"/>
      <c r="T14" s="39"/>
      <c r="U14" s="39"/>
      <c r="V14" s="39"/>
    </row>
    <row r="15" spans="1:22" x14ac:dyDescent="0.2">
      <c r="A15" s="26" t="s">
        <v>13</v>
      </c>
      <c r="B15" s="27" t="s">
        <v>25</v>
      </c>
      <c r="C15" s="27" t="s">
        <v>27</v>
      </c>
      <c r="D15" s="27" t="s">
        <v>28</v>
      </c>
      <c r="E15" s="37">
        <v>8</v>
      </c>
      <c r="F15" s="37">
        <v>33</v>
      </c>
      <c r="G15" s="23">
        <f t="shared" si="4"/>
        <v>0.44</v>
      </c>
      <c r="H15" s="23">
        <f t="shared" si="5"/>
        <v>75</v>
      </c>
      <c r="I15" s="23">
        <f t="shared" si="0"/>
        <v>29</v>
      </c>
      <c r="J15" s="23">
        <f t="shared" si="1"/>
        <v>0</v>
      </c>
      <c r="K15" s="29" t="str">
        <f t="shared" si="2"/>
        <v/>
      </c>
      <c r="L15" s="29">
        <f t="shared" si="3"/>
        <v>0</v>
      </c>
      <c r="M15" s="23" t="e">
        <f t="array" ref="M15">IF(AND(SUMIFS($I$6:$I$49,$A$6:$A$49,A15,$C$6:$C$49,C15)&gt;SUMIFS($L$6:$L$49,$A$6:$A$49,A15,$C$6:$C$49,C15),K15=MIN(IF(AND($A$6:$A$49=A15,$C$6:$C$49=C15),$K$6:$K$49,"")),COUNTIFS($A$6:A15,A15,$C$6:C15,C15,$K$6:K15,K15)=1),-(SUMIFS($L$6:$L$49,$A$6:$A$49,A15,$C$6:$C$49,C15)-SUMIFS($I$6:$I$49,$A$6:$A$49,A15,$C$6:$C$49,C15)),IF(AND(SUMIFS($I$6:$I$49,$A$6:$A$49,A15,$C$6:$C$49,C15)&lt;SUMIFS($L$6:$L$49,$A$6:$A$49,A15,$C$6:$C$49,C15),K15=MAX(IF(AND($A$6:$A$49=A15,$C$6:$C$49=C15),$K$6:$K$49,"")),COUNTIFS($A$6:A15,A15,$C$6:C15,C15,$K$6:K15,K15)=1),-(SUMIFS($L$6:$L$49,$A$6:$A$49,A15,$C$6:$C$49,C15)-SUMIFS($I$6:$I$49,$A$6:$A$49,A15,$C$6:$C$49,C15)),0))</f>
        <v>#VALUE!</v>
      </c>
      <c r="N15" s="29">
        <f t="shared" si="6"/>
        <v>0</v>
      </c>
      <c r="O15" s="25">
        <f t="shared" si="7"/>
        <v>9.09</v>
      </c>
      <c r="Q15" s="39"/>
      <c r="R15" s="39"/>
      <c r="S15" s="39"/>
      <c r="T15" s="39"/>
      <c r="U15" s="39"/>
      <c r="V15" s="39"/>
    </row>
    <row r="16" spans="1:22" x14ac:dyDescent="0.2">
      <c r="A16" s="26" t="s">
        <v>13</v>
      </c>
      <c r="B16" s="27" t="s">
        <v>26</v>
      </c>
      <c r="C16" s="27" t="s">
        <v>27</v>
      </c>
      <c r="D16" s="27" t="s">
        <v>28</v>
      </c>
      <c r="E16" s="37">
        <v>0</v>
      </c>
      <c r="F16" s="37">
        <v>20</v>
      </c>
      <c r="G16" s="23">
        <f t="shared" si="4"/>
        <v>0</v>
      </c>
      <c r="H16" s="23">
        <f t="shared" si="5"/>
        <v>0</v>
      </c>
      <c r="I16" s="23">
        <f t="shared" si="0"/>
        <v>20</v>
      </c>
      <c r="J16" s="23">
        <f t="shared" si="1"/>
        <v>0</v>
      </c>
      <c r="K16" s="29" t="str">
        <f t="shared" si="2"/>
        <v/>
      </c>
      <c r="L16" s="29">
        <f t="shared" si="3"/>
        <v>0</v>
      </c>
      <c r="M16" s="23" t="e">
        <f t="array" ref="M16">IF(AND(SUMIFS($I$6:$I$49,$A$6:$A$49,A16,$C$6:$C$49,C16)&gt;SUMIFS($L$6:$L$49,$A$6:$A$49,A16,$C$6:$C$49,C16),K16=MIN(IF(AND($A$6:$A$49=A16,$C$6:$C$49=C16),$K$6:$K$49,"")),COUNTIFS($A$6:A16,A16,$C$6:C16,C16,$K$6:K16,K16)=1),-(SUMIFS($L$6:$L$49,$A$6:$A$49,A16,$C$6:$C$49,C16)-SUMIFS($I$6:$I$49,$A$6:$A$49,A16,$C$6:$C$49,C16)),IF(AND(SUMIFS($I$6:$I$49,$A$6:$A$49,A16,$C$6:$C$49,C16)&lt;SUMIFS($L$6:$L$49,$A$6:$A$49,A16,$C$6:$C$49,C16),K16=MAX(IF(AND($A$6:$A$49=A16,$C$6:$C$49=C16),$K$6:$K$49,"")),COUNTIFS($A$6:A16,A16,$C$6:C16,C16,$K$6:K16,K16)=1),-(SUMIFS($L$6:$L$49,$A$6:$A$49,A16,$C$6:$C$49,C16)-SUMIFS($I$6:$I$49,$A$6:$A$49,A16,$C$6:$C$49,C16)),0))</f>
        <v>#VALUE!</v>
      </c>
      <c r="N16" s="29">
        <f t="shared" si="6"/>
        <v>0</v>
      </c>
      <c r="O16" s="25">
        <f t="shared" si="7"/>
        <v>0</v>
      </c>
      <c r="Q16" s="39"/>
      <c r="R16" s="39"/>
      <c r="S16" s="39"/>
      <c r="T16" s="39"/>
      <c r="U16" s="39"/>
      <c r="V16" s="39"/>
    </row>
    <row r="17" spans="1:22" x14ac:dyDescent="0.2">
      <c r="A17" s="26" t="s">
        <v>13</v>
      </c>
      <c r="B17" s="27" t="s">
        <v>33</v>
      </c>
      <c r="C17" s="27" t="s">
        <v>27</v>
      </c>
      <c r="D17" s="27" t="s">
        <v>28</v>
      </c>
      <c r="E17" s="37">
        <v>192</v>
      </c>
      <c r="F17" s="37">
        <v>32</v>
      </c>
      <c r="G17" s="23">
        <f t="shared" si="4"/>
        <v>10.67</v>
      </c>
      <c r="H17" s="23">
        <f t="shared" si="5"/>
        <v>3</v>
      </c>
      <c r="I17" s="23">
        <f t="shared" si="0"/>
        <v>0</v>
      </c>
      <c r="J17" s="23">
        <f t="shared" si="1"/>
        <v>6.08</v>
      </c>
      <c r="K17" s="29">
        <f t="shared" si="2"/>
        <v>7.9373368099999994E-2</v>
      </c>
      <c r="L17" s="29">
        <f t="shared" si="3"/>
        <v>24</v>
      </c>
      <c r="M17" s="23" t="e">
        <f t="array" ref="M17">IF(AND(SUMIFS($I$6:$I$49,$A$6:$A$49,A17,$C$6:$C$49,C17)&gt;SUMIFS($L$6:$L$49,$A$6:$A$49,A17,$C$6:$C$49,C17),K17=MIN(IF(AND($A$6:$A$49=A17,$C$6:$C$49=C17),$K$6:$K$49,"")),COUNTIFS($A$6:A17,A17,$C$6:C17,C17,$K$6:K17,K17)=1),-(SUMIFS($L$6:$L$49,$A$6:$A$49,A17,$C$6:$C$49,C17)-SUMIFS($I$6:$I$49,$A$6:$A$49,A17,$C$6:$C$49,C17)),IF(AND(SUMIFS($I$6:$I$49,$A$6:$A$49,A17,$C$6:$C$49,C17)&lt;SUMIFS($L$6:$L$49,$A$6:$A$49,A17,$C$6:$C$49,C17),K17=MAX(IF(AND($A$6:$A$49=A17,$C$6:$C$49=C17),$K$6:$K$49,"")),COUNTIFS($A$6:A17,A17,$C$6:C17,C17,$K$6:K17,K17)=1),-(SUMIFS($L$6:$L$49,$A$6:$A$49,A17,$C$6:$C$49,C17)-SUMIFS($I$6:$I$49,$A$6:$A$49,A17,$C$6:$C$49,C17)),0))</f>
        <v>#VALUE!</v>
      </c>
      <c r="N17" s="29">
        <f t="shared" si="6"/>
        <v>0</v>
      </c>
      <c r="O17" s="25">
        <f t="shared" si="7"/>
        <v>3</v>
      </c>
      <c r="Q17" s="39"/>
      <c r="R17" s="39"/>
      <c r="S17" s="39"/>
      <c r="T17" s="39"/>
      <c r="U17" s="39"/>
      <c r="V17" s="39"/>
    </row>
    <row r="18" spans="1:22" x14ac:dyDescent="0.2">
      <c r="A18" s="26" t="s">
        <v>13</v>
      </c>
      <c r="B18" s="27" t="s">
        <v>34</v>
      </c>
      <c r="C18" s="27" t="s">
        <v>27</v>
      </c>
      <c r="D18" s="27" t="s">
        <v>28</v>
      </c>
      <c r="E18" s="37">
        <v>2516</v>
      </c>
      <c r="F18" s="37">
        <v>531</v>
      </c>
      <c r="G18" s="23">
        <f t="shared" si="4"/>
        <v>139.78</v>
      </c>
      <c r="H18" s="23">
        <f t="shared" si="5"/>
        <v>3.8</v>
      </c>
      <c r="I18" s="23">
        <f t="shared" si="0"/>
        <v>0</v>
      </c>
      <c r="J18" s="23">
        <f t="shared" si="1"/>
        <v>5.28</v>
      </c>
      <c r="K18" s="29">
        <f t="shared" si="2"/>
        <v>6.8929503899999994E-2</v>
      </c>
      <c r="L18" s="29">
        <f t="shared" si="3"/>
        <v>21</v>
      </c>
      <c r="M18" s="23" t="e">
        <f t="array" ref="M18">IF(AND(SUMIFS($I$6:$I$49,$A$6:$A$49,A18,$C$6:$C$49,C18)&gt;SUMIFS($L$6:$L$49,$A$6:$A$49,A18,$C$6:$C$49,C18),K18=MIN(IF(AND($A$6:$A$49=A18,$C$6:$C$49=C18),$K$6:$K$49,"")),COUNTIFS($A$6:A18,A18,$C$6:C18,C18,$K$6:K18,K18)=1),-(SUMIFS($L$6:$L$49,$A$6:$A$49,A18,$C$6:$C$49,C18)-SUMIFS($I$6:$I$49,$A$6:$A$49,A18,$C$6:$C$49,C18)),IF(AND(SUMIFS($I$6:$I$49,$A$6:$A$49,A18,$C$6:$C$49,C18)&lt;SUMIFS($L$6:$L$49,$A$6:$A$49,A18,$C$6:$C$49,C18),K18=MAX(IF(AND($A$6:$A$49=A18,$C$6:$C$49=C18),$K$6:$K$49,"")),COUNTIFS($A$6:A18,A18,$C$6:C18,C18,$K$6:K18,K18)=1),-(SUMIFS($L$6:$L$49,$A$6:$A$49,A18,$C$6:$C$49,C18)-SUMIFS($I$6:$I$49,$A$6:$A$49,A18,$C$6:$C$49,C18)),0))</f>
        <v>#VALUE!</v>
      </c>
      <c r="N18" s="29">
        <f t="shared" si="6"/>
        <v>0</v>
      </c>
      <c r="O18" s="25">
        <f t="shared" si="7"/>
        <v>3.8</v>
      </c>
      <c r="Q18" s="39"/>
      <c r="R18" s="39"/>
      <c r="S18" s="39"/>
      <c r="T18" s="39"/>
      <c r="U18" s="39"/>
      <c r="V18" s="39"/>
    </row>
    <row r="19" spans="1:22" x14ac:dyDescent="0.2">
      <c r="A19" s="26" t="s">
        <v>13</v>
      </c>
      <c r="B19" s="27" t="s">
        <v>35</v>
      </c>
      <c r="C19" s="27" t="s">
        <v>27</v>
      </c>
      <c r="D19" s="27" t="s">
        <v>28</v>
      </c>
      <c r="E19" s="37">
        <v>87</v>
      </c>
      <c r="F19" s="37">
        <v>0</v>
      </c>
      <c r="G19" s="23">
        <f t="shared" si="4"/>
        <v>4.83</v>
      </c>
      <c r="H19" s="23">
        <f t="shared" si="5"/>
        <v>0</v>
      </c>
      <c r="I19" s="23">
        <f t="shared" si="0"/>
        <v>0</v>
      </c>
      <c r="J19" s="23">
        <f t="shared" si="1"/>
        <v>9.08</v>
      </c>
      <c r="K19" s="29">
        <f t="shared" si="2"/>
        <v>0.118537859</v>
      </c>
      <c r="L19" s="29">
        <f t="shared" si="3"/>
        <v>36</v>
      </c>
      <c r="M19" s="23" t="e">
        <f t="array" ref="M19">IF(AND(SUMIFS($I$6:$I$49,$A$6:$A$49,A19,$C$6:$C$49,C19)&gt;SUMIFS($L$6:$L$49,$A$6:$A$49,A19,$C$6:$C$49,C19),K19=MIN(IF(AND($A$6:$A$49=A19,$C$6:$C$49=C19),$K$6:$K$49,"")),COUNTIFS($A$6:A19,A19,$C$6:C19,C19,$K$6:K19,K19)=1),-(SUMIFS($L$6:$L$49,$A$6:$A$49,A19,$C$6:$C$49,C19)-SUMIFS($I$6:$I$49,$A$6:$A$49,A19,$C$6:$C$49,C19)),IF(AND(SUMIFS($I$6:$I$49,$A$6:$A$49,A19,$C$6:$C$49,C19)&lt;SUMIFS($L$6:$L$49,$A$6:$A$49,A19,$C$6:$C$49,C19),K19=MAX(IF(AND($A$6:$A$49=A19,$C$6:$C$49=C19),$K$6:$K$49,"")),COUNTIFS($A$6:A19,A19,$C$6:C19,C19,$K$6:K19,K19)=1),-(SUMIFS($L$6:$L$49,$A$6:$A$49,A19,$C$6:$C$49,C19)-SUMIFS($I$6:$I$49,$A$6:$A$49,A19,$C$6:$C$49,C19)),0))</f>
        <v>#VALUE!</v>
      </c>
      <c r="N19" s="29">
        <f t="shared" si="6"/>
        <v>0</v>
      </c>
      <c r="O19" s="25">
        <f t="shared" si="7"/>
        <v>0</v>
      </c>
      <c r="Q19" s="39"/>
      <c r="R19" s="39"/>
      <c r="S19" s="39"/>
      <c r="T19" s="39"/>
      <c r="U19" s="39"/>
      <c r="V19" s="39"/>
    </row>
    <row r="20" spans="1:22" x14ac:dyDescent="0.2">
      <c r="A20" s="26" t="s">
        <v>13</v>
      </c>
      <c r="B20" s="27" t="s">
        <v>36</v>
      </c>
      <c r="C20" s="27" t="s">
        <v>27</v>
      </c>
      <c r="D20" s="27" t="s">
        <v>28</v>
      </c>
      <c r="E20" s="37">
        <v>23</v>
      </c>
      <c r="F20" s="37">
        <v>26</v>
      </c>
      <c r="G20" s="23">
        <f t="shared" si="4"/>
        <v>1.28</v>
      </c>
      <c r="H20" s="23">
        <f t="shared" si="5"/>
        <v>20.309999999999999</v>
      </c>
      <c r="I20" s="23">
        <f t="shared" si="0"/>
        <v>14</v>
      </c>
      <c r="J20" s="23">
        <f t="shared" si="1"/>
        <v>0</v>
      </c>
      <c r="K20" s="29" t="str">
        <f t="shared" si="2"/>
        <v/>
      </c>
      <c r="L20" s="29">
        <f t="shared" si="3"/>
        <v>0</v>
      </c>
      <c r="M20" s="23" t="e">
        <f t="array" ref="M20">IF(AND(SUMIFS($I$6:$I$49,$A$6:$A$49,A20,$C$6:$C$49,C20)&gt;SUMIFS($L$6:$L$49,$A$6:$A$49,A20,$C$6:$C$49,C20),K20=MIN(IF(AND($A$6:$A$49=A20,$C$6:$C$49=C20),$K$6:$K$49,"")),COUNTIFS($A$6:A20,A20,$C$6:C20,C20,$K$6:K20,K20)=1),-(SUMIFS($L$6:$L$49,$A$6:$A$49,A20,$C$6:$C$49,C20)-SUMIFS($I$6:$I$49,$A$6:$A$49,A20,$C$6:$C$49,C20)),IF(AND(SUMIFS($I$6:$I$49,$A$6:$A$49,A20,$C$6:$C$49,C20)&lt;SUMIFS($L$6:$L$49,$A$6:$A$49,A20,$C$6:$C$49,C20),K20=MAX(IF(AND($A$6:$A$49=A20,$C$6:$C$49=C20),$K$6:$K$49,"")),COUNTIFS($A$6:A20,A20,$C$6:C20,C20,$K$6:K20,K20)=1),-(SUMIFS($L$6:$L$49,$A$6:$A$49,A20,$C$6:$C$49,C20)-SUMIFS($I$6:$I$49,$A$6:$A$49,A20,$C$6:$C$49,C20)),0))</f>
        <v>#VALUE!</v>
      </c>
      <c r="N20" s="29">
        <f t="shared" si="6"/>
        <v>0</v>
      </c>
      <c r="O20" s="25">
        <f t="shared" si="7"/>
        <v>9.3800000000000008</v>
      </c>
      <c r="Q20" s="39"/>
      <c r="R20" s="39"/>
      <c r="S20" s="39"/>
      <c r="T20" s="39"/>
      <c r="U20" s="39"/>
      <c r="V20" s="39"/>
    </row>
    <row r="21" spans="1:22" x14ac:dyDescent="0.2">
      <c r="A21" s="26" t="s">
        <v>13</v>
      </c>
      <c r="B21" s="27" t="s">
        <v>37</v>
      </c>
      <c r="C21" s="27" t="s">
        <v>27</v>
      </c>
      <c r="D21" s="27" t="s">
        <v>28</v>
      </c>
      <c r="E21" s="37">
        <v>96</v>
      </c>
      <c r="F21" s="37">
        <v>21</v>
      </c>
      <c r="G21" s="23">
        <f t="shared" si="4"/>
        <v>5.33</v>
      </c>
      <c r="H21" s="23">
        <f t="shared" si="5"/>
        <v>3.94</v>
      </c>
      <c r="I21" s="23">
        <f t="shared" si="0"/>
        <v>0</v>
      </c>
      <c r="J21" s="23">
        <f t="shared" si="1"/>
        <v>5.14</v>
      </c>
      <c r="K21" s="29">
        <f t="shared" si="2"/>
        <v>6.7101827700000005E-2</v>
      </c>
      <c r="L21" s="29">
        <f t="shared" si="3"/>
        <v>21</v>
      </c>
      <c r="M21" s="23" t="e">
        <f t="array" ref="M21">IF(AND(SUMIFS($I$6:$I$49,$A$6:$A$49,A21,$C$6:$C$49,C21)&gt;SUMIFS($L$6:$L$49,$A$6:$A$49,A21,$C$6:$C$49,C21),K21=MIN(IF(AND($A$6:$A$49=A21,$C$6:$C$49=C21),$K$6:$K$49,"")),COUNTIFS($A$6:A21,A21,$C$6:C21,C21,$K$6:K21,K21)=1),-(SUMIFS($L$6:$L$49,$A$6:$A$49,A21,$C$6:$C$49,C21)-SUMIFS($I$6:$I$49,$A$6:$A$49,A21,$C$6:$C$49,C21)),IF(AND(SUMIFS($I$6:$I$49,$A$6:$A$49,A21,$C$6:$C$49,C21)&lt;SUMIFS($L$6:$L$49,$A$6:$A$49,A21,$C$6:$C$49,C21),K21=MAX(IF(AND($A$6:$A$49=A21,$C$6:$C$49=C21),$K$6:$K$49,"")),COUNTIFS($A$6:A21,A21,$C$6:C21,C21,$K$6:K21,K21)=1),-(SUMIFS($L$6:$L$49,$A$6:$A$49,A21,$C$6:$C$49,C21)-SUMIFS($I$6:$I$49,$A$6:$A$49,A21,$C$6:$C$49,C21)),0))</f>
        <v>#VALUE!</v>
      </c>
      <c r="N21" s="29">
        <f t="shared" si="6"/>
        <v>0</v>
      </c>
      <c r="O21" s="25">
        <f t="shared" si="7"/>
        <v>3.94</v>
      </c>
      <c r="Q21" s="39"/>
      <c r="R21" s="39"/>
      <c r="S21" s="39"/>
      <c r="T21" s="39"/>
      <c r="U21" s="39"/>
      <c r="V21" s="39"/>
    </row>
    <row r="22" spans="1:22" x14ac:dyDescent="0.2">
      <c r="A22" s="26" t="s">
        <v>13</v>
      </c>
      <c r="B22" s="27" t="s">
        <v>38</v>
      </c>
      <c r="C22" s="27" t="s">
        <v>27</v>
      </c>
      <c r="D22" s="27" t="s">
        <v>28</v>
      </c>
      <c r="E22" s="37">
        <v>19</v>
      </c>
      <c r="F22" s="37">
        <v>15</v>
      </c>
      <c r="G22" s="23">
        <f t="shared" si="4"/>
        <v>1.06</v>
      </c>
      <c r="H22" s="23">
        <f t="shared" si="5"/>
        <v>14.15</v>
      </c>
      <c r="I22" s="23">
        <f t="shared" si="0"/>
        <v>5</v>
      </c>
      <c r="J22" s="23">
        <f t="shared" si="1"/>
        <v>0</v>
      </c>
      <c r="K22" s="29" t="str">
        <f t="shared" si="2"/>
        <v/>
      </c>
      <c r="L22" s="29">
        <f t="shared" si="3"/>
        <v>0</v>
      </c>
      <c r="M22" s="23" t="e">
        <f t="array" ref="M22">IF(AND(SUMIFS($I$6:$I$49,$A$6:$A$49,A22,$C$6:$C$49,C22)&gt;SUMIFS($L$6:$L$49,$A$6:$A$49,A22,$C$6:$C$49,C22),K22=MIN(IF(AND($A$6:$A$49=A22,$C$6:$C$49=C22),$K$6:$K$49,"")),COUNTIFS($A$6:A22,A22,$C$6:C22,C22,$K$6:K22,K22)=1),-(SUMIFS($L$6:$L$49,$A$6:$A$49,A22,$C$6:$C$49,C22)-SUMIFS($I$6:$I$49,$A$6:$A$49,A22,$C$6:$C$49,C22)),IF(AND(SUMIFS($I$6:$I$49,$A$6:$A$49,A22,$C$6:$C$49,C22)&lt;SUMIFS($L$6:$L$49,$A$6:$A$49,A22,$C$6:$C$49,C22),K22=MAX(IF(AND($A$6:$A$49=A22,$C$6:$C$49=C22),$K$6:$K$49,"")),COUNTIFS($A$6:A22,A22,$C$6:C22,C22,$K$6:K22,K22)=1),-(SUMIFS($L$6:$L$49,$A$6:$A$49,A22,$C$6:$C$49,C22)-SUMIFS($I$6:$I$49,$A$6:$A$49,A22,$C$6:$C$49,C22)),0))</f>
        <v>#VALUE!</v>
      </c>
      <c r="N22" s="29">
        <f t="shared" si="6"/>
        <v>0</v>
      </c>
      <c r="O22" s="25">
        <f t="shared" si="7"/>
        <v>9.43</v>
      </c>
      <c r="Q22" s="39"/>
      <c r="R22" s="39"/>
      <c r="S22" s="39"/>
      <c r="T22" s="39"/>
      <c r="U22" s="39"/>
      <c r="V22" s="39"/>
    </row>
    <row r="23" spans="1:22" x14ac:dyDescent="0.2">
      <c r="A23" s="26" t="s">
        <v>13</v>
      </c>
      <c r="B23" s="27" t="s">
        <v>39</v>
      </c>
      <c r="C23" s="27" t="s">
        <v>27</v>
      </c>
      <c r="D23" s="27" t="s">
        <v>28</v>
      </c>
      <c r="E23" s="37">
        <v>39</v>
      </c>
      <c r="F23" s="37">
        <v>18</v>
      </c>
      <c r="G23" s="23">
        <f t="shared" si="4"/>
        <v>2.17</v>
      </c>
      <c r="H23" s="23">
        <f t="shared" si="5"/>
        <v>8.2899999999999991</v>
      </c>
      <c r="I23" s="23">
        <f t="shared" si="0"/>
        <v>0</v>
      </c>
      <c r="J23" s="23">
        <f t="shared" si="1"/>
        <v>0.79</v>
      </c>
      <c r="K23" s="29">
        <f t="shared" si="2"/>
        <v>1.03133159E-2</v>
      </c>
      <c r="L23" s="29">
        <f t="shared" si="3"/>
        <v>3</v>
      </c>
      <c r="M23" s="23" t="e">
        <f t="array" ref="M23">IF(AND(SUMIFS($I$6:$I$49,$A$6:$A$49,A23,$C$6:$C$49,C23)&gt;SUMIFS($L$6:$L$49,$A$6:$A$49,A23,$C$6:$C$49,C23),K23=MIN(IF(AND($A$6:$A$49=A23,$C$6:$C$49=C23),$K$6:$K$49,"")),COUNTIFS($A$6:A23,A23,$C$6:C23,C23,$K$6:K23,K23)=1),-(SUMIFS($L$6:$L$49,$A$6:$A$49,A23,$C$6:$C$49,C23)-SUMIFS($I$6:$I$49,$A$6:$A$49,A23,$C$6:$C$49,C23)),IF(AND(SUMIFS($I$6:$I$49,$A$6:$A$49,A23,$C$6:$C$49,C23)&lt;SUMIFS($L$6:$L$49,$A$6:$A$49,A23,$C$6:$C$49,C23),K23=MAX(IF(AND($A$6:$A$49=A23,$C$6:$C$49=C23),$K$6:$K$49,"")),COUNTIFS($A$6:A23,A23,$C$6:C23,C23,$K$6:K23,K23)=1),-(SUMIFS($L$6:$L$49,$A$6:$A$49,A23,$C$6:$C$49,C23)-SUMIFS($I$6:$I$49,$A$6:$A$49,A23,$C$6:$C$49,C23)),0))</f>
        <v>#VALUE!</v>
      </c>
      <c r="N23" s="29">
        <f t="shared" si="6"/>
        <v>0</v>
      </c>
      <c r="O23" s="25">
        <f t="shared" si="7"/>
        <v>8.2899999999999991</v>
      </c>
      <c r="Q23" s="39"/>
      <c r="R23" s="39"/>
      <c r="S23" s="39"/>
      <c r="T23" s="39"/>
      <c r="U23" s="39"/>
      <c r="V23" s="39"/>
    </row>
    <row r="24" spans="1:22" x14ac:dyDescent="0.2">
      <c r="A24" s="26" t="s">
        <v>13</v>
      </c>
      <c r="B24" s="27" t="s">
        <v>40</v>
      </c>
      <c r="C24" s="27" t="s">
        <v>27</v>
      </c>
      <c r="D24" s="27" t="s">
        <v>28</v>
      </c>
      <c r="E24" s="37">
        <v>113</v>
      </c>
      <c r="F24" s="37">
        <v>32</v>
      </c>
      <c r="G24" s="23">
        <f t="shared" si="4"/>
        <v>6.28</v>
      </c>
      <c r="H24" s="23">
        <f t="shared" si="5"/>
        <v>5.0999999999999996</v>
      </c>
      <c r="I24" s="23">
        <f t="shared" si="0"/>
        <v>0</v>
      </c>
      <c r="J24" s="23">
        <f t="shared" si="1"/>
        <v>3.98</v>
      </c>
      <c r="K24" s="29">
        <f t="shared" si="2"/>
        <v>5.1958224499999997E-2</v>
      </c>
      <c r="L24" s="29">
        <f t="shared" si="3"/>
        <v>16</v>
      </c>
      <c r="M24" s="23" t="e">
        <f t="array" ref="M24">IF(AND(SUMIFS($I$6:$I$49,$A$6:$A$49,A24,$C$6:$C$49,C24)&gt;SUMIFS($L$6:$L$49,$A$6:$A$49,A24,$C$6:$C$49,C24),K24=MIN(IF(AND($A$6:$A$49=A24,$C$6:$C$49=C24),$K$6:$K$49,"")),COUNTIFS($A$6:A24,A24,$C$6:C24,C24,$K$6:K24,K24)=1),-(SUMIFS($L$6:$L$49,$A$6:$A$49,A24,$C$6:$C$49,C24)-SUMIFS($I$6:$I$49,$A$6:$A$49,A24,$C$6:$C$49,C24)),IF(AND(SUMIFS($I$6:$I$49,$A$6:$A$49,A24,$C$6:$C$49,C24)&lt;SUMIFS($L$6:$L$49,$A$6:$A$49,A24,$C$6:$C$49,C24),K24=MAX(IF(AND($A$6:$A$49=A24,$C$6:$C$49=C24),$K$6:$K$49,"")),COUNTIFS($A$6:A24,A24,$C$6:C24,C24,$K$6:K24,K24)=1),-(SUMIFS($L$6:$L$49,$A$6:$A$49,A24,$C$6:$C$49,C24)-SUMIFS($I$6:$I$49,$A$6:$A$49,A24,$C$6:$C$49,C24)),0))</f>
        <v>#VALUE!</v>
      </c>
      <c r="N24" s="29">
        <f t="shared" si="6"/>
        <v>0</v>
      </c>
      <c r="O24" s="25">
        <f t="shared" si="7"/>
        <v>5.0999999999999996</v>
      </c>
      <c r="Q24" s="39"/>
      <c r="R24" s="39"/>
      <c r="S24" s="39"/>
      <c r="T24" s="39"/>
      <c r="U24" s="39"/>
      <c r="V24" s="39"/>
    </row>
    <row r="25" spans="1:22" x14ac:dyDescent="0.2">
      <c r="A25" s="26" t="s">
        <v>13</v>
      </c>
      <c r="B25" s="27" t="s">
        <v>41</v>
      </c>
      <c r="C25" s="27" t="s">
        <v>27</v>
      </c>
      <c r="D25" s="27" t="s">
        <v>28</v>
      </c>
      <c r="E25" s="37">
        <v>46</v>
      </c>
      <c r="F25" s="37">
        <v>1</v>
      </c>
      <c r="G25" s="23">
        <f t="shared" si="4"/>
        <v>2.56</v>
      </c>
      <c r="H25" s="23">
        <f t="shared" si="5"/>
        <v>0.39</v>
      </c>
      <c r="I25" s="23">
        <f t="shared" si="0"/>
        <v>0</v>
      </c>
      <c r="J25" s="23">
        <f t="shared" si="1"/>
        <v>8.69</v>
      </c>
      <c r="K25" s="29">
        <f t="shared" si="2"/>
        <v>0.11344647519999999</v>
      </c>
      <c r="L25" s="29">
        <f t="shared" si="3"/>
        <v>35</v>
      </c>
      <c r="M25" s="23" t="e">
        <f t="array" ref="M25">IF(AND(SUMIFS($I$6:$I$49,$A$6:$A$49,A25,$C$6:$C$49,C25)&gt;SUMIFS($L$6:$L$49,$A$6:$A$49,A25,$C$6:$C$49,C25),K25=MIN(IF(AND($A$6:$A$49=A25,$C$6:$C$49=C25),$K$6:$K$49,"")),COUNTIFS($A$6:A25,A25,$C$6:C25,C25,$K$6:K25,K25)=1),-(SUMIFS($L$6:$L$49,$A$6:$A$49,A25,$C$6:$C$49,C25)-SUMIFS($I$6:$I$49,$A$6:$A$49,A25,$C$6:$C$49,C25)),IF(AND(SUMIFS($I$6:$I$49,$A$6:$A$49,A25,$C$6:$C$49,C25)&lt;SUMIFS($L$6:$L$49,$A$6:$A$49,A25,$C$6:$C$49,C25),K25=MAX(IF(AND($A$6:$A$49=A25,$C$6:$C$49=C25),$K$6:$K$49,"")),COUNTIFS($A$6:A25,A25,$C$6:C25,C25,$K$6:K25,K25)=1),-(SUMIFS($L$6:$L$49,$A$6:$A$49,A25,$C$6:$C$49,C25)-SUMIFS($I$6:$I$49,$A$6:$A$49,A25,$C$6:$C$49,C25)),0))</f>
        <v>#VALUE!</v>
      </c>
      <c r="N25" s="29">
        <f t="shared" si="6"/>
        <v>0</v>
      </c>
      <c r="O25" s="25">
        <f t="shared" si="7"/>
        <v>0.39</v>
      </c>
      <c r="Q25" s="39"/>
      <c r="R25" s="39"/>
      <c r="S25" s="39"/>
      <c r="T25" s="39"/>
      <c r="U25" s="39"/>
      <c r="V25" s="39"/>
    </row>
    <row r="26" spans="1:22" x14ac:dyDescent="0.2">
      <c r="A26" s="26" t="s">
        <v>13</v>
      </c>
      <c r="B26" s="27" t="s">
        <v>42</v>
      </c>
      <c r="C26" s="27" t="s">
        <v>27</v>
      </c>
      <c r="D26" s="27" t="s">
        <v>28</v>
      </c>
      <c r="E26" s="37">
        <v>30</v>
      </c>
      <c r="F26" s="37">
        <v>21</v>
      </c>
      <c r="G26" s="23">
        <f t="shared" si="4"/>
        <v>1.67</v>
      </c>
      <c r="H26" s="23">
        <f t="shared" si="5"/>
        <v>12.57</v>
      </c>
      <c r="I26" s="23">
        <f t="shared" si="0"/>
        <v>6</v>
      </c>
      <c r="J26" s="23">
        <f t="shared" si="1"/>
        <v>0</v>
      </c>
      <c r="K26" s="29" t="str">
        <f t="shared" si="2"/>
        <v/>
      </c>
      <c r="L26" s="29">
        <f t="shared" si="3"/>
        <v>0</v>
      </c>
      <c r="M26" s="23" t="e">
        <f t="array" ref="M26">IF(AND(SUMIFS($I$6:$I$49,$A$6:$A$49,A26,$C$6:$C$49,C26)&gt;SUMIFS($L$6:$L$49,$A$6:$A$49,A26,$C$6:$C$49,C26),K26=MIN(IF(AND($A$6:$A$49=A26,$C$6:$C$49=C26),$K$6:$K$49,"")),COUNTIFS($A$6:A26,A26,$C$6:C26,C26,$K$6:K26,K26)=1),-(SUMIFS($L$6:$L$49,$A$6:$A$49,A26,$C$6:$C$49,C26)-SUMIFS($I$6:$I$49,$A$6:$A$49,A26,$C$6:$C$49,C26)),IF(AND(SUMIFS($I$6:$I$49,$A$6:$A$49,A26,$C$6:$C$49,C26)&lt;SUMIFS($L$6:$L$49,$A$6:$A$49,A26,$C$6:$C$49,C26),K26=MAX(IF(AND($A$6:$A$49=A26,$C$6:$C$49=C26),$K$6:$K$49,"")),COUNTIFS($A$6:A26,A26,$C$6:C26,C26,$K$6:K26,K26)=1),-(SUMIFS($L$6:$L$49,$A$6:$A$49,A26,$C$6:$C$49,C26)-SUMIFS($I$6:$I$49,$A$6:$A$49,A26,$C$6:$C$49,C26)),0))</f>
        <v>#VALUE!</v>
      </c>
      <c r="N26" s="29">
        <f t="shared" si="6"/>
        <v>0</v>
      </c>
      <c r="O26" s="25">
        <f t="shared" si="7"/>
        <v>8.98</v>
      </c>
      <c r="Q26" s="39"/>
      <c r="R26" s="39"/>
      <c r="S26" s="39"/>
      <c r="T26" s="39"/>
      <c r="U26" s="39"/>
      <c r="V26" s="39"/>
    </row>
    <row r="27" spans="1:22" x14ac:dyDescent="0.2">
      <c r="A27" s="32" t="s">
        <v>14</v>
      </c>
      <c r="B27" s="33" t="s">
        <v>16</v>
      </c>
      <c r="C27" s="33" t="s">
        <v>27</v>
      </c>
      <c r="D27" s="33" t="s">
        <v>28</v>
      </c>
      <c r="E27" s="37">
        <v>114</v>
      </c>
      <c r="F27" s="37">
        <v>5</v>
      </c>
      <c r="G27" s="23">
        <f t="shared" si="4"/>
        <v>6.33</v>
      </c>
      <c r="H27" s="23">
        <f t="shared" si="5"/>
        <v>0.79</v>
      </c>
      <c r="I27" s="23">
        <f t="shared" si="0"/>
        <v>0</v>
      </c>
      <c r="J27" s="23">
        <f t="shared" si="1"/>
        <v>14.073</v>
      </c>
      <c r="K27" s="29">
        <f t="shared" si="2"/>
        <v>5.5942249100000001E-2</v>
      </c>
      <c r="L27" s="29">
        <f t="shared" si="3"/>
        <v>2</v>
      </c>
      <c r="M27" s="23" t="e">
        <f t="array" ref="M27">IF(AND(SUMIFS($I$6:$I$49,$A$6:$A$49,A27,$C$6:$C$49,C27)&gt;SUMIFS($L$6:$L$49,$A$6:$A$49,A27,$C$6:$C$49,C27),K27=MIN(IF(AND($A$6:$A$49=A27,$C$6:$C$49=C27),$K$6:$K$49,"")),COUNTIFS($A$6:A27,A27,$C$6:C27,C27,$K$6:K27,K27)=1),-(SUMIFS($L$6:$L$49,$A$6:$A$49,A27,$C$6:$C$49,C27)-SUMIFS($I$6:$I$49,$A$6:$A$49,A27,$C$6:$C$49,C27)),IF(AND(SUMIFS($I$6:$I$49,$A$6:$A$49,A27,$C$6:$C$49,C27)&lt;SUMIFS($L$6:$L$49,$A$6:$A$49,A27,$C$6:$C$49,C27),K27=MAX(IF(AND($A$6:$A$49=A27,$C$6:$C$49=C27),$K$6:$K$49,"")),COUNTIFS($A$6:A27,A27,$C$6:C27,C27,$K$6:K27,K27)=1),-(SUMIFS($L$6:$L$49,$A$6:$A$49,A27,$C$6:$C$49,C27)-SUMIFS($I$6:$I$49,$A$6:$A$49,A27,$C$6:$C$49,C27)),0))</f>
        <v>#VALUE!</v>
      </c>
      <c r="N27" s="29">
        <f t="shared" si="6"/>
        <v>0</v>
      </c>
      <c r="O27" s="25">
        <f t="shared" si="7"/>
        <v>0.79</v>
      </c>
      <c r="Q27" s="39"/>
      <c r="R27" s="39"/>
      <c r="S27" s="39"/>
      <c r="T27" s="39"/>
      <c r="U27" s="39"/>
      <c r="V27" s="39"/>
    </row>
    <row r="28" spans="1:22" x14ac:dyDescent="0.2">
      <c r="A28" s="32" t="s">
        <v>14</v>
      </c>
      <c r="B28" s="33" t="s">
        <v>17</v>
      </c>
      <c r="C28" s="33" t="s">
        <v>27</v>
      </c>
      <c r="D28" s="33" t="s">
        <v>28</v>
      </c>
      <c r="E28" s="37">
        <v>347</v>
      </c>
      <c r="F28" s="37">
        <v>16</v>
      </c>
      <c r="G28" s="23">
        <f t="shared" si="4"/>
        <v>19.28</v>
      </c>
      <c r="H28" s="23">
        <f t="shared" si="5"/>
        <v>0.83</v>
      </c>
      <c r="I28" s="23">
        <f t="shared" si="0"/>
        <v>0</v>
      </c>
      <c r="J28" s="23">
        <f t="shared" si="1"/>
        <v>14.032999999999999</v>
      </c>
      <c r="K28" s="29">
        <f t="shared" si="2"/>
        <v>5.5783243199999999E-2</v>
      </c>
      <c r="L28" s="29">
        <f t="shared" si="3"/>
        <v>2</v>
      </c>
      <c r="M28" s="23" t="e">
        <f t="array" ref="M28">IF(AND(SUMIFS($I$6:$I$49,$A$6:$A$49,A28,$C$6:$C$49,C28)&gt;SUMIFS($L$6:$L$49,$A$6:$A$49,A28,$C$6:$C$49,C28),K28=MIN(IF(AND($A$6:$A$49=A28,$C$6:$C$49=C28),$K$6:$K$49,"")),COUNTIFS($A$6:A28,A28,$C$6:C28,C28,$K$6:K28,K28)=1),-(SUMIFS($L$6:$L$49,$A$6:$A$49,A28,$C$6:$C$49,C28)-SUMIFS($I$6:$I$49,$A$6:$A$49,A28,$C$6:$C$49,C28)),IF(AND(SUMIFS($I$6:$I$49,$A$6:$A$49,A28,$C$6:$C$49,C28)&lt;SUMIFS($L$6:$L$49,$A$6:$A$49,A28,$C$6:$C$49,C28),K28=MAX(IF(AND($A$6:$A$49=A28,$C$6:$C$49=C28),$K$6:$K$49,"")),COUNTIFS($A$6:A28,A28,$C$6:C28,C28,$K$6:K28,K28)=1),-(SUMIFS($L$6:$L$49,$A$6:$A$49,A28,$C$6:$C$49,C28)-SUMIFS($I$6:$I$49,$A$6:$A$49,A28,$C$6:$C$49,C28)),0))</f>
        <v>#VALUE!</v>
      </c>
      <c r="N28" s="29">
        <f t="shared" si="6"/>
        <v>0</v>
      </c>
      <c r="O28" s="25">
        <f t="shared" si="7"/>
        <v>0.83</v>
      </c>
    </row>
    <row r="29" spans="1:22" x14ac:dyDescent="0.2">
      <c r="A29" s="32" t="s">
        <v>14</v>
      </c>
      <c r="B29" s="33" t="s">
        <v>18</v>
      </c>
      <c r="C29" s="33" t="s">
        <v>27</v>
      </c>
      <c r="D29" s="33" t="s">
        <v>28</v>
      </c>
      <c r="E29" s="37">
        <v>65</v>
      </c>
      <c r="F29" s="37">
        <v>20</v>
      </c>
      <c r="G29" s="23">
        <f t="shared" si="4"/>
        <v>3.61</v>
      </c>
      <c r="H29" s="23">
        <f t="shared" si="5"/>
        <v>5.54</v>
      </c>
      <c r="I29" s="23">
        <f t="shared" si="0"/>
        <v>0</v>
      </c>
      <c r="J29" s="23">
        <f t="shared" si="1"/>
        <v>9.3230000000000004</v>
      </c>
      <c r="K29" s="29">
        <f t="shared" si="2"/>
        <v>3.7060298999999998E-2</v>
      </c>
      <c r="L29" s="29">
        <f t="shared" si="3"/>
        <v>1</v>
      </c>
      <c r="M29" s="23" t="e">
        <f t="array" ref="M29">IF(AND(SUMIFS($I$6:$I$49,$A$6:$A$49,A29,$C$6:$C$49,C29)&gt;SUMIFS($L$6:$L$49,$A$6:$A$49,A29,$C$6:$C$49,C29),K29=MIN(IF(AND($A$6:$A$49=A29,$C$6:$C$49=C29),$K$6:$K$49,"")),COUNTIFS($A$6:A29,A29,$C$6:C29,C29,$K$6:K29,K29)=1),-(SUMIFS($L$6:$L$49,$A$6:$A$49,A29,$C$6:$C$49,C29)-SUMIFS($I$6:$I$49,$A$6:$A$49,A29,$C$6:$C$49,C29)),IF(AND(SUMIFS($I$6:$I$49,$A$6:$A$49,A29,$C$6:$C$49,C29)&lt;SUMIFS($L$6:$L$49,$A$6:$A$49,A29,$C$6:$C$49,C29),K29=MAX(IF(AND($A$6:$A$49=A29,$C$6:$C$49=C29),$K$6:$K$49,"")),COUNTIFS($A$6:A29,A29,$C$6:C29,C29,$K$6:K29,K29)=1),-(SUMIFS($L$6:$L$49,$A$6:$A$49,A29,$C$6:$C$49,C29)-SUMIFS($I$6:$I$49,$A$6:$A$49,A29,$C$6:$C$49,C29)),0))</f>
        <v>#VALUE!</v>
      </c>
      <c r="N29" s="29">
        <f t="shared" si="6"/>
        <v>0</v>
      </c>
      <c r="O29" s="25">
        <f t="shared" si="7"/>
        <v>5.54</v>
      </c>
    </row>
    <row r="30" spans="1:22" x14ac:dyDescent="0.2">
      <c r="A30" s="32" t="s">
        <v>14</v>
      </c>
      <c r="B30" s="33" t="s">
        <v>19</v>
      </c>
      <c r="C30" s="33" t="s">
        <v>27</v>
      </c>
      <c r="D30" s="33" t="s">
        <v>28</v>
      </c>
      <c r="E30" s="37">
        <v>730</v>
      </c>
      <c r="F30" s="37">
        <v>128</v>
      </c>
      <c r="G30" s="23">
        <f t="shared" si="4"/>
        <v>40.56</v>
      </c>
      <c r="H30" s="23">
        <f t="shared" si="5"/>
        <v>3.16</v>
      </c>
      <c r="I30" s="23">
        <f t="shared" si="0"/>
        <v>0</v>
      </c>
      <c r="J30" s="23">
        <f t="shared" si="1"/>
        <v>11.702999999999999</v>
      </c>
      <c r="K30" s="29">
        <f t="shared" si="2"/>
        <v>4.6521149800000001E-2</v>
      </c>
      <c r="L30" s="29">
        <f t="shared" si="3"/>
        <v>2</v>
      </c>
      <c r="M30" s="23" t="e">
        <f t="array" ref="M30">IF(AND(SUMIFS($I$6:$I$49,$A$6:$A$49,A30,$C$6:$C$49,C30)&gt;SUMIFS($L$6:$L$49,$A$6:$A$49,A30,$C$6:$C$49,C30),K30=MIN(IF(AND($A$6:$A$49=A30,$C$6:$C$49=C30),$K$6:$K$49,"")),COUNTIFS($A$6:A30,A30,$C$6:C30,C30,$K$6:K30,K30)=1),-(SUMIFS($L$6:$L$49,$A$6:$A$49,A30,$C$6:$C$49,C30)-SUMIFS($I$6:$I$49,$A$6:$A$49,A30,$C$6:$C$49,C30)),IF(AND(SUMIFS($I$6:$I$49,$A$6:$A$49,A30,$C$6:$C$49,C30)&lt;SUMIFS($L$6:$L$49,$A$6:$A$49,A30,$C$6:$C$49,C30),K30=MAX(IF(AND($A$6:$A$49=A30,$C$6:$C$49=C30),$K$6:$K$49,"")),COUNTIFS($A$6:A30,A30,$C$6:C30,C30,$K$6:K30,K30)=1),-(SUMIFS($L$6:$L$49,$A$6:$A$49,A30,$C$6:$C$49,C30)-SUMIFS($I$6:$I$49,$A$6:$A$49,A30,$C$6:$C$49,C30)),0))</f>
        <v>#VALUE!</v>
      </c>
      <c r="N30" s="29">
        <f t="shared" si="6"/>
        <v>0</v>
      </c>
      <c r="O30" s="25">
        <f t="shared" si="7"/>
        <v>3.16</v>
      </c>
    </row>
    <row r="31" spans="1:22" x14ac:dyDescent="0.2">
      <c r="A31" s="32" t="s">
        <v>14</v>
      </c>
      <c r="B31" s="33" t="s">
        <v>20</v>
      </c>
      <c r="C31" s="33" t="s">
        <v>27</v>
      </c>
      <c r="D31" s="33" t="s">
        <v>28</v>
      </c>
      <c r="E31" s="37">
        <v>1031</v>
      </c>
      <c r="F31" s="37">
        <v>60</v>
      </c>
      <c r="G31" s="23">
        <f t="shared" si="4"/>
        <v>57.28</v>
      </c>
      <c r="H31" s="23">
        <f t="shared" si="5"/>
        <v>1.05</v>
      </c>
      <c r="I31" s="23">
        <f t="shared" si="0"/>
        <v>0</v>
      </c>
      <c r="J31" s="23">
        <f t="shared" si="1"/>
        <v>13.813000000000001</v>
      </c>
      <c r="K31" s="29">
        <f t="shared" si="2"/>
        <v>5.4908710700000002E-2</v>
      </c>
      <c r="L31" s="29">
        <f t="shared" si="3"/>
        <v>2</v>
      </c>
      <c r="M31" s="23" t="e">
        <f t="array" ref="M31">IF(AND(SUMIFS($I$6:$I$49,$A$6:$A$49,A31,$C$6:$C$49,C31)&gt;SUMIFS($L$6:$L$49,$A$6:$A$49,A31,$C$6:$C$49,C31),K31=MIN(IF(AND($A$6:$A$49=A31,$C$6:$C$49=C31),$K$6:$K$49,"")),COUNTIFS($A$6:A31,A31,$C$6:C31,C31,$K$6:K31,K31)=1),-(SUMIFS($L$6:$L$49,$A$6:$A$49,A31,$C$6:$C$49,C31)-SUMIFS($I$6:$I$49,$A$6:$A$49,A31,$C$6:$C$49,C31)),IF(AND(SUMIFS($I$6:$I$49,$A$6:$A$49,A31,$C$6:$C$49,C31)&lt;SUMIFS($L$6:$L$49,$A$6:$A$49,A31,$C$6:$C$49,C31),K31=MAX(IF(AND($A$6:$A$49=A31,$C$6:$C$49=C31),$K$6:$K$49,"")),COUNTIFS($A$6:A31,A31,$C$6:C31,C31,$K$6:K31,K31)=1),-(SUMIFS($L$6:$L$49,$A$6:$A$49,A31,$C$6:$C$49,C31)-SUMIFS($I$6:$I$49,$A$6:$A$49,A31,$C$6:$C$49,C31)),0))</f>
        <v>#VALUE!</v>
      </c>
      <c r="N31" s="29">
        <f t="shared" si="6"/>
        <v>0</v>
      </c>
      <c r="O31" s="25">
        <f t="shared" si="7"/>
        <v>1.05</v>
      </c>
    </row>
    <row r="32" spans="1:22" x14ac:dyDescent="0.2">
      <c r="A32" s="32" t="s">
        <v>14</v>
      </c>
      <c r="B32" s="33" t="s">
        <v>21</v>
      </c>
      <c r="C32" s="33" t="s">
        <v>27</v>
      </c>
      <c r="D32" s="33" t="s">
        <v>28</v>
      </c>
      <c r="E32" s="37">
        <v>2</v>
      </c>
      <c r="F32" s="37">
        <v>0</v>
      </c>
      <c r="G32" s="23">
        <f t="shared" si="4"/>
        <v>0.11</v>
      </c>
      <c r="H32" s="23">
        <f t="shared" si="5"/>
        <v>0</v>
      </c>
      <c r="I32" s="23">
        <f t="shared" si="0"/>
        <v>0</v>
      </c>
      <c r="J32" s="23">
        <f t="shared" si="1"/>
        <v>14.863</v>
      </c>
      <c r="K32" s="29">
        <f t="shared" si="2"/>
        <v>5.9082615499999998E-2</v>
      </c>
      <c r="L32" s="29">
        <f t="shared" si="3"/>
        <v>2</v>
      </c>
      <c r="M32" s="23" t="e">
        <f t="array" ref="M32">IF(AND(SUMIFS($I$6:$I$49,$A$6:$A$49,A32,$C$6:$C$49,C32)&gt;SUMIFS($L$6:$L$49,$A$6:$A$49,A32,$C$6:$C$49,C32),K32=MIN(IF(AND($A$6:$A$49=A32,$C$6:$C$49=C32),$K$6:$K$49,"")),COUNTIFS($A$6:A32,A32,$C$6:C32,C32,$K$6:K32,K32)=1),-(SUMIFS($L$6:$L$49,$A$6:$A$49,A32,$C$6:$C$49,C32)-SUMIFS($I$6:$I$49,$A$6:$A$49,A32,$C$6:$C$49,C32)),IF(AND(SUMIFS($I$6:$I$49,$A$6:$A$49,A32,$C$6:$C$49,C32)&lt;SUMIFS($L$6:$L$49,$A$6:$A$49,A32,$C$6:$C$49,C32),K32=MAX(IF(AND($A$6:$A$49=A32,$C$6:$C$49=C32),$K$6:$K$49,"")),COUNTIFS($A$6:A32,A32,$C$6:C32,C32,$K$6:K32,K32)=1),-(SUMIFS($L$6:$L$49,$A$6:$A$49,A32,$C$6:$C$49,C32)-SUMIFS($I$6:$I$49,$A$6:$A$49,A32,$C$6:$C$49,C32)),0))</f>
        <v>#VALUE!</v>
      </c>
      <c r="N32" s="29">
        <f t="shared" si="6"/>
        <v>0</v>
      </c>
      <c r="O32" s="25">
        <f t="shared" si="7"/>
        <v>0</v>
      </c>
    </row>
    <row r="33" spans="1:15" x14ac:dyDescent="0.2">
      <c r="A33" s="32" t="s">
        <v>14</v>
      </c>
      <c r="B33" s="33" t="s">
        <v>22</v>
      </c>
      <c r="C33" s="33" t="s">
        <v>27</v>
      </c>
      <c r="D33" s="33" t="s">
        <v>28</v>
      </c>
      <c r="E33" s="37">
        <v>1753</v>
      </c>
      <c r="F33" s="37">
        <v>146</v>
      </c>
      <c r="G33" s="23">
        <f t="shared" si="4"/>
        <v>97.39</v>
      </c>
      <c r="H33" s="23">
        <f t="shared" si="5"/>
        <v>1.5</v>
      </c>
      <c r="I33" s="23">
        <f t="shared" si="0"/>
        <v>0</v>
      </c>
      <c r="J33" s="23">
        <f t="shared" si="1"/>
        <v>13.363</v>
      </c>
      <c r="K33" s="29">
        <f t="shared" si="2"/>
        <v>5.3119894399999999E-2</v>
      </c>
      <c r="L33" s="29">
        <f t="shared" si="3"/>
        <v>2</v>
      </c>
      <c r="M33" s="23" t="e">
        <f t="array" ref="M33">IF(AND(SUMIFS($I$6:$I$49,$A$6:$A$49,A33,$C$6:$C$49,C33)&gt;SUMIFS($L$6:$L$49,$A$6:$A$49,A33,$C$6:$C$49,C33),K33=MIN(IF(AND($A$6:$A$49=A33,$C$6:$C$49=C33),$K$6:$K$49,"")),COUNTIFS($A$6:A33,A33,$C$6:C33,C33,$K$6:K33,K33)=1),-(SUMIFS($L$6:$L$49,$A$6:$A$49,A33,$C$6:$C$49,C33)-SUMIFS($I$6:$I$49,$A$6:$A$49,A33,$C$6:$C$49,C33)),IF(AND(SUMIFS($I$6:$I$49,$A$6:$A$49,A33,$C$6:$C$49,C33)&lt;SUMIFS($L$6:$L$49,$A$6:$A$49,A33,$C$6:$C$49,C33),K33=MAX(IF(AND($A$6:$A$49=A33,$C$6:$C$49=C33),$K$6:$K$49,"")),COUNTIFS($A$6:A33,A33,$C$6:C33,C33,$K$6:K33,K33)=1),-(SUMIFS($L$6:$L$49,$A$6:$A$49,A33,$C$6:$C$49,C33)-SUMIFS($I$6:$I$49,$A$6:$A$49,A33,$C$6:$C$49,C33)),0))</f>
        <v>#VALUE!</v>
      </c>
      <c r="N33" s="29">
        <f t="shared" si="6"/>
        <v>0</v>
      </c>
      <c r="O33" s="25">
        <f t="shared" si="7"/>
        <v>1.5</v>
      </c>
    </row>
    <row r="34" spans="1:15" x14ac:dyDescent="0.2">
      <c r="A34" s="32" t="s">
        <v>14</v>
      </c>
      <c r="B34" s="33" t="s">
        <v>23</v>
      </c>
      <c r="C34" s="33" t="s">
        <v>27</v>
      </c>
      <c r="D34" s="33" t="s">
        <v>28</v>
      </c>
      <c r="E34" s="37">
        <v>1005</v>
      </c>
      <c r="F34" s="37">
        <v>0</v>
      </c>
      <c r="G34" s="23">
        <f t="shared" si="4"/>
        <v>55.83</v>
      </c>
      <c r="H34" s="23">
        <f t="shared" si="5"/>
        <v>0</v>
      </c>
      <c r="I34" s="23">
        <f t="shared" si="0"/>
        <v>0</v>
      </c>
      <c r="J34" s="23">
        <f t="shared" si="1"/>
        <v>14.863</v>
      </c>
      <c r="K34" s="29">
        <f t="shared" si="2"/>
        <v>5.9082615499999998E-2</v>
      </c>
      <c r="L34" s="29">
        <f t="shared" si="3"/>
        <v>2</v>
      </c>
      <c r="M34" s="23" t="e">
        <f t="array" ref="M34">IF(AND(SUMIFS($I$6:$I$49,$A$6:$A$49,A34,$C$6:$C$49,C34)&gt;SUMIFS($L$6:$L$49,$A$6:$A$49,A34,$C$6:$C$49,C34),K34=MIN(IF(AND($A$6:$A$49=A34,$C$6:$C$49=C34),$K$6:$K$49,"")),COUNTIFS($A$6:A34,A34,$C$6:C34,C34,$K$6:K34,K34)=1),-(SUMIFS($L$6:$L$49,$A$6:$A$49,A34,$C$6:$C$49,C34)-SUMIFS($I$6:$I$49,$A$6:$A$49,A34,$C$6:$C$49,C34)),IF(AND(SUMIFS($I$6:$I$49,$A$6:$A$49,A34,$C$6:$C$49,C34)&lt;SUMIFS($L$6:$L$49,$A$6:$A$49,A34,$C$6:$C$49,C34),K34=MAX(IF(AND($A$6:$A$49=A34,$C$6:$C$49=C34),$K$6:$K$49,"")),COUNTIFS($A$6:A34,A34,$C$6:C34,C34,$K$6:K34,K34)=1),-(SUMIFS($L$6:$L$49,$A$6:$A$49,A34,$C$6:$C$49,C34)-SUMIFS($I$6:$I$49,$A$6:$A$49,A34,$C$6:$C$49,C34)),0))</f>
        <v>#VALUE!</v>
      </c>
      <c r="N34" s="29">
        <f t="shared" si="6"/>
        <v>0</v>
      </c>
      <c r="O34" s="25">
        <f t="shared" si="7"/>
        <v>0</v>
      </c>
    </row>
    <row r="35" spans="1:15" x14ac:dyDescent="0.2">
      <c r="A35" s="32" t="s">
        <v>14</v>
      </c>
      <c r="B35" s="33" t="s">
        <v>24</v>
      </c>
      <c r="C35" s="33" t="s">
        <v>27</v>
      </c>
      <c r="D35" s="33" t="s">
        <v>28</v>
      </c>
      <c r="E35" s="37">
        <v>1779</v>
      </c>
      <c r="F35" s="37">
        <v>40</v>
      </c>
      <c r="G35" s="23">
        <f t="shared" si="4"/>
        <v>98.83</v>
      </c>
      <c r="H35" s="23">
        <f t="shared" si="5"/>
        <v>0.4</v>
      </c>
      <c r="I35" s="23">
        <f t="shared" si="0"/>
        <v>0</v>
      </c>
      <c r="J35" s="23">
        <f t="shared" si="1"/>
        <v>14.462999999999999</v>
      </c>
      <c r="K35" s="29">
        <f t="shared" si="2"/>
        <v>5.74925565E-2</v>
      </c>
      <c r="L35" s="29">
        <f t="shared" si="3"/>
        <v>2</v>
      </c>
      <c r="M35" s="23" t="e">
        <f t="array" ref="M35">IF(AND(SUMIFS($I$6:$I$49,$A$6:$A$49,A35,$C$6:$C$49,C35)&gt;SUMIFS($L$6:$L$49,$A$6:$A$49,A35,$C$6:$C$49,C35),K35=MIN(IF(AND($A$6:$A$49=A35,$C$6:$C$49=C35),$K$6:$K$49,"")),COUNTIFS($A$6:A35,A35,$C$6:C35,C35,$K$6:K35,K35)=1),-(SUMIFS($L$6:$L$49,$A$6:$A$49,A35,$C$6:$C$49,C35)-SUMIFS($I$6:$I$49,$A$6:$A$49,A35,$C$6:$C$49,C35)),IF(AND(SUMIFS($I$6:$I$49,$A$6:$A$49,A35,$C$6:$C$49,C35)&lt;SUMIFS($L$6:$L$49,$A$6:$A$49,A35,$C$6:$C$49,C35),K35=MAX(IF(AND($A$6:$A$49=A35,$C$6:$C$49=C35),$K$6:$K$49,"")),COUNTIFS($A$6:A35,A35,$C$6:C35,C35,$K$6:K35,K35)=1),-(SUMIFS($L$6:$L$49,$A$6:$A$49,A35,$C$6:$C$49,C35)-SUMIFS($I$6:$I$49,$A$6:$A$49,A35,$C$6:$C$49,C35)),0))</f>
        <v>#VALUE!</v>
      </c>
      <c r="N35" s="29">
        <f t="shared" si="6"/>
        <v>0</v>
      </c>
      <c r="O35" s="25">
        <f t="shared" si="7"/>
        <v>0.4</v>
      </c>
    </row>
    <row r="36" spans="1:15" x14ac:dyDescent="0.2">
      <c r="A36" s="32" t="s">
        <v>14</v>
      </c>
      <c r="B36" s="33" t="s">
        <v>25</v>
      </c>
      <c r="C36" s="33" t="s">
        <v>27</v>
      </c>
      <c r="D36" s="33" t="s">
        <v>28</v>
      </c>
      <c r="E36" s="37">
        <v>10</v>
      </c>
      <c r="F36" s="37">
        <v>0</v>
      </c>
      <c r="G36" s="23">
        <f t="shared" si="4"/>
        <v>0.56000000000000005</v>
      </c>
      <c r="H36" s="23">
        <f t="shared" si="5"/>
        <v>0</v>
      </c>
      <c r="I36" s="23">
        <f t="shared" si="0"/>
        <v>0</v>
      </c>
      <c r="J36" s="23">
        <f t="shared" si="1"/>
        <v>14.863</v>
      </c>
      <c r="K36" s="29">
        <f t="shared" si="2"/>
        <v>5.9082615499999998E-2</v>
      </c>
      <c r="L36" s="29">
        <f t="shared" si="3"/>
        <v>2</v>
      </c>
      <c r="M36" s="23" t="e">
        <f t="array" ref="M36">IF(AND(SUMIFS($I$6:$I$49,$A$6:$A$49,A36,$C$6:$C$49,C36)&gt;SUMIFS($L$6:$L$49,$A$6:$A$49,A36,$C$6:$C$49,C36),K36=MIN(IF(AND($A$6:$A$49=A36,$C$6:$C$49=C36),$K$6:$K$49,"")),COUNTIFS($A$6:A36,A36,$C$6:C36,C36,$K$6:K36,K36)=1),-(SUMIFS($L$6:$L$49,$A$6:$A$49,A36,$C$6:$C$49,C36)-SUMIFS($I$6:$I$49,$A$6:$A$49,A36,$C$6:$C$49,C36)),IF(AND(SUMIFS($I$6:$I$49,$A$6:$A$49,A36,$C$6:$C$49,C36)&lt;SUMIFS($L$6:$L$49,$A$6:$A$49,A36,$C$6:$C$49,C36),K36=MAX(IF(AND($A$6:$A$49=A36,$C$6:$C$49=C36),$K$6:$K$49,"")),COUNTIFS($A$6:A36,A36,$C$6:C36,C36,$K$6:K36,K36)=1),-(SUMIFS($L$6:$L$49,$A$6:$A$49,A36,$C$6:$C$49,C36)-SUMIFS($I$6:$I$49,$A$6:$A$49,A36,$C$6:$C$49,C36)),0))</f>
        <v>#VALUE!</v>
      </c>
      <c r="N36" s="29">
        <f t="shared" si="6"/>
        <v>0</v>
      </c>
      <c r="O36" s="25">
        <f t="shared" si="7"/>
        <v>0</v>
      </c>
    </row>
    <row r="37" spans="1:15" x14ac:dyDescent="0.2">
      <c r="A37" s="32" t="s">
        <v>14</v>
      </c>
      <c r="B37" s="33" t="s">
        <v>26</v>
      </c>
      <c r="C37" s="33" t="s">
        <v>27</v>
      </c>
      <c r="D37" s="33" t="s">
        <v>28</v>
      </c>
      <c r="E37" s="37">
        <v>108</v>
      </c>
      <c r="F37" s="37">
        <v>0</v>
      </c>
      <c r="G37" s="23">
        <f t="shared" si="4"/>
        <v>6</v>
      </c>
      <c r="H37" s="23">
        <f t="shared" si="5"/>
        <v>0</v>
      </c>
      <c r="I37" s="23">
        <f t="shared" si="0"/>
        <v>0</v>
      </c>
      <c r="J37" s="23">
        <f t="shared" si="1"/>
        <v>14.863</v>
      </c>
      <c r="K37" s="29">
        <f t="shared" si="2"/>
        <v>5.9082615499999998E-2</v>
      </c>
      <c r="L37" s="29">
        <f t="shared" si="3"/>
        <v>2</v>
      </c>
      <c r="M37" s="23" t="e">
        <f t="array" ref="M37">IF(AND(SUMIFS($I$6:$I$49,$A$6:$A$49,A37,$C$6:$C$49,C37)&gt;SUMIFS($L$6:$L$49,$A$6:$A$49,A37,$C$6:$C$49,C37),K37=MIN(IF(AND($A$6:$A$49=A37,$C$6:$C$49=C37),$K$6:$K$49,"")),COUNTIFS($A$6:A37,A37,$C$6:C37,C37,$K$6:K37,K37)=1),-(SUMIFS($L$6:$L$49,$A$6:$A$49,A37,$C$6:$C$49,C37)-SUMIFS($I$6:$I$49,$A$6:$A$49,A37,$C$6:$C$49,C37)),IF(AND(SUMIFS($I$6:$I$49,$A$6:$A$49,A37,$C$6:$C$49,C37)&lt;SUMIFS($L$6:$L$49,$A$6:$A$49,A37,$C$6:$C$49,C37),K37=MAX(IF(AND($A$6:$A$49=A37,$C$6:$C$49=C37),$K$6:$K$49,"")),COUNTIFS($A$6:A37,A37,$C$6:C37,C37,$K$6:K37,K37)=1),-(SUMIFS($L$6:$L$49,$A$6:$A$49,A37,$C$6:$C$49,C37)-SUMIFS($I$6:$I$49,$A$6:$A$49,A37,$C$6:$C$49,C37)),0))</f>
        <v>#VALUE!</v>
      </c>
      <c r="N37" s="29">
        <f t="shared" si="6"/>
        <v>0</v>
      </c>
      <c r="O37" s="25">
        <f t="shared" si="7"/>
        <v>0</v>
      </c>
    </row>
    <row r="38" spans="1:15" x14ac:dyDescent="0.2">
      <c r="A38" s="32" t="s">
        <v>14</v>
      </c>
      <c r="B38" s="33" t="s">
        <v>33</v>
      </c>
      <c r="C38" s="33" t="s">
        <v>27</v>
      </c>
      <c r="D38" s="33" t="s">
        <v>28</v>
      </c>
      <c r="E38" s="37">
        <v>1031.2</v>
      </c>
      <c r="F38" s="37">
        <v>374</v>
      </c>
      <c r="G38" s="23">
        <f t="shared" si="4"/>
        <v>57.29</v>
      </c>
      <c r="H38" s="23">
        <f t="shared" si="5"/>
        <v>6.53</v>
      </c>
      <c r="I38" s="23">
        <f t="shared" si="0"/>
        <v>0</v>
      </c>
      <c r="J38" s="23">
        <f t="shared" si="1"/>
        <v>8.3330000000000002</v>
      </c>
      <c r="K38" s="29">
        <f t="shared" si="2"/>
        <v>3.3124903099999999E-2</v>
      </c>
      <c r="L38" s="29">
        <f t="shared" si="3"/>
        <v>1</v>
      </c>
      <c r="M38" s="23" t="e">
        <f t="array" ref="M38">IF(AND(SUMIFS($I$6:$I$49,$A$6:$A$49,A38,$C$6:$C$49,C38)&gt;SUMIFS($L$6:$L$49,$A$6:$A$49,A38,$C$6:$C$49,C38),K38=MIN(IF(AND($A$6:$A$49=A38,$C$6:$C$49=C38),$K$6:$K$49,"")),COUNTIFS($A$6:A38,A38,$C$6:C38,C38,$K$6:K38,K38)=1),-(SUMIFS($L$6:$L$49,$A$6:$A$49,A38,$C$6:$C$49,C38)-SUMIFS($I$6:$I$49,$A$6:$A$49,A38,$C$6:$C$49,C38)),IF(AND(SUMIFS($I$6:$I$49,$A$6:$A$49,A38,$C$6:$C$49,C38)&lt;SUMIFS($L$6:$L$49,$A$6:$A$49,A38,$C$6:$C$49,C38),K38=MAX(IF(AND($A$6:$A$49=A38,$C$6:$C$49=C38),$K$6:$K$49,"")),COUNTIFS($A$6:A38,A38,$C$6:C38,C38,$K$6:K38,K38)=1),-(SUMIFS($L$6:$L$49,$A$6:$A$49,A38,$C$6:$C$49,C38)-SUMIFS($I$6:$I$49,$A$6:$A$49,A38,$C$6:$C$49,C38)),0))</f>
        <v>#VALUE!</v>
      </c>
      <c r="N38" s="29">
        <f t="shared" si="6"/>
        <v>0</v>
      </c>
      <c r="O38" s="25">
        <f t="shared" si="7"/>
        <v>6.53</v>
      </c>
    </row>
    <row r="39" spans="1:15" x14ac:dyDescent="0.2">
      <c r="A39" s="32" t="s">
        <v>14</v>
      </c>
      <c r="B39" s="33" t="s">
        <v>34</v>
      </c>
      <c r="C39" s="33" t="s">
        <v>27</v>
      </c>
      <c r="D39" s="33" t="s">
        <v>28</v>
      </c>
      <c r="E39" s="37">
        <v>3</v>
      </c>
      <c r="F39" s="37">
        <v>20</v>
      </c>
      <c r="G39" s="23">
        <f t="shared" si="4"/>
        <v>0.17</v>
      </c>
      <c r="H39" s="23">
        <f t="shared" si="5"/>
        <v>117.65</v>
      </c>
      <c r="I39" s="23">
        <f t="shared" si="0"/>
        <v>17</v>
      </c>
      <c r="J39" s="23">
        <f t="shared" si="1"/>
        <v>0</v>
      </c>
      <c r="K39" s="29" t="str">
        <f t="shared" si="2"/>
        <v/>
      </c>
      <c r="L39" s="29">
        <f t="shared" si="3"/>
        <v>0</v>
      </c>
      <c r="M39" s="23" t="e">
        <f t="array" ref="M39">IF(AND(SUMIFS($I$6:$I$49,$A$6:$A$49,A39,$C$6:$C$49,C39)&gt;SUMIFS($L$6:$L$49,$A$6:$A$49,A39,$C$6:$C$49,C39),K39=MIN(IF(AND($A$6:$A$49=A39,$C$6:$C$49=C39),$K$6:$K$49,"")),COUNTIFS($A$6:A39,A39,$C$6:C39,C39,$K$6:K39,K39)=1),-(SUMIFS($L$6:$L$49,$A$6:$A$49,A39,$C$6:$C$49,C39)-SUMIFS($I$6:$I$49,$A$6:$A$49,A39,$C$6:$C$49,C39)),IF(AND(SUMIFS($I$6:$I$49,$A$6:$A$49,A39,$C$6:$C$49,C39)&lt;SUMIFS($L$6:$L$49,$A$6:$A$49,A39,$C$6:$C$49,C39),K39=MAX(IF(AND($A$6:$A$49=A39,$C$6:$C$49=C39),$K$6:$K$49,"")),COUNTIFS($A$6:A39,A39,$C$6:C39,C39,$K$6:K39,K39)=1),-(SUMIFS($L$6:$L$49,$A$6:$A$49,A39,$C$6:$C$49,C39)-SUMIFS($I$6:$I$49,$A$6:$A$49,A39,$C$6:$C$49,C39)),0))</f>
        <v>#VALUE!</v>
      </c>
      <c r="N39" s="29">
        <f t="shared" si="6"/>
        <v>0</v>
      </c>
      <c r="O39" s="25">
        <f t="shared" si="7"/>
        <v>17.649999999999999</v>
      </c>
    </row>
    <row r="40" spans="1:15" x14ac:dyDescent="0.2">
      <c r="A40" s="32" t="s">
        <v>14</v>
      </c>
      <c r="B40" s="33" t="s">
        <v>35</v>
      </c>
      <c r="C40" s="33" t="s">
        <v>27</v>
      </c>
      <c r="D40" s="33" t="s">
        <v>28</v>
      </c>
      <c r="E40" s="37">
        <v>1266</v>
      </c>
      <c r="F40" s="37">
        <v>348</v>
      </c>
      <c r="G40" s="23">
        <f t="shared" si="4"/>
        <v>70.33</v>
      </c>
      <c r="H40" s="23">
        <f t="shared" si="5"/>
        <v>4.95</v>
      </c>
      <c r="I40" s="23">
        <f t="shared" si="0"/>
        <v>0</v>
      </c>
      <c r="J40" s="23">
        <f t="shared" si="1"/>
        <v>9.9130000000000003</v>
      </c>
      <c r="K40" s="29">
        <f t="shared" si="2"/>
        <v>3.9405636000000001E-2</v>
      </c>
      <c r="L40" s="29">
        <f t="shared" si="3"/>
        <v>1</v>
      </c>
      <c r="M40" s="23" t="e">
        <f t="array" ref="M40">IF(AND(SUMIFS($I$6:$I$49,$A$6:$A$49,A40,$C$6:$C$49,C40)&gt;SUMIFS($L$6:$L$49,$A$6:$A$49,A40,$C$6:$C$49,C40),K40=MIN(IF(AND($A$6:$A$49=A40,$C$6:$C$49=C40),$K$6:$K$49,"")),COUNTIFS($A$6:A40,A40,$C$6:C40,C40,$K$6:K40,K40)=1),-(SUMIFS($L$6:$L$49,$A$6:$A$49,A40,$C$6:$C$49,C40)-SUMIFS($I$6:$I$49,$A$6:$A$49,A40,$C$6:$C$49,C40)),IF(AND(SUMIFS($I$6:$I$49,$A$6:$A$49,A40,$C$6:$C$49,C40)&lt;SUMIFS($L$6:$L$49,$A$6:$A$49,A40,$C$6:$C$49,C40),K40=MAX(IF(AND($A$6:$A$49=A40,$C$6:$C$49=C40),$K$6:$K$49,"")),COUNTIFS($A$6:A40,A40,$C$6:C40,C40,$K$6:K40,K40)=1),-(SUMIFS($L$6:$L$49,$A$6:$A$49,A40,$C$6:$C$49,C40)-SUMIFS($I$6:$I$49,$A$6:$A$49,A40,$C$6:$C$49,C40)),0))</f>
        <v>#VALUE!</v>
      </c>
      <c r="N40" s="29">
        <f t="shared" si="6"/>
        <v>0</v>
      </c>
      <c r="O40" s="25">
        <f t="shared" si="7"/>
        <v>4.95</v>
      </c>
    </row>
    <row r="41" spans="1:15" x14ac:dyDescent="0.2">
      <c r="A41" s="32" t="s">
        <v>14</v>
      </c>
      <c r="B41" s="33" t="s">
        <v>36</v>
      </c>
      <c r="C41" s="33" t="s">
        <v>27</v>
      </c>
      <c r="D41" s="33" t="s">
        <v>28</v>
      </c>
      <c r="E41" s="37">
        <v>6319</v>
      </c>
      <c r="F41" s="37">
        <v>676</v>
      </c>
      <c r="G41" s="23">
        <f t="shared" si="4"/>
        <v>351.06</v>
      </c>
      <c r="H41" s="23">
        <f t="shared" si="5"/>
        <v>1.93</v>
      </c>
      <c r="I41" s="23">
        <f t="shared" si="0"/>
        <v>0</v>
      </c>
      <c r="J41" s="23">
        <f t="shared" si="1"/>
        <v>12.933</v>
      </c>
      <c r="K41" s="29">
        <f t="shared" si="2"/>
        <v>5.1410580999999997E-2</v>
      </c>
      <c r="L41" s="29">
        <f t="shared" si="3"/>
        <v>2</v>
      </c>
      <c r="M41" s="23" t="e">
        <f t="array" ref="M41">IF(AND(SUMIFS($I$6:$I$49,$A$6:$A$49,A41,$C$6:$C$49,C41)&gt;SUMIFS($L$6:$L$49,$A$6:$A$49,A41,$C$6:$C$49,C41),K41=MIN(IF(AND($A$6:$A$49=A41,$C$6:$C$49=C41),$K$6:$K$49,"")),COUNTIFS($A$6:A41,A41,$C$6:C41,C41,$K$6:K41,K41)=1),-(SUMIFS($L$6:$L$49,$A$6:$A$49,A41,$C$6:$C$49,C41)-SUMIFS($I$6:$I$49,$A$6:$A$49,A41,$C$6:$C$49,C41)),IF(AND(SUMIFS($I$6:$I$49,$A$6:$A$49,A41,$C$6:$C$49,C41)&lt;SUMIFS($L$6:$L$49,$A$6:$A$49,A41,$C$6:$C$49,C41),K41=MAX(IF(AND($A$6:$A$49=A41,$C$6:$C$49=C41),$K$6:$K$49,"")),COUNTIFS($A$6:A41,A41,$C$6:C41,C41,$K$6:K41,K41)=1),-(SUMIFS($L$6:$L$49,$A$6:$A$49,A41,$C$6:$C$49,C41)-SUMIFS($I$6:$I$49,$A$6:$A$49,A41,$C$6:$C$49,C41)),0))</f>
        <v>#VALUE!</v>
      </c>
      <c r="N41" s="29">
        <f t="shared" si="6"/>
        <v>0</v>
      </c>
      <c r="O41" s="25">
        <f t="shared" si="7"/>
        <v>1.93</v>
      </c>
    </row>
    <row r="42" spans="1:15" x14ac:dyDescent="0.2">
      <c r="A42" s="32" t="s">
        <v>14</v>
      </c>
      <c r="B42" s="33" t="s">
        <v>37</v>
      </c>
      <c r="C42" s="33" t="s">
        <v>27</v>
      </c>
      <c r="D42" s="33" t="s">
        <v>28</v>
      </c>
      <c r="E42" s="37">
        <v>712</v>
      </c>
      <c r="F42" s="37">
        <v>2</v>
      </c>
      <c r="G42" s="23">
        <f t="shared" si="4"/>
        <v>39.56</v>
      </c>
      <c r="H42" s="23">
        <f t="shared" si="5"/>
        <v>0.05</v>
      </c>
      <c r="I42" s="23">
        <f t="shared" si="0"/>
        <v>0</v>
      </c>
      <c r="J42" s="23">
        <f t="shared" si="1"/>
        <v>14.813000000000001</v>
      </c>
      <c r="K42" s="29">
        <f t="shared" si="2"/>
        <v>5.8883858099999999E-2</v>
      </c>
      <c r="L42" s="29">
        <f t="shared" si="3"/>
        <v>2</v>
      </c>
      <c r="M42" s="23" t="e">
        <f t="array" ref="M42">IF(AND(SUMIFS($I$6:$I$49,$A$6:$A$49,A42,$C$6:$C$49,C42)&gt;SUMIFS($L$6:$L$49,$A$6:$A$49,A42,$C$6:$C$49,C42),K42=MIN(IF(AND($A$6:$A$49=A42,$C$6:$C$49=C42),$K$6:$K$49,"")),COUNTIFS($A$6:A42,A42,$C$6:C42,C42,$K$6:K42,K42)=1),-(SUMIFS($L$6:$L$49,$A$6:$A$49,A42,$C$6:$C$49,C42)-SUMIFS($I$6:$I$49,$A$6:$A$49,A42,$C$6:$C$49,C42)),IF(AND(SUMIFS($I$6:$I$49,$A$6:$A$49,A42,$C$6:$C$49,C42)&lt;SUMIFS($L$6:$L$49,$A$6:$A$49,A42,$C$6:$C$49,C42),K42=MAX(IF(AND($A$6:$A$49=A42,$C$6:$C$49=C42),$K$6:$K$49,"")),COUNTIFS($A$6:A42,A42,$C$6:C42,C42,$K$6:K42,K42)=1),-(SUMIFS($L$6:$L$49,$A$6:$A$49,A42,$C$6:$C$49,C42)-SUMIFS($I$6:$I$49,$A$6:$A$49,A42,$C$6:$C$49,C42)),0))</f>
        <v>#VALUE!</v>
      </c>
      <c r="N42" s="29">
        <f t="shared" si="6"/>
        <v>0</v>
      </c>
      <c r="O42" s="25">
        <f t="shared" si="7"/>
        <v>0.05</v>
      </c>
    </row>
    <row r="43" spans="1:15" x14ac:dyDescent="0.2">
      <c r="A43" s="32" t="s">
        <v>14</v>
      </c>
      <c r="B43" s="33" t="s">
        <v>38</v>
      </c>
      <c r="C43" s="33" t="s">
        <v>27</v>
      </c>
      <c r="D43" s="33" t="s">
        <v>28</v>
      </c>
      <c r="E43" s="37">
        <v>1910</v>
      </c>
      <c r="F43" s="37">
        <v>199</v>
      </c>
      <c r="G43" s="23">
        <f t="shared" si="4"/>
        <v>106.11</v>
      </c>
      <c r="H43" s="23">
        <f t="shared" si="5"/>
        <v>1.88</v>
      </c>
      <c r="I43" s="23">
        <f t="shared" si="0"/>
        <v>0</v>
      </c>
      <c r="J43" s="23">
        <f t="shared" si="1"/>
        <v>12.983000000000001</v>
      </c>
      <c r="K43" s="29">
        <f t="shared" si="2"/>
        <v>5.1609338400000003E-2</v>
      </c>
      <c r="L43" s="29">
        <f t="shared" si="3"/>
        <v>2</v>
      </c>
      <c r="M43" s="23" t="e">
        <f t="array" ref="M43">IF(AND(SUMIFS($I$6:$I$49,$A$6:$A$49,A43,$C$6:$C$49,C43)&gt;SUMIFS($L$6:$L$49,$A$6:$A$49,A43,$C$6:$C$49,C43),K43=MIN(IF(AND($A$6:$A$49=A43,$C$6:$C$49=C43),$K$6:$K$49,"")),COUNTIFS($A$6:A43,A43,$C$6:C43,C43,$K$6:K43,K43)=1),-(SUMIFS($L$6:$L$49,$A$6:$A$49,A43,$C$6:$C$49,C43)-SUMIFS($I$6:$I$49,$A$6:$A$49,A43,$C$6:$C$49,C43)),IF(AND(SUMIFS($I$6:$I$49,$A$6:$A$49,A43,$C$6:$C$49,C43)&lt;SUMIFS($L$6:$L$49,$A$6:$A$49,A43,$C$6:$C$49,C43),K43=MAX(IF(AND($A$6:$A$49=A43,$C$6:$C$49=C43),$K$6:$K$49,"")),COUNTIFS($A$6:A43,A43,$C$6:C43,C43,$K$6:K43,K43)=1),-(SUMIFS($L$6:$L$49,$A$6:$A$49,A43,$C$6:$C$49,C43)-SUMIFS($I$6:$I$49,$A$6:$A$49,A43,$C$6:$C$49,C43)),0))</f>
        <v>#VALUE!</v>
      </c>
      <c r="N43" s="29">
        <f t="shared" si="6"/>
        <v>0</v>
      </c>
      <c r="O43" s="25">
        <f t="shared" si="7"/>
        <v>1.88</v>
      </c>
    </row>
    <row r="44" spans="1:15" x14ac:dyDescent="0.2">
      <c r="A44" s="32" t="s">
        <v>14</v>
      </c>
      <c r="B44" s="33" t="s">
        <v>39</v>
      </c>
      <c r="C44" s="33" t="s">
        <v>27</v>
      </c>
      <c r="D44" s="33" t="s">
        <v>28</v>
      </c>
      <c r="E44" s="37">
        <v>545</v>
      </c>
      <c r="F44" s="37">
        <v>241</v>
      </c>
      <c r="G44" s="23">
        <f t="shared" si="4"/>
        <v>30.28</v>
      </c>
      <c r="H44" s="23">
        <f t="shared" si="5"/>
        <v>7.96</v>
      </c>
      <c r="I44" s="23">
        <f t="shared" si="0"/>
        <v>0</v>
      </c>
      <c r="J44" s="23">
        <f t="shared" si="1"/>
        <v>6.9029999999999996</v>
      </c>
      <c r="K44" s="29">
        <f t="shared" si="2"/>
        <v>2.7440442400000001E-2</v>
      </c>
      <c r="L44" s="29">
        <f t="shared" si="3"/>
        <v>1</v>
      </c>
      <c r="M44" s="23" t="e">
        <f t="array" ref="M44">IF(AND(SUMIFS($I$6:$I$49,$A$6:$A$49,A44,$C$6:$C$49,C44)&gt;SUMIFS($L$6:$L$49,$A$6:$A$49,A44,$C$6:$C$49,C44),K44=MIN(IF(AND($A$6:$A$49=A44,$C$6:$C$49=C44),$K$6:$K$49,"")),COUNTIFS($A$6:A44,A44,$C$6:C44,C44,$K$6:K44,K44)=1),-(SUMIFS($L$6:$L$49,$A$6:$A$49,A44,$C$6:$C$49,C44)-SUMIFS($I$6:$I$49,$A$6:$A$49,A44,$C$6:$C$49,C44)),IF(AND(SUMIFS($I$6:$I$49,$A$6:$A$49,A44,$C$6:$C$49,C44)&lt;SUMIFS($L$6:$L$49,$A$6:$A$49,A44,$C$6:$C$49,C44),K44=MAX(IF(AND($A$6:$A$49=A44,$C$6:$C$49=C44),$K$6:$K$49,"")),COUNTIFS($A$6:A44,A44,$C$6:C44,C44,$K$6:K44,K44)=1),-(SUMIFS($L$6:$L$49,$A$6:$A$49,A44,$C$6:$C$49,C44)-SUMIFS($I$6:$I$49,$A$6:$A$49,A44,$C$6:$C$49,C44)),0))</f>
        <v>#VALUE!</v>
      </c>
      <c r="N44" s="29">
        <f t="shared" si="6"/>
        <v>0</v>
      </c>
      <c r="O44" s="25">
        <f t="shared" si="7"/>
        <v>7.96</v>
      </c>
    </row>
    <row r="45" spans="1:15" x14ac:dyDescent="0.2">
      <c r="A45" s="32" t="s">
        <v>14</v>
      </c>
      <c r="B45" s="33" t="s">
        <v>40</v>
      </c>
      <c r="C45" s="33" t="s">
        <v>27</v>
      </c>
      <c r="D45" s="33" t="s">
        <v>28</v>
      </c>
      <c r="E45" s="37">
        <v>223</v>
      </c>
      <c r="F45" s="37">
        <v>60</v>
      </c>
      <c r="G45" s="23">
        <f t="shared" si="4"/>
        <v>12.39</v>
      </c>
      <c r="H45" s="23">
        <f t="shared" si="5"/>
        <v>4.84</v>
      </c>
      <c r="I45" s="23">
        <f t="shared" si="0"/>
        <v>0</v>
      </c>
      <c r="J45" s="23">
        <f t="shared" si="1"/>
        <v>10.023</v>
      </c>
      <c r="K45" s="29">
        <f t="shared" si="2"/>
        <v>3.9842902200000002E-2</v>
      </c>
      <c r="L45" s="29">
        <f t="shared" si="3"/>
        <v>1</v>
      </c>
      <c r="M45" s="23" t="e">
        <f t="array" ref="M45">IF(AND(SUMIFS($I$6:$I$49,$A$6:$A$49,A45,$C$6:$C$49,C45)&gt;SUMIFS($L$6:$L$49,$A$6:$A$49,A45,$C$6:$C$49,C45),K45=MIN(IF(AND($A$6:$A$49=A45,$C$6:$C$49=C45),$K$6:$K$49,"")),COUNTIFS($A$6:A45,A45,$C$6:C45,C45,$K$6:K45,K45)=1),-(SUMIFS($L$6:$L$49,$A$6:$A$49,A45,$C$6:$C$49,C45)-SUMIFS($I$6:$I$49,$A$6:$A$49,A45,$C$6:$C$49,C45)),IF(AND(SUMIFS($I$6:$I$49,$A$6:$A$49,A45,$C$6:$C$49,C45)&lt;SUMIFS($L$6:$L$49,$A$6:$A$49,A45,$C$6:$C$49,C45),K45=MAX(IF(AND($A$6:$A$49=A45,$C$6:$C$49=C45),$K$6:$K$49,"")),COUNTIFS($A$6:A45,A45,$C$6:C45,C45,$K$6:K45,K45)=1),-(SUMIFS($L$6:$L$49,$A$6:$A$49,A45,$C$6:$C$49,C45)-SUMIFS($I$6:$I$49,$A$6:$A$49,A45,$C$6:$C$49,C45)),0))</f>
        <v>#VALUE!</v>
      </c>
      <c r="N45" s="29">
        <f t="shared" si="6"/>
        <v>0</v>
      </c>
      <c r="O45" s="25">
        <f t="shared" si="7"/>
        <v>4.84</v>
      </c>
    </row>
    <row r="46" spans="1:15" x14ac:dyDescent="0.2">
      <c r="A46" s="32" t="s">
        <v>14</v>
      </c>
      <c r="B46" s="33" t="s">
        <v>41</v>
      </c>
      <c r="C46" s="33" t="s">
        <v>27</v>
      </c>
      <c r="D46" s="33" t="s">
        <v>28</v>
      </c>
      <c r="E46" s="37">
        <v>6097.5020000000022</v>
      </c>
      <c r="F46" s="37">
        <v>437</v>
      </c>
      <c r="G46" s="23">
        <f t="shared" si="4"/>
        <v>338.75</v>
      </c>
      <c r="H46" s="23">
        <f t="shared" si="5"/>
        <v>1.29</v>
      </c>
      <c r="I46" s="23">
        <f t="shared" si="0"/>
        <v>0</v>
      </c>
      <c r="J46" s="23">
        <f t="shared" si="1"/>
        <v>13.573</v>
      </c>
      <c r="K46" s="29">
        <f t="shared" si="2"/>
        <v>5.3954675399999999E-2</v>
      </c>
      <c r="L46" s="29">
        <f t="shared" si="3"/>
        <v>2</v>
      </c>
      <c r="M46" s="23" t="e">
        <f t="array" ref="M46">IF(AND(SUMIFS($I$6:$I$49,$A$6:$A$49,A46,$C$6:$C$49,C46)&gt;SUMIFS($L$6:$L$49,$A$6:$A$49,A46,$C$6:$C$49,C46),K46=MIN(IF(AND($A$6:$A$49=A46,$C$6:$C$49=C46),$K$6:$K$49,"")),COUNTIFS($A$6:A46,A46,$C$6:C46,C46,$K$6:K46,K46)=1),-(SUMIFS($L$6:$L$49,$A$6:$A$49,A46,$C$6:$C$49,C46)-SUMIFS($I$6:$I$49,$A$6:$A$49,A46,$C$6:$C$49,C46)),IF(AND(SUMIFS($I$6:$I$49,$A$6:$A$49,A46,$C$6:$C$49,C46)&lt;SUMIFS($L$6:$L$49,$A$6:$A$49,A46,$C$6:$C$49,C46),K46=MAX(IF(AND($A$6:$A$49=A46,$C$6:$C$49=C46),$K$6:$K$49,"")),COUNTIFS($A$6:A46,A46,$C$6:C46,C46,$K$6:K46,K46)=1),-(SUMIFS($L$6:$L$49,$A$6:$A$49,A46,$C$6:$C$49,C46)-SUMIFS($I$6:$I$49,$A$6:$A$49,A46,$C$6:$C$49,C46)),0))</f>
        <v>#VALUE!</v>
      </c>
      <c r="N46" s="29">
        <f t="shared" si="6"/>
        <v>0</v>
      </c>
      <c r="O46" s="25">
        <f t="shared" si="7"/>
        <v>1.29</v>
      </c>
    </row>
    <row r="47" spans="1:15" x14ac:dyDescent="0.2">
      <c r="A47" s="32" t="s">
        <v>14</v>
      </c>
      <c r="B47" s="33" t="s">
        <v>42</v>
      </c>
      <c r="C47" s="33" t="s">
        <v>27</v>
      </c>
      <c r="D47" s="33" t="s">
        <v>28</v>
      </c>
      <c r="E47" s="37">
        <v>238</v>
      </c>
      <c r="F47" s="37">
        <v>73</v>
      </c>
      <c r="G47" s="23">
        <f t="shared" si="4"/>
        <v>13.22</v>
      </c>
      <c r="H47" s="23">
        <f t="shared" si="5"/>
        <v>5.52</v>
      </c>
      <c r="I47" s="23">
        <f t="shared" si="0"/>
        <v>0</v>
      </c>
      <c r="J47" s="23">
        <f t="shared" si="1"/>
        <v>9.343</v>
      </c>
      <c r="K47" s="29">
        <f t="shared" si="2"/>
        <v>3.7139802E-2</v>
      </c>
      <c r="L47" s="29">
        <f t="shared" si="3"/>
        <v>1</v>
      </c>
      <c r="M47" s="23" t="e">
        <f t="array" ref="M47">IF(AND(SUMIFS($I$6:$I$49,$A$6:$A$49,A47,$C$6:$C$49,C47)&gt;SUMIFS($L$6:$L$49,$A$6:$A$49,A47,$C$6:$C$49,C47),K47=MIN(IF(AND($A$6:$A$49=A47,$C$6:$C$49=C47),$K$6:$K$49,"")),COUNTIFS($A$6:A47,A47,$C$6:C47,C47,$K$6:K47,K47)=1),-(SUMIFS($L$6:$L$49,$A$6:$A$49,A47,$C$6:$C$49,C47)-SUMIFS($I$6:$I$49,$A$6:$A$49,A47,$C$6:$C$49,C47)),IF(AND(SUMIFS($I$6:$I$49,$A$6:$A$49,A47,$C$6:$C$49,C47)&lt;SUMIFS($L$6:$L$49,$A$6:$A$49,A47,$C$6:$C$49,C47),K47=MAX(IF(AND($A$6:$A$49=A47,$C$6:$C$49=C47),$K$6:$K$49,"")),COUNTIFS($A$6:A47,A47,$C$6:C47,C47,$K$6:K47,K47)=1),-(SUMIFS($L$6:$L$49,$A$6:$A$49,A47,$C$6:$C$49,C47)-SUMIFS($I$6:$I$49,$A$6:$A$49,A47,$C$6:$C$49,C47)),0))</f>
        <v>#VALUE!</v>
      </c>
      <c r="N47" s="29">
        <f t="shared" si="6"/>
        <v>0</v>
      </c>
      <c r="O47" s="25">
        <f t="shared" si="7"/>
        <v>5.52</v>
      </c>
    </row>
    <row r="48" spans="1:15" x14ac:dyDescent="0.2">
      <c r="A48" s="32" t="s">
        <v>14</v>
      </c>
      <c r="B48" s="33" t="s">
        <v>43</v>
      </c>
      <c r="C48" s="33" t="s">
        <v>27</v>
      </c>
      <c r="D48" s="33" t="s">
        <v>28</v>
      </c>
      <c r="E48" s="37">
        <v>1793.8080000000004</v>
      </c>
      <c r="F48" s="37">
        <v>1229.7439999999999</v>
      </c>
      <c r="G48" s="23">
        <f t="shared" si="4"/>
        <v>99.66</v>
      </c>
      <c r="H48" s="23">
        <f t="shared" si="5"/>
        <v>12.34</v>
      </c>
      <c r="I48" s="23">
        <f t="shared" si="0"/>
        <v>0</v>
      </c>
      <c r="J48" s="23">
        <f t="shared" si="1"/>
        <v>2.5230000000000001</v>
      </c>
      <c r="K48" s="29">
        <f t="shared" si="2"/>
        <v>1.00292968E-2</v>
      </c>
      <c r="L48" s="29">
        <f t="shared" si="3"/>
        <v>0</v>
      </c>
      <c r="M48" s="23" t="e">
        <f t="array" ref="M48">IF(AND(SUMIFS($I$6:$I$49,$A$6:$A$49,A48,$C$6:$C$49,C48)&gt;SUMIFS($L$6:$L$49,$A$6:$A$49,A48,$C$6:$C$49,C48),K48=MIN(IF(AND($A$6:$A$49=A48,$C$6:$C$49=C48),$K$6:$K$49,"")),COUNTIFS($A$6:A48,A48,$C$6:C48,C48,$K$6:K48,K48)=1),-(SUMIFS($L$6:$L$49,$A$6:$A$49,A48,$C$6:$C$49,C48)-SUMIFS($I$6:$I$49,$A$6:$A$49,A48,$C$6:$C$49,C48)),IF(AND(SUMIFS($I$6:$I$49,$A$6:$A$49,A48,$C$6:$C$49,C48)&lt;SUMIFS($L$6:$L$49,$A$6:$A$49,A48,$C$6:$C$49,C48),K48=MAX(IF(AND($A$6:$A$49=A48,$C$6:$C$49=C48),$K$6:$K$49,"")),COUNTIFS($A$6:A48,A48,$C$6:C48,C48,$K$6:K48,K48)=1),-(SUMIFS($L$6:$L$49,$A$6:$A$49,A48,$C$6:$C$49,C48)-SUMIFS($I$6:$I$49,$A$6:$A$49,A48,$C$6:$C$49,C48)),0))</f>
        <v>#VALUE!</v>
      </c>
      <c r="N48" s="29">
        <f t="shared" si="6"/>
        <v>0</v>
      </c>
      <c r="O48" s="25">
        <f t="shared" si="7"/>
        <v>12.34</v>
      </c>
    </row>
    <row r="49" spans="1:15" x14ac:dyDescent="0.2">
      <c r="A49" s="32" t="s">
        <v>14</v>
      </c>
      <c r="B49" s="33" t="s">
        <v>44</v>
      </c>
      <c r="C49" s="33" t="s">
        <v>27</v>
      </c>
      <c r="D49" s="33" t="s">
        <v>28</v>
      </c>
      <c r="E49" s="37">
        <v>2</v>
      </c>
      <c r="F49" s="37">
        <v>18</v>
      </c>
      <c r="G49" s="23">
        <f t="shared" si="4"/>
        <v>0.11</v>
      </c>
      <c r="H49" s="23">
        <f t="shared" si="5"/>
        <v>163.63999999999999</v>
      </c>
      <c r="I49" s="23">
        <f t="shared" si="0"/>
        <v>16</v>
      </c>
      <c r="J49" s="23">
        <f t="shared" si="1"/>
        <v>0</v>
      </c>
      <c r="K49" s="29" t="str">
        <f t="shared" si="2"/>
        <v/>
      </c>
      <c r="L49" s="29">
        <f t="shared" si="3"/>
        <v>0</v>
      </c>
      <c r="M49" s="23" t="e">
        <f t="array" ref="M49">IF(AND(SUMIFS($I$6:$I$49,$A$6:$A$49,A49,$C$6:$C$49,C49)&gt;SUMIFS($L$6:$L$49,$A$6:$A$49,A49,$C$6:$C$49,C49),K49=MIN(IF(AND($A$6:$A$49=A49,$C$6:$C$49=C49),$K$6:$K$49,"")),COUNTIFS($A$6:A49,A49,$C$6:C49,C49,$K$6:K49,K49)=1),-(SUMIFS($L$6:$L$49,$A$6:$A$49,A49,$C$6:$C$49,C49)-SUMIFS($I$6:$I$49,$A$6:$A$49,A49,$C$6:$C$49,C49)),IF(AND(SUMIFS($I$6:$I$49,$A$6:$A$49,A49,$C$6:$C$49,C49)&lt;SUMIFS($L$6:$L$49,$A$6:$A$49,A49,$C$6:$C$49,C49),K49=MAX(IF(AND($A$6:$A$49=A49,$C$6:$C$49=C49),$K$6:$K$49,"")),COUNTIFS($A$6:A49,A49,$C$6:C49,C49,$K$6:K49,K49)=1),-(SUMIFS($L$6:$L$49,$A$6:$A$49,A49,$C$6:$C$49,C49)-SUMIFS($I$6:$I$49,$A$6:$A$49,A49,$C$6:$C$49,C49)),0))</f>
        <v>#VALUE!</v>
      </c>
      <c r="N49" s="29">
        <f t="shared" si="6"/>
        <v>0</v>
      </c>
      <c r="O49" s="25">
        <f t="shared" si="7"/>
        <v>18.18</v>
      </c>
    </row>
  </sheetData>
  <autoFilter ref="A5:P49"/>
  <customSheetViews>
    <customSheetView guid="{29DC50B9-8C9B-452C-86B3-63F6AEFB8348}" scale="90" showAutoFilter="1">
      <pane ySplit="5" topLeftCell="A1048539" activePane="bottomLeft" state="frozen"/>
      <selection pane="bottomLeft" activeCell="A50" sqref="A50:XFD1048576"/>
      <pageMargins left="0.7" right="0.7" top="0.75" bottom="0.75" header="0.3" footer="0.3"/>
      <autoFilter ref="A5:P49"/>
    </customSheetView>
  </customSheetViews>
  <mergeCells count="1">
    <mergeCell ref="Q6:V27"/>
  </mergeCells>
  <conditionalFormatting sqref="M6:M4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одним товаром</vt:lpstr>
      <vt:lpstr>несколько товаров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2017-01-19T11:48:31Z</dcterms:created>
  <dcterms:modified xsi:type="dcterms:W3CDTF">2017-01-23T08:04:32Z</dcterms:modified>
</cp:coreProperties>
</file>