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440" windowHeight="11310" activeTab="1"/>
  </bookViews>
  <sheets>
    <sheet name="один товар" sheetId="1" r:id="rId1"/>
    <sheet name="несколько товаров" sheetId="3" r:id="rId2"/>
  </sheets>
  <definedNames>
    <definedName name="_xlnm._FilterDatabase" localSheetId="1" hidden="1">'несколько товаров'!$A$5:$P$25</definedName>
    <definedName name="_xlnm._FilterDatabase" localSheetId="0" hidden="1">'один товар'!$A$5:$P$25</definedName>
    <definedName name="Z_727D6E5C_B3D5_4D6D_B7F9_C160BD8FC217_.wvu.FilterData" localSheetId="1" hidden="1">'несколько товаров'!$A$5:$P$25</definedName>
    <definedName name="Z_727D6E5C_B3D5_4D6D_B7F9_C160BD8FC217_.wvu.FilterData" localSheetId="0" hidden="1">'один товар'!$A$5:$P$25</definedName>
  </definedNames>
  <calcPr calcId="162913"/>
  <customWorkbookViews>
    <customWorkbookView name="user - Личное представление" guid="{727D6E5C-B3D5-4D6D-B7F9-C160BD8FC217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J8" i="3"/>
  <c r="K8" i="3" s="1"/>
  <c r="L8" i="3" s="1"/>
  <c r="J9" i="3"/>
  <c r="K9" i="3" s="1"/>
  <c r="L9" i="3" s="1"/>
  <c r="J10" i="3"/>
  <c r="K10" i="3" s="1"/>
  <c r="L10" i="3" s="1"/>
  <c r="J11" i="3"/>
  <c r="J12" i="3"/>
  <c r="J13" i="3"/>
  <c r="J14" i="3"/>
  <c r="K14" i="3" s="1"/>
  <c r="L14" i="3" s="1"/>
  <c r="J15" i="3"/>
  <c r="J16" i="3"/>
  <c r="K16" i="3" s="1"/>
  <c r="L16" i="3" s="1"/>
  <c r="J17" i="3"/>
  <c r="K17" i="3" s="1"/>
  <c r="L17" i="3" s="1"/>
  <c r="J18" i="3"/>
  <c r="J19" i="3"/>
  <c r="J20" i="3"/>
  <c r="J21" i="3"/>
  <c r="J22" i="3"/>
  <c r="J23" i="3"/>
  <c r="K23" i="3" s="1"/>
  <c r="L23" i="3" s="1"/>
  <c r="J24" i="3"/>
  <c r="J25" i="3"/>
  <c r="J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6" i="3"/>
  <c r="K25" i="3" l="1"/>
  <c r="L25" i="3" s="1"/>
  <c r="K21" i="3"/>
  <c r="L21" i="3" s="1"/>
  <c r="K19" i="3"/>
  <c r="L19" i="3" s="1"/>
  <c r="K15" i="3"/>
  <c r="L15" i="3" s="1"/>
  <c r="M23" i="3" s="1" a="1"/>
  <c r="M23" i="3" s="1"/>
  <c r="K13" i="3"/>
  <c r="L13" i="3" s="1"/>
  <c r="K11" i="3"/>
  <c r="L11" i="3" s="1"/>
  <c r="K7" i="3"/>
  <c r="L7" i="3" s="1"/>
  <c r="K6" i="3"/>
  <c r="L6" i="3" s="1"/>
  <c r="M6" i="3" s="1"/>
  <c r="K24" i="3"/>
  <c r="L24" i="3" s="1"/>
  <c r="K22" i="3"/>
  <c r="L22" i="3" s="1"/>
  <c r="K20" i="3"/>
  <c r="L20" i="3" s="1"/>
  <c r="K18" i="3"/>
  <c r="L18" i="3" s="1"/>
  <c r="M22" i="3" s="1" a="1"/>
  <c r="M22" i="3" s="1"/>
  <c r="K12" i="3"/>
  <c r="L12" i="3" s="1"/>
  <c r="M12" i="3" a="1"/>
  <c r="M12" i="3" s="1"/>
  <c r="M10" i="3" a="1"/>
  <c r="M10" i="3" s="1"/>
  <c r="M8" i="3" a="1"/>
  <c r="M8" i="3" s="1"/>
  <c r="M14" i="3" a="1"/>
  <c r="M14" i="3" s="1"/>
  <c r="M25" i="3" l="1" a="1"/>
  <c r="M25" i="3" s="1"/>
  <c r="M21" i="3" a="1"/>
  <c r="M21" i="3" s="1"/>
  <c r="M17" i="3" a="1"/>
  <c r="M17" i="3" s="1"/>
  <c r="M24" i="3" a="1"/>
  <c r="M24" i="3" s="1"/>
  <c r="M20" i="3" a="1"/>
  <c r="M20" i="3" s="1"/>
  <c r="M18" i="3" a="1"/>
  <c r="M18" i="3" s="1"/>
  <c r="M7" i="3" a="1"/>
  <c r="M7" i="3" s="1"/>
  <c r="M9" i="3" a="1"/>
  <c r="M9" i="3" s="1"/>
  <c r="M11" i="3" a="1"/>
  <c r="M11" i="3" s="1"/>
  <c r="M13" i="3" a="1"/>
  <c r="M13" i="3" s="1"/>
  <c r="M19" i="3" a="1"/>
  <c r="M19" i="3" s="1"/>
  <c r="M16" i="3" a="1"/>
  <c r="M16" i="3" s="1"/>
  <c r="M15" i="3" a="1"/>
  <c r="M15" i="3" s="1"/>
  <c r="H23" i="3" l="1"/>
  <c r="H14" i="3"/>
  <c r="G25" i="3"/>
  <c r="H25" i="3" s="1"/>
  <c r="G10" i="3" l="1"/>
  <c r="H10" i="3" s="1"/>
  <c r="G12" i="3"/>
  <c r="H12" i="3" s="1"/>
  <c r="G14" i="3"/>
  <c r="G15" i="3"/>
  <c r="H15" i="3" s="1"/>
  <c r="G17" i="3"/>
  <c r="H17" i="3" s="1"/>
  <c r="G19" i="3"/>
  <c r="H19" i="3" s="1"/>
  <c r="G21" i="3"/>
  <c r="H21" i="3" s="1"/>
  <c r="G23" i="3"/>
  <c r="G24" i="3"/>
  <c r="H24" i="3" s="1"/>
  <c r="G6" i="3"/>
  <c r="H6" i="3" s="1"/>
  <c r="G7" i="3"/>
  <c r="H7" i="3" s="1"/>
  <c r="G8" i="3"/>
  <c r="H8" i="3" s="1"/>
  <c r="G9" i="3"/>
  <c r="H9" i="3" s="1"/>
  <c r="G11" i="3"/>
  <c r="H11" i="3" s="1"/>
  <c r="G13" i="3"/>
  <c r="H13" i="3" s="1"/>
  <c r="G16" i="3"/>
  <c r="H16" i="3" s="1"/>
  <c r="G18" i="3"/>
  <c r="H18" i="3" s="1"/>
  <c r="G20" i="3"/>
  <c r="H20" i="3" s="1"/>
  <c r="G22" i="3"/>
  <c r="H22" i="3" s="1"/>
  <c r="H23" i="1"/>
  <c r="H14" i="1"/>
  <c r="G25" i="1"/>
  <c r="H25" i="1" s="1"/>
  <c r="O14" i="3" l="1"/>
  <c r="G12" i="1"/>
  <c r="H12" i="1" s="1"/>
  <c r="G17" i="1"/>
  <c r="H17" i="1" s="1"/>
  <c r="G21" i="1"/>
  <c r="H21" i="1" s="1"/>
  <c r="G10" i="1"/>
  <c r="H10" i="1" s="1"/>
  <c r="G14" i="1"/>
  <c r="G15" i="1"/>
  <c r="H15" i="1" s="1"/>
  <c r="G19" i="1"/>
  <c r="H19" i="1" s="1"/>
  <c r="G23" i="1"/>
  <c r="G24" i="1"/>
  <c r="H24" i="1" s="1"/>
  <c r="G6" i="1"/>
  <c r="H6" i="1" s="1"/>
  <c r="G7" i="1"/>
  <c r="H7" i="1" s="1"/>
  <c r="G8" i="1"/>
  <c r="H8" i="1" s="1"/>
  <c r="G9" i="1"/>
  <c r="H9" i="1" s="1"/>
  <c r="G11" i="1"/>
  <c r="H11" i="1" s="1"/>
  <c r="G13" i="1"/>
  <c r="H13" i="1" s="1"/>
  <c r="G16" i="1"/>
  <c r="H16" i="1" s="1"/>
  <c r="I15" i="1" s="1"/>
  <c r="I17" i="1"/>
  <c r="G18" i="1"/>
  <c r="H18" i="1" s="1"/>
  <c r="I19" i="1"/>
  <c r="G20" i="1"/>
  <c r="H20" i="1" s="1"/>
  <c r="I21" i="1"/>
  <c r="G22" i="1"/>
  <c r="H22" i="1" s="1"/>
  <c r="J23" i="1"/>
  <c r="I25" i="1" l="1"/>
  <c r="J24" i="1"/>
  <c r="O10" i="3"/>
  <c r="O17" i="3"/>
  <c r="O23" i="3"/>
  <c r="O8" i="3"/>
  <c r="O9" i="3"/>
  <c r="O16" i="3"/>
  <c r="I5" i="3"/>
  <c r="J17" i="1"/>
  <c r="J21" i="1"/>
  <c r="I24" i="1"/>
  <c r="O23" i="1"/>
  <c r="K23" i="1"/>
  <c r="L23" i="1" s="1"/>
  <c r="J13" i="1"/>
  <c r="I13" i="1"/>
  <c r="J11" i="1"/>
  <c r="I11" i="1"/>
  <c r="J9" i="1"/>
  <c r="I9" i="1"/>
  <c r="I7" i="1"/>
  <c r="J7" i="1"/>
  <c r="O17" i="1"/>
  <c r="K17" i="1"/>
  <c r="L17" i="1" s="1"/>
  <c r="J12" i="1"/>
  <c r="J22" i="1"/>
  <c r="I22" i="1"/>
  <c r="J20" i="1"/>
  <c r="I20" i="1"/>
  <c r="J18" i="1"/>
  <c r="I18" i="1"/>
  <c r="J16" i="1"/>
  <c r="I16" i="1"/>
  <c r="J14" i="1"/>
  <c r="I12" i="1"/>
  <c r="I10" i="1"/>
  <c r="I8" i="1"/>
  <c r="J8" i="1"/>
  <c r="I6" i="1"/>
  <c r="I14" i="1"/>
  <c r="J6" i="1"/>
  <c r="I23" i="1"/>
  <c r="J19" i="1"/>
  <c r="J15" i="1"/>
  <c r="J10" i="1"/>
  <c r="J25" i="1"/>
  <c r="N10" i="3" l="1"/>
  <c r="N20" i="3"/>
  <c r="O20" i="3" s="1"/>
  <c r="N15" i="3"/>
  <c r="O15" i="3" s="1"/>
  <c r="N24" i="3"/>
  <c r="O24" i="3" s="1"/>
  <c r="N19" i="3"/>
  <c r="O19" i="3" s="1"/>
  <c r="N23" i="3"/>
  <c r="N11" i="3"/>
  <c r="O11" i="3" s="1"/>
  <c r="N14" i="3"/>
  <c r="N8" i="3"/>
  <c r="N12" i="3"/>
  <c r="O12" i="3" s="1"/>
  <c r="L5" i="3"/>
  <c r="N18" i="3"/>
  <c r="O18" i="3" s="1"/>
  <c r="N22" i="3"/>
  <c r="O22" i="3" s="1"/>
  <c r="N25" i="3"/>
  <c r="O25" i="3" s="1"/>
  <c r="N17" i="3"/>
  <c r="N21" i="3"/>
  <c r="O21" i="3" s="1"/>
  <c r="N16" i="3"/>
  <c r="N13" i="3"/>
  <c r="O13" i="3" s="1"/>
  <c r="N9" i="3"/>
  <c r="N7" i="3"/>
  <c r="O7" i="3" s="1"/>
  <c r="O10" i="1"/>
  <c r="K10" i="1"/>
  <c r="L10" i="1" s="1"/>
  <c r="K19" i="1"/>
  <c r="L19" i="1" s="1"/>
  <c r="K6" i="1"/>
  <c r="L6" i="1" s="1"/>
  <c r="I5" i="1"/>
  <c r="K12" i="1"/>
  <c r="L12" i="1" s="1"/>
  <c r="O9" i="1"/>
  <c r="K9" i="1"/>
  <c r="L9" i="1" s="1"/>
  <c r="K11" i="1"/>
  <c r="L11" i="1" s="1"/>
  <c r="K13" i="1"/>
  <c r="L13" i="1" s="1"/>
  <c r="K25" i="1"/>
  <c r="L25" i="1" s="1"/>
  <c r="K15" i="1"/>
  <c r="L15" i="1" s="1"/>
  <c r="O8" i="1"/>
  <c r="K8" i="1"/>
  <c r="L8" i="1" s="1"/>
  <c r="O14" i="1"/>
  <c r="K14" i="1"/>
  <c r="L14" i="1" s="1"/>
  <c r="O16" i="1"/>
  <c r="K16" i="1"/>
  <c r="L16" i="1" s="1"/>
  <c r="K18" i="1"/>
  <c r="L18" i="1" s="1"/>
  <c r="K20" i="1"/>
  <c r="L20" i="1" s="1"/>
  <c r="K22" i="1"/>
  <c r="L22" i="1" s="1"/>
  <c r="K21" i="1"/>
  <c r="L21" i="1" s="1"/>
  <c r="K24" i="1"/>
  <c r="L24" i="1" s="1"/>
  <c r="K7" i="1"/>
  <c r="L7" i="1" s="1"/>
  <c r="M5" i="3" l="1"/>
  <c r="M3" i="3" s="1"/>
  <c r="N6" i="3"/>
  <c r="M20" i="1" a="1"/>
  <c r="M20" i="1" s="1"/>
  <c r="N20" i="1" s="1"/>
  <c r="O20" i="1" s="1"/>
  <c r="M15" i="1" a="1"/>
  <c r="M15" i="1" s="1"/>
  <c r="N15" i="1" s="1"/>
  <c r="O15" i="1" s="1"/>
  <c r="M21" i="1" a="1"/>
  <c r="M21" i="1" s="1"/>
  <c r="M25" i="1" a="1"/>
  <c r="M25" i="1" s="1"/>
  <c r="N25" i="1" s="1"/>
  <c r="O25" i="1" s="1"/>
  <c r="M18" i="1" a="1"/>
  <c r="M18" i="1" s="1"/>
  <c r="N18" i="1" s="1"/>
  <c r="O18" i="1" s="1"/>
  <c r="M11" i="1" a="1"/>
  <c r="M11" i="1" s="1"/>
  <c r="M14" i="1" a="1"/>
  <c r="M14" i="1" s="1"/>
  <c r="N14" i="1" s="1"/>
  <c r="M6" i="1" a="1"/>
  <c r="M6" i="1" s="1"/>
  <c r="N6" i="1" s="1"/>
  <c r="M8" i="1" a="1"/>
  <c r="M8" i="1" s="1"/>
  <c r="N8" i="1" s="1"/>
  <c r="M12" i="1" a="1"/>
  <c r="M12" i="1" s="1"/>
  <c r="N12" i="1" s="1"/>
  <c r="O12" i="1" s="1"/>
  <c r="L5" i="1"/>
  <c r="M19" i="1" a="1"/>
  <c r="M19" i="1" s="1"/>
  <c r="N19" i="1" s="1"/>
  <c r="O19" i="1" s="1"/>
  <c r="M23" i="1" a="1"/>
  <c r="M23" i="1" s="1"/>
  <c r="N23" i="1" s="1"/>
  <c r="M16" i="1" a="1"/>
  <c r="M16" i="1" s="1"/>
  <c r="N16" i="1" s="1"/>
  <c r="N21" i="1"/>
  <c r="O21" i="1" s="1"/>
  <c r="M17" i="1" a="1"/>
  <c r="M17" i="1" s="1"/>
  <c r="N17" i="1" s="1"/>
  <c r="M22" i="1" a="1"/>
  <c r="M22" i="1" s="1"/>
  <c r="N22" i="1" s="1"/>
  <c r="O22" i="1" s="1"/>
  <c r="N11" i="1"/>
  <c r="O11" i="1" s="1"/>
  <c r="M9" i="1" a="1"/>
  <c r="M9" i="1" s="1"/>
  <c r="N9" i="1" s="1"/>
  <c r="M13" i="1" a="1"/>
  <c r="M13" i="1" s="1"/>
  <c r="N13" i="1" s="1"/>
  <c r="O13" i="1" s="1"/>
  <c r="M7" i="1" a="1"/>
  <c r="M7" i="1" s="1"/>
  <c r="N7" i="1" s="1"/>
  <c r="O7" i="1" s="1"/>
  <c r="M10" i="1" a="1"/>
  <c r="M10" i="1" s="1"/>
  <c r="N10" i="1" s="1"/>
  <c r="M24" i="1" a="1"/>
  <c r="M24" i="1" s="1"/>
  <c r="N24" i="1" s="1"/>
  <c r="O24" i="1" s="1"/>
  <c r="N5" i="3" l="1"/>
  <c r="O6" i="3"/>
  <c r="N5" i="1"/>
  <c r="O6" i="1"/>
  <c r="M5" i="1"/>
  <c r="M3" i="1" s="1"/>
</calcChain>
</file>

<file path=xl/sharedStrings.xml><?xml version="1.0" encoding="utf-8"?>
<sst xmlns="http://schemas.openxmlformats.org/spreadsheetml/2006/main" count="198" uniqueCount="36">
  <si>
    <t>дней продажи</t>
  </si>
  <si>
    <t>ЮЛ</t>
  </si>
  <si>
    <t>Товар</t>
  </si>
  <si>
    <t>Производитель</t>
  </si>
  <si>
    <t>Продажи, уп.</t>
  </si>
  <si>
    <t>Остаток текущий, уп.</t>
  </si>
  <si>
    <t>Продажи упаковок в день</t>
  </si>
  <si>
    <t>Длинна склада, дн</t>
  </si>
  <si>
    <t>Необходимо для усреднения,дн</t>
  </si>
  <si>
    <t>Распределение с округлением,уп.</t>
  </si>
  <si>
    <t>Исключение округлений,уп.</t>
  </si>
  <si>
    <t>Итого примут,уп.</t>
  </si>
  <si>
    <t>Дл.склада послн распред.,дн</t>
  </si>
  <si>
    <t>Фирма 1</t>
  </si>
  <si>
    <t>Фирма 2</t>
  </si>
  <si>
    <t>Склад 1</t>
  </si>
  <si>
    <t>Склад 2</t>
  </si>
  <si>
    <t>Склад 3</t>
  </si>
  <si>
    <t>Склад 4</t>
  </si>
  <si>
    <t>Склад 5</t>
  </si>
  <si>
    <t>Склад 6</t>
  </si>
  <si>
    <t>Склад 7</t>
  </si>
  <si>
    <t>Склад 8</t>
  </si>
  <si>
    <t>Склад 9</t>
  </si>
  <si>
    <t>Склад 10</t>
  </si>
  <si>
    <t>Склад 11</t>
  </si>
  <si>
    <t xml:space="preserve">товар 1 </t>
  </si>
  <si>
    <t>н</t>
  </si>
  <si>
    <t>Макс.Забрать,   уп</t>
  </si>
  <si>
    <t>% склада с потребностью</t>
  </si>
  <si>
    <t>склад</t>
  </si>
  <si>
    <t>Если привязываться только к ЮрЛицу, то считает все правильно</t>
  </si>
  <si>
    <t>K6=МИН(ЕСЛИ($A$6:$A$500=A6;$K$6:$K$500;""))</t>
  </si>
  <si>
    <r>
      <t xml:space="preserve">если я указываю такой вариант </t>
    </r>
    <r>
      <rPr>
        <sz val="18"/>
        <color rgb="FFFF0000"/>
        <rFont val="Arial"/>
        <family val="2"/>
        <charset val="204"/>
      </rPr>
      <t>K6=МИН(ЕСЛИ($A$6:$A$500=A6;$K$6:$K$500;""))   , то считает правильно</t>
    </r>
  </si>
  <si>
    <t>K6=МИН(ЕСЛИ(И($A$6:$A$500=A6;$C$6:$C$500=C6);$K$6:$K$500;""))</t>
  </si>
  <si>
    <r>
      <t>но мне надо чтобы была привязка и другому столбцу(товару)</t>
    </r>
    <r>
      <rPr>
        <sz val="18"/>
        <color rgb="FFFF0000"/>
        <rFont val="Arial"/>
        <family val="2"/>
        <charset val="204"/>
      </rPr>
      <t xml:space="preserve"> K6=МИН(ЕСЛИ(И($A$6:$A$500=A6;$C$6:$C$500=C6);$K$6:$K$500;"")) </t>
    </r>
    <r>
      <rPr>
        <sz val="18"/>
        <rFont val="Arial"/>
        <family val="2"/>
        <charset val="204"/>
      </rPr>
      <t xml:space="preserve"> ,  вот тогда ошибка ЗНАЧ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</si>
</sst>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00"/>
  </numFmts>
  <fonts count="7" x14ac:knownFonts="1">
    <font>
      <sz val="10"/>
      <name val="Arial"/>
      <family val="2"/>
      <charset val="204"/>
    </font>
    <font>
      <b/>
      <sz val="9"/>
      <color indexed="63"/>
      <name val="Arial"/>
      <family val="2"/>
      <charset val="204"/>
    </font>
    <font>
      <sz val="9"/>
      <color indexed="63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53"/>
      <name val="Arial"/>
      <family val="2"/>
      <charset val="204"/>
    </font>
    <font>
      <sz val="18"/>
      <color rgb="FFFF0000"/>
      <name val="Arial"/>
      <family val="2"/>
      <charset val="204"/>
    </font>
    <font>
      <sz val="1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00B0F0"/>
        <bgColor indexed="9"/>
      </patternFill>
    </fill>
    <fill>
      <patternFill patternType="solid">
        <fgColor rgb="FF00B05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5" borderId="7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49" fontId="2" fillId="7" borderId="6" xfId="0" applyNumberFormat="1" applyFont="1" applyFill="1" applyBorder="1" applyAlignment="1">
      <alignment horizontal="center"/>
    </xf>
    <xf numFmtId="49" fontId="2" fillId="7" borderId="7" xfId="0" applyNumberFormat="1" applyFont="1" applyFill="1" applyBorder="1" applyAlignment="1">
      <alignment horizontal="center"/>
    </xf>
    <xf numFmtId="49" fontId="2" fillId="8" borderId="6" xfId="0" applyNumberFormat="1" applyFont="1" applyFill="1" applyBorder="1" applyAlignment="1">
      <alignment horizontal="center"/>
    </xf>
    <xf numFmtId="49" fontId="2" fillId="8" borderId="7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4" fontId="3" fillId="6" borderId="7" xfId="0" applyNumberFormat="1" applyFont="1" applyFill="1" applyBorder="1" applyAlignment="1">
      <alignment horizontal="center"/>
    </xf>
    <xf numFmtId="4" fontId="2" fillId="7" borderId="7" xfId="0" applyNumberFormat="1" applyFont="1" applyFill="1" applyBorder="1" applyAlignment="1">
      <alignment horizontal="center"/>
    </xf>
    <xf numFmtId="4" fontId="4" fillId="7" borderId="7" xfId="0" applyNumberFormat="1" applyFont="1" applyFill="1" applyBorder="1" applyAlignment="1">
      <alignment horizontal="center"/>
    </xf>
    <xf numFmtId="4" fontId="2" fillId="8" borderId="7" xfId="0" applyNumberFormat="1" applyFont="1" applyFill="1" applyBorder="1" applyAlignment="1">
      <alignment horizontal="center"/>
    </xf>
    <xf numFmtId="4" fontId="4" fillId="8" borderId="7" xfId="0" applyNumberFormat="1" applyFon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90" zoomScaleNormal="90" workbookViewId="0">
      <selection activeCell="F2" sqref="F2"/>
    </sheetView>
  </sheetViews>
  <sheetFormatPr defaultRowHeight="12.75" x14ac:dyDescent="0.2"/>
  <cols>
    <col min="1" max="1" width="15.5703125" customWidth="1"/>
    <col min="2" max="2" width="24" customWidth="1"/>
    <col min="3" max="3" width="21.140625" customWidth="1"/>
    <col min="4" max="4" width="14.140625" customWidth="1"/>
    <col min="5" max="5" width="14.42578125" customWidth="1"/>
    <col min="6" max="6" width="15.85546875" customWidth="1"/>
    <col min="7" max="7" width="9" customWidth="1"/>
    <col min="8" max="8" width="11.5703125" style="6" customWidth="1"/>
    <col min="9" max="10" width="14.5703125" style="6" customWidth="1"/>
    <col min="11" max="11" width="18" style="6" customWidth="1"/>
    <col min="12" max="12" width="14.85546875" style="6" customWidth="1"/>
    <col min="13" max="14" width="14.42578125" style="6" customWidth="1"/>
    <col min="15" max="15" width="13.5703125" style="6" customWidth="1"/>
  </cols>
  <sheetData>
    <row r="1" spans="1:16" ht="13.5" thickBot="1" x14ac:dyDescent="0.25">
      <c r="B1" s="1"/>
      <c r="C1" s="2"/>
      <c r="E1" s="3" t="s">
        <v>0</v>
      </c>
      <c r="F1" s="4">
        <v>18</v>
      </c>
      <c r="G1" s="5"/>
    </row>
    <row r="2" spans="1:16" ht="13.5" thickBot="1" x14ac:dyDescent="0.25">
      <c r="B2" s="7"/>
      <c r="C2" s="5"/>
      <c r="E2" s="8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x14ac:dyDescent="0.2">
      <c r="A3" s="10"/>
      <c r="B3" s="11"/>
      <c r="C3" s="11"/>
      <c r="D3" s="11"/>
      <c r="E3" s="11"/>
      <c r="F3" s="12"/>
      <c r="G3" s="11"/>
      <c r="H3" s="11"/>
      <c r="I3" s="11"/>
      <c r="J3" s="11"/>
      <c r="K3" s="11"/>
      <c r="L3" s="11"/>
      <c r="M3" s="11" t="b">
        <f>I5-L5=M5</f>
        <v>1</v>
      </c>
      <c r="N3" s="11"/>
      <c r="O3" s="13"/>
    </row>
    <row r="4" spans="1:16" ht="43.5" customHeight="1" x14ac:dyDescent="0.2">
      <c r="A4" s="14" t="s">
        <v>1</v>
      </c>
      <c r="B4" s="15" t="s">
        <v>30</v>
      </c>
      <c r="C4" s="15" t="s">
        <v>2</v>
      </c>
      <c r="D4" s="15" t="s">
        <v>3</v>
      </c>
      <c r="E4" s="15" t="s">
        <v>4</v>
      </c>
      <c r="F4" s="15" t="s">
        <v>5</v>
      </c>
      <c r="G4" s="16" t="s">
        <v>6</v>
      </c>
      <c r="H4" s="16" t="s">
        <v>7</v>
      </c>
      <c r="I4" s="17" t="s">
        <v>28</v>
      </c>
      <c r="J4" s="16" t="s">
        <v>8</v>
      </c>
      <c r="K4" s="16" t="s">
        <v>29</v>
      </c>
      <c r="L4" s="16" t="s">
        <v>9</v>
      </c>
      <c r="M4" s="16" t="s">
        <v>10</v>
      </c>
      <c r="N4" s="17" t="s">
        <v>11</v>
      </c>
      <c r="O4" s="18" t="s">
        <v>12</v>
      </c>
      <c r="P4" s="19"/>
    </row>
    <row r="5" spans="1:16" ht="18" customHeight="1" x14ac:dyDescent="0.2">
      <c r="A5" s="27"/>
      <c r="B5" s="28"/>
      <c r="C5" s="28"/>
      <c r="D5" s="28"/>
      <c r="E5" s="29"/>
      <c r="F5" s="29"/>
      <c r="G5" s="20"/>
      <c r="H5" s="20"/>
      <c r="I5" s="21">
        <f>SUM(I6:I28)</f>
        <v>180</v>
      </c>
      <c r="J5" s="21"/>
      <c r="K5" s="21"/>
      <c r="L5" s="21">
        <f>SUM(L6:L28)</f>
        <v>183</v>
      </c>
      <c r="M5" s="21">
        <f>SUM(M6:M28)</f>
        <v>-3</v>
      </c>
      <c r="N5" s="21">
        <f>SUM(N6:N28)</f>
        <v>180</v>
      </c>
      <c r="O5" s="22"/>
    </row>
    <row r="6" spans="1:16" x14ac:dyDescent="0.2">
      <c r="A6" s="23" t="s">
        <v>13</v>
      </c>
      <c r="B6" s="24" t="s">
        <v>15</v>
      </c>
      <c r="C6" s="24" t="s">
        <v>26</v>
      </c>
      <c r="D6" s="24" t="s">
        <v>27</v>
      </c>
      <c r="E6" s="30">
        <v>784</v>
      </c>
      <c r="F6" s="30">
        <v>145</v>
      </c>
      <c r="G6" s="20">
        <f t="shared" ref="G6:G25" si="0">ROUND(E6/$F$1,3)</f>
        <v>43.555999999999997</v>
      </c>
      <c r="H6" s="20">
        <f t="shared" ref="H6:H25" si="1">IF(OR(E6=0,E6=""),0,ROUND(F6/G6,3))</f>
        <v>3.3290000000000002</v>
      </c>
      <c r="I6" s="20">
        <f t="shared" ref="I6:I25" si="2">IF(AND(E6&gt;0,H6&lt;AVERAGEIF($A$6:$A$28,A6,$H$6:$H$28)),0,IF(AND(E6=0,F6&gt;0),ROUND(F6,0),ROUND((H6-AVERAGEIF($A$6:$A$28,A6,$H$6:$H$28))*G6,0)))</f>
        <v>0</v>
      </c>
      <c r="J6" s="20">
        <f t="shared" ref="J6:J25" si="3">IF(OR(E6=0,H6&gt;AVERAGEIF($A$6:$A$28,A6,$H$6:$H$28)),0,ROUND((AVERAGEIF($A$6:$A$28,A6,$H$6:$H$28)-H6),4))</f>
        <v>7.9949000000000003</v>
      </c>
      <c r="K6" s="20">
        <f t="shared" ref="K6:K25" si="4">IF(J6=0,"",ROUND(J6/SUMIF($A$6:$A$28,A6,$J$6:$J$28),10))</f>
        <v>0.17447542150000001</v>
      </c>
      <c r="L6" s="20">
        <f t="shared" ref="L6:L25" si="5">IF(K6="",0,ROUND(K6*SUMIF($A$6:$A$28,A6,$I$6:$I$28),0))</f>
        <v>14</v>
      </c>
      <c r="M6" s="20">
        <f t="array" ref="M6">IF(AND(SUMIF($A$6:$A$28,A6,$I$6:$I$28)&gt;SUMIF($A$6:$A$28,A6,$L$6:$L$28),K6=MIN(IF($A$6:$A$28=A6,$K$6:$K$28,"")),COUNTIF($K$6:K6,K6)=1),-(SUMIF($A$6:$A$28,A6,$L$6:$L$28)-SUMIF($A$6:$A$28,A6,$I$6:$I$28)),IF(AND(SUMIF($A$6:$A$28,A6,$I$6:$I$28)&lt;SUMIF($A$6:$A$28,A6,$L$6:$L$28),K6=MAX(IF($A$6:$A$28=A6,$K$6:$K$28,"")),COUNTIF($K$6:K6,K6)=1),-(SUMIF($A$6:$A$28,A6,$L$6:$L$28)-SUMIF($A$6:$A$28,A6,$I$6:$I$28)),0))</f>
        <v>0</v>
      </c>
      <c r="N6" s="20">
        <f t="shared" ref="N6:N25" si="6">IF(L6="",0,L6+M6)</f>
        <v>14</v>
      </c>
      <c r="O6" s="22">
        <f t="shared" ref="O6:O25" si="7">IF(AND(J6=0,G6&lt;&gt;0),ROUND((F6-I6)/G6,2),IF(AND(G6&lt;&gt;0,J6&gt;0),ROUND((F6-I6+N6)/G6,2),0))</f>
        <v>3.65</v>
      </c>
    </row>
    <row r="7" spans="1:16" x14ac:dyDescent="0.2">
      <c r="A7" s="23" t="s">
        <v>13</v>
      </c>
      <c r="B7" s="24" t="s">
        <v>16</v>
      </c>
      <c r="C7" s="24" t="s">
        <v>26</v>
      </c>
      <c r="D7" s="24" t="s">
        <v>27</v>
      </c>
      <c r="E7" s="30">
        <v>444</v>
      </c>
      <c r="F7" s="31">
        <v>0</v>
      </c>
      <c r="G7" s="20">
        <f t="shared" si="0"/>
        <v>24.667000000000002</v>
      </c>
      <c r="H7" s="20">
        <f t="shared" si="1"/>
        <v>0</v>
      </c>
      <c r="I7" s="20">
        <f t="shared" si="2"/>
        <v>0</v>
      </c>
      <c r="J7" s="20">
        <f t="shared" si="3"/>
        <v>11.3239</v>
      </c>
      <c r="K7" s="20">
        <f t="shared" si="4"/>
        <v>0.2471253205</v>
      </c>
      <c r="L7" s="20">
        <f t="shared" si="5"/>
        <v>20</v>
      </c>
      <c r="M7" s="20">
        <f t="array" ref="M7">IF(AND(SUMIF($A$6:$A$28,A7,$I$6:$I$28)&gt;SUMIF($A$6:$A$28,A7,$L$6:$L$28),K7=MIN(IF($A$6:$A$28=A7,$K$6:$K$28,"")),COUNTIF($K$6:K7,K7)=1),-(SUMIF($A$6:$A$28,A7,$L$6:$L$28)-SUMIF($A$6:$A$28,A7,$I$6:$I$28)),IF(AND(SUMIF($A$6:$A$28,A7,$I$6:$I$28)&lt;SUMIF($A$6:$A$28,A7,$L$6:$L$28),K7=MAX(IF($A$6:$A$28=A7,$K$6:$K$28,"")),COUNTIF($K$6:K7,K7)=1),-(SUMIF($A$6:$A$28,A7,$L$6:$L$28)-SUMIF($A$6:$A$28,A7,$I$6:$I$28)),0))</f>
        <v>-1</v>
      </c>
      <c r="N7" s="20">
        <f t="shared" si="6"/>
        <v>19</v>
      </c>
      <c r="O7" s="22">
        <f t="shared" si="7"/>
        <v>0.77</v>
      </c>
    </row>
    <row r="8" spans="1:16" x14ac:dyDescent="0.2">
      <c r="A8" s="23" t="s">
        <v>13</v>
      </c>
      <c r="B8" s="24" t="s">
        <v>17</v>
      </c>
      <c r="C8" s="24" t="s">
        <v>26</v>
      </c>
      <c r="D8" s="24" t="s">
        <v>27</v>
      </c>
      <c r="E8" s="30">
        <v>7</v>
      </c>
      <c r="F8" s="30">
        <v>20</v>
      </c>
      <c r="G8" s="20">
        <f t="shared" si="0"/>
        <v>0.38900000000000001</v>
      </c>
      <c r="H8" s="20">
        <f t="shared" si="1"/>
        <v>51.414000000000001</v>
      </c>
      <c r="I8" s="20">
        <f t="shared" si="2"/>
        <v>16</v>
      </c>
      <c r="J8" s="20">
        <f t="shared" si="3"/>
        <v>0</v>
      </c>
      <c r="K8" s="20" t="str">
        <f t="shared" si="4"/>
        <v/>
      </c>
      <c r="L8" s="20">
        <f t="shared" si="5"/>
        <v>0</v>
      </c>
      <c r="M8" s="20">
        <f t="array" ref="M8">IF(AND(SUMIF($A$6:$A$28,A8,$I$6:$I$28)&gt;SUMIF($A$6:$A$28,A8,$L$6:$L$28),K8=MIN(IF($A$6:$A$28=A8,$K$6:$K$28,"")),COUNTIF($K$6:K8,K8)=1),-(SUMIF($A$6:$A$28,A8,$L$6:$L$28)-SUMIF($A$6:$A$28,A8,$I$6:$I$28)),IF(AND(SUMIF($A$6:$A$28,A8,$I$6:$I$28)&lt;SUMIF($A$6:$A$28,A8,$L$6:$L$28),K8=MAX(IF($A$6:$A$28=A8,$K$6:$K$28,"")),COUNTIF($K$6:K8,K8)=1),-(SUMIF($A$6:$A$28,A8,$L$6:$L$28)-SUMIF($A$6:$A$28,A8,$I$6:$I$28)),0))</f>
        <v>0</v>
      </c>
      <c r="N8" s="20">
        <f t="shared" si="6"/>
        <v>0</v>
      </c>
      <c r="O8" s="22">
        <f t="shared" si="7"/>
        <v>10.28</v>
      </c>
    </row>
    <row r="9" spans="1:16" x14ac:dyDescent="0.2">
      <c r="A9" s="23" t="s">
        <v>13</v>
      </c>
      <c r="B9" s="24" t="s">
        <v>18</v>
      </c>
      <c r="C9" s="24" t="s">
        <v>26</v>
      </c>
      <c r="D9" s="24" t="s">
        <v>27</v>
      </c>
      <c r="E9" s="30">
        <v>125</v>
      </c>
      <c r="F9" s="30">
        <v>79</v>
      </c>
      <c r="G9" s="20">
        <f t="shared" si="0"/>
        <v>6.944</v>
      </c>
      <c r="H9" s="20">
        <f t="shared" si="1"/>
        <v>11.377000000000001</v>
      </c>
      <c r="I9" s="20">
        <f t="shared" si="2"/>
        <v>0</v>
      </c>
      <c r="J9" s="20">
        <f t="shared" si="3"/>
        <v>0</v>
      </c>
      <c r="K9" s="20" t="str">
        <f t="shared" si="4"/>
        <v/>
      </c>
      <c r="L9" s="20">
        <f t="shared" si="5"/>
        <v>0</v>
      </c>
      <c r="M9" s="20">
        <f t="array" ref="M9">IF(AND(SUMIF($A$6:$A$28,A9,$I$6:$I$28)&gt;SUMIF($A$6:$A$28,A9,$L$6:$L$28),K9=MIN(IF($A$6:$A$28=A9,$K$6:$K$28,"")),COUNTIF($K$6:K9,K9)=1),-(SUMIF($A$6:$A$28,A9,$L$6:$L$28)-SUMIF($A$6:$A$28,A9,$I$6:$I$28)),IF(AND(SUMIF($A$6:$A$28,A9,$I$6:$I$28)&lt;SUMIF($A$6:$A$28,A9,$L$6:$L$28),K9=MAX(IF($A$6:$A$28=A9,$K$6:$K$28,"")),COUNTIF($K$6:K9,K9)=1),-(SUMIF($A$6:$A$28,A9,$L$6:$L$28)-SUMIF($A$6:$A$28,A9,$I$6:$I$28)),0))</f>
        <v>0</v>
      </c>
      <c r="N9" s="20">
        <f t="shared" si="6"/>
        <v>0</v>
      </c>
      <c r="O9" s="22">
        <f t="shared" si="7"/>
        <v>11.38</v>
      </c>
    </row>
    <row r="10" spans="1:16" x14ac:dyDescent="0.2">
      <c r="A10" s="23" t="s">
        <v>13</v>
      </c>
      <c r="B10" s="24" t="s">
        <v>19</v>
      </c>
      <c r="C10" s="24" t="s">
        <v>26</v>
      </c>
      <c r="D10" s="24" t="s">
        <v>27</v>
      </c>
      <c r="E10" s="30">
        <v>61</v>
      </c>
      <c r="F10" s="30">
        <v>96</v>
      </c>
      <c r="G10" s="20">
        <f t="shared" si="0"/>
        <v>3.3889999999999998</v>
      </c>
      <c r="H10" s="20">
        <f t="shared" si="1"/>
        <v>28.327000000000002</v>
      </c>
      <c r="I10" s="20">
        <f t="shared" si="2"/>
        <v>58</v>
      </c>
      <c r="J10" s="20">
        <f t="shared" si="3"/>
        <v>0</v>
      </c>
      <c r="K10" s="20" t="str">
        <f t="shared" si="4"/>
        <v/>
      </c>
      <c r="L10" s="20">
        <f t="shared" si="5"/>
        <v>0</v>
      </c>
      <c r="M10" s="20">
        <f t="array" ref="M10">IF(AND(SUMIF($A$6:$A$28,A10,$I$6:$I$28)&gt;SUMIF($A$6:$A$28,A10,$L$6:$L$28),K10=MIN(IF($A$6:$A$28=A10,$K$6:$K$28,"")),COUNTIF($K$6:K10,K10)=1),-(SUMIF($A$6:$A$28,A10,$L$6:$L$28)-SUMIF($A$6:$A$28,A10,$I$6:$I$28)),IF(AND(SUMIF($A$6:$A$28,A10,$I$6:$I$28)&lt;SUMIF($A$6:$A$28,A10,$L$6:$L$28),K10=MAX(IF($A$6:$A$28=A10,$K$6:$K$28,"")),COUNTIF($K$6:K10,K10)=1),-(SUMIF($A$6:$A$28,A10,$L$6:$L$28)-SUMIF($A$6:$A$28,A10,$I$6:$I$28)),0))</f>
        <v>0</v>
      </c>
      <c r="N10" s="20">
        <f t="shared" si="6"/>
        <v>0</v>
      </c>
      <c r="O10" s="22">
        <f t="shared" si="7"/>
        <v>11.21</v>
      </c>
    </row>
    <row r="11" spans="1:16" x14ac:dyDescent="0.2">
      <c r="A11" s="23" t="s">
        <v>13</v>
      </c>
      <c r="B11" s="24" t="s">
        <v>20</v>
      </c>
      <c r="C11" s="24" t="s">
        <v>26</v>
      </c>
      <c r="D11" s="24" t="s">
        <v>27</v>
      </c>
      <c r="E11" s="30">
        <v>97</v>
      </c>
      <c r="F11" s="30">
        <v>23</v>
      </c>
      <c r="G11" s="20">
        <f t="shared" si="0"/>
        <v>5.3890000000000002</v>
      </c>
      <c r="H11" s="20">
        <f t="shared" si="1"/>
        <v>4.2679999999999998</v>
      </c>
      <c r="I11" s="20">
        <f t="shared" si="2"/>
        <v>0</v>
      </c>
      <c r="J11" s="20">
        <f t="shared" si="3"/>
        <v>7.0559000000000003</v>
      </c>
      <c r="K11" s="20">
        <f t="shared" si="4"/>
        <v>0.1539833051</v>
      </c>
      <c r="L11" s="20">
        <f t="shared" si="5"/>
        <v>12</v>
      </c>
      <c r="M11" s="20">
        <f t="array" ref="M11">IF(AND(SUMIF($A$6:$A$28,A11,$I$6:$I$28)&gt;SUMIF($A$6:$A$28,A11,$L$6:$L$28),K11=MIN(IF($A$6:$A$28=A11,$K$6:$K$28,"")),COUNTIF($K$6:K11,K11)=1),-(SUMIF($A$6:$A$28,A11,$L$6:$L$28)-SUMIF($A$6:$A$28,A11,$I$6:$I$28)),IF(AND(SUMIF($A$6:$A$28,A11,$I$6:$I$28)&lt;SUMIF($A$6:$A$28,A11,$L$6:$L$28),K11=MAX(IF($A$6:$A$28=A11,$K$6:$K$28,"")),COUNTIF($K$6:K11,K11)=1),-(SUMIF($A$6:$A$28,A11,$L$6:$L$28)-SUMIF($A$6:$A$28,A11,$I$6:$I$28)),0))</f>
        <v>0</v>
      </c>
      <c r="N11" s="20">
        <f t="shared" si="6"/>
        <v>12</v>
      </c>
      <c r="O11" s="22">
        <f t="shared" si="7"/>
        <v>6.49</v>
      </c>
    </row>
    <row r="12" spans="1:16" x14ac:dyDescent="0.2">
      <c r="A12" s="23" t="s">
        <v>13</v>
      </c>
      <c r="B12" s="24" t="s">
        <v>21</v>
      </c>
      <c r="C12" s="24" t="s">
        <v>26</v>
      </c>
      <c r="D12" s="24" t="s">
        <v>27</v>
      </c>
      <c r="E12" s="30">
        <v>1856</v>
      </c>
      <c r="F12" s="30">
        <v>330</v>
      </c>
      <c r="G12" s="20">
        <f t="shared" si="0"/>
        <v>103.111</v>
      </c>
      <c r="H12" s="20">
        <f t="shared" si="1"/>
        <v>3.2</v>
      </c>
      <c r="I12" s="20">
        <f t="shared" si="2"/>
        <v>0</v>
      </c>
      <c r="J12" s="20">
        <f t="shared" si="3"/>
        <v>8.1239000000000008</v>
      </c>
      <c r="K12" s="20">
        <f t="shared" si="4"/>
        <v>0.1772906323</v>
      </c>
      <c r="L12" s="20">
        <f t="shared" si="5"/>
        <v>14</v>
      </c>
      <c r="M12" s="20">
        <f t="array" ref="M12">IF(AND(SUMIF($A$6:$A$28,A12,$I$6:$I$28)&gt;SUMIF($A$6:$A$28,A12,$L$6:$L$28),K12=MIN(IF($A$6:$A$28=A12,$K$6:$K$28,"")),COUNTIF($K$6:K12,K12)=1),-(SUMIF($A$6:$A$28,A12,$L$6:$L$28)-SUMIF($A$6:$A$28,A12,$I$6:$I$28)),IF(AND(SUMIF($A$6:$A$28,A12,$I$6:$I$28)&lt;SUMIF($A$6:$A$28,A12,$L$6:$L$28),K12=MAX(IF($A$6:$A$28=A12,$K$6:$K$28,"")),COUNTIF($K$6:K12,K12)=1),-(SUMIF($A$6:$A$28,A12,$L$6:$L$28)-SUMIF($A$6:$A$28,A12,$I$6:$I$28)),0))</f>
        <v>0</v>
      </c>
      <c r="N12" s="20">
        <f t="shared" si="6"/>
        <v>14</v>
      </c>
      <c r="O12" s="22">
        <f t="shared" si="7"/>
        <v>3.34</v>
      </c>
    </row>
    <row r="13" spans="1:16" x14ac:dyDescent="0.2">
      <c r="A13" s="23" t="s">
        <v>13</v>
      </c>
      <c r="B13" s="24" t="s">
        <v>22</v>
      </c>
      <c r="C13" s="24" t="s">
        <v>26</v>
      </c>
      <c r="D13" s="24" t="s">
        <v>27</v>
      </c>
      <c r="E13" s="30">
        <v>12</v>
      </c>
      <c r="F13" s="31">
        <v>0</v>
      </c>
      <c r="G13" s="20">
        <f t="shared" si="0"/>
        <v>0.66700000000000004</v>
      </c>
      <c r="H13" s="20">
        <f t="shared" si="1"/>
        <v>0</v>
      </c>
      <c r="I13" s="20">
        <f t="shared" si="2"/>
        <v>0</v>
      </c>
      <c r="J13" s="20">
        <f t="shared" si="3"/>
        <v>11.3239</v>
      </c>
      <c r="K13" s="20">
        <f t="shared" si="4"/>
        <v>0.2471253205</v>
      </c>
      <c r="L13" s="20">
        <f t="shared" si="5"/>
        <v>20</v>
      </c>
      <c r="M13" s="20">
        <f t="array" ref="M13">IF(AND(SUMIF($A$6:$A$28,A13,$I$6:$I$28)&gt;SUMIF($A$6:$A$28,A13,$L$6:$L$28),K13=MIN(IF($A$6:$A$28=A13,$K$6:$K$28,"")),COUNTIF($K$6:K13,K13)=1),-(SUMIF($A$6:$A$28,A13,$L$6:$L$28)-SUMIF($A$6:$A$28,A13,$I$6:$I$28)),IF(AND(SUMIF($A$6:$A$28,A13,$I$6:$I$28)&lt;SUMIF($A$6:$A$28,A13,$L$6:$L$28),K13=MAX(IF($A$6:$A$28=A13,$K$6:$K$28,"")),COUNTIF($K$6:K13,K13)=1),-(SUMIF($A$6:$A$28,A13,$L$6:$L$28)-SUMIF($A$6:$A$28,A13,$I$6:$I$28)),0))</f>
        <v>0</v>
      </c>
      <c r="N13" s="20">
        <f t="shared" si="6"/>
        <v>20</v>
      </c>
      <c r="O13" s="22">
        <f t="shared" si="7"/>
        <v>29.99</v>
      </c>
    </row>
    <row r="14" spans="1:16" x14ac:dyDescent="0.2">
      <c r="A14" s="23" t="s">
        <v>13</v>
      </c>
      <c r="B14" s="24" t="s">
        <v>23</v>
      </c>
      <c r="C14" s="24" t="s">
        <v>26</v>
      </c>
      <c r="D14" s="24" t="s">
        <v>27</v>
      </c>
      <c r="E14" s="31">
        <v>0</v>
      </c>
      <c r="F14" s="30">
        <v>5</v>
      </c>
      <c r="G14" s="20">
        <f t="shared" si="0"/>
        <v>0</v>
      </c>
      <c r="H14" s="20">
        <f t="shared" si="1"/>
        <v>0</v>
      </c>
      <c r="I14" s="20">
        <f t="shared" si="2"/>
        <v>5</v>
      </c>
      <c r="J14" s="20">
        <f t="shared" si="3"/>
        <v>0</v>
      </c>
      <c r="K14" s="20" t="str">
        <f t="shared" si="4"/>
        <v/>
      </c>
      <c r="L14" s="20">
        <f t="shared" si="5"/>
        <v>0</v>
      </c>
      <c r="M14" s="20">
        <f t="array" ref="M14">IF(AND(SUMIF($A$6:$A$28,A14,$I$6:$I$28)&gt;SUMIF($A$6:$A$28,A14,$L$6:$L$28),K14=MIN(IF($A$6:$A$28=A14,$K$6:$K$28,"")),COUNTIF($K$6:K14,K14)=1),-(SUMIF($A$6:$A$28,A14,$L$6:$L$28)-SUMIF($A$6:$A$28,A14,$I$6:$I$28)),IF(AND(SUMIF($A$6:$A$28,A14,$I$6:$I$28)&lt;SUMIF($A$6:$A$28,A14,$L$6:$L$28),K14=MAX(IF($A$6:$A$28=A14,$K$6:$K$28,"")),COUNTIF($K$6:K14,K14)=1),-(SUMIF($A$6:$A$28,A14,$L$6:$L$28)-SUMIF($A$6:$A$28,A14,$I$6:$I$28)),0))</f>
        <v>0</v>
      </c>
      <c r="N14" s="20">
        <f t="shared" si="6"/>
        <v>0</v>
      </c>
      <c r="O14" s="22">
        <f t="shared" si="7"/>
        <v>0</v>
      </c>
    </row>
    <row r="15" spans="1:16" x14ac:dyDescent="0.2">
      <c r="A15" s="25" t="s">
        <v>14</v>
      </c>
      <c r="B15" s="26" t="s">
        <v>15</v>
      </c>
      <c r="C15" s="26" t="s">
        <v>26</v>
      </c>
      <c r="D15" s="26" t="s">
        <v>27</v>
      </c>
      <c r="E15" s="32">
        <v>346</v>
      </c>
      <c r="F15" s="33">
        <v>0</v>
      </c>
      <c r="G15" s="20">
        <f t="shared" si="0"/>
        <v>19.222000000000001</v>
      </c>
      <c r="H15" s="20">
        <f t="shared" si="1"/>
        <v>0</v>
      </c>
      <c r="I15" s="20">
        <f t="shared" si="2"/>
        <v>0</v>
      </c>
      <c r="J15" s="20">
        <f t="shared" si="3"/>
        <v>7.2380000000000004</v>
      </c>
      <c r="K15" s="34">
        <f t="shared" si="4"/>
        <v>0.22605328089999999</v>
      </c>
      <c r="L15" s="20">
        <f t="shared" si="5"/>
        <v>23</v>
      </c>
      <c r="M15" s="20">
        <f t="array" ref="M15">IF(AND(SUMIF($A$6:$A$28,A15,$I$6:$I$28)&gt;SUMIF($A$6:$A$28,A15,$L$6:$L$28),K15=MIN(IF($A$6:$A$28=A15,$K$6:$K$28,"")),COUNTIF($K$6:K15,K15)=1),-(SUMIF($A$6:$A$28,A15,$L$6:$L$28)-SUMIF($A$6:$A$28,A15,$I$6:$I$28)),IF(AND(SUMIF($A$6:$A$28,A15,$I$6:$I$28)&lt;SUMIF($A$6:$A$28,A15,$L$6:$L$28),K15=MAX(IF($A$6:$A$28=A15,$K$6:$K$28,"")),COUNTIF($K$6:K15,K15)=1),-(SUMIF($A$6:$A$28,A15,$L$6:$L$28)-SUMIF($A$6:$A$28,A15,$I$6:$I$28)),0))</f>
        <v>-2</v>
      </c>
      <c r="N15" s="20">
        <f t="shared" si="6"/>
        <v>21</v>
      </c>
      <c r="O15" s="22">
        <f t="shared" si="7"/>
        <v>1.0900000000000001</v>
      </c>
    </row>
    <row r="16" spans="1:16" x14ac:dyDescent="0.2">
      <c r="A16" s="25" t="s">
        <v>14</v>
      </c>
      <c r="B16" s="26" t="s">
        <v>16</v>
      </c>
      <c r="C16" s="26" t="s">
        <v>26</v>
      </c>
      <c r="D16" s="26" t="s">
        <v>27</v>
      </c>
      <c r="E16" s="32">
        <v>122</v>
      </c>
      <c r="F16" s="32">
        <v>77</v>
      </c>
      <c r="G16" s="20">
        <f t="shared" si="0"/>
        <v>6.7779999999999996</v>
      </c>
      <c r="H16" s="20">
        <f t="shared" si="1"/>
        <v>11.36</v>
      </c>
      <c r="I16" s="20">
        <f t="shared" si="2"/>
        <v>28</v>
      </c>
      <c r="J16" s="20">
        <f t="shared" si="3"/>
        <v>0</v>
      </c>
      <c r="K16" s="34" t="str">
        <f t="shared" si="4"/>
        <v/>
      </c>
      <c r="L16" s="20">
        <f t="shared" si="5"/>
        <v>0</v>
      </c>
      <c r="M16" s="20">
        <f t="array" ref="M16">IF(AND(SUMIF($A$6:$A$28,A16,$I$6:$I$28)&gt;SUMIF($A$6:$A$28,A16,$L$6:$L$28),K16=MIN(IF($A$6:$A$28=A16,$K$6:$K$28,"")),COUNTIF($K$6:K16,K16)=1),-(SUMIF($A$6:$A$28,A16,$L$6:$L$28)-SUMIF($A$6:$A$28,A16,$I$6:$I$28)),IF(AND(SUMIF($A$6:$A$28,A16,$I$6:$I$28)&lt;SUMIF($A$6:$A$28,A16,$L$6:$L$28),K16=MAX(IF($A$6:$A$28=A16,$K$6:$K$28,"")),COUNTIF($K$6:K16,K16)=1),-(SUMIF($A$6:$A$28,A16,$L$6:$L$28)-SUMIF($A$6:$A$28,A16,$I$6:$I$28)),0))</f>
        <v>0</v>
      </c>
      <c r="N16" s="20">
        <f t="shared" si="6"/>
        <v>0</v>
      </c>
      <c r="O16" s="22">
        <f t="shared" si="7"/>
        <v>7.23</v>
      </c>
    </row>
    <row r="17" spans="1:15" x14ac:dyDescent="0.2">
      <c r="A17" s="25" t="s">
        <v>14</v>
      </c>
      <c r="B17" s="26" t="s">
        <v>17</v>
      </c>
      <c r="C17" s="26" t="s">
        <v>26</v>
      </c>
      <c r="D17" s="26" t="s">
        <v>27</v>
      </c>
      <c r="E17" s="32">
        <v>17</v>
      </c>
      <c r="F17" s="32">
        <v>40</v>
      </c>
      <c r="G17" s="20">
        <f t="shared" si="0"/>
        <v>0.94399999999999995</v>
      </c>
      <c r="H17" s="20">
        <f t="shared" si="1"/>
        <v>42.372999999999998</v>
      </c>
      <c r="I17" s="20">
        <f t="shared" si="2"/>
        <v>33</v>
      </c>
      <c r="J17" s="20">
        <f t="shared" si="3"/>
        <v>0</v>
      </c>
      <c r="K17" s="34" t="str">
        <f t="shared" si="4"/>
        <v/>
      </c>
      <c r="L17" s="20">
        <f t="shared" si="5"/>
        <v>0</v>
      </c>
      <c r="M17" s="20">
        <f t="array" ref="M17">IF(AND(SUMIF($A$6:$A$28,A17,$I$6:$I$28)&gt;SUMIF($A$6:$A$28,A17,$L$6:$L$28),K17=MIN(IF($A$6:$A$28=A17,$K$6:$K$28,"")),COUNTIF($K$6:K17,K17)=1),-(SUMIF($A$6:$A$28,A17,$L$6:$L$28)-SUMIF($A$6:$A$28,A17,$I$6:$I$28)),IF(AND(SUMIF($A$6:$A$28,A17,$I$6:$I$28)&lt;SUMIF($A$6:$A$28,A17,$L$6:$L$28),K17=MAX(IF($A$6:$A$28=A17,$K$6:$K$28,"")),COUNTIF($K$6:K17,K17)=1),-(SUMIF($A$6:$A$28,A17,$L$6:$L$28)-SUMIF($A$6:$A$28,A17,$I$6:$I$28)),0))</f>
        <v>0</v>
      </c>
      <c r="N17" s="20">
        <f t="shared" si="6"/>
        <v>0</v>
      </c>
      <c r="O17" s="22">
        <f t="shared" si="7"/>
        <v>7.42</v>
      </c>
    </row>
    <row r="18" spans="1:15" x14ac:dyDescent="0.2">
      <c r="A18" s="25" t="s">
        <v>14</v>
      </c>
      <c r="B18" s="26" t="s">
        <v>18</v>
      </c>
      <c r="C18" s="26" t="s">
        <v>26</v>
      </c>
      <c r="D18" s="26" t="s">
        <v>27</v>
      </c>
      <c r="E18" s="32">
        <v>126</v>
      </c>
      <c r="F18" s="33">
        <v>0</v>
      </c>
      <c r="G18" s="20">
        <f t="shared" si="0"/>
        <v>7</v>
      </c>
      <c r="H18" s="20">
        <f t="shared" si="1"/>
        <v>0</v>
      </c>
      <c r="I18" s="20">
        <f t="shared" si="2"/>
        <v>0</v>
      </c>
      <c r="J18" s="20">
        <f t="shared" si="3"/>
        <v>7.2380000000000004</v>
      </c>
      <c r="K18" s="34">
        <f t="shared" si="4"/>
        <v>0.22605328089999999</v>
      </c>
      <c r="L18" s="20">
        <f t="shared" si="5"/>
        <v>23</v>
      </c>
      <c r="M18" s="20">
        <f t="array" ref="M18">IF(AND(SUMIF($A$6:$A$28,A18,$I$6:$I$28)&gt;SUMIF($A$6:$A$28,A18,$L$6:$L$28),K18=MIN(IF($A$6:$A$28=A18,$K$6:$K$28,"")),COUNTIF($K$6:K18,K18)=1),-(SUMIF($A$6:$A$28,A18,$L$6:$L$28)-SUMIF($A$6:$A$28,A18,$I$6:$I$28)),IF(AND(SUMIF($A$6:$A$28,A18,$I$6:$I$28)&lt;SUMIF($A$6:$A$28,A18,$L$6:$L$28),K18=MAX(IF($A$6:$A$28=A18,$K$6:$K$28,"")),COUNTIF($K$6:K18,K18)=1),-(SUMIF($A$6:$A$28,A18,$L$6:$L$28)-SUMIF($A$6:$A$28,A18,$I$6:$I$28)),0))</f>
        <v>0</v>
      </c>
      <c r="N18" s="20">
        <f t="shared" si="6"/>
        <v>23</v>
      </c>
      <c r="O18" s="22">
        <f t="shared" si="7"/>
        <v>3.29</v>
      </c>
    </row>
    <row r="19" spans="1:15" x14ac:dyDescent="0.2">
      <c r="A19" s="25" t="s">
        <v>14</v>
      </c>
      <c r="B19" s="26" t="s">
        <v>19</v>
      </c>
      <c r="C19" s="26" t="s">
        <v>26</v>
      </c>
      <c r="D19" s="26" t="s">
        <v>27</v>
      </c>
      <c r="E19" s="32">
        <v>269</v>
      </c>
      <c r="F19" s="32">
        <v>22</v>
      </c>
      <c r="G19" s="20">
        <f t="shared" si="0"/>
        <v>14.944000000000001</v>
      </c>
      <c r="H19" s="20">
        <f t="shared" si="1"/>
        <v>1.472</v>
      </c>
      <c r="I19" s="20">
        <f t="shared" si="2"/>
        <v>0</v>
      </c>
      <c r="J19" s="20">
        <f t="shared" si="3"/>
        <v>5.766</v>
      </c>
      <c r="K19" s="20">
        <f t="shared" si="4"/>
        <v>0.18008057720000001</v>
      </c>
      <c r="L19" s="20">
        <f t="shared" si="5"/>
        <v>18</v>
      </c>
      <c r="M19" s="20">
        <f t="array" ref="M19">IF(AND(SUMIF($A$6:$A$28,A19,$I$6:$I$28)&gt;SUMIF($A$6:$A$28,A19,$L$6:$L$28),K19=MIN(IF($A$6:$A$28=A19,$K$6:$K$28,"")),COUNTIF($K$6:K19,K19)=1),-(SUMIF($A$6:$A$28,A19,$L$6:$L$28)-SUMIF($A$6:$A$28,A19,$I$6:$I$28)),IF(AND(SUMIF($A$6:$A$28,A19,$I$6:$I$28)&lt;SUMIF($A$6:$A$28,A19,$L$6:$L$28),K19=MAX(IF($A$6:$A$28=A19,$K$6:$K$28,"")),COUNTIF($K$6:K19,K19)=1),-(SUMIF($A$6:$A$28,A19,$L$6:$L$28)-SUMIF($A$6:$A$28,A19,$I$6:$I$28)),0))</f>
        <v>0</v>
      </c>
      <c r="N19" s="20">
        <f t="shared" si="6"/>
        <v>18</v>
      </c>
      <c r="O19" s="22">
        <f t="shared" si="7"/>
        <v>2.68</v>
      </c>
    </row>
    <row r="20" spans="1:15" x14ac:dyDescent="0.2">
      <c r="A20" s="25" t="s">
        <v>14</v>
      </c>
      <c r="B20" s="26" t="s">
        <v>20</v>
      </c>
      <c r="C20" s="26" t="s">
        <v>26</v>
      </c>
      <c r="D20" s="26" t="s">
        <v>27</v>
      </c>
      <c r="E20" s="32">
        <v>195</v>
      </c>
      <c r="F20" s="32">
        <v>62</v>
      </c>
      <c r="G20" s="20">
        <f t="shared" si="0"/>
        <v>10.833</v>
      </c>
      <c r="H20" s="20">
        <f t="shared" si="1"/>
        <v>5.7229999999999999</v>
      </c>
      <c r="I20" s="20">
        <f t="shared" si="2"/>
        <v>0</v>
      </c>
      <c r="J20" s="20">
        <f t="shared" si="3"/>
        <v>1.5149999999999999</v>
      </c>
      <c r="K20" s="20">
        <f t="shared" si="4"/>
        <v>4.7315656300000002E-2</v>
      </c>
      <c r="L20" s="20">
        <f t="shared" si="5"/>
        <v>5</v>
      </c>
      <c r="M20" s="20">
        <f t="array" ref="M20">IF(AND(SUMIF($A$6:$A$28,A20,$I$6:$I$28)&gt;SUMIF($A$6:$A$28,A20,$L$6:$L$28),K20=MIN(IF($A$6:$A$28=A20,$K$6:$K$28,"")),COUNTIF($K$6:K20,K20)=1),-(SUMIF($A$6:$A$28,A20,$L$6:$L$28)-SUMIF($A$6:$A$28,A20,$I$6:$I$28)),IF(AND(SUMIF($A$6:$A$28,A20,$I$6:$I$28)&lt;SUMIF($A$6:$A$28,A20,$L$6:$L$28),K20=MAX(IF($A$6:$A$28=A20,$K$6:$K$28,"")),COUNTIF($K$6:K20,K20)=1),-(SUMIF($A$6:$A$28,A20,$L$6:$L$28)-SUMIF($A$6:$A$28,A20,$I$6:$I$28)),0))</f>
        <v>0</v>
      </c>
      <c r="N20" s="20">
        <f t="shared" si="6"/>
        <v>5</v>
      </c>
      <c r="O20" s="22">
        <f t="shared" si="7"/>
        <v>6.18</v>
      </c>
    </row>
    <row r="21" spans="1:15" x14ac:dyDescent="0.2">
      <c r="A21" s="25" t="s">
        <v>14</v>
      </c>
      <c r="B21" s="26" t="s">
        <v>21</v>
      </c>
      <c r="C21" s="26" t="s">
        <v>26</v>
      </c>
      <c r="D21" s="26" t="s">
        <v>27</v>
      </c>
      <c r="E21" s="32">
        <v>326</v>
      </c>
      <c r="F21" s="32">
        <v>82</v>
      </c>
      <c r="G21" s="20">
        <f t="shared" si="0"/>
        <v>18.111000000000001</v>
      </c>
      <c r="H21" s="20">
        <f t="shared" si="1"/>
        <v>4.5279999999999996</v>
      </c>
      <c r="I21" s="20">
        <f t="shared" si="2"/>
        <v>0</v>
      </c>
      <c r="J21" s="20">
        <f t="shared" si="3"/>
        <v>2.71</v>
      </c>
      <c r="K21" s="20">
        <f t="shared" si="4"/>
        <v>8.4637246599999993E-2</v>
      </c>
      <c r="L21" s="20">
        <f t="shared" si="5"/>
        <v>9</v>
      </c>
      <c r="M21" s="20">
        <f t="array" ref="M21">IF(AND(SUMIF($A$6:$A$28,A21,$I$6:$I$28)&gt;SUMIF($A$6:$A$28,A21,$L$6:$L$28),K21=MIN(IF($A$6:$A$28=A21,$K$6:$K$28,"")),COUNTIF($K$6:K21,K21)=1),-(SUMIF($A$6:$A$28,A21,$L$6:$L$28)-SUMIF($A$6:$A$28,A21,$I$6:$I$28)),IF(AND(SUMIF($A$6:$A$28,A21,$I$6:$I$28)&lt;SUMIF($A$6:$A$28,A21,$L$6:$L$28),K21=MAX(IF($A$6:$A$28=A21,$K$6:$K$28,"")),COUNTIF($K$6:K21,K21)=1),-(SUMIF($A$6:$A$28,A21,$L$6:$L$28)-SUMIF($A$6:$A$28,A21,$I$6:$I$28)),0))</f>
        <v>0</v>
      </c>
      <c r="N21" s="20">
        <f t="shared" si="6"/>
        <v>9</v>
      </c>
      <c r="O21" s="22">
        <f t="shared" si="7"/>
        <v>5.0199999999999996</v>
      </c>
    </row>
    <row r="22" spans="1:15" x14ac:dyDescent="0.2">
      <c r="A22" s="25" t="s">
        <v>14</v>
      </c>
      <c r="B22" s="26" t="s">
        <v>22</v>
      </c>
      <c r="C22" s="26" t="s">
        <v>26</v>
      </c>
      <c r="D22" s="26" t="s">
        <v>27</v>
      </c>
      <c r="E22" s="32">
        <v>613</v>
      </c>
      <c r="F22" s="32">
        <v>111</v>
      </c>
      <c r="G22" s="20">
        <f t="shared" si="0"/>
        <v>34.055999999999997</v>
      </c>
      <c r="H22" s="20">
        <f t="shared" si="1"/>
        <v>3.2589999999999999</v>
      </c>
      <c r="I22" s="20">
        <f t="shared" si="2"/>
        <v>0</v>
      </c>
      <c r="J22" s="20">
        <f t="shared" si="3"/>
        <v>3.9790000000000001</v>
      </c>
      <c r="K22" s="20">
        <f t="shared" si="4"/>
        <v>0.1242699647</v>
      </c>
      <c r="L22" s="20">
        <f t="shared" si="5"/>
        <v>13</v>
      </c>
      <c r="M22" s="20">
        <f t="array" ref="M22">IF(AND(SUMIF($A$6:$A$28,A22,$I$6:$I$28)&gt;SUMIF($A$6:$A$28,A22,$L$6:$L$28),K22=MIN(IF($A$6:$A$28=A22,$K$6:$K$28,"")),COUNTIF($K$6:K22,K22)=1),-(SUMIF($A$6:$A$28,A22,$L$6:$L$28)-SUMIF($A$6:$A$28,A22,$I$6:$I$28)),IF(AND(SUMIF($A$6:$A$28,A22,$I$6:$I$28)&lt;SUMIF($A$6:$A$28,A22,$L$6:$L$28),K22=MAX(IF($A$6:$A$28=A22,$K$6:$K$28,"")),COUNTIF($K$6:K22,K22)=1),-(SUMIF($A$6:$A$28,A22,$L$6:$L$28)-SUMIF($A$6:$A$28,A22,$I$6:$I$28)),0))</f>
        <v>0</v>
      </c>
      <c r="N22" s="20">
        <f t="shared" si="6"/>
        <v>13</v>
      </c>
      <c r="O22" s="22">
        <f t="shared" si="7"/>
        <v>3.64</v>
      </c>
    </row>
    <row r="23" spans="1:15" x14ac:dyDescent="0.2">
      <c r="A23" s="25" t="s">
        <v>14</v>
      </c>
      <c r="B23" s="26" t="s">
        <v>23</v>
      </c>
      <c r="C23" s="26" t="s">
        <v>26</v>
      </c>
      <c r="D23" s="26" t="s">
        <v>27</v>
      </c>
      <c r="E23" s="33">
        <v>0</v>
      </c>
      <c r="F23" s="32">
        <v>40</v>
      </c>
      <c r="G23" s="20">
        <f t="shared" si="0"/>
        <v>0</v>
      </c>
      <c r="H23" s="20">
        <f t="shared" si="1"/>
        <v>0</v>
      </c>
      <c r="I23" s="20">
        <f t="shared" si="2"/>
        <v>40</v>
      </c>
      <c r="J23" s="20">
        <f t="shared" si="3"/>
        <v>0</v>
      </c>
      <c r="K23" s="20" t="str">
        <f t="shared" si="4"/>
        <v/>
      </c>
      <c r="L23" s="20">
        <f t="shared" si="5"/>
        <v>0</v>
      </c>
      <c r="M23" s="20">
        <f t="array" ref="M23">IF(AND(SUMIF($A$6:$A$28,A23,$I$6:$I$28)&gt;SUMIF($A$6:$A$28,A23,$L$6:$L$28),K23=MIN(IF($A$6:$A$28=A23,$K$6:$K$28,"")),COUNTIF($K$6:K23,K23)=1),-(SUMIF($A$6:$A$28,A23,$L$6:$L$28)-SUMIF($A$6:$A$28,A23,$I$6:$I$28)),IF(AND(SUMIF($A$6:$A$28,A23,$I$6:$I$28)&lt;SUMIF($A$6:$A$28,A23,$L$6:$L$28),K23=MAX(IF($A$6:$A$28=A23,$K$6:$K$28,"")),COUNTIF($K$6:K23,K23)=1),-(SUMIF($A$6:$A$28,A23,$L$6:$L$28)-SUMIF($A$6:$A$28,A23,$I$6:$I$28)),0))</f>
        <v>0</v>
      </c>
      <c r="N23" s="20">
        <f t="shared" si="6"/>
        <v>0</v>
      </c>
      <c r="O23" s="22">
        <f t="shared" si="7"/>
        <v>0</v>
      </c>
    </row>
    <row r="24" spans="1:15" x14ac:dyDescent="0.2">
      <c r="A24" s="25" t="s">
        <v>14</v>
      </c>
      <c r="B24" s="26" t="s">
        <v>24</v>
      </c>
      <c r="C24" s="26" t="s">
        <v>26</v>
      </c>
      <c r="D24" s="26" t="s">
        <v>27</v>
      </c>
      <c r="E24" s="32">
        <v>224</v>
      </c>
      <c r="F24" s="32">
        <v>64</v>
      </c>
      <c r="G24" s="20">
        <f t="shared" si="0"/>
        <v>12.444000000000001</v>
      </c>
      <c r="H24" s="20">
        <f t="shared" si="1"/>
        <v>5.1429999999999998</v>
      </c>
      <c r="I24" s="20">
        <f t="shared" si="2"/>
        <v>0</v>
      </c>
      <c r="J24" s="20">
        <f t="shared" si="3"/>
        <v>2.0950000000000002</v>
      </c>
      <c r="K24" s="20">
        <f t="shared" si="4"/>
        <v>6.5429900999999999E-2</v>
      </c>
      <c r="L24" s="20">
        <f t="shared" si="5"/>
        <v>7</v>
      </c>
      <c r="M24" s="20">
        <f t="array" ref="M24">IF(AND(SUMIF($A$6:$A$28,A24,$I$6:$I$28)&gt;SUMIF($A$6:$A$28,A24,$L$6:$L$28),K24=MIN(IF($A$6:$A$28=A24,$K$6:$K$28,"")),COUNTIF($K$6:K24,K24)=1),-(SUMIF($A$6:$A$28,A24,$L$6:$L$28)-SUMIF($A$6:$A$28,A24,$I$6:$I$28)),IF(AND(SUMIF($A$6:$A$28,A24,$I$6:$I$28)&lt;SUMIF($A$6:$A$28,A24,$L$6:$L$28),K24=MAX(IF($A$6:$A$28=A24,$K$6:$K$28,"")),COUNTIF($K$6:K24,K24)=1),-(SUMIF($A$6:$A$28,A24,$L$6:$L$28)-SUMIF($A$6:$A$28,A24,$I$6:$I$28)),0))</f>
        <v>0</v>
      </c>
      <c r="N24" s="20">
        <f t="shared" si="6"/>
        <v>7</v>
      </c>
      <c r="O24" s="22">
        <f t="shared" si="7"/>
        <v>5.71</v>
      </c>
    </row>
    <row r="25" spans="1:15" x14ac:dyDescent="0.2">
      <c r="A25" s="25" t="s">
        <v>14</v>
      </c>
      <c r="B25" s="26" t="s">
        <v>25</v>
      </c>
      <c r="C25" s="26" t="s">
        <v>26</v>
      </c>
      <c r="D25" s="26" t="s">
        <v>27</v>
      </c>
      <c r="E25" s="32">
        <v>4069</v>
      </c>
      <c r="F25" s="32">
        <v>1302</v>
      </c>
      <c r="G25" s="20">
        <f t="shared" si="0"/>
        <v>226.05600000000001</v>
      </c>
      <c r="H25" s="20">
        <f t="shared" si="1"/>
        <v>5.76</v>
      </c>
      <c r="I25" s="20">
        <f t="shared" si="2"/>
        <v>0</v>
      </c>
      <c r="J25" s="20">
        <f t="shared" si="3"/>
        <v>1.478</v>
      </c>
      <c r="K25" s="20">
        <f t="shared" si="4"/>
        <v>4.6160092399999998E-2</v>
      </c>
      <c r="L25" s="20">
        <f t="shared" si="5"/>
        <v>5</v>
      </c>
      <c r="M25" s="20">
        <f t="array" ref="M25">IF(AND(SUMIF($A$6:$A$28,A25,$I$6:$I$28)&gt;SUMIF($A$6:$A$28,A25,$L$6:$L$28),K25=MIN(IF($A$6:$A$28=A25,$K$6:$K$28,"")),COUNTIF($K$6:K25,K25)=1),-(SUMIF($A$6:$A$28,A25,$L$6:$L$28)-SUMIF($A$6:$A$28,A25,$I$6:$I$28)),IF(AND(SUMIF($A$6:$A$28,A25,$I$6:$I$28)&lt;SUMIF($A$6:$A$28,A25,$L$6:$L$28),K25=MAX(IF($A$6:$A$28=A25,$K$6:$K$28,"")),COUNTIF($K$6:K25,K25)=1),-(SUMIF($A$6:$A$28,A25,$L$6:$L$28)-SUMIF($A$6:$A$28,A25,$I$6:$I$28)),0))</f>
        <v>0</v>
      </c>
      <c r="N25" s="20">
        <f t="shared" si="6"/>
        <v>5</v>
      </c>
      <c r="O25" s="22">
        <f t="shared" si="7"/>
        <v>5.78</v>
      </c>
    </row>
    <row r="26" spans="1:15" x14ac:dyDescent="0.2">
      <c r="D26" s="24"/>
      <c r="I26"/>
      <c r="J26"/>
    </row>
    <row r="27" spans="1:15" x14ac:dyDescent="0.2">
      <c r="I27"/>
      <c r="J27"/>
    </row>
    <row r="28" spans="1:15" ht="23.25" x14ac:dyDescent="0.35">
      <c r="A28" s="35" t="s">
        <v>31</v>
      </c>
      <c r="I28"/>
      <c r="J28"/>
    </row>
  </sheetData>
  <autoFilter ref="A5:P25"/>
  <customSheetViews>
    <customSheetView guid="{727D6E5C-B3D5-4D6D-B7F9-C160BD8FC217}" scale="90" showAutoFilter="1" topLeftCell="A7">
      <selection activeCell="C38" sqref="C38"/>
      <pageMargins left="0.7" right="0.7" top="0.75" bottom="0.75" header="0.3" footer="0.3"/>
      <autoFilter ref="A5:P25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="90" zoomScaleNormal="90" workbookViewId="0">
      <selection activeCell="B33" sqref="B33"/>
    </sheetView>
  </sheetViews>
  <sheetFormatPr defaultRowHeight="12.75" x14ac:dyDescent="0.2"/>
  <cols>
    <col min="1" max="1" width="15.5703125" customWidth="1"/>
    <col min="2" max="2" width="24" customWidth="1"/>
    <col min="3" max="3" width="21.140625" customWidth="1"/>
    <col min="4" max="4" width="14.140625" customWidth="1"/>
    <col min="5" max="5" width="14.42578125" customWidth="1"/>
    <col min="6" max="6" width="15.85546875" customWidth="1"/>
    <col min="7" max="7" width="9" customWidth="1"/>
    <col min="8" max="8" width="11.5703125" style="6" customWidth="1"/>
    <col min="9" max="10" width="14.5703125" style="6" customWidth="1"/>
    <col min="11" max="11" width="18" style="6" customWidth="1"/>
    <col min="12" max="12" width="14.85546875" style="6" customWidth="1"/>
    <col min="13" max="14" width="14.42578125" style="6" customWidth="1"/>
    <col min="15" max="15" width="13.5703125" style="6" customWidth="1"/>
  </cols>
  <sheetData>
    <row r="1" spans="1:18" ht="13.5" thickBot="1" x14ac:dyDescent="0.25">
      <c r="B1" s="1"/>
      <c r="C1" s="2"/>
      <c r="E1" s="3" t="s">
        <v>0</v>
      </c>
      <c r="F1" s="4">
        <v>18</v>
      </c>
      <c r="G1" s="5"/>
    </row>
    <row r="2" spans="1:18" ht="13.5" thickBot="1" x14ac:dyDescent="0.25">
      <c r="B2" s="7"/>
      <c r="C2" s="5"/>
      <c r="E2" s="8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8" x14ac:dyDescent="0.2">
      <c r="A3" s="10"/>
      <c r="B3" s="11"/>
      <c r="C3" s="11"/>
      <c r="D3" s="11"/>
      <c r="E3" s="11"/>
      <c r="F3" s="12"/>
      <c r="G3" s="11"/>
      <c r="H3" s="11"/>
      <c r="I3" s="11"/>
      <c r="J3" s="11"/>
      <c r="K3" s="11"/>
      <c r="L3" s="11"/>
      <c r="M3" s="11" t="b">
        <f>I5-L5=M5</f>
        <v>1</v>
      </c>
      <c r="N3" s="11"/>
      <c r="O3" s="13"/>
    </row>
    <row r="4" spans="1:18" ht="43.5" customHeight="1" x14ac:dyDescent="0.2">
      <c r="A4" s="14" t="s">
        <v>1</v>
      </c>
      <c r="B4" s="15" t="s">
        <v>30</v>
      </c>
      <c r="C4" s="15" t="s">
        <v>2</v>
      </c>
      <c r="D4" s="15" t="s">
        <v>3</v>
      </c>
      <c r="E4" s="15" t="s">
        <v>4</v>
      </c>
      <c r="F4" s="15" t="s">
        <v>5</v>
      </c>
      <c r="G4" s="16" t="s">
        <v>6</v>
      </c>
      <c r="H4" s="16" t="s">
        <v>7</v>
      </c>
      <c r="I4" s="17" t="s">
        <v>28</v>
      </c>
      <c r="J4" s="16" t="s">
        <v>8</v>
      </c>
      <c r="K4" s="16" t="s">
        <v>29</v>
      </c>
      <c r="L4" s="16" t="s">
        <v>9</v>
      </c>
      <c r="M4" s="16" t="s">
        <v>10</v>
      </c>
      <c r="N4" s="17" t="s">
        <v>11</v>
      </c>
      <c r="O4" s="18" t="s">
        <v>12</v>
      </c>
      <c r="P4" s="19"/>
    </row>
    <row r="5" spans="1:18" ht="18" customHeight="1" x14ac:dyDescent="0.2">
      <c r="A5" s="27"/>
      <c r="B5" s="28"/>
      <c r="C5" s="28"/>
      <c r="D5" s="28"/>
      <c r="E5" s="29"/>
      <c r="F5" s="29"/>
      <c r="G5" s="20"/>
      <c r="H5" s="20"/>
      <c r="I5" s="21">
        <f>SUM(I6:I28)</f>
        <v>180</v>
      </c>
      <c r="J5" s="21"/>
      <c r="K5" s="21"/>
      <c r="L5" s="21">
        <f>SUM(L6:L28)</f>
        <v>183</v>
      </c>
      <c r="M5" s="21">
        <f>SUM(M6:M28)</f>
        <v>-3</v>
      </c>
      <c r="N5" s="21">
        <f>SUM(N6:N28)</f>
        <v>180</v>
      </c>
      <c r="O5" s="22"/>
    </row>
    <row r="6" spans="1:18" x14ac:dyDescent="0.2">
      <c r="A6" s="23" t="s">
        <v>13</v>
      </c>
      <c r="B6" s="24" t="s">
        <v>15</v>
      </c>
      <c r="C6" s="24" t="s">
        <v>26</v>
      </c>
      <c r="D6" s="24" t="s">
        <v>27</v>
      </c>
      <c r="E6" s="30">
        <v>784</v>
      </c>
      <c r="F6" s="30">
        <v>145</v>
      </c>
      <c r="G6" s="20">
        <f t="shared" ref="G6:G25" si="0">ROUND(E6/$F$1,3)</f>
        <v>43.555999999999997</v>
      </c>
      <c r="H6" s="20">
        <f t="shared" ref="H6:H25" si="1">IF(OR(E6=0,E6=""),0,ROUND(F6/G6,3))</f>
        <v>3.3290000000000002</v>
      </c>
      <c r="I6" s="20">
        <f>IFERROR(IF(AND(E6&gt;0,H6&lt;AVERAGEIFS($H$6:$H$500,$A$6:$A$500,A6,$C$6:$C$500,C6)),0,IF(AND(E6=0,F6&gt;0),ROUND(F6,0),ROUND((H6-AVERAGEIFS($H$6:$H$500,$A$6:$A$500,A6,$C$6:$C$500,C6))*G6,0))),0)</f>
        <v>0</v>
      </c>
      <c r="J6" s="20">
        <f>IFERROR(IF(OR(E6=0,H6&gt;AVERAGEIFS($H$6:$H$500,$A$6:$A$500,A6,C$6:C$500,C6)),0,ROUND((AVERAGEIFS($H$6:$H$500,$A$6:$A$500,A6,C$6:C$500,C6)-H6),3)),0)</f>
        <v>7.9950000000000001</v>
      </c>
      <c r="K6" s="20">
        <f>IFERROR(IF(J6=0,"",ROUND(J6/SUMIFS($J$6:$J$500,$A$6:$A$500,A6,$C$6:$C$500,C6),10)),0)</f>
        <v>0.17447570000000001</v>
      </c>
      <c r="L6" s="20">
        <f>IFERROR(IF(K6="",0,ROUND(K6*SUMIFS($I$6:$I$500,$A$6:$A$500,A6,$C$6:$C$500,C6),0)),0)</f>
        <v>14</v>
      </c>
      <c r="M6" s="20">
        <f>IF(AND(SUMIFS($I$6:$I$500,$A$6:$A$500,A6,$C$6:$C$500,C6)&gt;SUMIFS($L$6:$L$500,$A$6:$A$500,A6,$C$6:$C$500,C6),K6=MIN(IF(AND($A$6:$A$500=A6,$C$6:$C$500=C6),$K$6:$K$500,"")),COUNTIFS($A$6:A6,A6,$C$6:C6,C6,$K$6:K6,K6)=1),-(SUMIFS($L$6:$L$500,$A$6:$A$500,A6,$C$6:$C$500,C6)-SUMIFS($I$6:$I$500,$A$6:$A$500,A6,$C$6:$C$500,C6)),IF(AND(SUMIFS($I$6:$I$500,$A$6:$A$500,A6,$C$6:$C$500,C6)&lt;SUMIFS($L$6:$L$500,$A$6:$A$500,A6,$C$6:$C$500,C6),K6=MAX(IF(AND($A$6:$A$500=A6,$C$6:$C$500=C6),$K$6:$K$500,"")),COUNTIFS($A$6:A6,A6,$C$6:C6,C6,$K$6:K6,K6)=1),-(SUMIFS($L$6:$L$500,$A$6:$A$500,A6,$C$6:$C$500,C6)-SUMIFS($I$6:$I$500,$A$6:$A$500,A6,$C$6:$C$500,C6)),0))</f>
        <v>0</v>
      </c>
      <c r="N6" s="20">
        <f t="shared" ref="N6:N25" si="2">IF(L6="",0,L6+M6)</f>
        <v>14</v>
      </c>
      <c r="O6" s="22">
        <f t="shared" ref="O6:O25" si="3">IF(AND(J6=0,G6&lt;&gt;0),ROUND((F6-I6)/G6,2),IF(AND(G6&lt;&gt;0,J6&gt;0),ROUND((F6-I6+N6)/G6,2),0))</f>
        <v>3.65</v>
      </c>
    </row>
    <row r="7" spans="1:18" x14ac:dyDescent="0.2">
      <c r="A7" s="23" t="s">
        <v>13</v>
      </c>
      <c r="B7" s="24" t="s">
        <v>16</v>
      </c>
      <c r="C7" s="24" t="s">
        <v>26</v>
      </c>
      <c r="D7" s="24" t="s">
        <v>27</v>
      </c>
      <c r="E7" s="30">
        <v>444</v>
      </c>
      <c r="F7" s="31">
        <v>0</v>
      </c>
      <c r="G7" s="20">
        <f t="shared" si="0"/>
        <v>24.667000000000002</v>
      </c>
      <c r="H7" s="20">
        <f t="shared" si="1"/>
        <v>0</v>
      </c>
      <c r="I7" s="20">
        <f t="shared" ref="I7:I25" si="4">IFERROR(IF(AND(E7&gt;0,H7&lt;AVERAGEIFS($H$6:$H$500,$A$6:$A$500,A7,$C$6:$C$500,C7)),0,IF(AND(E7=0,F7&gt;0),ROUND(F7,0),ROUND((H7-AVERAGEIFS($H$6:$H$500,$A$6:$A$500,A7,$C$6:$C$500,C7))*G7,0))),0)</f>
        <v>0</v>
      </c>
      <c r="J7" s="20">
        <f t="shared" ref="J7:J25" si="5">IFERROR(IF(OR(E7=0,H7&gt;AVERAGEIFS($H$6:$H$500,$A$6:$A$500,A7,C$6:C$500,C7)),0,ROUND((AVERAGEIFS($H$6:$H$500,$A$6:$A$500,A7,C$6:C$500,C7)-H7),3)),0)</f>
        <v>11.324</v>
      </c>
      <c r="K7" s="20">
        <f t="shared" ref="K7:K25" si="6">IFERROR(IF(J7=0,"",ROUND(J7/SUMIFS($J$6:$J$500,$A$6:$A$500,A7,$C$6:$C$500,C7),10)),0)</f>
        <v>0.2471248063</v>
      </c>
      <c r="L7" s="20">
        <f t="shared" ref="L7:L25" si="7">IFERROR(IF(K7="",0,ROUND(K7*SUMIFS($I$6:$I$500,$A$6:$A$500,A7,$C$6:$C$500,C7),0)),0)</f>
        <v>20</v>
      </c>
      <c r="M7" s="20">
        <f t="array" ref="M7">IF(AND(SUMIFS($I$6:$I$500,$A$6:$A$500,A7,$C$6:$C$500,C7)&gt;SUMIFS($L$6:$L$500,$A$6:$A$500,A7,$C$6:$C$500,C7),K7=MIN(IF($A$6:$A$500=A7,$K$6:$K$500,"")),COUNTIFS($A$6:A7,A7,$C$6:C7,C7,$K$6:K7,K7)=1),-(SUMIFS($L$6:$L$500,$A$6:$A$500,A7,$C$6:$C$500,C7)-SUMIFS($I$6:$I$500,$A$6:$A$500,A7,$C$6:$C$500,C7)),IF(AND(SUMIFS($I$6:$I$500,$A$6:$A$500,A7,$C$6:$C$500,C7)&lt;SUMIFS($L$6:$L$500,$A$6:$A$500,A7,$C$6:$C$500,C7),K7=MAX(IF($A$6:$A$500=A7,$K$6:$K$500,"")),COUNTIFS($A$6:A7,A7,$C$6:C7,C7,$K$6:K7,K7)=1),-(SUMIFS($L$6:$L$500,$A$6:$A$500,A7,$C$6:$C$500,C7)-SUMIFS($I$6:$I$500,$A$6:$A$500,A7,$C$6:$C$500,C7)),0))</f>
        <v>-1</v>
      </c>
      <c r="N7" s="20">
        <f t="shared" si="2"/>
        <v>19</v>
      </c>
      <c r="O7" s="22">
        <f t="shared" si="3"/>
        <v>0.77</v>
      </c>
      <c r="R7" t="s">
        <v>32</v>
      </c>
    </row>
    <row r="8" spans="1:18" x14ac:dyDescent="0.2">
      <c r="A8" s="23" t="s">
        <v>13</v>
      </c>
      <c r="B8" s="24" t="s">
        <v>17</v>
      </c>
      <c r="C8" s="24" t="s">
        <v>26</v>
      </c>
      <c r="D8" s="24" t="s">
        <v>27</v>
      </c>
      <c r="E8" s="30">
        <v>7</v>
      </c>
      <c r="F8" s="30">
        <v>20</v>
      </c>
      <c r="G8" s="20">
        <f t="shared" si="0"/>
        <v>0.38900000000000001</v>
      </c>
      <c r="H8" s="20">
        <f t="shared" si="1"/>
        <v>51.414000000000001</v>
      </c>
      <c r="I8" s="20">
        <f t="shared" si="4"/>
        <v>16</v>
      </c>
      <c r="J8" s="20">
        <f t="shared" si="5"/>
        <v>0</v>
      </c>
      <c r="K8" s="20" t="str">
        <f t="shared" si="6"/>
        <v/>
      </c>
      <c r="L8" s="20">
        <f t="shared" si="7"/>
        <v>0</v>
      </c>
      <c r="M8" s="20">
        <f t="array" ref="M8">IF(AND(SUMIFS($I$6:$I$500,$A$6:$A$500,A8,$C$6:$C$500,C8)&gt;SUMIFS($L$6:$L$500,$A$6:$A$500,A8,$C$6:$C$500,C8),K8=MIN(IF($A$6:$A$500=A8,$K$6:$K$500,"")),COUNTIFS($A$6:A8,A8,$C$6:C8,C8,$K$6:K8,K8)=1),-(SUMIFS($L$6:$L$500,$A$6:$A$500,A8,$C$6:$C$500,C8)-SUMIFS($I$6:$I$500,$A$6:$A$500,A8,$C$6:$C$500,C8)),IF(AND(SUMIFS($I$6:$I$500,$A$6:$A$500,A8,$C$6:$C$500,C8)&lt;SUMIFS($L$6:$L$500,$A$6:$A$500,A8,$C$6:$C$500,C8),K8=MAX(IF($A$6:$A$500=A8,$K$6:$K$500,"")),COUNTIFS($A$6:A8,A8,$C$6:C8,C8,$K$6:K8,K8)=1),-(SUMIFS($L$6:$L$500,$A$6:$A$500,A8,$C$6:$C$500,C8)-SUMIFS($I$6:$I$500,$A$6:$A$500,A8,$C$6:$C$500,C8)),0))</f>
        <v>0</v>
      </c>
      <c r="N8" s="20">
        <f t="shared" si="2"/>
        <v>0</v>
      </c>
      <c r="O8" s="22">
        <f t="shared" si="3"/>
        <v>10.28</v>
      </c>
    </row>
    <row r="9" spans="1:18" x14ac:dyDescent="0.2">
      <c r="A9" s="23" t="s">
        <v>13</v>
      </c>
      <c r="B9" s="24" t="s">
        <v>18</v>
      </c>
      <c r="C9" s="24" t="s">
        <v>26</v>
      </c>
      <c r="D9" s="24" t="s">
        <v>27</v>
      </c>
      <c r="E9" s="30">
        <v>125</v>
      </c>
      <c r="F9" s="30">
        <v>79</v>
      </c>
      <c r="G9" s="20">
        <f t="shared" si="0"/>
        <v>6.944</v>
      </c>
      <c r="H9" s="20">
        <f t="shared" si="1"/>
        <v>11.377000000000001</v>
      </c>
      <c r="I9" s="20">
        <f t="shared" si="4"/>
        <v>0</v>
      </c>
      <c r="J9" s="20">
        <f t="shared" si="5"/>
        <v>0</v>
      </c>
      <c r="K9" s="20" t="str">
        <f t="shared" si="6"/>
        <v/>
      </c>
      <c r="L9" s="20">
        <f t="shared" si="7"/>
        <v>0</v>
      </c>
      <c r="M9" s="20">
        <f t="array" ref="M9">IF(AND(SUMIFS($I$6:$I$500,$A$6:$A$500,A9,$C$6:$C$500,C9)&gt;SUMIFS($L$6:$L$500,$A$6:$A$500,A9,$C$6:$C$500,C9),K9=MIN(IF($A$6:$A$500=A9,$K$6:$K$500,"")),COUNTIFS($A$6:A9,A9,$C$6:C9,C9,$K$6:K9,K9)=1),-(SUMIFS($L$6:$L$500,$A$6:$A$500,A9,$C$6:$C$500,C9)-SUMIFS($I$6:$I$500,$A$6:$A$500,A9,$C$6:$C$500,C9)),IF(AND(SUMIFS($I$6:$I$500,$A$6:$A$500,A9,$C$6:$C$500,C9)&lt;SUMIFS($L$6:$L$500,$A$6:$A$500,A9,$C$6:$C$500,C9),K9=MAX(IF($A$6:$A$500=A9,$K$6:$K$500,"")),COUNTIFS($A$6:A9,A9,$C$6:C9,C9,$K$6:K9,K9)=1),-(SUMIFS($L$6:$L$500,$A$6:$A$500,A9,$C$6:$C$500,C9)-SUMIFS($I$6:$I$500,$A$6:$A$500,A9,$C$6:$C$500,C9)),0))</f>
        <v>0</v>
      </c>
      <c r="N9" s="20">
        <f t="shared" si="2"/>
        <v>0</v>
      </c>
      <c r="O9" s="22">
        <f t="shared" si="3"/>
        <v>11.38</v>
      </c>
      <c r="R9" t="s">
        <v>34</v>
      </c>
    </row>
    <row r="10" spans="1:18" x14ac:dyDescent="0.2">
      <c r="A10" s="23" t="s">
        <v>13</v>
      </c>
      <c r="B10" s="24" t="s">
        <v>19</v>
      </c>
      <c r="C10" s="24" t="s">
        <v>26</v>
      </c>
      <c r="D10" s="24" t="s">
        <v>27</v>
      </c>
      <c r="E10" s="30">
        <v>61</v>
      </c>
      <c r="F10" s="30">
        <v>96</v>
      </c>
      <c r="G10" s="20">
        <f t="shared" si="0"/>
        <v>3.3889999999999998</v>
      </c>
      <c r="H10" s="20">
        <f t="shared" si="1"/>
        <v>28.327000000000002</v>
      </c>
      <c r="I10" s="20">
        <f t="shared" si="4"/>
        <v>58</v>
      </c>
      <c r="J10" s="20">
        <f t="shared" si="5"/>
        <v>0</v>
      </c>
      <c r="K10" s="20" t="str">
        <f t="shared" si="6"/>
        <v/>
      </c>
      <c r="L10" s="20">
        <f t="shared" si="7"/>
        <v>0</v>
      </c>
      <c r="M10" s="20">
        <f t="array" ref="M10">IF(AND(SUMIFS($I$6:$I$500,$A$6:$A$500,A10,$C$6:$C$500,C10)&gt;SUMIFS($L$6:$L$500,$A$6:$A$500,A10,$C$6:$C$500,C10),K10=MIN(IF($A$6:$A$500=A10,$K$6:$K$500,"")),COUNTIFS($A$6:A10,A10,$C$6:C10,C10,$K$6:K10,K10)=1),-(SUMIFS($L$6:$L$500,$A$6:$A$500,A10,$C$6:$C$500,C10)-SUMIFS($I$6:$I$500,$A$6:$A$500,A10,$C$6:$C$500,C10)),IF(AND(SUMIFS($I$6:$I$500,$A$6:$A$500,A10,$C$6:$C$500,C10)&lt;SUMIFS($L$6:$L$500,$A$6:$A$500,A10,$C$6:$C$500,C10),K10=MAX(IF($A$6:$A$500=A10,$K$6:$K$500,"")),COUNTIFS($A$6:A10,A10,$C$6:C10,C10,$K$6:K10,K10)=1),-(SUMIFS($L$6:$L$500,$A$6:$A$500,A10,$C$6:$C$500,C10)-SUMIFS($I$6:$I$500,$A$6:$A$500,A10,$C$6:$C$500,C10)),0))</f>
        <v>0</v>
      </c>
      <c r="N10" s="20">
        <f t="shared" si="2"/>
        <v>0</v>
      </c>
      <c r="O10" s="22">
        <f t="shared" si="3"/>
        <v>11.21</v>
      </c>
    </row>
    <row r="11" spans="1:18" x14ac:dyDescent="0.2">
      <c r="A11" s="23" t="s">
        <v>13</v>
      </c>
      <c r="B11" s="24" t="s">
        <v>20</v>
      </c>
      <c r="C11" s="24" t="s">
        <v>26</v>
      </c>
      <c r="D11" s="24" t="s">
        <v>27</v>
      </c>
      <c r="E11" s="30">
        <v>97</v>
      </c>
      <c r="F11" s="30">
        <v>23</v>
      </c>
      <c r="G11" s="20">
        <f t="shared" si="0"/>
        <v>5.3890000000000002</v>
      </c>
      <c r="H11" s="20">
        <f t="shared" si="1"/>
        <v>4.2679999999999998</v>
      </c>
      <c r="I11" s="20">
        <f t="shared" si="4"/>
        <v>0</v>
      </c>
      <c r="J11" s="20">
        <f t="shared" si="5"/>
        <v>7.056</v>
      </c>
      <c r="K11" s="20">
        <f t="shared" si="6"/>
        <v>0.1539838073</v>
      </c>
      <c r="L11" s="20">
        <f t="shared" si="7"/>
        <v>12</v>
      </c>
      <c r="M11" s="20">
        <f t="array" ref="M11">IF(AND(SUMIFS($I$6:$I$500,$A$6:$A$500,A11,$C$6:$C$500,C11)&gt;SUMIFS($L$6:$L$500,$A$6:$A$500,A11,$C$6:$C$500,C11),K11=MIN(IF($A$6:$A$500=A11,$K$6:$K$500,"")),COUNTIFS($A$6:A11,A11,$C$6:C11,C11,$K$6:K11,K11)=1),-(SUMIFS($L$6:$L$500,$A$6:$A$500,A11,$C$6:$C$500,C11)-SUMIFS($I$6:$I$500,$A$6:$A$500,A11,$C$6:$C$500,C11)),IF(AND(SUMIFS($I$6:$I$500,$A$6:$A$500,A11,$C$6:$C$500,C11)&lt;SUMIFS($L$6:$L$500,$A$6:$A$500,A11,$C$6:$C$500,C11),K11=MAX(IF($A$6:$A$500=A11,$K$6:$K$500,"")),COUNTIFS($A$6:A11,A11,$C$6:C11,C11,$K$6:K11,K11)=1),-(SUMIFS($L$6:$L$500,$A$6:$A$500,A11,$C$6:$C$500,C11)-SUMIFS($I$6:$I$500,$A$6:$A$500,A11,$C$6:$C$500,C11)),0))</f>
        <v>0</v>
      </c>
      <c r="N11" s="20">
        <f t="shared" si="2"/>
        <v>12</v>
      </c>
      <c r="O11" s="22">
        <f t="shared" si="3"/>
        <v>6.49</v>
      </c>
    </row>
    <row r="12" spans="1:18" x14ac:dyDescent="0.2">
      <c r="A12" s="23" t="s">
        <v>13</v>
      </c>
      <c r="B12" s="24" t="s">
        <v>21</v>
      </c>
      <c r="C12" s="24" t="s">
        <v>26</v>
      </c>
      <c r="D12" s="24" t="s">
        <v>27</v>
      </c>
      <c r="E12" s="30">
        <v>1856</v>
      </c>
      <c r="F12" s="30">
        <v>330</v>
      </c>
      <c r="G12" s="20">
        <f t="shared" si="0"/>
        <v>103.111</v>
      </c>
      <c r="H12" s="20">
        <f t="shared" si="1"/>
        <v>3.2</v>
      </c>
      <c r="I12" s="20">
        <f t="shared" si="4"/>
        <v>0</v>
      </c>
      <c r="J12" s="20">
        <f t="shared" si="5"/>
        <v>8.1240000000000006</v>
      </c>
      <c r="K12" s="20">
        <f t="shared" si="6"/>
        <v>0.17729088009999999</v>
      </c>
      <c r="L12" s="20">
        <f t="shared" si="7"/>
        <v>14</v>
      </c>
      <c r="M12" s="20">
        <f t="array" ref="M12">IF(AND(SUMIFS($I$6:$I$500,$A$6:$A$500,A12,$C$6:$C$500,C12)&gt;SUMIFS($L$6:$L$500,$A$6:$A$500,A12,$C$6:$C$500,C12),K12=MIN(IF($A$6:$A$500=A12,$K$6:$K$500,"")),COUNTIFS($A$6:A12,A12,$C$6:C12,C12,$K$6:K12,K12)=1),-(SUMIFS($L$6:$L$500,$A$6:$A$500,A12,$C$6:$C$500,C12)-SUMIFS($I$6:$I$500,$A$6:$A$500,A12,$C$6:$C$500,C12)),IF(AND(SUMIFS($I$6:$I$500,$A$6:$A$500,A12,$C$6:$C$500,C12)&lt;SUMIFS($L$6:$L$500,$A$6:$A$500,A12,$C$6:$C$500,C12),K12=MAX(IF($A$6:$A$500=A12,$K$6:$K$500,"")),COUNTIFS($A$6:A12,A12,$C$6:C12,C12,$K$6:K12,K12)=1),-(SUMIFS($L$6:$L$500,$A$6:$A$500,A12,$C$6:$C$500,C12)-SUMIFS($I$6:$I$500,$A$6:$A$500,A12,$C$6:$C$500,C12)),0))</f>
        <v>0</v>
      </c>
      <c r="N12" s="20">
        <f t="shared" si="2"/>
        <v>14</v>
      </c>
      <c r="O12" s="22">
        <f t="shared" si="3"/>
        <v>3.34</v>
      </c>
    </row>
    <row r="13" spans="1:18" x14ac:dyDescent="0.2">
      <c r="A13" s="23" t="s">
        <v>13</v>
      </c>
      <c r="B13" s="24" t="s">
        <v>22</v>
      </c>
      <c r="C13" s="24" t="s">
        <v>26</v>
      </c>
      <c r="D13" s="24" t="s">
        <v>27</v>
      </c>
      <c r="E13" s="30">
        <v>12</v>
      </c>
      <c r="F13" s="31">
        <v>0</v>
      </c>
      <c r="G13" s="20">
        <f t="shared" si="0"/>
        <v>0.66700000000000004</v>
      </c>
      <c r="H13" s="20">
        <f t="shared" si="1"/>
        <v>0</v>
      </c>
      <c r="I13" s="20">
        <f t="shared" si="4"/>
        <v>0</v>
      </c>
      <c r="J13" s="20">
        <f t="shared" si="5"/>
        <v>11.324</v>
      </c>
      <c r="K13" s="20">
        <f t="shared" si="6"/>
        <v>0.2471248063</v>
      </c>
      <c r="L13" s="20">
        <f t="shared" si="7"/>
        <v>20</v>
      </c>
      <c r="M13" s="20">
        <f t="array" ref="M13">IF(AND(SUMIFS($I$6:$I$500,$A$6:$A$500,A13,$C$6:$C$500,C13)&gt;SUMIFS($L$6:$L$500,$A$6:$A$500,A13,$C$6:$C$500,C13),K13=MIN(IF($A$6:$A$500=A13,$K$6:$K$500,"")),COUNTIFS($A$6:A13,A13,$C$6:C13,C13,$K$6:K13,K13)=1),-(SUMIFS($L$6:$L$500,$A$6:$A$500,A13,$C$6:$C$500,C13)-SUMIFS($I$6:$I$500,$A$6:$A$500,A13,$C$6:$C$500,C13)),IF(AND(SUMIFS($I$6:$I$500,$A$6:$A$500,A13,$C$6:$C$500,C13)&lt;SUMIFS($L$6:$L$500,$A$6:$A$500,A13,$C$6:$C$500,C13),K13=MAX(IF($A$6:$A$500=A13,$K$6:$K$500,"")),COUNTIFS($A$6:A13,A13,$C$6:C13,C13,$K$6:K13,K13)=1),-(SUMIFS($L$6:$L$500,$A$6:$A$500,A13,$C$6:$C$500,C13)-SUMIFS($I$6:$I$500,$A$6:$A$500,A13,$C$6:$C$500,C13)),0))</f>
        <v>0</v>
      </c>
      <c r="N13" s="20">
        <f t="shared" si="2"/>
        <v>20</v>
      </c>
      <c r="O13" s="22">
        <f t="shared" si="3"/>
        <v>29.99</v>
      </c>
    </row>
    <row r="14" spans="1:18" x14ac:dyDescent="0.2">
      <c r="A14" s="23" t="s">
        <v>13</v>
      </c>
      <c r="B14" s="24" t="s">
        <v>23</v>
      </c>
      <c r="C14" s="24" t="s">
        <v>26</v>
      </c>
      <c r="D14" s="24" t="s">
        <v>27</v>
      </c>
      <c r="E14" s="31">
        <v>0</v>
      </c>
      <c r="F14" s="30">
        <v>5</v>
      </c>
      <c r="G14" s="20">
        <f t="shared" si="0"/>
        <v>0</v>
      </c>
      <c r="H14" s="20">
        <f t="shared" si="1"/>
        <v>0</v>
      </c>
      <c r="I14" s="20">
        <f t="shared" si="4"/>
        <v>5</v>
      </c>
      <c r="J14" s="20">
        <f t="shared" si="5"/>
        <v>0</v>
      </c>
      <c r="K14" s="20" t="str">
        <f t="shared" si="6"/>
        <v/>
      </c>
      <c r="L14" s="20">
        <f t="shared" si="7"/>
        <v>0</v>
      </c>
      <c r="M14" s="20">
        <f t="array" ref="M14">IF(AND(SUMIFS($I$6:$I$500,$A$6:$A$500,A14,$C$6:$C$500,C14)&gt;SUMIFS($L$6:$L$500,$A$6:$A$500,A14,$C$6:$C$500,C14),K14=MIN(IF($A$6:$A$500=A14,$K$6:$K$500,"")),COUNTIFS($A$6:A14,A14,$C$6:C14,C14,$K$6:K14,K14)=1),-(SUMIFS($L$6:$L$500,$A$6:$A$500,A14,$C$6:$C$500,C14)-SUMIFS($I$6:$I$500,$A$6:$A$500,A14,$C$6:$C$500,C14)),IF(AND(SUMIFS($I$6:$I$500,$A$6:$A$500,A14,$C$6:$C$500,C14)&lt;SUMIFS($L$6:$L$500,$A$6:$A$500,A14,$C$6:$C$500,C14),K14=MAX(IF($A$6:$A$500=A14,$K$6:$K$500,"")),COUNTIFS($A$6:A14,A14,$C$6:C14,C14,$K$6:K14,K14)=1),-(SUMIFS($L$6:$L$500,$A$6:$A$500,A14,$C$6:$C$500,C14)-SUMIFS($I$6:$I$500,$A$6:$A$500,A14,$C$6:$C$500,C14)),0))</f>
        <v>0</v>
      </c>
      <c r="N14" s="20">
        <f t="shared" si="2"/>
        <v>0</v>
      </c>
      <c r="O14" s="22">
        <f t="shared" si="3"/>
        <v>0</v>
      </c>
    </row>
    <row r="15" spans="1:18" x14ac:dyDescent="0.2">
      <c r="A15" s="25" t="s">
        <v>14</v>
      </c>
      <c r="B15" s="26" t="s">
        <v>15</v>
      </c>
      <c r="C15" s="26" t="s">
        <v>26</v>
      </c>
      <c r="D15" s="26" t="s">
        <v>27</v>
      </c>
      <c r="E15" s="32">
        <v>346</v>
      </c>
      <c r="F15" s="33">
        <v>0</v>
      </c>
      <c r="G15" s="20">
        <f t="shared" si="0"/>
        <v>19.222000000000001</v>
      </c>
      <c r="H15" s="20">
        <f t="shared" si="1"/>
        <v>0</v>
      </c>
      <c r="I15" s="20">
        <f t="shared" si="4"/>
        <v>0</v>
      </c>
      <c r="J15" s="20">
        <f t="shared" si="5"/>
        <v>7.2380000000000004</v>
      </c>
      <c r="K15" s="20">
        <f t="shared" si="6"/>
        <v>0.22605328089999999</v>
      </c>
      <c r="L15" s="20">
        <f t="shared" si="7"/>
        <v>23</v>
      </c>
      <c r="M15" s="20">
        <f t="array" ref="M15">IF(AND(SUMIFS($I$6:$I$500,$A$6:$A$500,A15,$C$6:$C$500,C15)&gt;SUMIFS($L$6:$L$500,$A$6:$A$500,A15,$C$6:$C$500,C15),K15=MIN(IF($A$6:$A$500=A15,$K$6:$K$500,"")),COUNTIFS($A$6:A15,A15,$C$6:C15,C15,$K$6:K15,K15)=1),-(SUMIFS($L$6:$L$500,$A$6:$A$500,A15,$C$6:$C$500,C15)-SUMIFS($I$6:$I$500,$A$6:$A$500,A15,$C$6:$C$500,C15)),IF(AND(SUMIFS($I$6:$I$500,$A$6:$A$500,A15,$C$6:$C$500,C15)&lt;SUMIFS($L$6:$L$500,$A$6:$A$500,A15,$C$6:$C$500,C15),K15=MAX(IF($A$6:$A$500=A15,$K$6:$K$500,"")),COUNTIFS($A$6:A15,A15,$C$6:C15,C15,$K$6:K15,K15)=1),-(SUMIFS($L$6:$L$500,$A$6:$A$500,A15,$C$6:$C$500,C15)-SUMIFS($I$6:$I$500,$A$6:$A$500,A15,$C$6:$C$500,C15)),0))</f>
        <v>-2</v>
      </c>
      <c r="N15" s="20">
        <f t="shared" si="2"/>
        <v>21</v>
      </c>
      <c r="O15" s="22">
        <f t="shared" si="3"/>
        <v>1.0900000000000001</v>
      </c>
    </row>
    <row r="16" spans="1:18" x14ac:dyDescent="0.2">
      <c r="A16" s="25" t="s">
        <v>14</v>
      </c>
      <c r="B16" s="26" t="s">
        <v>16</v>
      </c>
      <c r="C16" s="26" t="s">
        <v>26</v>
      </c>
      <c r="D16" s="26" t="s">
        <v>27</v>
      </c>
      <c r="E16" s="32">
        <v>122</v>
      </c>
      <c r="F16" s="32">
        <v>77</v>
      </c>
      <c r="G16" s="20">
        <f t="shared" si="0"/>
        <v>6.7779999999999996</v>
      </c>
      <c r="H16" s="20">
        <f t="shared" si="1"/>
        <v>11.36</v>
      </c>
      <c r="I16" s="20">
        <f t="shared" si="4"/>
        <v>28</v>
      </c>
      <c r="J16" s="20">
        <f t="shared" si="5"/>
        <v>0</v>
      </c>
      <c r="K16" s="20" t="str">
        <f t="shared" si="6"/>
        <v/>
      </c>
      <c r="L16" s="20">
        <f t="shared" si="7"/>
        <v>0</v>
      </c>
      <c r="M16" s="20">
        <f t="array" ref="M16">IF(AND(SUMIFS($I$6:$I$500,$A$6:$A$500,A16,$C$6:$C$500,C16)&gt;SUMIFS($L$6:$L$500,$A$6:$A$500,A16,$C$6:$C$500,C16),K16=MIN(IF($A$6:$A$500=A16,$K$6:$K$500,"")),COUNTIFS($A$6:A16,A16,$C$6:C16,C16,$K$6:K16,K16)=1),-(SUMIFS($L$6:$L$500,$A$6:$A$500,A16,$C$6:$C$500,C16)-SUMIFS($I$6:$I$500,$A$6:$A$500,A16,$C$6:$C$500,C16)),IF(AND(SUMIFS($I$6:$I$500,$A$6:$A$500,A16,$C$6:$C$500,C16)&lt;SUMIFS($L$6:$L$500,$A$6:$A$500,A16,$C$6:$C$500,C16),K16=MAX(IF($A$6:$A$500=A16,$K$6:$K$500,"")),COUNTIFS($A$6:A16,A16,$C$6:C16,C16,$K$6:K16,K16)=1),-(SUMIFS($L$6:$L$500,$A$6:$A$500,A16,$C$6:$C$500,C16)-SUMIFS($I$6:$I$500,$A$6:$A$500,A16,$C$6:$C$500,C16)),0))</f>
        <v>0</v>
      </c>
      <c r="N16" s="20">
        <f t="shared" si="2"/>
        <v>0</v>
      </c>
      <c r="O16" s="22">
        <f t="shared" si="3"/>
        <v>7.23</v>
      </c>
    </row>
    <row r="17" spans="1:15" x14ac:dyDescent="0.2">
      <c r="A17" s="25" t="s">
        <v>14</v>
      </c>
      <c r="B17" s="26" t="s">
        <v>17</v>
      </c>
      <c r="C17" s="26" t="s">
        <v>26</v>
      </c>
      <c r="D17" s="26" t="s">
        <v>27</v>
      </c>
      <c r="E17" s="32">
        <v>17</v>
      </c>
      <c r="F17" s="32">
        <v>40</v>
      </c>
      <c r="G17" s="20">
        <f t="shared" si="0"/>
        <v>0.94399999999999995</v>
      </c>
      <c r="H17" s="20">
        <f t="shared" si="1"/>
        <v>42.372999999999998</v>
      </c>
      <c r="I17" s="20">
        <f t="shared" si="4"/>
        <v>33</v>
      </c>
      <c r="J17" s="20">
        <f t="shared" si="5"/>
        <v>0</v>
      </c>
      <c r="K17" s="20" t="str">
        <f t="shared" si="6"/>
        <v/>
      </c>
      <c r="L17" s="20">
        <f t="shared" si="7"/>
        <v>0</v>
      </c>
      <c r="M17" s="20">
        <f t="array" ref="M17">IF(AND(SUMIFS($I$6:$I$500,$A$6:$A$500,A17,$C$6:$C$500,C17)&gt;SUMIFS($L$6:$L$500,$A$6:$A$500,A17,$C$6:$C$500,C17),K17=MIN(IF($A$6:$A$500=A17,$K$6:$K$500,"")),COUNTIFS($A$6:A17,A17,$C$6:C17,C17,$K$6:K17,K17)=1),-(SUMIFS($L$6:$L$500,$A$6:$A$500,A17,$C$6:$C$500,C17)-SUMIFS($I$6:$I$500,$A$6:$A$500,A17,$C$6:$C$500,C17)),IF(AND(SUMIFS($I$6:$I$500,$A$6:$A$500,A17,$C$6:$C$500,C17)&lt;SUMIFS($L$6:$L$500,$A$6:$A$500,A17,$C$6:$C$500,C17),K17=MAX(IF($A$6:$A$500=A17,$K$6:$K$500,"")),COUNTIFS($A$6:A17,A17,$C$6:C17,C17,$K$6:K17,K17)=1),-(SUMIFS($L$6:$L$500,$A$6:$A$500,A17,$C$6:$C$500,C17)-SUMIFS($I$6:$I$500,$A$6:$A$500,A17,$C$6:$C$500,C17)),0))</f>
        <v>0</v>
      </c>
      <c r="N17" s="20">
        <f t="shared" si="2"/>
        <v>0</v>
      </c>
      <c r="O17" s="22">
        <f t="shared" si="3"/>
        <v>7.42</v>
      </c>
    </row>
    <row r="18" spans="1:15" x14ac:dyDescent="0.2">
      <c r="A18" s="25" t="s">
        <v>14</v>
      </c>
      <c r="B18" s="26" t="s">
        <v>18</v>
      </c>
      <c r="C18" s="26" t="s">
        <v>26</v>
      </c>
      <c r="D18" s="26" t="s">
        <v>27</v>
      </c>
      <c r="E18" s="32">
        <v>126</v>
      </c>
      <c r="F18" s="33">
        <v>0</v>
      </c>
      <c r="G18" s="20">
        <f t="shared" si="0"/>
        <v>7</v>
      </c>
      <c r="H18" s="20">
        <f t="shared" si="1"/>
        <v>0</v>
      </c>
      <c r="I18" s="20">
        <f t="shared" si="4"/>
        <v>0</v>
      </c>
      <c r="J18" s="20">
        <f t="shared" si="5"/>
        <v>7.2380000000000004</v>
      </c>
      <c r="K18" s="20">
        <f t="shared" si="6"/>
        <v>0.22605328089999999</v>
      </c>
      <c r="L18" s="20">
        <f t="shared" si="7"/>
        <v>23</v>
      </c>
      <c r="M18" s="20">
        <f t="array" ref="M18">IF(AND(SUMIFS($I$6:$I$500,$A$6:$A$500,A18,$C$6:$C$500,C18)&gt;SUMIFS($L$6:$L$500,$A$6:$A$500,A18,$C$6:$C$500,C18),K18=MIN(IF($A$6:$A$500=A18,$K$6:$K$500,"")),COUNTIFS($A$6:A18,A18,$C$6:C18,C18,$K$6:K18,K18)=1),-(SUMIFS($L$6:$L$500,$A$6:$A$500,A18,$C$6:$C$500,C18)-SUMIFS($I$6:$I$500,$A$6:$A$500,A18,$C$6:$C$500,C18)),IF(AND(SUMIFS($I$6:$I$500,$A$6:$A$500,A18,$C$6:$C$500,C18)&lt;SUMIFS($L$6:$L$500,$A$6:$A$500,A18,$C$6:$C$500,C18),K18=MAX(IF($A$6:$A$500=A18,$K$6:$K$500,"")),COUNTIFS($A$6:A18,A18,$C$6:C18,C18,$K$6:K18,K18)=1),-(SUMIFS($L$6:$L$500,$A$6:$A$500,A18,$C$6:$C$500,C18)-SUMIFS($I$6:$I$500,$A$6:$A$500,A18,$C$6:$C$500,C18)),0))</f>
        <v>0</v>
      </c>
      <c r="N18" s="20">
        <f t="shared" si="2"/>
        <v>23</v>
      </c>
      <c r="O18" s="22">
        <f t="shared" si="3"/>
        <v>3.29</v>
      </c>
    </row>
    <row r="19" spans="1:15" x14ac:dyDescent="0.2">
      <c r="A19" s="25" t="s">
        <v>14</v>
      </c>
      <c r="B19" s="26" t="s">
        <v>19</v>
      </c>
      <c r="C19" s="26" t="s">
        <v>26</v>
      </c>
      <c r="D19" s="26" t="s">
        <v>27</v>
      </c>
      <c r="E19" s="32">
        <v>269</v>
      </c>
      <c r="F19" s="32">
        <v>22</v>
      </c>
      <c r="G19" s="20">
        <f t="shared" si="0"/>
        <v>14.944000000000001</v>
      </c>
      <c r="H19" s="20">
        <f t="shared" si="1"/>
        <v>1.472</v>
      </c>
      <c r="I19" s="20">
        <f t="shared" si="4"/>
        <v>0</v>
      </c>
      <c r="J19" s="20">
        <f t="shared" si="5"/>
        <v>5.766</v>
      </c>
      <c r="K19" s="20">
        <f t="shared" si="6"/>
        <v>0.18008057720000001</v>
      </c>
      <c r="L19" s="20">
        <f t="shared" si="7"/>
        <v>18</v>
      </c>
      <c r="M19" s="20">
        <f t="array" ref="M19">IF(AND(SUMIFS($I$6:$I$500,$A$6:$A$500,A19,$C$6:$C$500,C19)&gt;SUMIFS($L$6:$L$500,$A$6:$A$500,A19,$C$6:$C$500,C19),K19=MIN(IF($A$6:$A$500=A19,$K$6:$K$500,"")),COUNTIFS($A$6:A19,A19,$C$6:C19,C19,$K$6:K19,K19)=1),-(SUMIFS($L$6:$L$500,$A$6:$A$500,A19,$C$6:$C$500,C19)-SUMIFS($I$6:$I$500,$A$6:$A$500,A19,$C$6:$C$500,C19)),IF(AND(SUMIFS($I$6:$I$500,$A$6:$A$500,A19,$C$6:$C$500,C19)&lt;SUMIFS($L$6:$L$500,$A$6:$A$500,A19,$C$6:$C$500,C19),K19=MAX(IF($A$6:$A$500=A19,$K$6:$K$500,"")),COUNTIFS($A$6:A19,A19,$C$6:C19,C19,$K$6:K19,K19)=1),-(SUMIFS($L$6:$L$500,$A$6:$A$500,A19,$C$6:$C$500,C19)-SUMIFS($I$6:$I$500,$A$6:$A$500,A19,$C$6:$C$500,C19)),0))</f>
        <v>0</v>
      </c>
      <c r="N19" s="20">
        <f t="shared" si="2"/>
        <v>18</v>
      </c>
      <c r="O19" s="22">
        <f t="shared" si="3"/>
        <v>2.68</v>
      </c>
    </row>
    <row r="20" spans="1:15" x14ac:dyDescent="0.2">
      <c r="A20" s="25" t="s">
        <v>14</v>
      </c>
      <c r="B20" s="26" t="s">
        <v>20</v>
      </c>
      <c r="C20" s="26" t="s">
        <v>26</v>
      </c>
      <c r="D20" s="26" t="s">
        <v>27</v>
      </c>
      <c r="E20" s="32">
        <v>195</v>
      </c>
      <c r="F20" s="32">
        <v>62</v>
      </c>
      <c r="G20" s="20">
        <f t="shared" si="0"/>
        <v>10.833</v>
      </c>
      <c r="H20" s="20">
        <f t="shared" si="1"/>
        <v>5.7229999999999999</v>
      </c>
      <c r="I20" s="20">
        <f t="shared" si="4"/>
        <v>0</v>
      </c>
      <c r="J20" s="20">
        <f t="shared" si="5"/>
        <v>1.5149999999999999</v>
      </c>
      <c r="K20" s="20">
        <f t="shared" si="6"/>
        <v>4.7315656300000002E-2</v>
      </c>
      <c r="L20" s="20">
        <f t="shared" si="7"/>
        <v>5</v>
      </c>
      <c r="M20" s="20">
        <f t="array" ref="M20">IF(AND(SUMIFS($I$6:$I$500,$A$6:$A$500,A20,$C$6:$C$500,C20)&gt;SUMIFS($L$6:$L$500,$A$6:$A$500,A20,$C$6:$C$500,C20),K20=MIN(IF($A$6:$A$500=A20,$K$6:$K$500,"")),COUNTIFS($A$6:A20,A20,$C$6:C20,C20,$K$6:K20,K20)=1),-(SUMIFS($L$6:$L$500,$A$6:$A$500,A20,$C$6:$C$500,C20)-SUMIFS($I$6:$I$500,$A$6:$A$500,A20,$C$6:$C$500,C20)),IF(AND(SUMIFS($I$6:$I$500,$A$6:$A$500,A20,$C$6:$C$500,C20)&lt;SUMIFS($L$6:$L$500,$A$6:$A$500,A20,$C$6:$C$500,C20),K20=MAX(IF($A$6:$A$500=A20,$K$6:$K$500,"")),COUNTIFS($A$6:A20,A20,$C$6:C20,C20,$K$6:K20,K20)=1),-(SUMIFS($L$6:$L$500,$A$6:$A$500,A20,$C$6:$C$500,C20)-SUMIFS($I$6:$I$500,$A$6:$A$500,A20,$C$6:$C$500,C20)),0))</f>
        <v>0</v>
      </c>
      <c r="N20" s="20">
        <f t="shared" si="2"/>
        <v>5</v>
      </c>
      <c r="O20" s="22">
        <f t="shared" si="3"/>
        <v>6.18</v>
      </c>
    </row>
    <row r="21" spans="1:15" x14ac:dyDescent="0.2">
      <c r="A21" s="25" t="s">
        <v>14</v>
      </c>
      <c r="B21" s="26" t="s">
        <v>21</v>
      </c>
      <c r="C21" s="26" t="s">
        <v>26</v>
      </c>
      <c r="D21" s="26" t="s">
        <v>27</v>
      </c>
      <c r="E21" s="32">
        <v>326</v>
      </c>
      <c r="F21" s="32">
        <v>82</v>
      </c>
      <c r="G21" s="20">
        <f t="shared" si="0"/>
        <v>18.111000000000001</v>
      </c>
      <c r="H21" s="20">
        <f t="shared" si="1"/>
        <v>4.5279999999999996</v>
      </c>
      <c r="I21" s="20">
        <f t="shared" si="4"/>
        <v>0</v>
      </c>
      <c r="J21" s="20">
        <f t="shared" si="5"/>
        <v>2.71</v>
      </c>
      <c r="K21" s="20">
        <f t="shared" si="6"/>
        <v>8.4637246599999993E-2</v>
      </c>
      <c r="L21" s="20">
        <f t="shared" si="7"/>
        <v>9</v>
      </c>
      <c r="M21" s="20">
        <f t="array" ref="M21">IF(AND(SUMIFS($I$6:$I$500,$A$6:$A$500,A21,$C$6:$C$500,C21)&gt;SUMIFS($L$6:$L$500,$A$6:$A$500,A21,$C$6:$C$500,C21),K21=MIN(IF($A$6:$A$500=A21,$K$6:$K$500,"")),COUNTIFS($A$6:A21,A21,$C$6:C21,C21,$K$6:K21,K21)=1),-(SUMIFS($L$6:$L$500,$A$6:$A$500,A21,$C$6:$C$500,C21)-SUMIFS($I$6:$I$500,$A$6:$A$500,A21,$C$6:$C$500,C21)),IF(AND(SUMIFS($I$6:$I$500,$A$6:$A$500,A21,$C$6:$C$500,C21)&lt;SUMIFS($L$6:$L$500,$A$6:$A$500,A21,$C$6:$C$500,C21),K21=MAX(IF($A$6:$A$500=A21,$K$6:$K$500,"")),COUNTIFS($A$6:A21,A21,$C$6:C21,C21,$K$6:K21,K21)=1),-(SUMIFS($L$6:$L$500,$A$6:$A$500,A21,$C$6:$C$500,C21)-SUMIFS($I$6:$I$500,$A$6:$A$500,A21,$C$6:$C$500,C21)),0))</f>
        <v>0</v>
      </c>
      <c r="N21" s="20">
        <f t="shared" si="2"/>
        <v>9</v>
      </c>
      <c r="O21" s="22">
        <f t="shared" si="3"/>
        <v>5.0199999999999996</v>
      </c>
    </row>
    <row r="22" spans="1:15" x14ac:dyDescent="0.2">
      <c r="A22" s="25" t="s">
        <v>14</v>
      </c>
      <c r="B22" s="26" t="s">
        <v>22</v>
      </c>
      <c r="C22" s="26" t="s">
        <v>26</v>
      </c>
      <c r="D22" s="26" t="s">
        <v>27</v>
      </c>
      <c r="E22" s="32">
        <v>613</v>
      </c>
      <c r="F22" s="32">
        <v>111</v>
      </c>
      <c r="G22" s="20">
        <f t="shared" si="0"/>
        <v>34.055999999999997</v>
      </c>
      <c r="H22" s="20">
        <f t="shared" si="1"/>
        <v>3.2589999999999999</v>
      </c>
      <c r="I22" s="20">
        <f t="shared" si="4"/>
        <v>0</v>
      </c>
      <c r="J22" s="20">
        <f t="shared" si="5"/>
        <v>3.9790000000000001</v>
      </c>
      <c r="K22" s="20">
        <f t="shared" si="6"/>
        <v>0.1242699647</v>
      </c>
      <c r="L22" s="20">
        <f t="shared" si="7"/>
        <v>13</v>
      </c>
      <c r="M22" s="20">
        <f t="array" ref="M22">IF(AND(SUMIFS($I$6:$I$500,$A$6:$A$500,A22,$C$6:$C$500,C22)&gt;SUMIFS($L$6:$L$500,$A$6:$A$500,A22,$C$6:$C$500,C22),K22=MIN(IF($A$6:$A$500=A22,$K$6:$K$500,"")),COUNTIFS($A$6:A22,A22,$C$6:C22,C22,$K$6:K22,K22)=1),-(SUMIFS($L$6:$L$500,$A$6:$A$500,A22,$C$6:$C$500,C22)-SUMIFS($I$6:$I$500,$A$6:$A$500,A22,$C$6:$C$500,C22)),IF(AND(SUMIFS($I$6:$I$500,$A$6:$A$500,A22,$C$6:$C$500,C22)&lt;SUMIFS($L$6:$L$500,$A$6:$A$500,A22,$C$6:$C$500,C22),K22=MAX(IF($A$6:$A$500=A22,$K$6:$K$500,"")),COUNTIFS($A$6:A22,A22,$C$6:C22,C22,$K$6:K22,K22)=1),-(SUMIFS($L$6:$L$500,$A$6:$A$500,A22,$C$6:$C$500,C22)-SUMIFS($I$6:$I$500,$A$6:$A$500,A22,$C$6:$C$500,C22)),0))</f>
        <v>0</v>
      </c>
      <c r="N22" s="20">
        <f t="shared" si="2"/>
        <v>13</v>
      </c>
      <c r="O22" s="22">
        <f t="shared" si="3"/>
        <v>3.64</v>
      </c>
    </row>
    <row r="23" spans="1:15" x14ac:dyDescent="0.2">
      <c r="A23" s="25" t="s">
        <v>14</v>
      </c>
      <c r="B23" s="26" t="s">
        <v>23</v>
      </c>
      <c r="C23" s="26" t="s">
        <v>26</v>
      </c>
      <c r="D23" s="26" t="s">
        <v>27</v>
      </c>
      <c r="E23" s="33">
        <v>0</v>
      </c>
      <c r="F23" s="32">
        <v>40</v>
      </c>
      <c r="G23" s="20">
        <f t="shared" si="0"/>
        <v>0</v>
      </c>
      <c r="H23" s="20">
        <f t="shared" si="1"/>
        <v>0</v>
      </c>
      <c r="I23" s="20">
        <f t="shared" si="4"/>
        <v>40</v>
      </c>
      <c r="J23" s="20">
        <f t="shared" si="5"/>
        <v>0</v>
      </c>
      <c r="K23" s="20" t="str">
        <f t="shared" si="6"/>
        <v/>
      </c>
      <c r="L23" s="20">
        <f t="shared" si="7"/>
        <v>0</v>
      </c>
      <c r="M23" s="20">
        <f t="array" ref="M23">IF(AND(SUMIFS($I$6:$I$500,$A$6:$A$500,A23,$C$6:$C$500,C23)&gt;SUMIFS($L$6:$L$500,$A$6:$A$500,A23,$C$6:$C$500,C23),K23=MIN(IF($A$6:$A$500=A23,$K$6:$K$500,"")),COUNTIFS($A$6:A23,A23,$C$6:C23,C23,$K$6:K23,K23)=1),-(SUMIFS($L$6:$L$500,$A$6:$A$500,A23,$C$6:$C$500,C23)-SUMIFS($I$6:$I$500,$A$6:$A$500,A23,$C$6:$C$500,C23)),IF(AND(SUMIFS($I$6:$I$500,$A$6:$A$500,A23,$C$6:$C$500,C23)&lt;SUMIFS($L$6:$L$500,$A$6:$A$500,A23,$C$6:$C$500,C23),K23=MAX(IF($A$6:$A$500=A23,$K$6:$K$500,"")),COUNTIFS($A$6:A23,A23,$C$6:C23,C23,$K$6:K23,K23)=1),-(SUMIFS($L$6:$L$500,$A$6:$A$500,A23,$C$6:$C$500,C23)-SUMIFS($I$6:$I$500,$A$6:$A$500,A23,$C$6:$C$500,C23)),0))</f>
        <v>0</v>
      </c>
      <c r="N23" s="20">
        <f t="shared" si="2"/>
        <v>0</v>
      </c>
      <c r="O23" s="22">
        <f t="shared" si="3"/>
        <v>0</v>
      </c>
    </row>
    <row r="24" spans="1:15" x14ac:dyDescent="0.2">
      <c r="A24" s="25" t="s">
        <v>14</v>
      </c>
      <c r="B24" s="26" t="s">
        <v>24</v>
      </c>
      <c r="C24" s="26" t="s">
        <v>26</v>
      </c>
      <c r="D24" s="26" t="s">
        <v>27</v>
      </c>
      <c r="E24" s="32">
        <v>224</v>
      </c>
      <c r="F24" s="32">
        <v>64</v>
      </c>
      <c r="G24" s="20">
        <f t="shared" si="0"/>
        <v>12.444000000000001</v>
      </c>
      <c r="H24" s="20">
        <f t="shared" si="1"/>
        <v>5.1429999999999998</v>
      </c>
      <c r="I24" s="20">
        <f t="shared" si="4"/>
        <v>0</v>
      </c>
      <c r="J24" s="20">
        <f t="shared" si="5"/>
        <v>2.0950000000000002</v>
      </c>
      <c r="K24" s="20">
        <f t="shared" si="6"/>
        <v>6.5429900999999999E-2</v>
      </c>
      <c r="L24" s="20">
        <f t="shared" si="7"/>
        <v>7</v>
      </c>
      <c r="M24" s="20">
        <f t="array" ref="M24">IF(AND(SUMIFS($I$6:$I$500,$A$6:$A$500,A24,$C$6:$C$500,C24)&gt;SUMIFS($L$6:$L$500,$A$6:$A$500,A24,$C$6:$C$500,C24),K24=MIN(IF($A$6:$A$500=A24,$K$6:$K$500,"")),COUNTIFS($A$6:A24,A24,$C$6:C24,C24,$K$6:K24,K24)=1),-(SUMIFS($L$6:$L$500,$A$6:$A$500,A24,$C$6:$C$500,C24)-SUMIFS($I$6:$I$500,$A$6:$A$500,A24,$C$6:$C$500,C24)),IF(AND(SUMIFS($I$6:$I$500,$A$6:$A$500,A24,$C$6:$C$500,C24)&lt;SUMIFS($L$6:$L$500,$A$6:$A$500,A24,$C$6:$C$500,C24),K24=MAX(IF($A$6:$A$500=A24,$K$6:$K$500,"")),COUNTIFS($A$6:A24,A24,$C$6:C24,C24,$K$6:K24,K24)=1),-(SUMIFS($L$6:$L$500,$A$6:$A$500,A24,$C$6:$C$500,C24)-SUMIFS($I$6:$I$500,$A$6:$A$500,A24,$C$6:$C$500,C24)),0))</f>
        <v>0</v>
      </c>
      <c r="N24" s="20">
        <f t="shared" si="2"/>
        <v>7</v>
      </c>
      <c r="O24" s="22">
        <f t="shared" si="3"/>
        <v>5.71</v>
      </c>
    </row>
    <row r="25" spans="1:15" x14ac:dyDescent="0.2">
      <c r="A25" s="25" t="s">
        <v>14</v>
      </c>
      <c r="B25" s="26" t="s">
        <v>25</v>
      </c>
      <c r="C25" s="26" t="s">
        <v>26</v>
      </c>
      <c r="D25" s="26" t="s">
        <v>27</v>
      </c>
      <c r="E25" s="32">
        <v>4069</v>
      </c>
      <c r="F25" s="32">
        <v>1302</v>
      </c>
      <c r="G25" s="20">
        <f t="shared" si="0"/>
        <v>226.05600000000001</v>
      </c>
      <c r="H25" s="20">
        <f t="shared" si="1"/>
        <v>5.76</v>
      </c>
      <c r="I25" s="20">
        <f t="shared" si="4"/>
        <v>0</v>
      </c>
      <c r="J25" s="20">
        <f t="shared" si="5"/>
        <v>1.478</v>
      </c>
      <c r="K25" s="20">
        <f t="shared" si="6"/>
        <v>4.6160092399999998E-2</v>
      </c>
      <c r="L25" s="20">
        <f t="shared" si="7"/>
        <v>5</v>
      </c>
      <c r="M25" s="20">
        <f t="array" ref="M25">IF(AND(SUMIFS($I$6:$I$500,$A$6:$A$500,A25,$C$6:$C$500,C25)&gt;SUMIFS($L$6:$L$500,$A$6:$A$500,A25,$C$6:$C$500,C25),K25=MIN(IF($A$6:$A$500=A25,$K$6:$K$500,"")),COUNTIFS($A$6:A25,A25,$C$6:C25,C25,$K$6:K25,K25)=1),-(SUMIFS($L$6:$L$500,$A$6:$A$500,A25,$C$6:$C$500,C25)-SUMIFS($I$6:$I$500,$A$6:$A$500,A25,$C$6:$C$500,C25)),IF(AND(SUMIFS($I$6:$I$500,$A$6:$A$500,A25,$C$6:$C$500,C25)&lt;SUMIFS($L$6:$L$500,$A$6:$A$500,A25,$C$6:$C$500,C25),K25=MAX(IF($A$6:$A$500=A25,$K$6:$K$500,"")),COUNTIFS($A$6:A25,A25,$C$6:C25,C25,$K$6:K25,K25)=1),-(SUMIFS($L$6:$L$500,$A$6:$A$500,A25,$C$6:$C$500,C25)-SUMIFS($I$6:$I$500,$A$6:$A$500,A25,$C$6:$C$500,C25)),0))</f>
        <v>0</v>
      </c>
      <c r="N25" s="20">
        <f t="shared" si="2"/>
        <v>5</v>
      </c>
      <c r="O25" s="22">
        <f t="shared" si="3"/>
        <v>5.78</v>
      </c>
    </row>
    <row r="26" spans="1:15" x14ac:dyDescent="0.2">
      <c r="D26" s="24"/>
      <c r="I26"/>
      <c r="J26"/>
    </row>
    <row r="27" spans="1:15" x14ac:dyDescent="0.2">
      <c r="I27"/>
      <c r="J27"/>
    </row>
    <row r="28" spans="1:15" ht="23.25" x14ac:dyDescent="0.35">
      <c r="A28" s="35" t="s">
        <v>31</v>
      </c>
      <c r="I28"/>
      <c r="J28"/>
    </row>
    <row r="30" spans="1:15" ht="23.25" x14ac:dyDescent="0.35">
      <c r="A30" s="36" t="s">
        <v>33</v>
      </c>
    </row>
    <row r="31" spans="1:15" ht="23.25" x14ac:dyDescent="0.35">
      <c r="A31" s="36" t="s">
        <v>35</v>
      </c>
    </row>
  </sheetData>
  <autoFilter ref="A5:P2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один товар</vt:lpstr>
      <vt:lpstr>несколько товаров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2017-01-19T11:48:31Z</dcterms:created>
  <dcterms:modified xsi:type="dcterms:W3CDTF">2017-01-23T09:15:14Z</dcterms:modified>
</cp:coreProperties>
</file>