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6605" windowHeight="9435" activeTab="1"/>
  </bookViews>
  <sheets>
    <sheet name="БАЗА" sheetId="1" r:id="rId1"/>
    <sheet name="сводка" sheetId="2" r:id="rId2"/>
  </sheets>
  <externalReferences>
    <externalReference r:id="rId3"/>
  </externalReferences>
  <definedNames>
    <definedName name="_xlnm._FilterDatabase" localSheetId="0" hidden="1">БАЗА!$A$4:$H$16</definedName>
    <definedName name="OLE_LINK1" localSheetId="0">БАЗА!#REF!</definedName>
    <definedName name="список">[1]митниця_закрито!$AT$6:$AT$7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9" i="2"/>
  <c r="H10" i="2"/>
  <c r="H11" i="2"/>
  <c r="H12" i="2"/>
  <c r="H13" i="2"/>
  <c r="H14" i="2"/>
  <c r="H8" i="2"/>
  <c r="E9" i="2"/>
  <c r="E8" i="2"/>
  <c r="E7" i="2"/>
  <c r="F8" i="2" l="1"/>
  <c r="G8" i="2"/>
  <c r="G7" i="2"/>
  <c r="F7" i="2"/>
  <c r="E14" i="2"/>
  <c r="E13" i="2"/>
  <c r="E12" i="2"/>
  <c r="E11" i="2"/>
  <c r="E10" i="2"/>
  <c r="G14" i="2" l="1"/>
  <c r="G12" i="2"/>
  <c r="G10" i="2"/>
  <c r="F14" i="2"/>
  <c r="F12" i="2"/>
  <c r="F10" i="2"/>
  <c r="H4" i="1" l="1"/>
  <c r="G4" i="1"/>
  <c r="A4" i="1"/>
  <c r="F9" i="2" l="1"/>
  <c r="F11" i="2"/>
  <c r="F13" i="2"/>
  <c r="G9" i="2"/>
  <c r="G11" i="2"/>
  <c r="G13" i="2"/>
</calcChain>
</file>

<file path=xl/sharedStrings.xml><?xml version="1.0" encoding="utf-8"?>
<sst xmlns="http://schemas.openxmlformats.org/spreadsheetml/2006/main" count="65" uniqueCount="39">
  <si>
    <t>дата</t>
  </si>
  <si>
    <t xml:space="preserve"> </t>
  </si>
  <si>
    <t>№</t>
  </si>
  <si>
    <t xml:space="preserve"> изъятие</t>
  </si>
  <si>
    <t>нет</t>
  </si>
  <si>
    <t>да</t>
  </si>
  <si>
    <t>транспортное ср-во</t>
  </si>
  <si>
    <t>легковой автомобиль</t>
  </si>
  <si>
    <t>водный транспорт</t>
  </si>
  <si>
    <t>продовольственные товары</t>
  </si>
  <si>
    <t>алкоголь</t>
  </si>
  <si>
    <t>промышленные товары</t>
  </si>
  <si>
    <t>запчасти</t>
  </si>
  <si>
    <t>Общие группы</t>
  </si>
  <si>
    <t>товарная группа</t>
  </si>
  <si>
    <t>название</t>
  </si>
  <si>
    <r>
      <t xml:space="preserve">стоимость </t>
    </r>
    <r>
      <rPr>
        <b/>
        <sz val="12"/>
        <color indexed="10"/>
        <rFont val="Times New Roman"/>
        <family val="1"/>
        <charset val="204"/>
      </rPr>
      <t>НЕ ИЗМЕНЯТЬ</t>
    </r>
  </si>
  <si>
    <t>снаряжение</t>
  </si>
  <si>
    <t>спининг</t>
  </si>
  <si>
    <t>сачок</t>
  </si>
  <si>
    <t>ящик</t>
  </si>
  <si>
    <t>двигатель</t>
  </si>
  <si>
    <t>лодка</t>
  </si>
  <si>
    <t>водка</t>
  </si>
  <si>
    <t>авто</t>
  </si>
  <si>
    <t>с начала поточного месяца</t>
  </si>
  <si>
    <t>с начала года</t>
  </si>
  <si>
    <t xml:space="preserve">    на сумму</t>
  </si>
  <si>
    <t>Реальное изъятие</t>
  </si>
  <si>
    <t>кол-во</t>
  </si>
  <si>
    <t>за сутки</t>
  </si>
  <si>
    <t>предмет</t>
  </si>
  <si>
    <t>1. Промышленные товары (количество случаев)</t>
  </si>
  <si>
    <t>2. Продовольственные товары  (количество случаев)</t>
  </si>
  <si>
    <t>3. Валюта (количество случаев)</t>
  </si>
  <si>
    <t>4. Транспортные средства (количество случаев)</t>
  </si>
  <si>
    <t>товары</t>
  </si>
  <si>
    <t>автомобиль</t>
  </si>
  <si>
    <r>
      <t xml:space="preserve">должно быть "за сутки 19.01.2017"
                                   </t>
    </r>
    <r>
      <rPr>
        <u/>
        <sz val="14"/>
        <rFont val="Arial Cyr"/>
        <charset val="204"/>
      </rPr>
      <t>промтоваров                  2 случая на сумму  14420</t>
    </r>
    <r>
      <rPr>
        <sz val="14"/>
        <rFont val="Arial Cyr"/>
        <charset val="204"/>
      </rPr>
      <t xml:space="preserve">
                                   </t>
    </r>
    <r>
      <rPr>
        <u/>
        <sz val="14"/>
        <rFont val="Arial Cyr"/>
        <charset val="204"/>
      </rPr>
      <t>продтоваров                  1 на сумму                300</t>
    </r>
    <r>
      <rPr>
        <sz val="14"/>
        <rFont val="Arial Cyr"/>
        <charset val="204"/>
      </rPr>
      <t xml:space="preserve"> и 
                                   </t>
    </r>
    <r>
      <rPr>
        <u/>
        <sz val="14"/>
        <rFont val="Arial Cyr"/>
        <charset val="204"/>
      </rPr>
      <t>транспортных средств  2 на сумму               212500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</si>
</sst>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family val="2"/>
      <charset val="204"/>
    </font>
    <font>
      <b/>
      <sz val="11"/>
      <color indexed="17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7"/>
      <name val="Arial Cyr"/>
      <family val="2"/>
      <charset val="204"/>
    </font>
    <font>
      <b/>
      <sz val="12"/>
      <name val="Times New Roman Cyr"/>
      <charset val="204"/>
    </font>
    <font>
      <b/>
      <sz val="16"/>
      <color indexed="12"/>
      <name val="Times New Roman Cyr"/>
      <family val="1"/>
      <charset val="204"/>
    </font>
    <font>
      <b/>
      <sz val="13"/>
      <name val="Times New Roman Cyr"/>
      <family val="1"/>
      <charset val="204"/>
    </font>
    <font>
      <u/>
      <sz val="16"/>
      <color indexed="10"/>
      <name val="Times New Roman Cyr"/>
      <charset val="204"/>
    </font>
    <font>
      <b/>
      <sz val="14"/>
      <name val="Times New Roman Cyr"/>
      <family val="1"/>
      <charset val="204"/>
    </font>
    <font>
      <sz val="14"/>
      <name val="Arial Cyr"/>
      <charset val="204"/>
    </font>
    <font>
      <b/>
      <sz val="11"/>
      <name val="Arial Cyr"/>
      <charset val="204"/>
    </font>
    <font>
      <u/>
      <sz val="14"/>
      <name val="Arial Cyr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textRotation="180" wrapText="1"/>
    </xf>
    <xf numFmtId="0" fontId="6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5" fillId="0" borderId="4" xfId="0" applyFont="1" applyFill="1" applyBorder="1" applyAlignment="1">
      <alignment horizontal="left" wrapText="1"/>
    </xf>
    <xf numFmtId="3" fontId="10" fillId="0" borderId="4" xfId="0" applyNumberFormat="1" applyFont="1" applyFill="1" applyBorder="1" applyAlignment="1">
      <alignment horizontal="center" wrapText="1"/>
    </xf>
    <xf numFmtId="4" fontId="14" fillId="0" borderId="4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3" fontId="16" fillId="0" borderId="0" xfId="0" applyNumberFormat="1" applyFont="1" applyBorder="1" applyAlignment="1" applyProtection="1">
      <alignment horizontal="left" vertical="center" wrapText="1"/>
      <protection hidden="1"/>
    </xf>
    <xf numFmtId="3" fontId="18" fillId="0" borderId="0" xfId="0" applyNumberFormat="1" applyFont="1" applyFill="1" applyBorder="1" applyAlignment="1" applyProtection="1">
      <alignment horizontal="center" vertical="center"/>
      <protection hidden="1"/>
    </xf>
    <xf numFmtId="3" fontId="20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20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30" xfId="0" applyNumberFormat="1" applyFont="1" applyFill="1" applyBorder="1" applyAlignment="1" applyProtection="1">
      <alignment horizontal="center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0" fontId="18" fillId="4" borderId="27" xfId="0" applyNumberFormat="1" applyFont="1" applyFill="1" applyBorder="1" applyAlignment="1" applyProtection="1">
      <alignment horizontal="center" vertical="center"/>
    </xf>
    <xf numFmtId="14" fontId="17" fillId="6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7" xfId="0" applyNumberFormat="1" applyFont="1" applyFill="1" applyBorder="1" applyAlignment="1">
      <alignment vertical="center" wrapText="1"/>
    </xf>
    <xf numFmtId="4" fontId="3" fillId="0" borderId="21" xfId="0" applyNumberFormat="1" applyFont="1" applyFill="1" applyBorder="1" applyAlignment="1">
      <alignment horizontal="right" vertical="center" wrapText="1"/>
    </xf>
    <xf numFmtId="4" fontId="3" fillId="0" borderId="23" xfId="0" applyNumberFormat="1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3" xfId="0" applyBorder="1"/>
    <xf numFmtId="4" fontId="3" fillId="0" borderId="35" xfId="0" applyNumberFormat="1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vertical="center" wrapText="1"/>
    </xf>
    <xf numFmtId="0" fontId="0" fillId="0" borderId="14" xfId="0" applyBorder="1"/>
    <xf numFmtId="0" fontId="3" fillId="0" borderId="37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0" fillId="0" borderId="24" xfId="0" applyBorder="1"/>
    <xf numFmtId="0" fontId="22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8" xfId="0" applyFont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wrapText="1"/>
    </xf>
    <xf numFmtId="0" fontId="4" fillId="0" borderId="39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14" fontId="3" fillId="3" borderId="34" xfId="0" applyNumberFormat="1" applyFont="1" applyFill="1" applyBorder="1" applyAlignment="1">
      <alignment horizontal="center" vertical="center" wrapText="1"/>
    </xf>
    <xf numFmtId="0" fontId="10" fillId="0" borderId="9" xfId="0" applyFont="1" applyBorder="1"/>
    <xf numFmtId="0" fontId="10" fillId="0" borderId="26" xfId="0" applyFont="1" applyBorder="1"/>
    <xf numFmtId="0" fontId="10" fillId="0" borderId="31" xfId="0" applyFont="1" applyBorder="1"/>
    <xf numFmtId="0" fontId="3" fillId="0" borderId="39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wrapText="1"/>
    </xf>
    <xf numFmtId="0" fontId="24" fillId="0" borderId="20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34" xfId="0" applyNumberFormat="1" applyFont="1" applyBorder="1" applyAlignment="1">
      <alignment horizontal="center" vertical="center" wrapText="1"/>
    </xf>
    <xf numFmtId="14" fontId="10" fillId="0" borderId="29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3" fontId="19" fillId="5" borderId="10" xfId="0" applyNumberFormat="1" applyFont="1" applyFill="1" applyBorder="1" applyAlignment="1" applyProtection="1">
      <alignment horizontal="center" vertical="center" wrapText="1"/>
      <protection hidden="1"/>
    </xf>
    <xf numFmtId="3" fontId="19" fillId="5" borderId="2" xfId="0" applyNumberFormat="1" applyFont="1" applyFill="1" applyBorder="1" applyAlignment="1" applyProtection="1">
      <alignment horizontal="center" vertical="center" wrapText="1"/>
      <protection hidden="1"/>
    </xf>
    <xf numFmtId="3" fontId="19" fillId="5" borderId="5" xfId="0" applyNumberFormat="1" applyFont="1" applyFill="1" applyBorder="1" applyAlignment="1" applyProtection="1">
      <alignment horizontal="center" vertical="center" wrapText="1"/>
      <protection hidden="1"/>
    </xf>
    <xf numFmtId="3" fontId="17" fillId="3" borderId="0" xfId="0" applyNumberFormat="1" applyFont="1" applyFill="1" applyBorder="1" applyAlignment="1" applyProtection="1">
      <alignment horizontal="center" vertical="center"/>
      <protection locked="0"/>
    </xf>
    <xf numFmtId="0" fontId="21" fillId="7" borderId="0" xfId="0" applyFont="1" applyFill="1" applyAlignment="1">
      <alignment horizontal="left" vertical="center" wrapText="1"/>
    </xf>
    <xf numFmtId="3" fontId="16" fillId="5" borderId="30" xfId="0" applyNumberFormat="1" applyFont="1" applyFill="1" applyBorder="1" applyAlignment="1" applyProtection="1">
      <alignment horizontal="right" vertical="center" wrapText="1"/>
      <protection hidden="1"/>
    </xf>
    <xf numFmtId="3" fontId="16" fillId="5" borderId="31" xfId="0" applyNumberFormat="1" applyFont="1" applyFill="1" applyBorder="1" applyAlignment="1" applyProtection="1">
      <alignment horizontal="right" vertical="center" wrapText="1"/>
      <protection hidden="1"/>
    </xf>
    <xf numFmtId="3" fontId="16" fillId="5" borderId="32" xfId="0" applyNumberFormat="1" applyFont="1" applyFill="1" applyBorder="1" applyAlignment="1" applyProtection="1">
      <alignment horizontal="right" vertical="center" wrapText="1"/>
      <protection hidden="1"/>
    </xf>
    <xf numFmtId="3" fontId="16" fillId="5" borderId="27" xfId="0" applyNumberFormat="1" applyFont="1" applyFill="1" applyBorder="1" applyAlignment="1" applyProtection="1">
      <alignment horizontal="left" vertical="center" wrapText="1"/>
      <protection hidden="1"/>
    </xf>
    <xf numFmtId="3" fontId="16" fillId="5" borderId="9" xfId="0" applyNumberFormat="1" applyFont="1" applyFill="1" applyBorder="1" applyAlignment="1" applyProtection="1">
      <alignment horizontal="left" vertical="center" wrapText="1"/>
      <protection hidden="1"/>
    </xf>
    <xf numFmtId="3" fontId="16" fillId="5" borderId="28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75;&#1088;&#1091;&#1079;&#1082;&#1080;/&#1056;&#1047;2017/&#1056;&#1077;&#1108;&#1089;&#1090;&#1088;_&#1047;&#1074;&#1110;&#1090;&#108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_2016"/>
      <sheetName val="КБ-10"/>
      <sheetName val="БАЗА"/>
      <sheetName val="митниця"/>
      <sheetName val="митниця_закрито"/>
      <sheetName val="митниця_сплата"/>
      <sheetName val="до суду"/>
      <sheetName val="конф+штраф"/>
      <sheetName val="закрито"/>
      <sheetName val="судом_сплата"/>
      <sheetName val="Апеляція"/>
      <sheetName val="Додаткові перевірки"/>
      <sheetName val="реалізація"/>
      <sheetName val="Експертиза"/>
      <sheetName val="повідомлення"/>
      <sheetName val="ДВС"/>
      <sheetName val="ДВС-в"/>
      <sheetName val="Мирова Угода"/>
    </sheetNames>
    <sheetDataSet>
      <sheetData sheetId="0" refreshError="1"/>
      <sheetData sheetId="1" refreshError="1"/>
      <sheetData sheetId="2">
        <row r="2">
          <cell r="A2" t="str">
            <v>№ справи</v>
          </cell>
        </row>
      </sheetData>
      <sheetData sheetId="3">
        <row r="1">
          <cell r="A1">
            <v>2017</v>
          </cell>
        </row>
      </sheetData>
      <sheetData sheetId="4">
        <row r="1">
          <cell r="A1" t="str">
            <v>№ п/п</v>
          </cell>
        </row>
        <row r="6">
          <cell r="AT6" t="str">
            <v>суд</v>
          </cell>
        </row>
        <row r="7">
          <cell r="AT7" t="str">
            <v>митниця</v>
          </cell>
        </row>
      </sheetData>
      <sheetData sheetId="5">
        <row r="2">
          <cell r="B2" t="str">
            <v>Надійшло до відділу</v>
          </cell>
        </row>
      </sheetData>
      <sheetData sheetId="6">
        <row r="1">
          <cell r="A1" t="str">
            <v>№ п/п</v>
          </cell>
        </row>
      </sheetData>
      <sheetData sheetId="7">
        <row r="1">
          <cell r="A1" t="str">
            <v>№ п/п</v>
          </cell>
        </row>
      </sheetData>
      <sheetData sheetId="8">
        <row r="1">
          <cell r="A1" t="str">
            <v>№ п/п</v>
          </cell>
        </row>
      </sheetData>
      <sheetData sheetId="9">
        <row r="2">
          <cell r="B2" t="str">
            <v>Надійшло до відділу</v>
          </cell>
        </row>
      </sheetData>
      <sheetData sheetId="10" refreshError="1"/>
      <sheetData sheetId="11" refreshError="1"/>
      <sheetData sheetId="12">
        <row r="1">
          <cell r="B1" t="str">
            <v>Надійшло до відділу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1" tint="4.9989318521683403E-2"/>
  </sheetPr>
  <dimension ref="A1:H19"/>
  <sheetViews>
    <sheetView zoomScale="118" zoomScaleNormal="11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3" sqref="B23"/>
    </sheetView>
  </sheetViews>
  <sheetFormatPr defaultColWidth="9.140625" defaultRowHeight="12.75"/>
  <cols>
    <col min="1" max="1" width="6.140625" customWidth="1"/>
    <col min="2" max="2" width="11.85546875" style="24" bestFit="1" customWidth="1"/>
    <col min="3" max="3" width="4.5703125" customWidth="1"/>
    <col min="4" max="4" width="35.42578125" bestFit="1" customWidth="1"/>
    <col min="5" max="5" width="26.42578125" customWidth="1"/>
    <col min="6" max="6" width="10" bestFit="1" customWidth="1"/>
    <col min="7" max="7" width="7.5703125" bestFit="1" customWidth="1"/>
    <col min="8" max="8" width="14.5703125" bestFit="1" customWidth="1"/>
    <col min="9" max="16384" width="9.140625" style="25"/>
  </cols>
  <sheetData>
    <row r="1" spans="1:8" ht="18.75" customHeight="1" thickBot="1">
      <c r="A1" s="1"/>
      <c r="B1" s="2"/>
      <c r="C1" s="3"/>
      <c r="D1" s="4"/>
      <c r="E1" s="5"/>
      <c r="F1" s="6"/>
      <c r="G1" s="7"/>
      <c r="H1" s="8"/>
    </row>
    <row r="2" spans="1:8" ht="12.75" customHeight="1" thickBot="1">
      <c r="A2" s="81" t="s">
        <v>2</v>
      </c>
      <c r="B2" s="83" t="s">
        <v>0</v>
      </c>
      <c r="C2" s="85" t="s">
        <v>31</v>
      </c>
      <c r="D2" s="86"/>
      <c r="E2" s="87"/>
      <c r="F2" s="87"/>
      <c r="G2" s="87"/>
      <c r="H2" s="87"/>
    </row>
    <row r="3" spans="1:8" s="26" customFormat="1" ht="48" thickBot="1">
      <c r="A3" s="82"/>
      <c r="B3" s="84"/>
      <c r="C3" s="9" t="s">
        <v>3</v>
      </c>
      <c r="D3" s="10" t="s">
        <v>13</v>
      </c>
      <c r="E3" s="11" t="s">
        <v>14</v>
      </c>
      <c r="F3" s="12" t="s">
        <v>15</v>
      </c>
      <c r="G3" s="13" t="s">
        <v>29</v>
      </c>
      <c r="H3" s="14" t="s">
        <v>16</v>
      </c>
    </row>
    <row r="4" spans="1:8" ht="23.25" customHeight="1">
      <c r="A4" s="65">
        <f>SUBTOTAL(3,A5:A16)</f>
        <v>7</v>
      </c>
      <c r="B4" s="69" t="s">
        <v>1</v>
      </c>
      <c r="C4" s="67"/>
      <c r="D4" s="15"/>
      <c r="E4" s="16"/>
      <c r="F4" s="17"/>
      <c r="G4" s="18">
        <f>SUBTOTAL(9,G5:G16)</f>
        <v>12</v>
      </c>
      <c r="H4" s="19">
        <f>SUBTOTAL(9,H5:H16)</f>
        <v>526220</v>
      </c>
    </row>
    <row r="5" spans="1:8" s="27" customFormat="1" ht="18.75">
      <c r="A5" s="66">
        <v>1</v>
      </c>
      <c r="B5" s="70">
        <v>42748</v>
      </c>
      <c r="C5" s="74" t="s">
        <v>4</v>
      </c>
      <c r="D5" s="21" t="s">
        <v>6</v>
      </c>
      <c r="E5" s="20" t="s">
        <v>7</v>
      </c>
      <c r="F5" s="75"/>
      <c r="G5" s="22">
        <v>1</v>
      </c>
      <c r="H5" s="23">
        <v>0</v>
      </c>
    </row>
    <row r="6" spans="1:8" s="27" customFormat="1" ht="18.75">
      <c r="A6" s="66">
        <v>2</v>
      </c>
      <c r="B6" s="70">
        <v>42749</v>
      </c>
      <c r="C6" s="74" t="s">
        <v>4</v>
      </c>
      <c r="D6" s="21" t="s">
        <v>6</v>
      </c>
      <c r="E6" s="20" t="s">
        <v>7</v>
      </c>
      <c r="F6" s="75"/>
      <c r="G6" s="22">
        <v>1</v>
      </c>
      <c r="H6" s="23">
        <v>0</v>
      </c>
    </row>
    <row r="7" spans="1:8" s="27" customFormat="1" ht="18.75">
      <c r="A7" s="66">
        <v>3</v>
      </c>
      <c r="B7" s="70">
        <v>42750</v>
      </c>
      <c r="C7" s="68" t="s">
        <v>5</v>
      </c>
      <c r="D7" s="21" t="s">
        <v>6</v>
      </c>
      <c r="E7" s="20" t="s">
        <v>7</v>
      </c>
      <c r="F7" s="75" t="s">
        <v>24</v>
      </c>
      <c r="G7" s="22">
        <v>1</v>
      </c>
      <c r="H7" s="23">
        <v>500000</v>
      </c>
    </row>
    <row r="8" spans="1:8" s="27" customFormat="1" ht="18.75">
      <c r="A8" s="66">
        <v>4</v>
      </c>
      <c r="B8" s="70">
        <v>42751</v>
      </c>
      <c r="C8" s="74" t="s">
        <v>4</v>
      </c>
      <c r="D8" s="21" t="s">
        <v>6</v>
      </c>
      <c r="E8" s="20" t="s">
        <v>7</v>
      </c>
      <c r="F8" s="75"/>
      <c r="G8" s="22">
        <v>1</v>
      </c>
      <c r="H8" s="23">
        <v>0</v>
      </c>
    </row>
    <row r="9" spans="1:8" s="27" customFormat="1" ht="18.75">
      <c r="A9" s="66">
        <v>5</v>
      </c>
      <c r="B9" s="70">
        <v>42752</v>
      </c>
      <c r="C9" s="74" t="s">
        <v>4</v>
      </c>
      <c r="D9" s="21" t="s">
        <v>6</v>
      </c>
      <c r="E9" s="20" t="s">
        <v>7</v>
      </c>
      <c r="F9" s="75"/>
      <c r="G9" s="22">
        <v>1</v>
      </c>
      <c r="H9" s="23">
        <v>0</v>
      </c>
    </row>
    <row r="10" spans="1:8" s="27" customFormat="1" ht="18.75" customHeight="1" thickBot="1">
      <c r="A10" s="66">
        <v>6</v>
      </c>
      <c r="B10" s="70">
        <v>42752</v>
      </c>
      <c r="C10" s="68" t="s">
        <v>5</v>
      </c>
      <c r="D10" s="29" t="s">
        <v>9</v>
      </c>
      <c r="E10" s="30" t="s">
        <v>10</v>
      </c>
      <c r="F10" s="76" t="s">
        <v>23</v>
      </c>
      <c r="G10" s="31">
        <v>1</v>
      </c>
      <c r="H10" s="32">
        <v>100</v>
      </c>
    </row>
    <row r="11" spans="1:8" s="28" customFormat="1" ht="19.5" thickBot="1">
      <c r="A11" s="103">
        <v>7</v>
      </c>
      <c r="B11" s="105">
        <v>42754</v>
      </c>
      <c r="C11" s="101" t="s">
        <v>5</v>
      </c>
      <c r="D11" s="33" t="s">
        <v>6</v>
      </c>
      <c r="E11" s="34" t="s">
        <v>8</v>
      </c>
      <c r="F11" s="77" t="s">
        <v>22</v>
      </c>
      <c r="G11" s="50">
        <v>1</v>
      </c>
      <c r="H11" s="47">
        <v>12500</v>
      </c>
    </row>
    <row r="12" spans="1:8" s="28" customFormat="1" ht="16.5" customHeight="1" thickBot="1">
      <c r="A12" s="104"/>
      <c r="B12" s="104"/>
      <c r="C12" s="102"/>
      <c r="D12" s="97" t="s">
        <v>11</v>
      </c>
      <c r="E12" s="35" t="s">
        <v>12</v>
      </c>
      <c r="F12" s="77" t="s">
        <v>21</v>
      </c>
      <c r="G12" s="50">
        <v>1</v>
      </c>
      <c r="H12" s="47">
        <v>12500</v>
      </c>
    </row>
    <row r="13" spans="1:8" s="28" customFormat="1" ht="15.75" customHeight="1">
      <c r="A13" s="104"/>
      <c r="B13" s="104"/>
      <c r="C13" s="102"/>
      <c r="D13" s="98"/>
      <c r="E13" s="99" t="s">
        <v>17</v>
      </c>
      <c r="F13" s="78" t="s">
        <v>18</v>
      </c>
      <c r="G13" s="51">
        <v>1</v>
      </c>
      <c r="H13" s="48">
        <v>300</v>
      </c>
    </row>
    <row r="14" spans="1:8" s="28" customFormat="1" ht="15.75" customHeight="1">
      <c r="A14" s="104"/>
      <c r="B14" s="104"/>
      <c r="C14" s="102"/>
      <c r="D14" s="98"/>
      <c r="E14" s="100"/>
      <c r="F14" s="79" t="s">
        <v>18</v>
      </c>
      <c r="G14" s="22">
        <v>1</v>
      </c>
      <c r="H14" s="49">
        <v>570</v>
      </c>
    </row>
    <row r="15" spans="1:8" s="28" customFormat="1" ht="18.75" customHeight="1">
      <c r="A15" s="104"/>
      <c r="B15" s="104"/>
      <c r="C15" s="102"/>
      <c r="D15" s="98"/>
      <c r="E15" s="100"/>
      <c r="F15" s="79" t="s">
        <v>19</v>
      </c>
      <c r="G15" s="22">
        <v>1</v>
      </c>
      <c r="H15" s="49">
        <v>30</v>
      </c>
    </row>
    <row r="16" spans="1:8" s="28" customFormat="1" ht="18.75" customHeight="1" thickBot="1">
      <c r="A16" s="104"/>
      <c r="B16" s="104"/>
      <c r="C16" s="102"/>
      <c r="D16" s="98"/>
      <c r="E16" s="100"/>
      <c r="F16" s="80" t="s">
        <v>20</v>
      </c>
      <c r="G16" s="31">
        <v>1</v>
      </c>
      <c r="H16" s="53">
        <v>220</v>
      </c>
    </row>
    <row r="17" spans="1:8" ht="15.75" customHeight="1">
      <c r="A17" s="88">
        <v>8</v>
      </c>
      <c r="B17" s="91">
        <v>42754</v>
      </c>
      <c r="C17" s="94" t="s">
        <v>5</v>
      </c>
      <c r="D17" s="71" t="s">
        <v>11</v>
      </c>
      <c r="E17" s="54" t="s">
        <v>36</v>
      </c>
      <c r="F17" s="55" t="s">
        <v>36</v>
      </c>
      <c r="G17" s="59">
        <v>4</v>
      </c>
      <c r="H17" s="62">
        <v>800</v>
      </c>
    </row>
    <row r="18" spans="1:8" ht="15.75" customHeight="1">
      <c r="A18" s="89"/>
      <c r="B18" s="92"/>
      <c r="C18" s="95"/>
      <c r="D18" s="72" t="s">
        <v>6</v>
      </c>
      <c r="E18" s="56" t="s">
        <v>37</v>
      </c>
      <c r="F18" s="52" t="s">
        <v>24</v>
      </c>
      <c r="G18" s="60">
        <v>1</v>
      </c>
      <c r="H18" s="63">
        <v>200000</v>
      </c>
    </row>
    <row r="19" spans="1:8" ht="16.5" customHeight="1" thickBot="1">
      <c r="A19" s="90"/>
      <c r="B19" s="93"/>
      <c r="C19" s="96"/>
      <c r="D19" s="73" t="s">
        <v>9</v>
      </c>
      <c r="E19" s="57" t="s">
        <v>10</v>
      </c>
      <c r="F19" s="58" t="s">
        <v>23</v>
      </c>
      <c r="G19" s="61">
        <v>3</v>
      </c>
      <c r="H19" s="64">
        <v>300</v>
      </c>
    </row>
  </sheetData>
  <autoFilter ref="A4:H16"/>
  <mergeCells count="11">
    <mergeCell ref="A2:A3"/>
    <mergeCell ref="B2:B3"/>
    <mergeCell ref="C2:H2"/>
    <mergeCell ref="A17:A19"/>
    <mergeCell ref="B17:B19"/>
    <mergeCell ref="C17:C19"/>
    <mergeCell ref="D12:D16"/>
    <mergeCell ref="E13:E16"/>
    <mergeCell ref="C11:C16"/>
    <mergeCell ref="A11:A16"/>
    <mergeCell ref="B11:B16"/>
  </mergeCells>
  <dataValidations count="3">
    <dataValidation allowBlank="1" showInputMessage="1" showErrorMessage="1" errorTitle="ОШИБКА" error="Введена дата не ТЕКУЩЕГО года!!!" sqref="B2:B4"/>
    <dataValidation type="date" allowBlank="1" showInputMessage="1" showErrorMessage="1" errorTitle="ОШИБКА" error="Введена дата не ТЕКУЩЕГО года!!!" sqref="B1 B5:B17 B20:B1048576">
      <formula1>42736</formula1>
      <formula2>43100</formula2>
    </dataValidation>
    <dataValidation type="textLength" allowBlank="1" showInputMessage="1" showErrorMessage="1" error="НІ або ТАК" sqref="C5:C17 C20:C1048576">
      <formula1>2</formula1>
      <formula2>3</formula2>
    </dataValidation>
  </dataValidations>
  <pageMargins left="0.28000000000000003" right="0.16" top="0.19" bottom="0.16" header="0.5" footer="0.16"/>
  <pageSetup paperSize="9" scale="8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C00CC"/>
  </sheetPr>
  <dimension ref="B2:T15"/>
  <sheetViews>
    <sheetView tabSelected="1" workbookViewId="0">
      <selection activeCell="H8" sqref="H8"/>
    </sheetView>
  </sheetViews>
  <sheetFormatPr defaultRowHeight="12.75"/>
  <cols>
    <col min="1" max="1" width="3.42578125" customWidth="1"/>
    <col min="2" max="2" width="16.5703125" customWidth="1"/>
    <col min="3" max="3" width="23.42578125" customWidth="1"/>
    <col min="4" max="4" width="21.28515625" customWidth="1"/>
    <col min="5" max="6" width="17.140625" customWidth="1"/>
    <col min="7" max="7" width="20.28515625" customWidth="1"/>
    <col min="8" max="8" width="11.28515625" customWidth="1"/>
    <col min="9" max="9" width="4.140625" customWidth="1"/>
  </cols>
  <sheetData>
    <row r="2" spans="2:20" ht="13.5" thickBot="1"/>
    <row r="3" spans="2:20" ht="21" thickBot="1">
      <c r="B3" s="109"/>
      <c r="C3" s="109"/>
      <c r="D3" s="109"/>
      <c r="E3" s="109"/>
      <c r="F3" s="109"/>
      <c r="G3" s="46">
        <v>42754</v>
      </c>
    </row>
    <row r="4" spans="2:20" ht="16.5">
      <c r="B4" s="36"/>
      <c r="C4" s="36"/>
      <c r="D4" s="36"/>
      <c r="E4" s="37"/>
      <c r="F4" s="37"/>
      <c r="G4" s="37"/>
    </row>
    <row r="5" spans="2:20" ht="17.25" customHeight="1" thickBot="1">
      <c r="B5" s="36"/>
      <c r="C5" s="36"/>
      <c r="D5" s="36"/>
      <c r="E5" s="37"/>
      <c r="F5" s="37"/>
      <c r="G5" s="37"/>
      <c r="I5" s="44"/>
    </row>
    <row r="6" spans="2:20" ht="57" customHeight="1" thickBot="1">
      <c r="B6" s="106" t="s">
        <v>28</v>
      </c>
      <c r="C6" s="107"/>
      <c r="D6" s="108"/>
      <c r="E6" s="38" t="s">
        <v>30</v>
      </c>
      <c r="F6" s="39" t="s">
        <v>25</v>
      </c>
      <c r="G6" s="39" t="s">
        <v>26</v>
      </c>
    </row>
    <row r="7" spans="2:20" ht="17.25" customHeight="1" thickBot="1">
      <c r="B7" s="114" t="s">
        <v>32</v>
      </c>
      <c r="C7" s="115"/>
      <c r="D7" s="116"/>
      <c r="E7" s="45">
        <f>COUNTIFS(БАЗА!$A:$A,"&gt;"&amp;0,БАЗА!$B:$B,"="&amp;$G$3,БАЗА!$C:$C,"="&amp;"да",БАЗА!$D:$D,"="&amp;"пром*")</f>
        <v>1</v>
      </c>
      <c r="F7" s="40">
        <f>COUNTIFS(БАЗА!$A:$A,"&gt;"&amp;0,БАЗА!$B:$B,"&gt;="&amp;EOMONTH($G$3,-1)+1,БАЗА!$B:$B,"&lt;="&amp;EOMONTH($G$3,0),БАЗА!$C:$C,"="&amp;"да",БАЗА!$D:$D,"="&amp;"пром*")</f>
        <v>1</v>
      </c>
      <c r="G7" s="41">
        <f>COUNTIFS(БАЗА!$A:$A,"&gt;"&amp;0,БАЗА!$B:$B,"&lt;="&amp;$G$3,БАЗА!$C:$C,"="&amp;"да",БАЗА!$D:$D,"="&amp;"пром*")</f>
        <v>1</v>
      </c>
      <c r="H7">
        <f>SUMPRODUCT((LOOKUP(ROW(БАЗА!B$5:B$99),ROW(БАЗА!B$5:B$99)/(БАЗА!B$5:B$99&lt;&gt;""),БАЗА!B$5:B$99)=G$3)*(LOOKUP(ROW(БАЗА!B$5:B$99),ROW(БАЗА!B$5:B$99)/(БАЗА!C$5:C$99&lt;&gt;""),БАЗА!C$5:C$99)="да")*(LEFTB(БАЗА!D$5:D$99,4)=MID(B7,SEARCH(" ",B7)+1,4)))</f>
        <v>2</v>
      </c>
      <c r="K7" s="110" t="s">
        <v>38</v>
      </c>
      <c r="L7" s="110"/>
      <c r="M7" s="110"/>
      <c r="N7" s="110"/>
      <c r="O7" s="110"/>
      <c r="P7" s="110"/>
      <c r="Q7" s="110"/>
      <c r="R7" s="110"/>
      <c r="S7" s="110"/>
      <c r="T7" s="110"/>
    </row>
    <row r="8" spans="2:20" ht="17.25" customHeight="1" thickBot="1">
      <c r="B8" s="111" t="s">
        <v>27</v>
      </c>
      <c r="C8" s="112"/>
      <c r="D8" s="113"/>
      <c r="E8" s="45">
        <f>ROUND(SUMIFS(БАЗА!$H:$H,БАЗА!$B:$B,"="&amp;$G$3,БАЗА!$C:$C,"="&amp;"да",БАЗА!$D:$D,"="&amp;"пром*"),0)</f>
        <v>800</v>
      </c>
      <c r="F8" s="42">
        <f>ROUND(SUMIFS(БАЗА!$H:$H,БАЗА!$B:$B,"&gt;="&amp;EOMONTH($G$3,-1)+1,БАЗА!$B:$B,"&lt;="&amp;EOMONTH($G$3,0),БАЗА!$C:$C,"="&amp;"да",БАЗА!$D:$D,"="&amp;"пром*"),0)</f>
        <v>800</v>
      </c>
      <c r="G8" s="43">
        <f>ROUND(SUMIFS(БАЗА!$H:$H,БАЗА!$B:$B,"&lt;="&amp;$G$3,БАЗА!$C:$C,"="&amp;"да",БАЗА!$D:$D,"="&amp;"пром*"),0)</f>
        <v>800</v>
      </c>
      <c r="H8">
        <f>SUMPRODUCT((LOOKUP(ROW(БАЗА!B$5:B$99),ROW(БАЗА!B$5:B$99)/(БАЗА!B$5:B$99&lt;&gt;""),БАЗА!B$5:B$99)=G$3)*(LOOKUP(ROW(БАЗА!B$5:B$99),ROW(БАЗА!B$5:B$99)/(БАЗА!C$5:C$99&lt;&gt;""),БАЗА!C$5:C$99)="да")*(LEFTB(LOOKUP(ROW(БАЗА!B$5:B$99),ROW(БАЗА!B$5:B$99)/(БАЗА!D$5:D$99&lt;&gt;""),БАЗА!D$5:D$99),4)=MID(B7,SEARCH(" ",B7)+1,4))*БАЗА!H$5:H$99)</f>
        <v>14420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2:20" ht="17.25" customHeight="1" thickBot="1">
      <c r="B9" s="114" t="s">
        <v>33</v>
      </c>
      <c r="C9" s="115"/>
      <c r="D9" s="116"/>
      <c r="E9" s="45">
        <f>COUNTIFS(БАЗА!$A:$A,"&gt;"&amp;0,БАЗА!$B:$B,"="&amp;$G$3,БАЗА!$C:$C,"="&amp;"да",БАЗА!$D:$D,"="&amp;"прод*")</f>
        <v>0</v>
      </c>
      <c r="F9" s="40">
        <f>COUNTIFS(БАЗА!$A:$A,"&gt;"&amp;0,БАЗА!$B:$B,"&gt;="&amp;EOMONTH($G$3,-1)+1,БАЗА!$B:$B,"&lt;="&amp;EOMONTH($G$3,0),БАЗА!$C:$C,"="&amp;"да",БАЗА!$D:$D,"="&amp;"прод*")</f>
        <v>1</v>
      </c>
      <c r="G9" s="41">
        <f>COUNTIFS(БАЗА!$A:$A,"&gt;"&amp;0,БАЗА!$B:$B,"&lt;="&amp;$G$3,БАЗА!$C:$C,"="&amp;"да",БАЗА!$D:$D,"="&amp;"прод*")</f>
        <v>1</v>
      </c>
      <c r="H9">
        <f>SUMPRODUCT((LOOKUP(ROW(БАЗА!B$5:B$99),ROW(БАЗА!B$5:B$99)/(БАЗА!B$5:B$99&lt;&gt;""),БАЗА!B$5:B$99)=G$3)*(LOOKUP(ROW(БАЗА!B$5:B$99),ROW(БАЗА!B$5:B$99)/(БАЗА!C$5:C$99&lt;&gt;""),БАЗА!C$5:C$99)="да")*(LEFTB(БАЗА!D$5:D$99,4)=MID(B9,SEARCH(" ",B9)+1,4)))</f>
        <v>1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2:20" ht="17.25" customHeight="1" thickBot="1">
      <c r="B10" s="111" t="s">
        <v>27</v>
      </c>
      <c r="C10" s="112"/>
      <c r="D10" s="113"/>
      <c r="E10" s="45">
        <f>ROUND(SUMIFS(БАЗА!$H:$H,БАЗА!$B:$B,"="&amp;$G$3,БАЗА!$C:$C,"="&amp;"да",БАЗА!$D:$D,"="&amp;"прод*"),0)</f>
        <v>0</v>
      </c>
      <c r="F10" s="42">
        <f>ROUND(SUMIFS(БАЗА!$H:$H,БАЗА!$B:$B,"&gt;="&amp;EOMONTH($G$3,-1)+1,БАЗА!$B:$B,"&lt;="&amp;EOMONTH($G$3,0),БАЗА!$C:$C,"="&amp;"да",БАЗА!$D:$D,"="&amp;"прод*"),0)</f>
        <v>100</v>
      </c>
      <c r="G10" s="43">
        <f>ROUND(SUMIFS(БАЗА!$H:$H,БАЗА!$B:$B,"&lt;="&amp;$G$3,БАЗА!$C:$C,"="&amp;"да",БАЗА!$D:$D,"="&amp;"прод*"),0)</f>
        <v>100</v>
      </c>
      <c r="H10">
        <f>SUMPRODUCT((LOOKUP(ROW(БАЗА!B$5:B$99),ROW(БАЗА!B$5:B$99)/(БАЗА!B$5:B$99&lt;&gt;""),БАЗА!B$5:B$99)=G$3)*(LOOKUP(ROW(БАЗА!B$5:B$99),ROW(БАЗА!B$5:B$99)/(БАЗА!C$5:C$99&lt;&gt;""),БАЗА!C$5:C$99)="да")*(LEFTB(LOOKUP(ROW(БАЗА!B$5:B$99),ROW(БАЗА!B$5:B$99)/(БАЗА!D$5:D$99&lt;&gt;""),БАЗА!D$5:D$99),4)=MID(B9,SEARCH(" ",B9)+1,4))*БАЗА!H$5:H$99)</f>
        <v>300</v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2:20" ht="17.25" customHeight="1" thickBot="1">
      <c r="B11" s="114" t="s">
        <v>34</v>
      </c>
      <c r="C11" s="115"/>
      <c r="D11" s="116"/>
      <c r="E11" s="45">
        <f>COUNTIFS(БАЗА!$A:$A,"&gt;"&amp;0,БАЗА!$B:$B,"="&amp;$G$3,БАЗА!$C:$C,"="&amp;"да",БАЗА!$D:$D,"="&amp;"валют*")</f>
        <v>0</v>
      </c>
      <c r="F11" s="40">
        <f>COUNTIFS(БАЗА!$A:$A,"&gt;"&amp;0,БАЗА!$B:$B,"&gt;="&amp;EOMONTH($G$3,-1)+1,БАЗА!$B:$B,"&lt;="&amp;EOMONTH($G$3,0),БАЗА!$C:$C,"="&amp;"да",БАЗА!$D:$D,"="&amp;"валют*")</f>
        <v>0</v>
      </c>
      <c r="G11" s="41">
        <f>COUNTIFS(БАЗА!$A:$A,"&gt;"&amp;0,БАЗА!$B:$B,"&lt;="&amp;$G$3,БАЗА!$C:$C,"="&amp;"да",БАЗА!$D:$D,"="&amp;"валют*")</f>
        <v>0</v>
      </c>
      <c r="H11">
        <f>SUMPRODUCT((LOOKUP(ROW(БАЗА!B$5:B$99),ROW(БАЗА!B$5:B$99)/(БАЗА!B$5:B$99&lt;&gt;""),БАЗА!B$5:B$99)=G$3)*(LOOKUP(ROW(БАЗА!B$5:B$99),ROW(БАЗА!B$5:B$99)/(БАЗА!C$5:C$99&lt;&gt;""),БАЗА!C$5:C$99)="да")*(LEFTB(БАЗА!D$5:D$99,4)=MID(B11,SEARCH(" ",B11)+1,4)))</f>
        <v>0</v>
      </c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2:20" ht="17.25" customHeight="1" thickBot="1">
      <c r="B12" s="111" t="s">
        <v>27</v>
      </c>
      <c r="C12" s="112"/>
      <c r="D12" s="113"/>
      <c r="E12" s="45">
        <f>ROUND(SUMIFS(БАЗА!$H:$H,БАЗА!$B:$B,"="&amp;$G$3,БАЗА!$C:$C,"="&amp;"да",БАЗА!$D:$D,"="&amp;"валют*"),0)</f>
        <v>0</v>
      </c>
      <c r="F12" s="42">
        <f>ROUND(SUMIFS(БАЗА!$H:$H,БАЗА!$B:$B,"&gt;="&amp;EOMONTH($G$3,-1)+1,БАЗА!$B:$B,"&lt;="&amp;EOMONTH($G$3,0),БАЗА!$C:$C,"="&amp;"да",БАЗА!$D:$D,"="&amp;"валют*"),0)</f>
        <v>0</v>
      </c>
      <c r="G12" s="43">
        <f>ROUND(SUMIFS(БАЗА!$H:$H,БАЗА!$B:$B,"&lt;="&amp;$G$3,БАЗА!$C:$C,"="&amp;"да",БАЗА!$D:$D,"="&amp;"валют*"),0)</f>
        <v>0</v>
      </c>
      <c r="H12">
        <f>SUMPRODUCT((LOOKUP(ROW(БАЗА!B$5:B$99),ROW(БАЗА!B$5:B$99)/(БАЗА!B$5:B$99&lt;&gt;""),БАЗА!B$5:B$99)=G$3)*(LOOKUP(ROW(БАЗА!B$5:B$99),ROW(БАЗА!B$5:B$99)/(БАЗА!C$5:C$99&lt;&gt;""),БАЗА!C$5:C$99)="да")*(LEFTB(LOOKUP(ROW(БАЗА!B$5:B$99),ROW(БАЗА!B$5:B$99)/(БАЗА!D$5:D$99&lt;&gt;""),БАЗА!D$5:D$99),4)=MID(B11,SEARCH(" ",B11)+1,4))*БАЗА!H$5:H$99)</f>
        <v>0</v>
      </c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2:20" ht="16.5" customHeight="1" thickBot="1">
      <c r="B13" s="114" t="s">
        <v>35</v>
      </c>
      <c r="C13" s="115"/>
      <c r="D13" s="116"/>
      <c r="E13" s="45">
        <f>COUNTIFS(БАЗА!$A:$A,"&gt;"&amp;0,БАЗА!$B:$B,"="&amp;$G$3,БАЗА!$C:$C,"="&amp;"да",БАЗА!$D:$D,"="&amp;"трансп*")</f>
        <v>1</v>
      </c>
      <c r="F13" s="40">
        <f>COUNTIFS(БАЗА!$A:$A,"&gt;"&amp;0,БАЗА!$B:$B,"&gt;="&amp;EOMONTH($G$3,-1)+1,БАЗА!$B:$B,"&lt;="&amp;EOMONTH($G$3,0),БАЗА!$C:$C,"="&amp;"да",БАЗА!$D:$D,"="&amp;"трансп*")</f>
        <v>2</v>
      </c>
      <c r="G13" s="41">
        <f>COUNTIFS(БАЗА!$A:$A,"&gt;"&amp;0,БАЗА!$B:$B,"&lt;="&amp;$G$3,БАЗА!$C:$C,"="&amp;"да",БАЗА!$D:$D,"="&amp;"трансп*")</f>
        <v>2</v>
      </c>
      <c r="H13">
        <f>SUMPRODUCT((LOOKUP(ROW(БАЗА!B$5:B$99),ROW(БАЗА!B$5:B$99)/(БАЗА!B$5:B$99&lt;&gt;""),БАЗА!B$5:B$99)=G$3)*(LOOKUP(ROW(БАЗА!B$5:B$99),ROW(БАЗА!B$5:B$99)/(БАЗА!C$5:C$99&lt;&gt;""),БАЗА!C$5:C$99)="да")*(LEFTB(БАЗА!D$5:D$99,4)=MID(B13,SEARCH(" ",B13)+1,4)))</f>
        <v>2</v>
      </c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2:20" ht="17.25" customHeight="1" thickBot="1">
      <c r="B14" s="111" t="s">
        <v>27</v>
      </c>
      <c r="C14" s="112"/>
      <c r="D14" s="113"/>
      <c r="E14" s="45">
        <f>ROUND(SUMIFS(БАЗА!$H:$H,БАЗА!$B:$B,"="&amp;$G$3,БАЗА!$C:$C,"="&amp;"да",БАЗА!$D:$D,"="&amp;"трансп*"),0)</f>
        <v>12500</v>
      </c>
      <c r="F14" s="42">
        <f>ROUND(SUMIFS(БАЗА!$H:$H,БАЗА!$B:$B,"&gt;="&amp;EOMONTH($G$3,-1)+1,БАЗА!$B:$B,"&lt;="&amp;EOMONTH($G$3,0),БАЗА!$C:$C,"="&amp;"да",БАЗА!$D:$D,"="&amp;"трансп*"),0)</f>
        <v>512500</v>
      </c>
      <c r="G14" s="43">
        <f>ROUND(SUMIFS(БАЗА!$H:$H,БАЗА!$B:$B,"&lt;="&amp;$G$3,БАЗА!$C:$C,"="&amp;"да",БАЗА!$D:$D,"="&amp;"трансп*"),0)</f>
        <v>512500</v>
      </c>
      <c r="H14">
        <f>SUMPRODUCT((LOOKUP(ROW(БАЗА!B$5:B$99),ROW(БАЗА!B$5:B$99)/(БАЗА!B$5:B$99&lt;&gt;""),БАЗА!B$5:B$99)=G$3)*(LOOKUP(ROW(БАЗА!B$5:B$99),ROW(БАЗА!B$5:B$99)/(БАЗА!C$5:C$99&lt;&gt;""),БАЗА!C$5:C$99)="да")*(LEFTB(LOOKUP(ROW(БАЗА!B$5:B$99),ROW(БАЗА!B$5:B$99)/(БАЗА!D$5:D$99&lt;&gt;""),БАЗА!D$5:D$99),4)=MID(B13,SEARCH(" ",B13)+1,4))*БАЗА!H$5:H$99)</f>
        <v>212500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2:20" ht="17.25" customHeight="1">
      <c r="B15" s="36"/>
      <c r="C15" s="36"/>
      <c r="D15" s="36"/>
      <c r="E15" s="37"/>
      <c r="F15" s="37"/>
      <c r="G15" s="37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</sheetData>
  <mergeCells count="11">
    <mergeCell ref="B6:D6"/>
    <mergeCell ref="B3:F3"/>
    <mergeCell ref="K7:T15"/>
    <mergeCell ref="B10:D10"/>
    <mergeCell ref="B11:D11"/>
    <mergeCell ref="B12:D12"/>
    <mergeCell ref="B7:D7"/>
    <mergeCell ref="B8:D8"/>
    <mergeCell ref="B9:D9"/>
    <mergeCell ref="B13:D13"/>
    <mergeCell ref="B14:D14"/>
  </mergeCells>
  <dataValidations disablePrompts="1" count="1">
    <dataValidation type="date" allowBlank="1" showInputMessage="1" showErrorMessage="1" error="Введена дата не поточного года!" sqref="G3">
      <formula1>42736</formula1>
      <formula2>43100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сводка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Andreyyy</dc:creator>
  <cp:lastModifiedBy>Boroda</cp:lastModifiedBy>
  <dcterms:created xsi:type="dcterms:W3CDTF">2017-01-19T20:20:26Z</dcterms:created>
  <dcterms:modified xsi:type="dcterms:W3CDTF">2017-01-22T13:28:32Z</dcterms:modified>
</cp:coreProperties>
</file>