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Excel\"/>
    </mc:Choice>
  </mc:AlternateContent>
  <bookViews>
    <workbookView xWindow="0" yWindow="0" windowWidth="21600" windowHeight="10320" activeTab="2"/>
  </bookViews>
  <sheets>
    <sheet name="Нормативы загрузки" sheetId="3" r:id="rId1"/>
    <sheet name="Свод" sheetId="1" r:id="rId2"/>
    <sheet name="График работ" sheetId="4" r:id="rId3"/>
    <sheet name="Производственная программа" sheetId="2" r:id="rId4"/>
  </sheets>
  <definedNames>
    <definedName name="_xlnm._FilterDatabase" localSheetId="2" hidden="1">'График работ'!$A$2:$R$11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G11" i="1" l="1"/>
  <c r="G10" i="1"/>
  <c r="G9" i="1"/>
  <c r="H22" i="3"/>
  <c r="H6" i="3"/>
  <c r="H14" i="3"/>
  <c r="N5" i="1"/>
  <c r="M5" i="1"/>
  <c r="L5" i="1"/>
  <c r="K5" i="1"/>
  <c r="J5" i="1"/>
  <c r="I5" i="1"/>
  <c r="H5" i="1"/>
  <c r="G5" i="1"/>
  <c r="F5" i="1"/>
  <c r="E5" i="1"/>
  <c r="D5" i="1"/>
  <c r="C5" i="1"/>
  <c r="N4" i="1"/>
  <c r="M4" i="1"/>
  <c r="L4" i="1"/>
  <c r="K4" i="1"/>
  <c r="J4" i="1"/>
  <c r="I4" i="1"/>
  <c r="H4" i="1"/>
  <c r="G4" i="1"/>
  <c r="F4" i="1"/>
  <c r="E4" i="1"/>
  <c r="D4" i="1"/>
  <c r="C4" i="1"/>
  <c r="N3" i="1"/>
  <c r="M3" i="1"/>
  <c r="L3" i="1"/>
  <c r="K3" i="1"/>
  <c r="J3" i="1"/>
  <c r="I3" i="1"/>
  <c r="H3" i="1"/>
  <c r="G3" i="1"/>
  <c r="F3" i="1"/>
  <c r="E3" i="1"/>
  <c r="D3" i="1"/>
  <c r="I7" i="4"/>
  <c r="J7" i="4"/>
  <c r="G11" i="4" l="1"/>
  <c r="F11" i="4"/>
  <c r="G10" i="4"/>
  <c r="H10" i="4"/>
  <c r="F10" i="4"/>
  <c r="H9" i="4"/>
  <c r="G9" i="4"/>
  <c r="F9" i="4"/>
  <c r="H8" i="4"/>
  <c r="G8" i="4"/>
  <c r="F8" i="4"/>
  <c r="F7" i="4"/>
  <c r="H6" i="4"/>
  <c r="G6" i="4"/>
  <c r="F6" i="4"/>
  <c r="G5" i="4"/>
  <c r="I4" i="4"/>
  <c r="H4" i="4"/>
  <c r="G4" i="4"/>
  <c r="G3" i="4"/>
  <c r="C3" i="1" s="1"/>
  <c r="F5" i="4"/>
  <c r="F4" i="4"/>
  <c r="F3" i="4"/>
  <c r="F10" i="1"/>
  <c r="E10" i="1"/>
  <c r="F11" i="1"/>
  <c r="C11" i="1"/>
  <c r="D10" i="1"/>
  <c r="C10" i="1"/>
  <c r="F9" i="1"/>
  <c r="E9" i="1"/>
  <c r="D9" i="1"/>
  <c r="C9" i="1"/>
  <c r="E21" i="3"/>
  <c r="E22" i="3"/>
  <c r="D21" i="3"/>
  <c r="D22" i="3" s="1"/>
  <c r="D13" i="3"/>
  <c r="E14" i="3"/>
  <c r="E13" i="3"/>
  <c r="F13" i="3"/>
  <c r="G13" i="3"/>
  <c r="G14" i="3" s="1"/>
  <c r="F14" i="3"/>
  <c r="D14" i="3"/>
  <c r="G5" i="3"/>
  <c r="G6" i="3" s="1"/>
  <c r="D6" i="3"/>
  <c r="E5" i="3"/>
  <c r="E6" i="3" s="1"/>
  <c r="F5" i="3"/>
  <c r="F6" i="3" s="1"/>
  <c r="D5" i="3"/>
</calcChain>
</file>

<file path=xl/sharedStrings.xml><?xml version="1.0" encoding="utf-8"?>
<sst xmlns="http://schemas.openxmlformats.org/spreadsheetml/2006/main" count="126" uniqueCount="59">
  <si>
    <t>Подготовительные работы</t>
  </si>
  <si>
    <t>Прочие работы</t>
  </si>
  <si>
    <t>Монтаж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</si>
  <si>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</si>
  <si>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</si>
  <si>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</si>
  <si>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</si>
  <si>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</si>
  <si>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</si>
  <si>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</si>
  <si>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</si>
  <si>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</si>
  <si>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</si>
  <si>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</si>
  <si>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</si>
  <si>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Легковые</t>
  </si>
  <si>
    <t>Трактора</t>
  </si>
  <si>
    <t>Камазы</t>
  </si>
  <si>
    <t>Автобусы</t>
  </si>
  <si>
    <t>небходимое кол-во</t>
  </si>
  <si>
    <t>Дата начала</t>
  </si>
  <si>
    <t>Дата окончания</t>
  </si>
  <si>
    <t>Длительность</t>
  </si>
  <si>
    <t>Подготовительные работы - 15 дней</t>
  </si>
  <si>
    <t>Назначение</t>
  </si>
  <si>
    <t>Кол-во техники</t>
  </si>
  <si>
    <t>дежруство , должен находится постоянно на объекте</t>
  </si>
  <si>
    <t xml:space="preserve">Трактора </t>
  </si>
  <si>
    <t xml:space="preserve">Подготвка дороги,6 дней </t>
  </si>
  <si>
    <t>Загруженность в течение этапа</t>
  </si>
  <si>
    <t>Первозка, вагон домов, тракторы ( 2 рейса )</t>
  </si>
  <si>
    <t>Завоз бригады, в начале и конце ( 2 рейса, 1 день=1 рейс  )</t>
  </si>
  <si>
    <t>Коэффициент для загрузки техники</t>
  </si>
  <si>
    <t>Январь</t>
  </si>
  <si>
    <t>Февраль</t>
  </si>
  <si>
    <t>Прочие работы - 45 дней</t>
  </si>
  <si>
    <t>Завоз бригады, в начале каждые 15 дней</t>
  </si>
  <si>
    <t>Выкачка воды, дежурство</t>
  </si>
  <si>
    <t>Монтаж - 10 дней</t>
  </si>
  <si>
    <t xml:space="preserve">Завоз бригады, в начале каждые в начале и конце ( 2 дня) </t>
  </si>
  <si>
    <t>Проект "Яблоко"</t>
  </si>
  <si>
    <t>Проект "Персик"</t>
  </si>
  <si>
    <t>Март</t>
  </si>
  <si>
    <t>Проект</t>
  </si>
  <si>
    <t>№</t>
  </si>
  <si>
    <t>Наименование</t>
  </si>
  <si>
    <t>Май</t>
  </si>
  <si>
    <t>Июнь</t>
  </si>
  <si>
    <t>Июль</t>
  </si>
  <si>
    <t>Апрель</t>
  </si>
  <si>
    <t>Август</t>
  </si>
  <si>
    <t>Сентябрь</t>
  </si>
  <si>
    <t>Октябрь</t>
  </si>
  <si>
    <t>Ноябрь</t>
  </si>
  <si>
    <t>Декабрь</t>
  </si>
  <si>
    <t>Персик</t>
  </si>
  <si>
    <t>Яблоко</t>
  </si>
  <si>
    <t>Название проекта</t>
  </si>
  <si>
    <t>Кол-во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</si>
</sst>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/>
      <bottom/>
      <diagonal/>
    </border>
    <border>
      <left style="thin">
        <color theme="8" tint="-0.499984740745262"/>
      </left>
      <right/>
      <top style="thin">
        <color theme="8" tint="-0.499984740745262"/>
      </top>
      <bottom/>
      <diagonal/>
    </border>
    <border>
      <left/>
      <right/>
      <top style="thin">
        <color theme="8" tint="-0.499984740745262"/>
      </top>
      <bottom/>
      <diagonal/>
    </border>
    <border>
      <left/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/>
      <top/>
      <bottom/>
      <diagonal/>
    </border>
    <border>
      <left style="thin">
        <color theme="8" tint="-0.499984740745262"/>
      </left>
      <right/>
      <top/>
      <bottom style="thin">
        <color theme="8" tint="-0.499984740745262"/>
      </bottom>
      <diagonal/>
    </border>
    <border>
      <left/>
      <right/>
      <top/>
      <bottom style="thin">
        <color theme="8" tint="-0.499984740745262"/>
      </bottom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4"/>
      </bottom>
      <diagonal/>
    </border>
    <border>
      <left/>
      <right style="thin">
        <color theme="8" tint="-0.499984740745262"/>
      </right>
      <top style="thin">
        <color theme="4"/>
      </top>
      <bottom style="thin">
        <color theme="4"/>
      </bottom>
      <diagonal/>
    </border>
    <border>
      <left/>
      <right style="thin">
        <color theme="8" tint="-0.499984740745262"/>
      </right>
      <top style="thin">
        <color theme="4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9" fontId="0" fillId="0" borderId="2" xfId="2" applyFont="1" applyBorder="1" applyAlignment="1">
      <alignment horizontal="center" vertical="center"/>
    </xf>
    <xf numFmtId="43" fontId="0" fillId="0" borderId="2" xfId="1" applyFont="1" applyBorder="1" applyAlignment="1">
      <alignment vertical="center"/>
    </xf>
    <xf numFmtId="43" fontId="3" fillId="0" borderId="2" xfId="1" applyFont="1" applyBorder="1" applyAlignment="1">
      <alignment horizontal="center" wrapText="1"/>
    </xf>
    <xf numFmtId="43" fontId="0" fillId="0" borderId="1" xfId="0" applyNumberFormat="1" applyBorder="1"/>
    <xf numFmtId="0" fontId="0" fillId="3" borderId="0" xfId="0" applyFill="1"/>
    <xf numFmtId="0" fontId="0" fillId="3" borderId="3" xfId="0" applyFill="1" applyBorder="1"/>
    <xf numFmtId="0" fontId="4" fillId="3" borderId="0" xfId="0" applyFont="1" applyFill="1"/>
    <xf numFmtId="0" fontId="4" fillId="3" borderId="3" xfId="0" applyFont="1" applyFill="1" applyBorder="1"/>
    <xf numFmtId="0" fontId="0" fillId="5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4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0" xfId="0" applyFill="1" applyBorder="1"/>
    <xf numFmtId="0" fontId="0" fillId="5" borderId="0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6" borderId="9" xfId="0" applyFill="1" applyBorder="1"/>
    <xf numFmtId="0" fontId="0" fillId="4" borderId="6" xfId="0" applyFill="1" applyBorder="1"/>
    <xf numFmtId="0" fontId="0" fillId="5" borderId="7" xfId="0" applyFill="1" applyBorder="1"/>
    <xf numFmtId="0" fontId="0" fillId="0" borderId="11" xfId="0" applyBorder="1"/>
    <xf numFmtId="0" fontId="0" fillId="0" borderId="12" xfId="0" applyBorder="1" applyAlignment="1">
      <alignment wrapText="1"/>
    </xf>
    <xf numFmtId="0" fontId="0" fillId="0" borderId="12" xfId="0" applyBorder="1"/>
    <xf numFmtId="0" fontId="0" fillId="0" borderId="13" xfId="0" applyBorder="1"/>
    <xf numFmtId="0" fontId="4" fillId="3" borderId="14" xfId="0" applyFont="1" applyFill="1" applyBorder="1"/>
    <xf numFmtId="0" fontId="4" fillId="3" borderId="15" xfId="0" applyFont="1" applyFill="1" applyBorder="1"/>
    <xf numFmtId="0" fontId="4" fillId="3" borderId="16" xfId="0" applyFont="1" applyFill="1" applyBorder="1"/>
    <xf numFmtId="43" fontId="0" fillId="0" borderId="1" xfId="1" applyFont="1" applyBorder="1"/>
    <xf numFmtId="14" fontId="0" fillId="0" borderId="2" xfId="0" applyNumberFormat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43" fontId="0" fillId="0" borderId="2" xfId="1" applyFont="1" applyBorder="1"/>
    <xf numFmtId="0" fontId="0" fillId="0" borderId="2" xfId="0" applyFill="1" applyBorder="1" applyAlignment="1">
      <alignment horizontal="center"/>
    </xf>
    <xf numFmtId="43" fontId="0" fillId="0" borderId="2" xfId="0" applyNumberFormat="1" applyBorder="1"/>
    <xf numFmtId="0" fontId="0" fillId="0" borderId="1" xfId="0" applyBorder="1" applyAlignment="1">
      <alignment horizontal="center"/>
    </xf>
    <xf numFmtId="43" fontId="0" fillId="0" borderId="0" xfId="0" applyNumberFormat="1"/>
    <xf numFmtId="43" fontId="3" fillId="0" borderId="0" xfId="0" applyNumberFormat="1" applyFont="1"/>
    <xf numFmtId="43" fontId="0" fillId="0" borderId="1" xfId="1" applyFont="1" applyFill="1" applyBorder="1"/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9525</xdr:rowOff>
    </xdr:from>
    <xdr:to>
      <xdr:col>16</xdr:col>
      <xdr:colOff>238125</xdr:colOff>
      <xdr:row>16</xdr:row>
      <xdr:rowOff>142875</xdr:rowOff>
    </xdr:to>
    <xdr:sp macro="" textlink="">
      <xdr:nvSpPr>
        <xdr:cNvPr id="2" name="TextBox 1"/>
        <xdr:cNvSpPr txBox="1"/>
      </xdr:nvSpPr>
      <xdr:spPr>
        <a:xfrm>
          <a:off x="8553450" y="9525"/>
          <a:ext cx="3819525" cy="3181350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ru-RU" sz="1100"/>
            <a:t>Необходимо</a:t>
          </a:r>
          <a:r>
            <a:rPr lang="ru-RU" sz="1100" baseline="0"/>
            <a:t> чтоб в строчках ( под месяцами) формулой подсчитывалось отношение длительности на кол-во дней в месяце ( с учетом переходящих дат), сейчас это делатся в ручную. </a:t>
          </a:r>
        </a:p>
        <a:p>
          <a:r>
            <a:rPr lang="ru-RU" sz="1100" baseline="0"/>
            <a:t>Сложность в том что не смог  формулизовать процесс при котром </a:t>
          </a:r>
          <a:r>
            <a:rPr lang="en-US" sz="1100" baseline="0"/>
            <a:t>Excel </a:t>
          </a:r>
          <a:r>
            <a:rPr lang="ru-RU" sz="1100" baseline="0"/>
            <a:t> автоматически брал</a:t>
          </a:r>
          <a:r>
            <a:rPr lang="en-US" sz="1100" baseline="0"/>
            <a:t> </a:t>
          </a:r>
          <a:r>
            <a:rPr lang="ru-RU" sz="1100" baseline="0"/>
            <a:t>бы</a:t>
          </a:r>
          <a:r>
            <a:rPr lang="en-US" sz="1100" baseline="0"/>
            <a:t> </a:t>
          </a:r>
          <a:r>
            <a:rPr lang="ru-RU" sz="1100" baseline="0"/>
            <a:t> с каждого месяца тот кусок  в течение которого длится этап (наиманование). </a:t>
          </a:r>
        </a:p>
        <a:p>
          <a:r>
            <a:rPr lang="ru-RU" sz="1100" baseline="0"/>
            <a:t>К примеру если начинается 15 января и длится 20 дней то закончится где то 5 фераля . Я брал 15 дней января делил на кол-во дней в месяце (15/31 - загрузка в январе) и брал 5 дней в ферале и делил на кол-во дней в месяце ( 5/28). </a:t>
          </a:r>
        </a:p>
        <a:p>
          <a:r>
            <a:rPr lang="ru-RU" sz="1100" baseline="0"/>
            <a:t>Есть ли возможность этот процесс автоматизировать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22"/>
  <sheetViews>
    <sheetView zoomScale="85" zoomScaleNormal="85" workbookViewId="0">
      <selection activeCell="H22" sqref="H22"/>
    </sheetView>
  </sheetViews>
  <sheetFormatPr defaultRowHeight="15" x14ac:dyDescent="0.25"/>
  <cols>
    <col min="3" max="3" width="21.85546875" customWidth="1"/>
    <col min="4" max="4" width="26" customWidth="1"/>
    <col min="5" max="5" width="22.5703125" customWidth="1"/>
    <col min="6" max="6" width="13.5703125" customWidth="1"/>
    <col min="7" max="7" width="19.85546875" customWidth="1"/>
  </cols>
  <sheetData>
    <row r="1" spans="3:8" x14ac:dyDescent="0.25">
      <c r="C1" s="3"/>
      <c r="D1" s="49" t="s">
        <v>23</v>
      </c>
      <c r="E1" s="49"/>
      <c r="F1" s="49"/>
      <c r="G1" s="49"/>
    </row>
    <row r="2" spans="3:8" x14ac:dyDescent="0.25">
      <c r="C2" s="3"/>
      <c r="D2" s="4" t="s">
        <v>15</v>
      </c>
      <c r="E2" s="4" t="s">
        <v>18</v>
      </c>
      <c r="F2" s="4" t="s">
        <v>27</v>
      </c>
      <c r="G2" s="4" t="s">
        <v>17</v>
      </c>
    </row>
    <row r="3" spans="3:8" x14ac:dyDescent="0.25">
      <c r="C3" s="4" t="s">
        <v>25</v>
      </c>
      <c r="D3" s="4">
        <v>1</v>
      </c>
      <c r="E3" s="4">
        <v>1</v>
      </c>
      <c r="F3" s="4">
        <v>2</v>
      </c>
      <c r="G3" s="5">
        <v>4</v>
      </c>
    </row>
    <row r="4" spans="3:8" ht="45" x14ac:dyDescent="0.25">
      <c r="C4" s="4" t="s">
        <v>24</v>
      </c>
      <c r="D4" s="6" t="s">
        <v>26</v>
      </c>
      <c r="E4" s="6" t="s">
        <v>31</v>
      </c>
      <c r="F4" s="6" t="s">
        <v>28</v>
      </c>
      <c r="G4" s="6" t="s">
        <v>30</v>
      </c>
    </row>
    <row r="5" spans="3:8" ht="30" x14ac:dyDescent="0.25">
      <c r="C5" s="6" t="s">
        <v>29</v>
      </c>
      <c r="D5" s="8">
        <f>15/15*D3</f>
        <v>1</v>
      </c>
      <c r="E5" s="8">
        <f>2/15*E3</f>
        <v>0.13333333333333333</v>
      </c>
      <c r="F5" s="8">
        <f>6/15</f>
        <v>0.4</v>
      </c>
      <c r="G5" s="8">
        <f>2/15</f>
        <v>0.13333333333333333</v>
      </c>
    </row>
    <row r="6" spans="3:8" ht="30" x14ac:dyDescent="0.25">
      <c r="C6" s="10" t="s">
        <v>32</v>
      </c>
      <c r="D6" s="9">
        <f>D5*D3</f>
        <v>1</v>
      </c>
      <c r="E6" s="9">
        <f t="shared" ref="E6:G6" si="0">E5*E3</f>
        <v>0.13333333333333333</v>
      </c>
      <c r="F6" s="9">
        <f t="shared" si="0"/>
        <v>0.8</v>
      </c>
      <c r="G6" s="9">
        <f t="shared" si="0"/>
        <v>0.53333333333333333</v>
      </c>
      <c r="H6" s="47">
        <f>SUM(D6:G6)</f>
        <v>2.4666666666666668</v>
      </c>
    </row>
    <row r="9" spans="3:8" x14ac:dyDescent="0.25">
      <c r="C9" s="3"/>
      <c r="D9" s="49" t="s">
        <v>35</v>
      </c>
      <c r="E9" s="49"/>
      <c r="F9" s="49"/>
      <c r="G9" s="49"/>
    </row>
    <row r="10" spans="3:8" x14ac:dyDescent="0.25">
      <c r="C10" s="3"/>
      <c r="D10" s="4" t="s">
        <v>15</v>
      </c>
      <c r="E10" s="4" t="s">
        <v>18</v>
      </c>
      <c r="F10" s="4" t="s">
        <v>27</v>
      </c>
      <c r="G10" s="4" t="s">
        <v>17</v>
      </c>
    </row>
    <row r="11" spans="3:8" x14ac:dyDescent="0.25">
      <c r="C11" s="4" t="s">
        <v>25</v>
      </c>
      <c r="D11" s="4">
        <v>5</v>
      </c>
      <c r="E11" s="4">
        <v>1</v>
      </c>
      <c r="F11" s="4">
        <v>8</v>
      </c>
      <c r="G11" s="5">
        <v>8</v>
      </c>
    </row>
    <row r="12" spans="3:8" ht="45" x14ac:dyDescent="0.25">
      <c r="C12" s="4" t="s">
        <v>24</v>
      </c>
      <c r="D12" s="6" t="s">
        <v>26</v>
      </c>
      <c r="E12" s="6" t="s">
        <v>36</v>
      </c>
      <c r="F12" s="6" t="s">
        <v>37</v>
      </c>
      <c r="G12" s="6" t="s">
        <v>30</v>
      </c>
    </row>
    <row r="13" spans="3:8" ht="30" x14ac:dyDescent="0.25">
      <c r="C13" s="6" t="s">
        <v>29</v>
      </c>
      <c r="D13" s="8">
        <f>45/45</f>
        <v>1</v>
      </c>
      <c r="E13" s="8">
        <f>15/45</f>
        <v>0.33333333333333331</v>
      </c>
      <c r="F13" s="8">
        <f>45/45</f>
        <v>1</v>
      </c>
      <c r="G13" s="8">
        <f>2/15</f>
        <v>0.13333333333333333</v>
      </c>
    </row>
    <row r="14" spans="3:8" ht="30" x14ac:dyDescent="0.25">
      <c r="C14" s="10" t="s">
        <v>32</v>
      </c>
      <c r="D14" s="9">
        <f>D13*D11</f>
        <v>5</v>
      </c>
      <c r="E14" s="9">
        <f>E13*E11</f>
        <v>0.33333333333333331</v>
      </c>
      <c r="F14" s="9">
        <f t="shared" ref="F14" si="1">F13*F11</f>
        <v>8</v>
      </c>
      <c r="G14" s="9">
        <f t="shared" ref="G14" si="2">G13*G11</f>
        <v>1.0666666666666667</v>
      </c>
      <c r="H14" s="47">
        <f>SUM(D14:G14)</f>
        <v>14.399999999999999</v>
      </c>
    </row>
    <row r="17" spans="3:8" x14ac:dyDescent="0.25">
      <c r="C17" s="3"/>
      <c r="D17" s="49" t="s">
        <v>38</v>
      </c>
      <c r="E17" s="49"/>
      <c r="F17" s="49"/>
      <c r="G17" s="49"/>
    </row>
    <row r="18" spans="3:8" x14ac:dyDescent="0.25">
      <c r="C18" s="3"/>
      <c r="D18" s="4" t="s">
        <v>15</v>
      </c>
      <c r="E18" s="4" t="s">
        <v>18</v>
      </c>
      <c r="F18" s="4" t="s">
        <v>27</v>
      </c>
      <c r="G18" s="4" t="s">
        <v>17</v>
      </c>
    </row>
    <row r="19" spans="3:8" x14ac:dyDescent="0.25">
      <c r="C19" s="4" t="s">
        <v>25</v>
      </c>
      <c r="D19" s="4">
        <v>1</v>
      </c>
      <c r="E19" s="4">
        <v>1</v>
      </c>
      <c r="F19" s="4">
        <v>8</v>
      </c>
      <c r="G19" s="5">
        <v>8</v>
      </c>
    </row>
    <row r="20" spans="3:8" ht="45" x14ac:dyDescent="0.25">
      <c r="C20" s="4" t="s">
        <v>24</v>
      </c>
      <c r="D20" s="6" t="s">
        <v>26</v>
      </c>
      <c r="E20" s="6" t="s">
        <v>39</v>
      </c>
      <c r="F20" s="6"/>
      <c r="G20" s="6"/>
    </row>
    <row r="21" spans="3:8" ht="30" x14ac:dyDescent="0.25">
      <c r="C21" s="6" t="s">
        <v>29</v>
      </c>
      <c r="D21" s="8">
        <f>45/45</f>
        <v>1</v>
      </c>
      <c r="E21" s="8">
        <f>2/10</f>
        <v>0.2</v>
      </c>
      <c r="F21" s="8"/>
      <c r="G21" s="8"/>
    </row>
    <row r="22" spans="3:8" ht="30" x14ac:dyDescent="0.25">
      <c r="C22" s="10" t="s">
        <v>32</v>
      </c>
      <c r="D22" s="9">
        <f>D21*D19</f>
        <v>1</v>
      </c>
      <c r="E22" s="9">
        <f>E21*E19</f>
        <v>0.2</v>
      </c>
      <c r="F22" s="9"/>
      <c r="G22" s="9"/>
      <c r="H22" s="47">
        <f>SUM(D22:G22)</f>
        <v>1.2</v>
      </c>
    </row>
  </sheetData>
  <mergeCells count="3">
    <mergeCell ref="D1:G1"/>
    <mergeCell ref="D9:G9"/>
    <mergeCell ref="D17:G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I9" sqref="I9"/>
    </sheetView>
  </sheetViews>
  <sheetFormatPr defaultRowHeight="15" x14ac:dyDescent="0.25"/>
  <cols>
    <col min="1" max="1" width="16.28515625" customWidth="1"/>
    <col min="2" max="2" width="25.140625" customWidth="1"/>
    <col min="3" max="3" width="12.140625" bestFit="1" customWidth="1"/>
    <col min="4" max="4" width="10.7109375" customWidth="1"/>
    <col min="5" max="5" width="10" customWidth="1"/>
    <col min="6" max="6" width="10.28515625" customWidth="1"/>
  </cols>
  <sheetData>
    <row r="1" spans="1:14" x14ac:dyDescent="0.25">
      <c r="A1" t="s">
        <v>57</v>
      </c>
    </row>
    <row r="2" spans="1:14" x14ac:dyDescent="0.25">
      <c r="A2" t="s">
        <v>56</v>
      </c>
      <c r="B2" s="1" t="s">
        <v>58</v>
      </c>
      <c r="C2" s="45" t="s">
        <v>3</v>
      </c>
      <c r="D2" s="45" t="s">
        <v>4</v>
      </c>
      <c r="E2" s="45" t="s">
        <v>5</v>
      </c>
      <c r="F2" s="45" t="s">
        <v>6</v>
      </c>
      <c r="G2" s="45" t="s">
        <v>7</v>
      </c>
      <c r="H2" s="45" t="s">
        <v>8</v>
      </c>
      <c r="I2" s="45" t="s">
        <v>9</v>
      </c>
      <c r="J2" s="45" t="s">
        <v>10</v>
      </c>
      <c r="K2" s="45" t="s">
        <v>11</v>
      </c>
      <c r="L2" s="45" t="s">
        <v>12</v>
      </c>
      <c r="M2" s="45" t="s">
        <v>13</v>
      </c>
      <c r="N2" s="45" t="s">
        <v>14</v>
      </c>
    </row>
    <row r="3" spans="1:14" x14ac:dyDescent="0.25">
      <c r="B3" s="1" t="s">
        <v>0</v>
      </c>
      <c r="C3" s="37">
        <f>SUMIFS('График работ'!G$3:G$11,'График работ'!$B$3:$B$11,Свод!$A$2,'График работ'!$C$3:$C$11,Свод!$B3)</f>
        <v>0.58064516129032262</v>
      </c>
      <c r="D3" s="37">
        <f>SUMIFS('График работ'!H$3:H$11,'График работ'!$B$3:$B$11,Свод!$A$2,'График работ'!$C$3:$C$11,Свод!$B3)</f>
        <v>0.42857142857142855</v>
      </c>
      <c r="E3" s="37">
        <f>SUMIFS('График работ'!I$3:I$11,'График работ'!$B$3:$B$11,Свод!$A$2,'График работ'!$C$3:$C$11,Свод!$B3)</f>
        <v>0</v>
      </c>
      <c r="F3" s="37">
        <f>SUMIFS('График работ'!J$3:J$11,'График работ'!$B$3:$B$11,Свод!$A$2,'График работ'!$C$3:$C$11,Свод!$B3)</f>
        <v>0</v>
      </c>
      <c r="G3" s="37">
        <f>SUMIFS('График работ'!K$3:K$11,'График работ'!$B$3:$B$11,Свод!$A$2,'График работ'!$C$3:$C$11,Свод!$B3)</f>
        <v>0</v>
      </c>
      <c r="H3" s="37">
        <f>SUMIFS('График работ'!L$3:L$11,'График работ'!$B$3:$B$11,Свод!$A$2,'График работ'!$C$3:$C$11,Свод!$B3)</f>
        <v>0</v>
      </c>
      <c r="I3" s="37">
        <f>SUMIFS('График работ'!M$3:M$11,'График работ'!$B$3:$B$11,Свод!$A$2,'График работ'!$C$3:$C$11,Свод!$B3)</f>
        <v>0</v>
      </c>
      <c r="J3" s="37">
        <f>SUMIFS('График работ'!N$3:N$11,'График работ'!$B$3:$B$11,Свод!$A$2,'График работ'!$C$3:$C$11,Свод!$B3)</f>
        <v>0</v>
      </c>
      <c r="K3" s="37">
        <f>SUMIFS('График работ'!O$3:O$11,'График работ'!$B$3:$B$11,Свод!$A$2,'График работ'!$C$3:$C$11,Свод!$B3)</f>
        <v>0</v>
      </c>
      <c r="L3" s="37">
        <f>SUMIFS('График работ'!P$3:P$11,'График работ'!$B$3:$B$11,Свод!$A$2,'График работ'!$C$3:$C$11,Свод!$B3)</f>
        <v>0</v>
      </c>
      <c r="M3" s="37">
        <f>SUMIFS('График работ'!Q$3:Q$11,'График работ'!$B$3:$B$11,Свод!$A$2,'График работ'!$C$3:$C$11,Свод!$B3)</f>
        <v>0</v>
      </c>
      <c r="N3" s="37">
        <f>SUMIFS('График работ'!R$3:R$11,'График работ'!$B$3:$B$11,Свод!$A$2,'График работ'!$C$3:$C$11,Свод!$B3)</f>
        <v>0</v>
      </c>
    </row>
    <row r="4" spans="1:14" x14ac:dyDescent="0.25">
      <c r="B4" s="2" t="s">
        <v>1</v>
      </c>
      <c r="C4" s="37">
        <f>SUMIFS('График работ'!G$3:G$11,'График работ'!$B$3:$B$11,Свод!$A$2,'График работ'!$C$3:$C$11,Свод!$B4)</f>
        <v>0.4838709677419355</v>
      </c>
      <c r="D4" s="37">
        <f>SUMIFS('График работ'!H$3:H$11,'График работ'!$B$3:$B$11,Свод!$A$2,'График работ'!$C$3:$C$11,Свод!$B4)</f>
        <v>1</v>
      </c>
      <c r="E4" s="37">
        <f>SUMIFS('График работ'!I$3:I$11,'График работ'!$B$3:$B$11,Свод!$A$2,'График работ'!$C$3:$C$11,Свод!$B4)</f>
        <v>0.8408602150537634</v>
      </c>
      <c r="F4" s="37">
        <f>SUMIFS('График работ'!J$3:J$11,'График работ'!$B$3:$B$11,Свод!$A$2,'График работ'!$C$3:$C$11,Свод!$B4)</f>
        <v>0.75</v>
      </c>
      <c r="G4" s="37">
        <f>SUMIFS('График работ'!K$3:K$11,'График работ'!$B$3:$B$11,Свод!$A$2,'График работ'!$C$3:$C$11,Свод!$B4)</f>
        <v>0</v>
      </c>
      <c r="H4" s="37">
        <f>SUMIFS('График работ'!L$3:L$11,'График работ'!$B$3:$B$11,Свод!$A$2,'График работ'!$C$3:$C$11,Свод!$B4)</f>
        <v>0</v>
      </c>
      <c r="I4" s="37">
        <f>SUMIFS('График работ'!M$3:M$11,'График работ'!$B$3:$B$11,Свод!$A$2,'График работ'!$C$3:$C$11,Свод!$B4)</f>
        <v>0</v>
      </c>
      <c r="J4" s="37">
        <f>SUMIFS('График работ'!N$3:N$11,'График работ'!$B$3:$B$11,Свод!$A$2,'График работ'!$C$3:$C$11,Свод!$B4)</f>
        <v>0</v>
      </c>
      <c r="K4" s="37">
        <f>SUMIFS('График работ'!O$3:O$11,'График работ'!$B$3:$B$11,Свод!$A$2,'График работ'!$C$3:$C$11,Свод!$B4)</f>
        <v>0</v>
      </c>
      <c r="L4" s="37">
        <f>SUMIFS('График работ'!P$3:P$11,'График работ'!$B$3:$B$11,Свод!$A$2,'График работ'!$C$3:$C$11,Свод!$B4)</f>
        <v>0</v>
      </c>
      <c r="M4" s="37">
        <f>SUMIFS('График работ'!Q$3:Q$11,'График работ'!$B$3:$B$11,Свод!$A$2,'График работ'!$C$3:$C$11,Свод!$B4)</f>
        <v>0</v>
      </c>
      <c r="N4" s="37">
        <f>SUMIFS('График работ'!R$3:R$11,'График работ'!$B$3:$B$11,Свод!$A$2,'График работ'!$C$3:$C$11,Свод!$B4)</f>
        <v>0</v>
      </c>
    </row>
    <row r="5" spans="1:14" x14ac:dyDescent="0.25">
      <c r="B5" s="1" t="s">
        <v>2</v>
      </c>
      <c r="C5" s="37">
        <f>SUMIFS('График работ'!G$3:G$11,'График работ'!$B$3:$B$11,Свод!$A$2,'График работ'!$C$3:$C$11,Свод!$B5)</f>
        <v>0.5161290322580645</v>
      </c>
      <c r="D5" s="37">
        <f>SUMIFS('График работ'!H$3:H$11,'График работ'!$B$3:$B$11,Свод!$A$2,'График работ'!$C$3:$C$11,Свод!$B5)</f>
        <v>0.14285714285714285</v>
      </c>
      <c r="E5" s="37">
        <f>SUMIFS('График работ'!I$3:I$11,'График работ'!$B$3:$B$11,Свод!$A$2,'График работ'!$C$3:$C$11,Свод!$B5)</f>
        <v>0</v>
      </c>
      <c r="F5" s="37">
        <f>SUMIFS('График работ'!J$3:J$11,'График работ'!$B$3:$B$11,Свод!$A$2,'График работ'!$C$3:$C$11,Свод!$B5)</f>
        <v>0</v>
      </c>
      <c r="G5" s="37">
        <f>SUMIFS('График работ'!K$3:K$11,'График работ'!$B$3:$B$11,Свод!$A$2,'График работ'!$C$3:$C$11,Свод!$B5)</f>
        <v>0</v>
      </c>
      <c r="H5" s="37">
        <f>SUMIFS('График работ'!L$3:L$11,'График работ'!$B$3:$B$11,Свод!$A$2,'График работ'!$C$3:$C$11,Свод!$B5)</f>
        <v>0</v>
      </c>
      <c r="I5" s="37">
        <f>SUMIFS('График работ'!M$3:M$11,'График работ'!$B$3:$B$11,Свод!$A$2,'График работ'!$C$3:$C$11,Свод!$B5)</f>
        <v>0</v>
      </c>
      <c r="J5" s="37">
        <f>SUMIFS('График работ'!N$3:N$11,'График работ'!$B$3:$B$11,Свод!$A$2,'График работ'!$C$3:$C$11,Свод!$B5)</f>
        <v>0</v>
      </c>
      <c r="K5" s="37">
        <f>SUMIFS('График работ'!O$3:O$11,'График работ'!$B$3:$B$11,Свод!$A$2,'График работ'!$C$3:$C$11,Свод!$B5)</f>
        <v>0</v>
      </c>
      <c r="L5" s="37">
        <f>SUMIFS('График работ'!P$3:P$11,'График работ'!$B$3:$B$11,Свод!$A$2,'График работ'!$C$3:$C$11,Свод!$B5)</f>
        <v>0</v>
      </c>
      <c r="M5" s="37">
        <f>SUMIFS('График работ'!Q$3:Q$11,'График работ'!$B$3:$B$11,Свод!$A$2,'График работ'!$C$3:$C$11,Свод!$B5)</f>
        <v>0</v>
      </c>
      <c r="N5" s="37">
        <f>SUMIFS('График работ'!R$3:R$11,'График работ'!$B$3:$B$11,Свод!$A$2,'График работ'!$C$3:$C$11,Свод!$B5)</f>
        <v>0</v>
      </c>
    </row>
    <row r="8" spans="1:14" x14ac:dyDescent="0.25">
      <c r="C8" t="s">
        <v>15</v>
      </c>
      <c r="D8" t="s">
        <v>16</v>
      </c>
      <c r="E8" t="s">
        <v>17</v>
      </c>
      <c r="F8" t="s">
        <v>18</v>
      </c>
    </row>
    <row r="9" spans="1:14" x14ac:dyDescent="0.25">
      <c r="B9" s="1" t="s">
        <v>0</v>
      </c>
      <c r="C9" s="11">
        <f>'Нормативы загрузки'!D6</f>
        <v>1</v>
      </c>
      <c r="D9" s="11">
        <f>'Нормативы загрузки'!F6</f>
        <v>0.8</v>
      </c>
      <c r="E9" s="11">
        <f>'Нормативы загрузки'!G6</f>
        <v>0.53333333333333333</v>
      </c>
      <c r="F9" s="11">
        <f>'Нормативы загрузки'!E6</f>
        <v>0.13333333333333333</v>
      </c>
      <c r="G9" s="46">
        <f>SUM(C9:F9)</f>
        <v>2.4666666666666668</v>
      </c>
    </row>
    <row r="10" spans="1:14" x14ac:dyDescent="0.25">
      <c r="B10" s="2" t="s">
        <v>1</v>
      </c>
      <c r="C10" s="11">
        <f>'Нормативы загрузки'!D14</f>
        <v>5</v>
      </c>
      <c r="D10" s="11">
        <f>'Нормативы загрузки'!F14</f>
        <v>8</v>
      </c>
      <c r="E10" s="11">
        <f>+'Нормативы загрузки'!G14</f>
        <v>1.0666666666666667</v>
      </c>
      <c r="F10" s="11">
        <f>+'Нормативы загрузки'!E14</f>
        <v>0.33333333333333331</v>
      </c>
      <c r="G10" s="46">
        <f t="shared" ref="G10:G11" si="0">SUM(C10:F10)</f>
        <v>14.4</v>
      </c>
    </row>
    <row r="11" spans="1:14" x14ac:dyDescent="0.25">
      <c r="B11" s="1" t="s">
        <v>2</v>
      </c>
      <c r="C11" s="11">
        <f>+'Нормативы загрузки'!D22</f>
        <v>1</v>
      </c>
      <c r="D11" s="1"/>
      <c r="E11" s="1"/>
      <c r="F11" s="11">
        <f>+'Нормативы загрузки'!E22</f>
        <v>0.2</v>
      </c>
      <c r="G11" s="46">
        <f t="shared" si="0"/>
        <v>1.2</v>
      </c>
    </row>
    <row r="14" spans="1:14" x14ac:dyDescent="0.25">
      <c r="B14" s="1" t="s">
        <v>19</v>
      </c>
      <c r="C14" s="45" t="s">
        <v>3</v>
      </c>
      <c r="D14" s="45" t="s">
        <v>4</v>
      </c>
      <c r="E14" s="45" t="s">
        <v>5</v>
      </c>
      <c r="F14" s="45" t="s">
        <v>6</v>
      </c>
      <c r="G14" s="45" t="s">
        <v>7</v>
      </c>
      <c r="H14" s="45" t="s">
        <v>8</v>
      </c>
      <c r="I14" s="45" t="s">
        <v>9</v>
      </c>
      <c r="J14" s="45" t="s">
        <v>10</v>
      </c>
      <c r="K14" s="45" t="s">
        <v>11</v>
      </c>
      <c r="L14" s="45" t="s">
        <v>12</v>
      </c>
      <c r="M14" s="45" t="s">
        <v>13</v>
      </c>
      <c r="N14" s="45" t="s">
        <v>14</v>
      </c>
    </row>
    <row r="15" spans="1:14" x14ac:dyDescent="0.25">
      <c r="B15" s="1" t="s">
        <v>15</v>
      </c>
      <c r="C15" s="48">
        <f>SUMPRODUCT(C$3:C$5,INDEX($C$9:$F$11,,MATCH($B15,$C$8:$F$8,)))</f>
        <v>3.5161290322580645</v>
      </c>
      <c r="D15" s="48">
        <f t="shared" ref="D15:N15" si="1">SUMPRODUCT(D$3:D$5,INDEX($C$9:$F$11,,MATCH($B15,$C$8:$F$8,)))</f>
        <v>5.5714285714285721</v>
      </c>
      <c r="E15" s="48">
        <f t="shared" si="1"/>
        <v>4.204301075268817</v>
      </c>
      <c r="F15" s="48">
        <f t="shared" si="1"/>
        <v>3.75</v>
      </c>
      <c r="G15" s="48">
        <f t="shared" si="1"/>
        <v>0</v>
      </c>
      <c r="H15" s="48">
        <f t="shared" si="1"/>
        <v>0</v>
      </c>
      <c r="I15" s="48">
        <f t="shared" si="1"/>
        <v>0</v>
      </c>
      <c r="J15" s="48">
        <f t="shared" si="1"/>
        <v>0</v>
      </c>
      <c r="K15" s="48">
        <f t="shared" si="1"/>
        <v>0</v>
      </c>
      <c r="L15" s="48">
        <f t="shared" si="1"/>
        <v>0</v>
      </c>
      <c r="M15" s="48">
        <f t="shared" si="1"/>
        <v>0</v>
      </c>
      <c r="N15" s="48">
        <f t="shared" si="1"/>
        <v>0</v>
      </c>
    </row>
    <row r="16" spans="1:14" x14ac:dyDescent="0.25">
      <c r="B16" s="1" t="s">
        <v>16</v>
      </c>
      <c r="C16" s="48">
        <f t="shared" ref="C16:N18" si="2">SUMPRODUCT(C$3:C$5,INDEX($C$9:$F$11,,MATCH($B16,$C$8:$F$8,)))</f>
        <v>4.3354838709677423</v>
      </c>
      <c r="D16" s="48">
        <f t="shared" si="2"/>
        <v>8.3428571428571434</v>
      </c>
      <c r="E16" s="48">
        <f t="shared" si="2"/>
        <v>6.7268817204301072</v>
      </c>
      <c r="F16" s="48">
        <f t="shared" si="2"/>
        <v>6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8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</row>
    <row r="17" spans="2:14" x14ac:dyDescent="0.25">
      <c r="B17" s="1" t="s">
        <v>17</v>
      </c>
      <c r="C17" s="48">
        <f t="shared" si="2"/>
        <v>0.82580645161290323</v>
      </c>
      <c r="D17" s="48">
        <f t="shared" si="2"/>
        <v>1.2952380952380953</v>
      </c>
      <c r="E17" s="48">
        <f t="shared" si="2"/>
        <v>0.89691756272401424</v>
      </c>
      <c r="F17" s="48">
        <f t="shared" si="2"/>
        <v>0.8</v>
      </c>
      <c r="G17" s="48">
        <f t="shared" si="2"/>
        <v>0</v>
      </c>
      <c r="H17" s="48">
        <f t="shared" si="2"/>
        <v>0</v>
      </c>
      <c r="I17" s="48">
        <f t="shared" si="2"/>
        <v>0</v>
      </c>
      <c r="J17" s="48">
        <f t="shared" si="2"/>
        <v>0</v>
      </c>
      <c r="K17" s="48">
        <f t="shared" si="2"/>
        <v>0</v>
      </c>
      <c r="L17" s="48">
        <f t="shared" si="2"/>
        <v>0</v>
      </c>
      <c r="M17" s="48">
        <f t="shared" si="2"/>
        <v>0</v>
      </c>
      <c r="N17" s="48">
        <f t="shared" si="2"/>
        <v>0</v>
      </c>
    </row>
    <row r="18" spans="2:14" x14ac:dyDescent="0.25">
      <c r="B18" s="1" t="s">
        <v>18</v>
      </c>
      <c r="C18" s="48">
        <f t="shared" si="2"/>
        <v>0.34193548387096773</v>
      </c>
      <c r="D18" s="48">
        <f t="shared" si="2"/>
        <v>0.41904761904761906</v>
      </c>
      <c r="E18" s="48">
        <f t="shared" si="2"/>
        <v>0.28028673835125445</v>
      </c>
      <c r="F18" s="48">
        <f t="shared" si="2"/>
        <v>0.25</v>
      </c>
      <c r="G18" s="48">
        <f t="shared" si="2"/>
        <v>0</v>
      </c>
      <c r="H18" s="48">
        <f t="shared" si="2"/>
        <v>0</v>
      </c>
      <c r="I18" s="48">
        <f t="shared" si="2"/>
        <v>0</v>
      </c>
      <c r="J18" s="48">
        <f t="shared" si="2"/>
        <v>0</v>
      </c>
      <c r="K18" s="48">
        <f t="shared" si="2"/>
        <v>0</v>
      </c>
      <c r="L18" s="48">
        <f t="shared" si="2"/>
        <v>0</v>
      </c>
      <c r="M18" s="48">
        <f t="shared" si="2"/>
        <v>0</v>
      </c>
      <c r="N18" s="48">
        <f t="shared" si="2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workbookViewId="0">
      <selection activeCell="L17" sqref="L17"/>
    </sheetView>
  </sheetViews>
  <sheetFormatPr defaultRowHeight="15" x14ac:dyDescent="0.25"/>
  <cols>
    <col min="3" max="3" width="26.140625" bestFit="1" customWidth="1"/>
    <col min="4" max="4" width="15" customWidth="1"/>
    <col min="5" max="6" width="15.5703125" bestFit="1" customWidth="1"/>
  </cols>
  <sheetData>
    <row r="1" spans="1:18" x14ac:dyDescent="0.25">
      <c r="G1" s="42">
        <v>31</v>
      </c>
      <c r="H1" s="42">
        <v>28</v>
      </c>
      <c r="I1" s="42">
        <v>30</v>
      </c>
      <c r="J1" s="3"/>
      <c r="K1" s="3"/>
      <c r="L1" s="3"/>
      <c r="M1" s="3"/>
      <c r="N1" s="3"/>
      <c r="O1" s="3"/>
      <c r="P1" s="3"/>
      <c r="Q1" s="3"/>
      <c r="R1" s="3"/>
    </row>
    <row r="2" spans="1:18" x14ac:dyDescent="0.25">
      <c r="A2" s="39" t="s">
        <v>44</v>
      </c>
      <c r="B2" s="39" t="s">
        <v>43</v>
      </c>
      <c r="C2" s="39" t="s">
        <v>45</v>
      </c>
      <c r="D2" s="39" t="s">
        <v>20</v>
      </c>
      <c r="E2" s="39" t="s">
        <v>22</v>
      </c>
      <c r="F2" s="40" t="s">
        <v>21</v>
      </c>
      <c r="G2" s="40" t="s">
        <v>33</v>
      </c>
      <c r="H2" s="40" t="s">
        <v>34</v>
      </c>
      <c r="I2" s="40" t="s">
        <v>42</v>
      </c>
      <c r="J2" s="40" t="s">
        <v>49</v>
      </c>
      <c r="K2" s="40" t="s">
        <v>46</v>
      </c>
      <c r="L2" s="40" t="s">
        <v>47</v>
      </c>
      <c r="M2" s="40" t="s">
        <v>48</v>
      </c>
      <c r="N2" s="40" t="s">
        <v>50</v>
      </c>
      <c r="O2" s="40" t="s">
        <v>51</v>
      </c>
      <c r="P2" s="40" t="s">
        <v>52</v>
      </c>
      <c r="Q2" s="40" t="s">
        <v>53</v>
      </c>
      <c r="R2" s="40" t="s">
        <v>54</v>
      </c>
    </row>
    <row r="3" spans="1:18" x14ac:dyDescent="0.25">
      <c r="A3" s="5">
        <v>1</v>
      </c>
      <c r="B3" s="5" t="s">
        <v>56</v>
      </c>
      <c r="C3" s="1" t="s">
        <v>0</v>
      </c>
      <c r="D3" s="38">
        <v>42739</v>
      </c>
      <c r="E3" s="5">
        <v>15</v>
      </c>
      <c r="F3" s="41">
        <f t="shared" ref="F3:F11" si="0">D3+E3</f>
        <v>42754</v>
      </c>
      <c r="G3" s="42">
        <f>E3/G1</f>
        <v>0.4838709677419355</v>
      </c>
      <c r="H3" s="42"/>
      <c r="I3" s="42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5">
        <v>2</v>
      </c>
      <c r="B4" s="5" t="s">
        <v>56</v>
      </c>
      <c r="C4" s="7" t="s">
        <v>1</v>
      </c>
      <c r="D4" s="38">
        <v>42750</v>
      </c>
      <c r="E4" s="5">
        <v>45</v>
      </c>
      <c r="F4" s="41">
        <f t="shared" si="0"/>
        <v>42795</v>
      </c>
      <c r="G4" s="42">
        <f>15/G1</f>
        <v>0.4838709677419355</v>
      </c>
      <c r="H4" s="42">
        <f>28/H1</f>
        <v>1</v>
      </c>
      <c r="I4" s="42">
        <f>2/I1</f>
        <v>6.6666666666666666E-2</v>
      </c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5">
        <v>3</v>
      </c>
      <c r="B5" s="5" t="s">
        <v>56</v>
      </c>
      <c r="C5" s="3" t="s">
        <v>2</v>
      </c>
      <c r="D5" s="38">
        <v>42745</v>
      </c>
      <c r="E5" s="5">
        <v>10</v>
      </c>
      <c r="F5" s="41">
        <f t="shared" si="0"/>
        <v>42755</v>
      </c>
      <c r="G5" s="42">
        <f>10/G1</f>
        <v>0.32258064516129031</v>
      </c>
      <c r="H5" s="42"/>
      <c r="I5" s="42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5">
        <v>4</v>
      </c>
      <c r="B6" s="5" t="s">
        <v>56</v>
      </c>
      <c r="C6" s="1" t="s">
        <v>0</v>
      </c>
      <c r="D6" s="38">
        <v>42763</v>
      </c>
      <c r="E6" s="5">
        <v>15</v>
      </c>
      <c r="F6" s="41">
        <f t="shared" si="0"/>
        <v>42778</v>
      </c>
      <c r="G6" s="42">
        <f>3/G1</f>
        <v>9.6774193548387094E-2</v>
      </c>
      <c r="H6" s="42">
        <f>12/H1</f>
        <v>0.42857142857142855</v>
      </c>
      <c r="I6" s="42"/>
      <c r="J6" s="3"/>
      <c r="K6" s="3"/>
      <c r="L6" s="3"/>
      <c r="M6" s="3"/>
      <c r="N6" s="3"/>
      <c r="O6" s="3"/>
      <c r="P6" s="3"/>
      <c r="Q6" s="3"/>
      <c r="R6" s="3"/>
    </row>
    <row r="7" spans="1:18" x14ac:dyDescent="0.25">
      <c r="A7" s="5">
        <v>5</v>
      </c>
      <c r="B7" s="5" t="s">
        <v>56</v>
      </c>
      <c r="C7" s="7" t="s">
        <v>1</v>
      </c>
      <c r="D7" s="38">
        <v>42801</v>
      </c>
      <c r="E7" s="5">
        <v>45</v>
      </c>
      <c r="F7" s="41">
        <f t="shared" si="0"/>
        <v>42846</v>
      </c>
      <c r="G7" s="42"/>
      <c r="H7" s="42"/>
      <c r="I7" s="42">
        <f>24/G1</f>
        <v>0.77419354838709675</v>
      </c>
      <c r="J7" s="42">
        <f>21/H1</f>
        <v>0.75</v>
      </c>
      <c r="K7" s="3"/>
      <c r="L7" s="3"/>
      <c r="M7" s="3"/>
      <c r="N7" s="3"/>
      <c r="O7" s="3"/>
      <c r="P7" s="3"/>
      <c r="Q7" s="3"/>
      <c r="R7" s="3"/>
    </row>
    <row r="8" spans="1:18" x14ac:dyDescent="0.25">
      <c r="A8" s="5">
        <v>6</v>
      </c>
      <c r="B8" s="5" t="s">
        <v>56</v>
      </c>
      <c r="C8" s="3" t="s">
        <v>2</v>
      </c>
      <c r="D8" s="38">
        <v>42760</v>
      </c>
      <c r="E8" s="5">
        <v>10</v>
      </c>
      <c r="F8" s="41">
        <f t="shared" si="0"/>
        <v>42770</v>
      </c>
      <c r="G8" s="42">
        <f>6/G1</f>
        <v>0.19354838709677419</v>
      </c>
      <c r="H8" s="42">
        <f>4/H1</f>
        <v>0.14285714285714285</v>
      </c>
      <c r="I8" s="42"/>
      <c r="J8" s="3"/>
      <c r="K8" s="3"/>
      <c r="L8" s="3"/>
      <c r="M8" s="3"/>
      <c r="N8" s="3"/>
      <c r="O8" s="3"/>
      <c r="P8" s="3"/>
      <c r="Q8" s="3"/>
      <c r="R8" s="3"/>
    </row>
    <row r="9" spans="1:18" x14ac:dyDescent="0.25">
      <c r="A9" s="5">
        <v>7</v>
      </c>
      <c r="B9" s="43" t="s">
        <v>55</v>
      </c>
      <c r="C9" s="1" t="s">
        <v>0</v>
      </c>
      <c r="D9" s="38">
        <v>42752</v>
      </c>
      <c r="E9" s="5">
        <v>15</v>
      </c>
      <c r="F9" s="41">
        <f t="shared" si="0"/>
        <v>42767</v>
      </c>
      <c r="G9" s="44">
        <f>14/G1</f>
        <v>0.45161290322580644</v>
      </c>
      <c r="H9" s="44">
        <f>1/H1</f>
        <v>3.5714285714285712E-2</v>
      </c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x14ac:dyDescent="0.25">
      <c r="A10" s="5">
        <v>8</v>
      </c>
      <c r="B10" s="43" t="s">
        <v>55</v>
      </c>
      <c r="C10" s="7" t="s">
        <v>1</v>
      </c>
      <c r="D10" s="38">
        <v>42732</v>
      </c>
      <c r="E10" s="5">
        <v>45</v>
      </c>
      <c r="F10" s="41">
        <f t="shared" si="0"/>
        <v>42777</v>
      </c>
      <c r="G10" s="42">
        <f>31/31</f>
        <v>1</v>
      </c>
      <c r="H10" s="42">
        <f>11/28</f>
        <v>0.39285714285714285</v>
      </c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5">
      <c r="A11" s="5">
        <v>9</v>
      </c>
      <c r="B11" s="43" t="s">
        <v>55</v>
      </c>
      <c r="C11" s="3" t="s">
        <v>2</v>
      </c>
      <c r="D11" s="38">
        <v>42756</v>
      </c>
      <c r="E11" s="5">
        <v>10</v>
      </c>
      <c r="F11" s="41">
        <f t="shared" si="0"/>
        <v>42766</v>
      </c>
      <c r="G11" s="42">
        <f>10/31</f>
        <v>0.32258064516129031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</sheetData>
  <autoFilter ref="A2:R1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Q9"/>
  <sheetViews>
    <sheetView zoomScaleNormal="100" workbookViewId="0">
      <selection activeCell="W3" sqref="W3"/>
    </sheetView>
  </sheetViews>
  <sheetFormatPr defaultRowHeight="15" x14ac:dyDescent="0.25"/>
  <cols>
    <col min="1" max="1" width="16.5703125" style="12" bestFit="1" customWidth="1"/>
    <col min="2" max="2" width="26.140625" style="12" bestFit="1" customWidth="1"/>
    <col min="3" max="32" width="1.7109375" style="12" customWidth="1"/>
    <col min="33" max="33" width="1.7109375" style="13" customWidth="1"/>
    <col min="34" max="63" width="1.7109375" style="12" customWidth="1"/>
    <col min="64" max="64" width="1.7109375" style="13" customWidth="1"/>
    <col min="65" max="94" width="1.7109375" style="12" customWidth="1"/>
    <col min="95" max="95" width="1.7109375" style="13" customWidth="1"/>
    <col min="96" max="16384" width="9.140625" style="12"/>
  </cols>
  <sheetData>
    <row r="2" spans="1:95" x14ac:dyDescent="0.25">
      <c r="C2" s="51" t="s">
        <v>33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 t="s">
        <v>34</v>
      </c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 t="s">
        <v>42</v>
      </c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</row>
    <row r="3" spans="1:95" x14ac:dyDescent="0.25">
      <c r="C3" s="34">
        <v>1</v>
      </c>
      <c r="D3" s="35">
        <v>2</v>
      </c>
      <c r="E3" s="35">
        <v>3</v>
      </c>
      <c r="F3" s="35">
        <v>4</v>
      </c>
      <c r="G3" s="35">
        <v>5</v>
      </c>
      <c r="H3" s="35">
        <v>6</v>
      </c>
      <c r="I3" s="35">
        <v>7</v>
      </c>
      <c r="J3" s="35">
        <v>8</v>
      </c>
      <c r="K3" s="35">
        <v>9</v>
      </c>
      <c r="L3" s="35">
        <v>10</v>
      </c>
      <c r="M3" s="35">
        <v>11</v>
      </c>
      <c r="N3" s="35">
        <v>12</v>
      </c>
      <c r="O3" s="35">
        <v>13</v>
      </c>
      <c r="P3" s="35">
        <v>14</v>
      </c>
      <c r="Q3" s="35">
        <v>15</v>
      </c>
      <c r="R3" s="35">
        <v>16</v>
      </c>
      <c r="S3" s="35">
        <v>17</v>
      </c>
      <c r="T3" s="35">
        <v>18</v>
      </c>
      <c r="U3" s="35">
        <v>19</v>
      </c>
      <c r="V3" s="35">
        <v>20</v>
      </c>
      <c r="W3" s="35">
        <v>21</v>
      </c>
      <c r="X3" s="35">
        <v>22</v>
      </c>
      <c r="Y3" s="35">
        <v>23</v>
      </c>
      <c r="Z3" s="35">
        <v>24</v>
      </c>
      <c r="AA3" s="35">
        <v>25</v>
      </c>
      <c r="AB3" s="35">
        <v>26</v>
      </c>
      <c r="AC3" s="35">
        <v>27</v>
      </c>
      <c r="AD3" s="35">
        <v>28</v>
      </c>
      <c r="AE3" s="35">
        <v>29</v>
      </c>
      <c r="AF3" s="35">
        <v>30</v>
      </c>
      <c r="AG3" s="36">
        <v>31</v>
      </c>
      <c r="AH3" s="14">
        <v>1</v>
      </c>
      <c r="AI3" s="14">
        <v>2</v>
      </c>
      <c r="AJ3" s="14">
        <v>3</v>
      </c>
      <c r="AK3" s="14">
        <v>4</v>
      </c>
      <c r="AL3" s="14">
        <v>5</v>
      </c>
      <c r="AM3" s="14">
        <v>6</v>
      </c>
      <c r="AN3" s="14">
        <v>7</v>
      </c>
      <c r="AO3" s="14">
        <v>8</v>
      </c>
      <c r="AP3" s="14">
        <v>9</v>
      </c>
      <c r="AQ3" s="14">
        <v>10</v>
      </c>
      <c r="AR3" s="14">
        <v>11</v>
      </c>
      <c r="AS3" s="14">
        <v>12</v>
      </c>
      <c r="AT3" s="14">
        <v>13</v>
      </c>
      <c r="AU3" s="14">
        <v>14</v>
      </c>
      <c r="AV3" s="14">
        <v>15</v>
      </c>
      <c r="AW3" s="14">
        <v>16</v>
      </c>
      <c r="AX3" s="14">
        <v>17</v>
      </c>
      <c r="AY3" s="14">
        <v>18</v>
      </c>
      <c r="AZ3" s="14">
        <v>19</v>
      </c>
      <c r="BA3" s="14">
        <v>20</v>
      </c>
      <c r="BB3" s="14">
        <v>21</v>
      </c>
      <c r="BC3" s="14">
        <v>22</v>
      </c>
      <c r="BD3" s="14">
        <v>23</v>
      </c>
      <c r="BE3" s="14">
        <v>24</v>
      </c>
      <c r="BF3" s="14">
        <v>25</v>
      </c>
      <c r="BG3" s="14">
        <v>26</v>
      </c>
      <c r="BH3" s="14">
        <v>27</v>
      </c>
      <c r="BI3" s="14">
        <v>28</v>
      </c>
      <c r="BJ3" s="14">
        <v>29</v>
      </c>
      <c r="BK3" s="14">
        <v>30</v>
      </c>
      <c r="BL3" s="15">
        <v>31</v>
      </c>
      <c r="BM3" s="34">
        <v>1</v>
      </c>
      <c r="BN3" s="35">
        <v>2</v>
      </c>
      <c r="BO3" s="35">
        <v>3</v>
      </c>
      <c r="BP3" s="35">
        <v>4</v>
      </c>
      <c r="BQ3" s="35">
        <v>5</v>
      </c>
      <c r="BR3" s="35">
        <v>6</v>
      </c>
      <c r="BS3" s="35">
        <v>7</v>
      </c>
      <c r="BT3" s="35">
        <v>8</v>
      </c>
      <c r="BU3" s="35">
        <v>9</v>
      </c>
      <c r="BV3" s="35">
        <v>10</v>
      </c>
      <c r="BW3" s="35">
        <v>11</v>
      </c>
      <c r="BX3" s="35">
        <v>12</v>
      </c>
      <c r="BY3" s="35">
        <v>13</v>
      </c>
      <c r="BZ3" s="35">
        <v>14</v>
      </c>
      <c r="CA3" s="35">
        <v>15</v>
      </c>
      <c r="CB3" s="35">
        <v>16</v>
      </c>
      <c r="CC3" s="35">
        <v>17</v>
      </c>
      <c r="CD3" s="35">
        <v>18</v>
      </c>
      <c r="CE3" s="35">
        <v>19</v>
      </c>
      <c r="CF3" s="35">
        <v>20</v>
      </c>
      <c r="CG3" s="35">
        <v>21</v>
      </c>
      <c r="CH3" s="35">
        <v>22</v>
      </c>
      <c r="CI3" s="35">
        <v>23</v>
      </c>
      <c r="CJ3" s="35">
        <v>24</v>
      </c>
      <c r="CK3" s="35">
        <v>25</v>
      </c>
      <c r="CL3" s="35">
        <v>26</v>
      </c>
      <c r="CM3" s="35">
        <v>27</v>
      </c>
      <c r="CN3" s="35">
        <v>28</v>
      </c>
      <c r="CO3" s="35">
        <v>29</v>
      </c>
      <c r="CP3" s="35">
        <v>30</v>
      </c>
      <c r="CQ3" s="36">
        <v>31</v>
      </c>
    </row>
    <row r="4" spans="1:95" x14ac:dyDescent="0.25">
      <c r="A4" s="50" t="s">
        <v>40</v>
      </c>
      <c r="B4" s="30" t="s">
        <v>0</v>
      </c>
      <c r="C4" s="17"/>
      <c r="D4" s="18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8"/>
      <c r="V4" s="18"/>
      <c r="W4" s="18"/>
      <c r="X4" s="18"/>
      <c r="Y4" s="18"/>
      <c r="Z4" s="18"/>
      <c r="AA4" s="18"/>
      <c r="AB4" s="18"/>
      <c r="AC4" s="18"/>
      <c r="AD4" s="19"/>
      <c r="AE4" s="19"/>
      <c r="AF4" s="19"/>
      <c r="AG4" s="28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20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8"/>
      <c r="CM4" s="18"/>
      <c r="CN4" s="18"/>
      <c r="CO4" s="18"/>
      <c r="CP4" s="18"/>
      <c r="CQ4" s="20"/>
    </row>
    <row r="5" spans="1:95" x14ac:dyDescent="0.25">
      <c r="A5" s="50"/>
      <c r="B5" s="31" t="s">
        <v>1</v>
      </c>
      <c r="C5" s="21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16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2"/>
      <c r="BK5" s="22"/>
      <c r="BM5" s="22"/>
      <c r="BN5" s="22"/>
      <c r="BO5" s="22"/>
      <c r="BP5" s="22"/>
      <c r="BQ5" s="22"/>
      <c r="BR5" s="22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16"/>
    </row>
    <row r="6" spans="1:95" x14ac:dyDescent="0.25">
      <c r="A6" s="50"/>
      <c r="B6" s="32" t="s">
        <v>2</v>
      </c>
      <c r="C6" s="24"/>
      <c r="D6" s="25"/>
      <c r="E6" s="25"/>
      <c r="F6" s="25"/>
      <c r="G6" s="25"/>
      <c r="H6" s="25"/>
      <c r="I6" s="25"/>
      <c r="J6" s="25"/>
      <c r="K6" s="25"/>
      <c r="L6" s="27"/>
      <c r="M6" s="27"/>
      <c r="N6" s="27"/>
      <c r="O6" s="27"/>
      <c r="P6" s="27"/>
      <c r="Q6" s="27"/>
      <c r="R6" s="27"/>
      <c r="S6" s="27"/>
      <c r="T6" s="27"/>
      <c r="U6" s="27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6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5"/>
      <c r="BH6" s="25"/>
      <c r="BI6" s="25"/>
      <c r="BJ6" s="25"/>
      <c r="BK6" s="25"/>
      <c r="BL6" s="26"/>
      <c r="BM6" s="25"/>
      <c r="BN6" s="25"/>
      <c r="BO6" s="25"/>
      <c r="BP6" s="25"/>
      <c r="BQ6" s="25"/>
      <c r="BR6" s="25"/>
      <c r="BS6" s="25"/>
      <c r="BT6" s="25"/>
      <c r="BU6" s="25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6"/>
    </row>
    <row r="7" spans="1:95" x14ac:dyDescent="0.25">
      <c r="A7" s="50" t="s">
        <v>41</v>
      </c>
      <c r="B7" s="32" t="s">
        <v>0</v>
      </c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8"/>
      <c r="AH7" s="18"/>
      <c r="AI7" s="18"/>
      <c r="AJ7" s="18"/>
      <c r="AK7" s="18"/>
      <c r="AL7" s="18"/>
      <c r="AM7" s="18"/>
      <c r="AN7" s="18"/>
      <c r="AO7" s="18"/>
      <c r="AP7" s="18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8"/>
      <c r="BG7" s="18"/>
      <c r="BH7" s="18"/>
      <c r="BI7" s="18"/>
      <c r="BJ7" s="18"/>
      <c r="BK7" s="18"/>
      <c r="BL7" s="20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8"/>
      <c r="CP7" s="18"/>
      <c r="CQ7" s="20"/>
    </row>
    <row r="8" spans="1:95" x14ac:dyDescent="0.25">
      <c r="A8" s="50"/>
      <c r="B8" s="31" t="s">
        <v>1</v>
      </c>
      <c r="C8" s="29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3"/>
      <c r="BG8" s="23"/>
      <c r="BH8" s="23"/>
      <c r="BI8" s="23"/>
      <c r="BJ8" s="23"/>
      <c r="BK8" s="23"/>
      <c r="BL8" s="16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16"/>
    </row>
    <row r="9" spans="1:95" x14ac:dyDescent="0.25">
      <c r="A9" s="50"/>
      <c r="B9" s="33" t="s">
        <v>2</v>
      </c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6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6"/>
      <c r="BM9" s="25"/>
      <c r="BN9" s="25"/>
      <c r="BO9" s="25"/>
      <c r="BP9" s="25"/>
      <c r="BQ9" s="25"/>
      <c r="BR9" s="25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6"/>
    </row>
  </sheetData>
  <mergeCells count="5">
    <mergeCell ref="A4:A6"/>
    <mergeCell ref="A7:A9"/>
    <mergeCell ref="C2:AG2"/>
    <mergeCell ref="AH2:BL2"/>
    <mergeCell ref="BM2:CQ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Нормативы загрузки</vt:lpstr>
      <vt:lpstr>Свод</vt:lpstr>
      <vt:lpstr>График работ</vt:lpstr>
      <vt:lpstr>Производственная программа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2017-01-28T16:02:09Z</cp:lastPrinted>
  <dcterms:created xsi:type="dcterms:W3CDTF">2016-09-28T07:09:39Z</dcterms:created>
  <dcterms:modified xsi:type="dcterms:W3CDTF">2017-01-28T18:11:42Z</dcterms:modified>
</cp:coreProperties>
</file>