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rug\Desktop\"/>
    </mc:Choice>
  </mc:AlternateContent>
  <bookViews>
    <workbookView xWindow="0" yWindow="0" windowWidth="20490" windowHeight="8640"/>
  </bookViews>
  <sheets>
    <sheet name="Условия + итог" sheetId="1" r:id="rId1"/>
    <sheet name="Расч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J5" i="1"/>
  <c r="G3" i="2"/>
  <c r="C3" i="2"/>
  <c r="C4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H3" i="2" l="1"/>
  <c r="E3" i="2"/>
  <c r="D3" i="2"/>
  <c r="D4" i="2" s="1"/>
  <c r="E4" i="2"/>
  <c r="H4" i="2"/>
  <c r="C5" i="2"/>
  <c r="I3" i="2" l="1"/>
  <c r="J3" i="2" s="1"/>
  <c r="K3" i="2" s="1"/>
  <c r="I4" i="2"/>
  <c r="F3" i="2"/>
  <c r="F4" i="2" s="1"/>
  <c r="D5" i="2"/>
  <c r="L3" i="2"/>
  <c r="E5" i="2"/>
  <c r="H5" i="2"/>
  <c r="C6" i="2"/>
  <c r="J4" i="2" l="1"/>
  <c r="K4" i="2"/>
  <c r="L4" i="2" s="1"/>
  <c r="F5" i="2"/>
  <c r="I5" i="2"/>
  <c r="J5" i="2" s="1"/>
  <c r="D6" i="2"/>
  <c r="M3" i="2"/>
  <c r="N3" i="2"/>
  <c r="O3" i="2" s="1"/>
  <c r="E6" i="2"/>
  <c r="H6" i="2"/>
  <c r="C7" i="2"/>
  <c r="F6" i="2" l="1"/>
  <c r="K5" i="2"/>
  <c r="N4" i="2"/>
  <c r="O4" i="2" s="1"/>
  <c r="I6" i="2"/>
  <c r="J6" i="2" s="1"/>
  <c r="M4" i="2"/>
  <c r="D7" i="2"/>
  <c r="E7" i="2"/>
  <c r="F7" i="2" s="1"/>
  <c r="C8" i="2"/>
  <c r="H7" i="2"/>
  <c r="L5" i="2" l="1"/>
  <c r="N5" i="2" s="1"/>
  <c r="O5" i="2" s="1"/>
  <c r="K6" i="2"/>
  <c r="L6" i="2" s="1"/>
  <c r="N6" i="2" s="1"/>
  <c r="I7" i="2"/>
  <c r="J7" i="2" s="1"/>
  <c r="D8" i="2"/>
  <c r="E8" i="2"/>
  <c r="F8" i="2" s="1"/>
  <c r="C9" i="2"/>
  <c r="H8" i="2"/>
  <c r="K7" i="2" l="1"/>
  <c r="L7" i="2" s="1"/>
  <c r="N7" i="2" s="1"/>
  <c r="M5" i="2"/>
  <c r="M6" i="2" s="1"/>
  <c r="I8" i="2"/>
  <c r="J8" i="2" s="1"/>
  <c r="O6" i="2"/>
  <c r="D9" i="2"/>
  <c r="E9" i="2"/>
  <c r="F9" i="2" s="1"/>
  <c r="H9" i="2"/>
  <c r="C10" i="2"/>
  <c r="I9" i="2" l="1"/>
  <c r="J9" i="2" s="1"/>
  <c r="K8" i="2"/>
  <c r="L8" i="2" s="1"/>
  <c r="N8" i="2" s="1"/>
  <c r="D10" i="2"/>
  <c r="M7" i="2"/>
  <c r="O7" i="2"/>
  <c r="E10" i="2"/>
  <c r="F10" i="2" s="1"/>
  <c r="H10" i="2"/>
  <c r="C11" i="2"/>
  <c r="K9" i="2" l="1"/>
  <c r="I10" i="2"/>
  <c r="J10" i="2" s="1"/>
  <c r="D11" i="2"/>
  <c r="L9" i="2"/>
  <c r="N9" i="2" s="1"/>
  <c r="O8" i="2"/>
  <c r="M8" i="2"/>
  <c r="E11" i="2"/>
  <c r="F11" i="2" s="1"/>
  <c r="C12" i="2"/>
  <c r="H11" i="2"/>
  <c r="I11" i="2" l="1"/>
  <c r="J11" i="2" s="1"/>
  <c r="K10" i="2"/>
  <c r="L10" i="2" s="1"/>
  <c r="D12" i="2"/>
  <c r="O9" i="2"/>
  <c r="M9" i="2"/>
  <c r="E12" i="2"/>
  <c r="F12" i="2" s="1"/>
  <c r="K5" i="1" s="1"/>
  <c r="C13" i="2"/>
  <c r="H12" i="2"/>
  <c r="K11" i="2" l="1"/>
  <c r="L11" i="2" s="1"/>
  <c r="N11" i="2" s="1"/>
  <c r="N10" i="2"/>
  <c r="O10" i="2" s="1"/>
  <c r="M10" i="2"/>
  <c r="I12" i="2"/>
  <c r="J12" i="2" s="1"/>
  <c r="D13" i="2"/>
  <c r="I5" i="1"/>
  <c r="H5" i="1" s="1"/>
  <c r="M5" i="1" s="1"/>
  <c r="E13" i="2"/>
  <c r="F13" i="2" s="1"/>
  <c r="H13" i="2"/>
  <c r="C14" i="2"/>
  <c r="K12" i="2" l="1"/>
  <c r="L12" i="2" s="1"/>
  <c r="N12" i="2" s="1"/>
  <c r="N5" i="1"/>
  <c r="O11" i="2"/>
  <c r="M11" i="2"/>
  <c r="I13" i="2"/>
  <c r="J13" i="2" s="1"/>
  <c r="D14" i="2"/>
  <c r="E14" i="2"/>
  <c r="F14" i="2" s="1"/>
  <c r="H14" i="2"/>
  <c r="C15" i="2"/>
  <c r="K13" i="2" l="1"/>
  <c r="I14" i="2"/>
  <c r="J14" i="2" s="1"/>
  <c r="D15" i="2"/>
  <c r="M12" i="2"/>
  <c r="L5" i="1" s="1"/>
  <c r="O12" i="2"/>
  <c r="O5" i="1" s="1"/>
  <c r="E15" i="2"/>
  <c r="F15" i="2" s="1"/>
  <c r="C16" i="2"/>
  <c r="H15" i="2"/>
  <c r="I15" i="2" s="1"/>
  <c r="J15" i="2" l="1"/>
  <c r="K14" i="2"/>
  <c r="L14" i="2" s="1"/>
  <c r="N14" i="2" s="1"/>
  <c r="L13" i="2"/>
  <c r="N13" i="2" s="1"/>
  <c r="O13" i="2" s="1"/>
  <c r="K15" i="2"/>
  <c r="D16" i="2"/>
  <c r="E16" i="2"/>
  <c r="F16" i="2" s="1"/>
  <c r="C17" i="2"/>
  <c r="H16" i="2"/>
  <c r="M13" i="2" l="1"/>
  <c r="L15" i="2"/>
  <c r="N15" i="2" s="1"/>
  <c r="I16" i="2"/>
  <c r="J16" i="2" s="1"/>
  <c r="K16" i="2" s="1"/>
  <c r="D17" i="2"/>
  <c r="M14" i="2"/>
  <c r="O14" i="2"/>
  <c r="E17" i="2"/>
  <c r="F17" i="2" s="1"/>
  <c r="H17" i="2"/>
  <c r="C18" i="2"/>
  <c r="M15" i="2" l="1"/>
  <c r="I17" i="2"/>
  <c r="J17" i="2" s="1"/>
  <c r="O15" i="2"/>
  <c r="D18" i="2"/>
  <c r="E18" i="2"/>
  <c r="F18" i="2" s="1"/>
  <c r="H18" i="2"/>
  <c r="C19" i="2"/>
  <c r="L16" i="2"/>
  <c r="N16" i="2" s="1"/>
  <c r="K17" i="2" l="1"/>
  <c r="I18" i="2"/>
  <c r="J18" i="2" s="1"/>
  <c r="D19" i="2"/>
  <c r="M16" i="2"/>
  <c r="O16" i="2"/>
  <c r="E19" i="2"/>
  <c r="F19" i="2" s="1"/>
  <c r="C20" i="2"/>
  <c r="H19" i="2"/>
  <c r="K18" i="2" l="1"/>
  <c r="L17" i="2"/>
  <c r="N17" i="2" s="1"/>
  <c r="O17" i="2" s="1"/>
  <c r="I19" i="2"/>
  <c r="J19" i="2" s="1"/>
  <c r="L18" i="2"/>
  <c r="N18" i="2" s="1"/>
  <c r="D20" i="2"/>
  <c r="E20" i="2"/>
  <c r="F20" i="2" s="1"/>
  <c r="H20" i="2"/>
  <c r="C21" i="2"/>
  <c r="M17" i="2" l="1"/>
  <c r="M18" i="2" s="1"/>
  <c r="K19" i="2"/>
  <c r="L19" i="2" s="1"/>
  <c r="N19" i="2" s="1"/>
  <c r="I20" i="2"/>
  <c r="J20" i="2" s="1"/>
  <c r="O18" i="2"/>
  <c r="D21" i="2"/>
  <c r="E21" i="2"/>
  <c r="F21" i="2" s="1"/>
  <c r="H21" i="2"/>
  <c r="C22" i="2"/>
  <c r="K20" i="2" l="1"/>
  <c r="L20" i="2" s="1"/>
  <c r="N20" i="2" s="1"/>
  <c r="I21" i="2"/>
  <c r="J21" i="2" s="1"/>
  <c r="D22" i="2"/>
  <c r="E22" i="2"/>
  <c r="F22" i="2" s="1"/>
  <c r="K6" i="1" s="1"/>
  <c r="H22" i="2"/>
  <c r="C23" i="2"/>
  <c r="M19" i="2"/>
  <c r="O19" i="2"/>
  <c r="K21" i="2" l="1"/>
  <c r="I22" i="2"/>
  <c r="J22" i="2" s="1"/>
  <c r="M20" i="2"/>
  <c r="O20" i="2"/>
  <c r="D23" i="2"/>
  <c r="I6" i="1"/>
  <c r="H6" i="1" s="1"/>
  <c r="E23" i="2"/>
  <c r="F23" i="2" s="1"/>
  <c r="C24" i="2"/>
  <c r="H23" i="2"/>
  <c r="L21" i="2"/>
  <c r="N21" i="2" s="1"/>
  <c r="I23" i="2" l="1"/>
  <c r="J23" i="2" s="1"/>
  <c r="K22" i="2"/>
  <c r="M6" i="1"/>
  <c r="N6" i="1" s="1"/>
  <c r="D24" i="2"/>
  <c r="M21" i="2"/>
  <c r="O21" i="2"/>
  <c r="E24" i="2"/>
  <c r="F24" i="2" s="1"/>
  <c r="C25" i="2"/>
  <c r="H24" i="2"/>
  <c r="K23" i="2" l="1"/>
  <c r="L23" i="2" s="1"/>
  <c r="N23" i="2" s="1"/>
  <c r="L22" i="2"/>
  <c r="N22" i="2" s="1"/>
  <c r="O22" i="2" s="1"/>
  <c r="O6" i="1" s="1"/>
  <c r="I24" i="2"/>
  <c r="J24" i="2" s="1"/>
  <c r="D25" i="2"/>
  <c r="E25" i="2"/>
  <c r="F25" i="2" s="1"/>
  <c r="C26" i="2"/>
  <c r="H25" i="2"/>
  <c r="M22" i="2" l="1"/>
  <c r="L6" i="1" s="1"/>
  <c r="K24" i="2"/>
  <c r="I25" i="2"/>
  <c r="J25" i="2" s="1"/>
  <c r="M23" i="2"/>
  <c r="D26" i="2"/>
  <c r="O23" i="2"/>
  <c r="C27" i="2"/>
  <c r="E26" i="2"/>
  <c r="F26" i="2" s="1"/>
  <c r="H26" i="2"/>
  <c r="L24" i="2"/>
  <c r="N24" i="2" s="1"/>
  <c r="K25" i="2" l="1"/>
  <c r="L25" i="2" s="1"/>
  <c r="N25" i="2" s="1"/>
  <c r="I26" i="2"/>
  <c r="J26" i="2" s="1"/>
  <c r="D27" i="2"/>
  <c r="M24" i="2"/>
  <c r="O24" i="2"/>
  <c r="C28" i="2"/>
  <c r="H27" i="2"/>
  <c r="E27" i="2"/>
  <c r="F27" i="2" s="1"/>
  <c r="K26" i="2" l="1"/>
  <c r="L26" i="2" s="1"/>
  <c r="N26" i="2" s="1"/>
  <c r="I27" i="2"/>
  <c r="J27" i="2" s="1"/>
  <c r="M25" i="2"/>
  <c r="D28" i="2"/>
  <c r="H28" i="2"/>
  <c r="E28" i="2"/>
  <c r="F28" i="2" s="1"/>
  <c r="C29" i="2"/>
  <c r="O25" i="2"/>
  <c r="K27" i="2" l="1"/>
  <c r="L27" i="2" s="1"/>
  <c r="N27" i="2" s="1"/>
  <c r="M26" i="2"/>
  <c r="I28" i="2"/>
  <c r="J28" i="2" s="1"/>
  <c r="D29" i="2"/>
  <c r="O26" i="2"/>
  <c r="C30" i="2"/>
  <c r="H29" i="2"/>
  <c r="E29" i="2"/>
  <c r="F29" i="2" s="1"/>
  <c r="K28" i="2" l="1"/>
  <c r="M27" i="2"/>
  <c r="I29" i="2"/>
  <c r="J29" i="2" s="1"/>
  <c r="O27" i="2"/>
  <c r="D30" i="2"/>
  <c r="E30" i="2"/>
  <c r="F30" i="2" s="1"/>
  <c r="H30" i="2"/>
  <c r="C31" i="2"/>
  <c r="L28" i="2"/>
  <c r="N28" i="2" s="1"/>
  <c r="K29" i="2" l="1"/>
  <c r="L29" i="2" s="1"/>
  <c r="N29" i="2" s="1"/>
  <c r="I30" i="2"/>
  <c r="J30" i="2" s="1"/>
  <c r="D31" i="2"/>
  <c r="M28" i="2"/>
  <c r="O28" i="2"/>
  <c r="E31" i="2"/>
  <c r="F31" i="2" s="1"/>
  <c r="C32" i="2"/>
  <c r="H31" i="2"/>
  <c r="I31" i="2" l="1"/>
  <c r="J31" i="2" s="1"/>
  <c r="K30" i="2"/>
  <c r="M29" i="2"/>
  <c r="O29" i="2"/>
  <c r="D32" i="2"/>
  <c r="E32" i="2"/>
  <c r="F32" i="2" s="1"/>
  <c r="K7" i="1" s="1"/>
  <c r="C33" i="2"/>
  <c r="H32" i="2"/>
  <c r="K31" i="2" l="1"/>
  <c r="L31" i="2" s="1"/>
  <c r="N31" i="2" s="1"/>
  <c r="L30" i="2"/>
  <c r="N30" i="2" s="1"/>
  <c r="O30" i="2" s="1"/>
  <c r="I32" i="2"/>
  <c r="J32" i="2" s="1"/>
  <c r="D33" i="2"/>
  <c r="I7" i="1"/>
  <c r="H7" i="1" s="1"/>
  <c r="E33" i="2"/>
  <c r="F33" i="2" s="1"/>
  <c r="H33" i="2"/>
  <c r="C34" i="2"/>
  <c r="M30" i="2" l="1"/>
  <c r="K32" i="2"/>
  <c r="M7" i="1"/>
  <c r="N7" i="1" s="1"/>
  <c r="M31" i="2"/>
  <c r="I33" i="2"/>
  <c r="J33" i="2" s="1"/>
  <c r="D34" i="2"/>
  <c r="O31" i="2"/>
  <c r="E34" i="2"/>
  <c r="F34" i="2" s="1"/>
  <c r="H34" i="2"/>
  <c r="C35" i="2"/>
  <c r="K33" i="2" l="1"/>
  <c r="L33" i="2" s="1"/>
  <c r="N33" i="2" s="1"/>
  <c r="L32" i="2"/>
  <c r="N32" i="2" s="1"/>
  <c r="O32" i="2" s="1"/>
  <c r="O7" i="1" s="1"/>
  <c r="I34" i="2"/>
  <c r="J34" i="2" s="1"/>
  <c r="D35" i="2"/>
  <c r="E35" i="2"/>
  <c r="F35" i="2" s="1"/>
  <c r="C36" i="2"/>
  <c r="H35" i="2"/>
  <c r="M32" i="2" l="1"/>
  <c r="L7" i="1" s="1"/>
  <c r="K34" i="2"/>
  <c r="L34" i="2" s="1"/>
  <c r="N34" i="2" s="1"/>
  <c r="I35" i="2"/>
  <c r="J35" i="2" s="1"/>
  <c r="D36" i="2"/>
  <c r="C37" i="2"/>
  <c r="H36" i="2"/>
  <c r="E36" i="2"/>
  <c r="F36" i="2" s="1"/>
  <c r="O33" i="2"/>
  <c r="M33" i="2" l="1"/>
  <c r="M34" i="2" s="1"/>
  <c r="K35" i="2"/>
  <c r="I36" i="2"/>
  <c r="J36" i="2" s="1"/>
  <c r="D37" i="2"/>
  <c r="O34" i="2"/>
  <c r="C38" i="2"/>
  <c r="H37" i="2"/>
  <c r="E37" i="2"/>
  <c r="F37" i="2" s="1"/>
  <c r="K36" i="2" l="1"/>
  <c r="L36" i="2" s="1"/>
  <c r="N36" i="2" s="1"/>
  <c r="L35" i="2"/>
  <c r="N35" i="2" s="1"/>
  <c r="O35" i="2" s="1"/>
  <c r="I37" i="2"/>
  <c r="J37" i="2" s="1"/>
  <c r="D38" i="2"/>
  <c r="C39" i="2"/>
  <c r="E38" i="2"/>
  <c r="F38" i="2" s="1"/>
  <c r="H38" i="2"/>
  <c r="M35" i="2" l="1"/>
  <c r="M36" i="2" s="1"/>
  <c r="K37" i="2"/>
  <c r="L37" i="2" s="1"/>
  <c r="N37" i="2" s="1"/>
  <c r="I38" i="2"/>
  <c r="J38" i="2" s="1"/>
  <c r="O36" i="2"/>
  <c r="D39" i="2"/>
  <c r="H39" i="2"/>
  <c r="E39" i="2"/>
  <c r="F39" i="2" s="1"/>
  <c r="C40" i="2"/>
  <c r="K38" i="2" l="1"/>
  <c r="L38" i="2" s="1"/>
  <c r="N38" i="2" s="1"/>
  <c r="I39" i="2"/>
  <c r="J39" i="2" s="1"/>
  <c r="D40" i="2"/>
  <c r="M37" i="2"/>
  <c r="O37" i="2"/>
  <c r="H40" i="2"/>
  <c r="E40" i="2"/>
  <c r="F40" i="2" s="1"/>
  <c r="C41" i="2"/>
  <c r="K39" i="2" l="1"/>
  <c r="L39" i="2" s="1"/>
  <c r="N39" i="2" s="1"/>
  <c r="M38" i="2"/>
  <c r="I40" i="2"/>
  <c r="J40" i="2" s="1"/>
  <c r="O38" i="2"/>
  <c r="D41" i="2"/>
  <c r="H41" i="2"/>
  <c r="E41" i="2"/>
  <c r="F41" i="2" s="1"/>
  <c r="C42" i="2"/>
  <c r="K40" i="2" l="1"/>
  <c r="L40" i="2" s="1"/>
  <c r="N40" i="2" s="1"/>
  <c r="M39" i="2"/>
  <c r="I41" i="2"/>
  <c r="J41" i="2" s="1"/>
  <c r="O39" i="2"/>
  <c r="D42" i="2"/>
  <c r="H42" i="2"/>
  <c r="C43" i="2"/>
  <c r="E42" i="2"/>
  <c r="F42" i="2" s="1"/>
  <c r="K8" i="1" s="1"/>
  <c r="K41" i="2" l="1"/>
  <c r="I42" i="2"/>
  <c r="J42" i="2" s="1"/>
  <c r="D43" i="2"/>
  <c r="I8" i="1"/>
  <c r="H8" i="1" s="1"/>
  <c r="H43" i="2"/>
  <c r="C44" i="2"/>
  <c r="E43" i="2"/>
  <c r="F43" i="2" s="1"/>
  <c r="M40" i="2"/>
  <c r="O40" i="2"/>
  <c r="K42" i="2" l="1"/>
  <c r="L42" i="2" s="1"/>
  <c r="N42" i="2" s="1"/>
  <c r="L41" i="2"/>
  <c r="N41" i="2" s="1"/>
  <c r="O41" i="2" s="1"/>
  <c r="M8" i="1"/>
  <c r="N8" i="1" s="1"/>
  <c r="I43" i="2"/>
  <c r="J43" i="2" s="1"/>
  <c r="D44" i="2"/>
  <c r="M41" i="2"/>
  <c r="C45" i="2"/>
  <c r="H44" i="2"/>
  <c r="E44" i="2"/>
  <c r="F44" i="2" s="1"/>
  <c r="D45" i="2" l="1"/>
  <c r="K43" i="2"/>
  <c r="L43" i="2" s="1"/>
  <c r="N43" i="2" s="1"/>
  <c r="M42" i="2"/>
  <c r="L8" i="1" s="1"/>
  <c r="I44" i="2"/>
  <c r="J44" i="2" s="1"/>
  <c r="E45" i="2"/>
  <c r="F45" i="2" s="1"/>
  <c r="H45" i="2"/>
  <c r="C46" i="2"/>
  <c r="D46" i="2" s="1"/>
  <c r="O42" i="2"/>
  <c r="O8" i="1" s="1"/>
  <c r="K44" i="2" l="1"/>
  <c r="L44" i="2" s="1"/>
  <c r="N44" i="2" s="1"/>
  <c r="I45" i="2"/>
  <c r="J45" i="2" s="1"/>
  <c r="M43" i="2"/>
  <c r="O43" i="2"/>
  <c r="H46" i="2"/>
  <c r="C47" i="2"/>
  <c r="D47" i="2" s="1"/>
  <c r="E46" i="2"/>
  <c r="F46" i="2" s="1"/>
  <c r="K45" i="2" l="1"/>
  <c r="L45" i="2" s="1"/>
  <c r="N45" i="2" s="1"/>
  <c r="M44" i="2"/>
  <c r="I46" i="2"/>
  <c r="J46" i="2" s="1"/>
  <c r="E47" i="2"/>
  <c r="F47" i="2" s="1"/>
  <c r="C48" i="2"/>
  <c r="D48" i="2" s="1"/>
  <c r="H47" i="2"/>
  <c r="O44" i="2"/>
  <c r="K46" i="2" l="1"/>
  <c r="L46" i="2" s="1"/>
  <c r="N46" i="2" s="1"/>
  <c r="M45" i="2"/>
  <c r="I47" i="2"/>
  <c r="J47" i="2" s="1"/>
  <c r="O45" i="2"/>
  <c r="H48" i="2"/>
  <c r="C49" i="2"/>
  <c r="D49" i="2" s="1"/>
  <c r="E48" i="2"/>
  <c r="F48" i="2" s="1"/>
  <c r="K47" i="2" l="1"/>
  <c r="L47" i="2" s="1"/>
  <c r="M46" i="2"/>
  <c r="I48" i="2"/>
  <c r="J48" i="2" s="1"/>
  <c r="O46" i="2"/>
  <c r="C50" i="2"/>
  <c r="D50" i="2" s="1"/>
  <c r="E49" i="2"/>
  <c r="F49" i="2" s="1"/>
  <c r="H49" i="2"/>
  <c r="K48" i="2" l="1"/>
  <c r="L48" i="2" s="1"/>
  <c r="N48" i="2" s="1"/>
  <c r="I49" i="2"/>
  <c r="J49" i="2" s="1"/>
  <c r="M47" i="2"/>
  <c r="N47" i="2"/>
  <c r="O47" i="2" s="1"/>
  <c r="H50" i="2"/>
  <c r="C51" i="2"/>
  <c r="D51" i="2" s="1"/>
  <c r="E50" i="2"/>
  <c r="F50" i="2" s="1"/>
  <c r="K49" i="2" l="1"/>
  <c r="L49" i="2" s="1"/>
  <c r="N49" i="2" s="1"/>
  <c r="M48" i="2"/>
  <c r="I50" i="2"/>
  <c r="J50" i="2" s="1"/>
  <c r="O48" i="2"/>
  <c r="H51" i="2"/>
  <c r="I51" i="2" s="1"/>
  <c r="E51" i="2"/>
  <c r="F51" i="2" s="1"/>
  <c r="C52" i="2"/>
  <c r="D52" i="2" s="1"/>
  <c r="J51" i="2" l="1"/>
  <c r="K50" i="2"/>
  <c r="K51" i="2" s="1"/>
  <c r="M49" i="2"/>
  <c r="O49" i="2"/>
  <c r="I9" i="1"/>
  <c r="H9" i="1" s="1"/>
  <c r="H52" i="2"/>
  <c r="E52" i="2"/>
  <c r="F52" i="2" s="1"/>
  <c r="K9" i="1" s="1"/>
  <c r="C53" i="2"/>
  <c r="D53" i="2" s="1"/>
  <c r="L50" i="2" l="1"/>
  <c r="N50" i="2" s="1"/>
  <c r="O50" i="2" s="1"/>
  <c r="M9" i="1"/>
  <c r="N9" i="1" s="1"/>
  <c r="L51" i="2"/>
  <c r="N51" i="2" s="1"/>
  <c r="I52" i="2"/>
  <c r="J52" i="2" s="1"/>
  <c r="M50" i="2"/>
  <c r="H53" i="2"/>
  <c r="C54" i="2"/>
  <c r="D54" i="2" s="1"/>
  <c r="E53" i="2"/>
  <c r="F53" i="2" s="1"/>
  <c r="K52" i="2" l="1"/>
  <c r="M51" i="2"/>
  <c r="I53" i="2"/>
  <c r="J53" i="2" s="1"/>
  <c r="O51" i="2"/>
  <c r="E54" i="2"/>
  <c r="F54" i="2" s="1"/>
  <c r="H54" i="2"/>
  <c r="C55" i="2"/>
  <c r="D55" i="2" s="1"/>
  <c r="K53" i="2" l="1"/>
  <c r="L53" i="2" s="1"/>
  <c r="N53" i="2" s="1"/>
  <c r="L52" i="2"/>
  <c r="N52" i="2" s="1"/>
  <c r="O52" i="2" s="1"/>
  <c r="O9" i="1" s="1"/>
  <c r="I54" i="2"/>
  <c r="J54" i="2" s="1"/>
  <c r="H55" i="2"/>
  <c r="C56" i="2"/>
  <c r="D56" i="2" s="1"/>
  <c r="E55" i="2"/>
  <c r="F55" i="2" s="1"/>
  <c r="M52" i="2" l="1"/>
  <c r="L9" i="1" s="1"/>
  <c r="K54" i="2"/>
  <c r="L54" i="2" s="1"/>
  <c r="N54" i="2" s="1"/>
  <c r="I55" i="2"/>
  <c r="J55" i="2" s="1"/>
  <c r="O53" i="2"/>
  <c r="H56" i="2"/>
  <c r="C57" i="2"/>
  <c r="D57" i="2" s="1"/>
  <c r="E56" i="2"/>
  <c r="F56" i="2" s="1"/>
  <c r="M53" i="2" l="1"/>
  <c r="M54" i="2" s="1"/>
  <c r="K55" i="2"/>
  <c r="L55" i="2" s="1"/>
  <c r="N55" i="2" s="1"/>
  <c r="I56" i="2"/>
  <c r="J56" i="2" s="1"/>
  <c r="O54" i="2"/>
  <c r="E57" i="2"/>
  <c r="F57" i="2" s="1"/>
  <c r="H57" i="2"/>
  <c r="C58" i="2"/>
  <c r="D58" i="2" s="1"/>
  <c r="K56" i="2" l="1"/>
  <c r="I57" i="2"/>
  <c r="J57" i="2" s="1"/>
  <c r="M55" i="2"/>
  <c r="O55" i="2"/>
  <c r="E58" i="2"/>
  <c r="F58" i="2" s="1"/>
  <c r="H58" i="2"/>
  <c r="C59" i="2"/>
  <c r="D59" i="2" s="1"/>
  <c r="K57" i="2" l="1"/>
  <c r="L56" i="2"/>
  <c r="N56" i="2" s="1"/>
  <c r="O56" i="2" s="1"/>
  <c r="I58" i="2"/>
  <c r="J58" i="2" s="1"/>
  <c r="L57" i="2"/>
  <c r="N57" i="2" s="1"/>
  <c r="C60" i="2"/>
  <c r="D60" i="2" s="1"/>
  <c r="E59" i="2"/>
  <c r="F59" i="2" s="1"/>
  <c r="H59" i="2"/>
  <c r="M56" i="2" l="1"/>
  <c r="K58" i="2"/>
  <c r="L58" i="2" s="1"/>
  <c r="N58" i="2" s="1"/>
  <c r="I59" i="2"/>
  <c r="J59" i="2" s="1"/>
  <c r="M57" i="2"/>
  <c r="O57" i="2"/>
  <c r="C61" i="2"/>
  <c r="D61" i="2" s="1"/>
  <c r="E60" i="2"/>
  <c r="F60" i="2" s="1"/>
  <c r="H60" i="2"/>
  <c r="K59" i="2" l="1"/>
  <c r="M58" i="2"/>
  <c r="I60" i="2"/>
  <c r="J60" i="2" s="1"/>
  <c r="O58" i="2"/>
  <c r="H61" i="2"/>
  <c r="C62" i="2"/>
  <c r="D62" i="2" s="1"/>
  <c r="E61" i="2"/>
  <c r="F61" i="2" s="1"/>
  <c r="K60" i="2" l="1"/>
  <c r="L60" i="2" s="1"/>
  <c r="N60" i="2" s="1"/>
  <c r="L59" i="2"/>
  <c r="N59" i="2" s="1"/>
  <c r="O59" i="2" s="1"/>
  <c r="I61" i="2"/>
  <c r="J61" i="2" s="1"/>
  <c r="I10" i="1"/>
  <c r="H10" i="1" s="1"/>
  <c r="H62" i="2"/>
  <c r="E62" i="2"/>
  <c r="F62" i="2" s="1"/>
  <c r="K10" i="1" s="1"/>
  <c r="C63" i="2"/>
  <c r="D63" i="2" s="1"/>
  <c r="K61" i="2" l="1"/>
  <c r="L61" i="2" s="1"/>
  <c r="N61" i="2" s="1"/>
  <c r="M59" i="2"/>
  <c r="M60" i="2" s="1"/>
  <c r="M10" i="1"/>
  <c r="N10" i="1" s="1"/>
  <c r="I62" i="2"/>
  <c r="J62" i="2" s="1"/>
  <c r="O60" i="2"/>
  <c r="H63" i="2"/>
  <c r="E63" i="2"/>
  <c r="F63" i="2" s="1"/>
  <c r="C64" i="2"/>
  <c r="D64" i="2" s="1"/>
  <c r="K62" i="2" l="1"/>
  <c r="I63" i="2"/>
  <c r="J63" i="2" s="1"/>
  <c r="M61" i="2"/>
  <c r="O61" i="2"/>
  <c r="E64" i="2"/>
  <c r="F64" i="2" s="1"/>
  <c r="C65" i="2"/>
  <c r="D65" i="2" s="1"/>
  <c r="H64" i="2"/>
  <c r="K63" i="2" l="1"/>
  <c r="L63" i="2" s="1"/>
  <c r="N63" i="2" s="1"/>
  <c r="L62" i="2"/>
  <c r="N62" i="2" s="1"/>
  <c r="O62" i="2" s="1"/>
  <c r="O10" i="1" s="1"/>
  <c r="I64" i="2"/>
  <c r="J64" i="2" s="1"/>
  <c r="H65" i="2"/>
  <c r="C66" i="2"/>
  <c r="D66" i="2" s="1"/>
  <c r="E65" i="2"/>
  <c r="F65" i="2" s="1"/>
  <c r="M62" i="2" l="1"/>
  <c r="L10" i="1" s="1"/>
  <c r="K64" i="2"/>
  <c r="I65" i="2"/>
  <c r="J65" i="2" s="1"/>
  <c r="O63" i="2"/>
  <c r="C67" i="2"/>
  <c r="D67" i="2" s="1"/>
  <c r="E66" i="2"/>
  <c r="F66" i="2" s="1"/>
  <c r="H66" i="2"/>
  <c r="M63" i="2" l="1"/>
  <c r="K65" i="2"/>
  <c r="L65" i="2" s="1"/>
  <c r="N65" i="2" s="1"/>
  <c r="L64" i="2"/>
  <c r="N64" i="2" s="1"/>
  <c r="O64" i="2" s="1"/>
  <c r="I66" i="2"/>
  <c r="J66" i="2" s="1"/>
  <c r="H67" i="2"/>
  <c r="C68" i="2"/>
  <c r="D68" i="2" s="1"/>
  <c r="E67" i="2"/>
  <c r="F67" i="2" s="1"/>
  <c r="M64" i="2" l="1"/>
  <c r="M65" i="2" s="1"/>
  <c r="K66" i="2"/>
  <c r="I67" i="2"/>
  <c r="J67" i="2" s="1"/>
  <c r="O65" i="2"/>
  <c r="C69" i="2"/>
  <c r="D69" i="2" s="1"/>
  <c r="E68" i="2"/>
  <c r="F68" i="2" s="1"/>
  <c r="H68" i="2"/>
  <c r="K67" i="2" l="1"/>
  <c r="L67" i="2" s="1"/>
  <c r="N67" i="2" s="1"/>
  <c r="L66" i="2"/>
  <c r="N66" i="2" s="1"/>
  <c r="O66" i="2" s="1"/>
  <c r="I68" i="2"/>
  <c r="J68" i="2" s="1"/>
  <c r="H69" i="2"/>
  <c r="C70" i="2"/>
  <c r="D70" i="2" s="1"/>
  <c r="E69" i="2"/>
  <c r="F69" i="2" s="1"/>
  <c r="M66" i="2" l="1"/>
  <c r="M67" i="2" s="1"/>
  <c r="K68" i="2"/>
  <c r="L68" i="2" s="1"/>
  <c r="N68" i="2" s="1"/>
  <c r="I69" i="2"/>
  <c r="J69" i="2" s="1"/>
  <c r="H70" i="2"/>
  <c r="C71" i="2"/>
  <c r="D71" i="2" s="1"/>
  <c r="E70" i="2"/>
  <c r="F70" i="2" s="1"/>
  <c r="O67" i="2"/>
  <c r="K69" i="2" l="1"/>
  <c r="L69" i="2" s="1"/>
  <c r="N69" i="2" s="1"/>
  <c r="M68" i="2"/>
  <c r="I70" i="2"/>
  <c r="J70" i="2" s="1"/>
  <c r="O68" i="2"/>
  <c r="H71" i="2"/>
  <c r="C72" i="2"/>
  <c r="D72" i="2" s="1"/>
  <c r="E71" i="2"/>
  <c r="F71" i="2" s="1"/>
  <c r="K70" i="2" l="1"/>
  <c r="L70" i="2" s="1"/>
  <c r="N70" i="2" s="1"/>
  <c r="M69" i="2"/>
  <c r="I71" i="2"/>
  <c r="J71" i="2" s="1"/>
  <c r="O69" i="2"/>
  <c r="I11" i="1"/>
  <c r="H11" i="1" s="1"/>
  <c r="H72" i="2"/>
  <c r="C73" i="2"/>
  <c r="D73" i="2" s="1"/>
  <c r="E72" i="2"/>
  <c r="F72" i="2" s="1"/>
  <c r="K11" i="1" s="1"/>
  <c r="M11" i="1" l="1"/>
  <c r="N11" i="1" s="1"/>
  <c r="K71" i="2"/>
  <c r="L71" i="2" s="1"/>
  <c r="N71" i="2" s="1"/>
  <c r="M70" i="2"/>
  <c r="I72" i="2"/>
  <c r="J72" i="2" s="1"/>
  <c r="O70" i="2"/>
  <c r="C74" i="2"/>
  <c r="D74" i="2" s="1"/>
  <c r="E73" i="2"/>
  <c r="F73" i="2" s="1"/>
  <c r="H73" i="2"/>
  <c r="K72" i="2" l="1"/>
  <c r="I73" i="2"/>
  <c r="J73" i="2" s="1"/>
  <c r="M71" i="2"/>
  <c r="O71" i="2"/>
  <c r="C75" i="2"/>
  <c r="D75" i="2" s="1"/>
  <c r="E74" i="2"/>
  <c r="F74" i="2" s="1"/>
  <c r="H74" i="2"/>
  <c r="K73" i="2" l="1"/>
  <c r="L72" i="2"/>
  <c r="N72" i="2" s="1"/>
  <c r="O72" i="2" s="1"/>
  <c r="O11" i="1" s="1"/>
  <c r="I74" i="2"/>
  <c r="J74" i="2" s="1"/>
  <c r="C76" i="2"/>
  <c r="D76" i="2" s="1"/>
  <c r="E75" i="2"/>
  <c r="F75" i="2" s="1"/>
  <c r="H75" i="2"/>
  <c r="M72" i="2" l="1"/>
  <c r="L11" i="1" s="1"/>
  <c r="K74" i="2"/>
  <c r="L74" i="2" s="1"/>
  <c r="N74" i="2" s="1"/>
  <c r="L73" i="2"/>
  <c r="N73" i="2" s="1"/>
  <c r="O73" i="2" s="1"/>
  <c r="I75" i="2"/>
  <c r="J75" i="2" s="1"/>
  <c r="C77" i="2"/>
  <c r="D77" i="2" s="1"/>
  <c r="E76" i="2"/>
  <c r="F76" i="2" s="1"/>
  <c r="H76" i="2"/>
  <c r="M73" i="2" l="1"/>
  <c r="M74" i="2" s="1"/>
  <c r="K75" i="2"/>
  <c r="I76" i="2"/>
  <c r="J76" i="2" s="1"/>
  <c r="O74" i="2"/>
  <c r="C78" i="2"/>
  <c r="D78" i="2" s="1"/>
  <c r="E77" i="2"/>
  <c r="F77" i="2" s="1"/>
  <c r="H77" i="2"/>
  <c r="K76" i="2" l="1"/>
  <c r="L76" i="2" s="1"/>
  <c r="N76" i="2" s="1"/>
  <c r="L75" i="2"/>
  <c r="N75" i="2" s="1"/>
  <c r="O75" i="2" s="1"/>
  <c r="I77" i="2"/>
  <c r="J77" i="2" s="1"/>
  <c r="E78" i="2"/>
  <c r="F78" i="2" s="1"/>
  <c r="C79" i="2"/>
  <c r="D79" i="2" s="1"/>
  <c r="H78" i="2"/>
  <c r="M75" i="2" l="1"/>
  <c r="M76" i="2" s="1"/>
  <c r="K77" i="2"/>
  <c r="I78" i="2"/>
  <c r="J78" i="2" s="1"/>
  <c r="O76" i="2"/>
  <c r="E79" i="2"/>
  <c r="F79" i="2" s="1"/>
  <c r="C80" i="2"/>
  <c r="D80" i="2" s="1"/>
  <c r="H79" i="2"/>
  <c r="K78" i="2" l="1"/>
  <c r="L78" i="2" s="1"/>
  <c r="N78" i="2" s="1"/>
  <c r="L77" i="2"/>
  <c r="N77" i="2" s="1"/>
  <c r="O77" i="2" s="1"/>
  <c r="I79" i="2"/>
  <c r="J79" i="2" s="1"/>
  <c r="C81" i="2"/>
  <c r="D81" i="2" s="1"/>
  <c r="H80" i="2"/>
  <c r="E80" i="2"/>
  <c r="F80" i="2" s="1"/>
  <c r="M77" i="2" l="1"/>
  <c r="M78" i="2" s="1"/>
  <c r="K79" i="2"/>
  <c r="L79" i="2" s="1"/>
  <c r="N79" i="2" s="1"/>
  <c r="I80" i="2"/>
  <c r="J80" i="2" s="1"/>
  <c r="O78" i="2"/>
  <c r="H81" i="2"/>
  <c r="C82" i="2"/>
  <c r="D82" i="2" s="1"/>
  <c r="E81" i="2"/>
  <c r="F81" i="2" s="1"/>
  <c r="K80" i="2" l="1"/>
  <c r="L80" i="2" s="1"/>
  <c r="M79" i="2"/>
  <c r="I81" i="2"/>
  <c r="J81" i="2" s="1"/>
  <c r="O79" i="2"/>
  <c r="I12" i="1"/>
  <c r="H12" i="1" s="1"/>
  <c r="C83" i="2"/>
  <c r="D83" i="2" s="1"/>
  <c r="H82" i="2"/>
  <c r="E82" i="2"/>
  <c r="F82" i="2" s="1"/>
  <c r="K12" i="1" s="1"/>
  <c r="K81" i="2" l="1"/>
  <c r="L81" i="2" s="1"/>
  <c r="N81" i="2" s="1"/>
  <c r="M12" i="1"/>
  <c r="N12" i="1" s="1"/>
  <c r="M80" i="2"/>
  <c r="N80" i="2"/>
  <c r="O80" i="2" s="1"/>
  <c r="I82" i="2"/>
  <c r="J82" i="2" s="1"/>
  <c r="C84" i="2"/>
  <c r="D84" i="2" s="1"/>
  <c r="E83" i="2"/>
  <c r="F83" i="2" s="1"/>
  <c r="H83" i="2"/>
  <c r="K82" i="2" l="1"/>
  <c r="L82" i="2" s="1"/>
  <c r="N82" i="2" s="1"/>
  <c r="M81" i="2"/>
  <c r="I83" i="2"/>
  <c r="J83" i="2" s="1"/>
  <c r="O81" i="2"/>
  <c r="E84" i="2"/>
  <c r="F84" i="2" s="1"/>
  <c r="C85" i="2"/>
  <c r="D85" i="2" s="1"/>
  <c r="H84" i="2"/>
  <c r="K83" i="2" l="1"/>
  <c r="M82" i="2"/>
  <c r="L12" i="1" s="1"/>
  <c r="I84" i="2"/>
  <c r="J84" i="2" s="1"/>
  <c r="O82" i="2"/>
  <c r="O12" i="1" s="1"/>
  <c r="L83" i="2"/>
  <c r="N83" i="2" s="1"/>
  <c r="E85" i="2"/>
  <c r="F85" i="2" s="1"/>
  <c r="C86" i="2"/>
  <c r="D86" i="2" s="1"/>
  <c r="H85" i="2"/>
  <c r="K84" i="2" l="1"/>
  <c r="L84" i="2" s="1"/>
  <c r="N84" i="2" s="1"/>
  <c r="I85" i="2"/>
  <c r="J85" i="2" s="1"/>
  <c r="M83" i="2"/>
  <c r="O83" i="2"/>
  <c r="C87" i="2"/>
  <c r="D87" i="2" s="1"/>
  <c r="E86" i="2"/>
  <c r="F86" i="2" s="1"/>
  <c r="H86" i="2"/>
  <c r="K85" i="2" l="1"/>
  <c r="L85" i="2" s="1"/>
  <c r="N85" i="2" s="1"/>
  <c r="M84" i="2"/>
  <c r="I86" i="2"/>
  <c r="J86" i="2" s="1"/>
  <c r="O84" i="2"/>
  <c r="C88" i="2"/>
  <c r="D88" i="2" s="1"/>
  <c r="E87" i="2"/>
  <c r="F87" i="2" s="1"/>
  <c r="H87" i="2"/>
  <c r="K86" i="2" l="1"/>
  <c r="L86" i="2" s="1"/>
  <c r="N86" i="2" s="1"/>
  <c r="M85" i="2"/>
  <c r="I87" i="2"/>
  <c r="J87" i="2" s="1"/>
  <c r="O85" i="2"/>
  <c r="E88" i="2"/>
  <c r="F88" i="2" s="1"/>
  <c r="H88" i="2"/>
  <c r="C89" i="2"/>
  <c r="D89" i="2" s="1"/>
  <c r="K87" i="2" l="1"/>
  <c r="I88" i="2"/>
  <c r="J88" i="2" s="1"/>
  <c r="M86" i="2"/>
  <c r="O86" i="2"/>
  <c r="C90" i="2"/>
  <c r="D90" i="2" s="1"/>
  <c r="H89" i="2"/>
  <c r="E89" i="2"/>
  <c r="F89" i="2" s="1"/>
  <c r="K88" i="2" l="1"/>
  <c r="L88" i="2" s="1"/>
  <c r="N88" i="2" s="1"/>
  <c r="L87" i="2"/>
  <c r="N87" i="2" s="1"/>
  <c r="O87" i="2" s="1"/>
  <c r="I89" i="2"/>
  <c r="J89" i="2" s="1"/>
  <c r="C91" i="2"/>
  <c r="D91" i="2" s="1"/>
  <c r="E90" i="2"/>
  <c r="F90" i="2" s="1"/>
  <c r="H90" i="2"/>
  <c r="M87" i="2" l="1"/>
  <c r="M88" i="2" s="1"/>
  <c r="K89" i="2"/>
  <c r="I90" i="2"/>
  <c r="J90" i="2" s="1"/>
  <c r="O88" i="2"/>
  <c r="C92" i="2"/>
  <c r="D92" i="2" s="1"/>
  <c r="H91" i="2"/>
  <c r="E91" i="2"/>
  <c r="F91" i="2" s="1"/>
  <c r="K90" i="2" l="1"/>
  <c r="L90" i="2" s="1"/>
  <c r="N90" i="2" s="1"/>
  <c r="L89" i="2"/>
  <c r="N89" i="2" s="1"/>
  <c r="I91" i="2"/>
  <c r="J91" i="2" s="1"/>
  <c r="O89" i="2"/>
  <c r="I13" i="1"/>
  <c r="H13" i="1" s="1"/>
  <c r="H92" i="2"/>
  <c r="C93" i="2"/>
  <c r="D93" i="2" s="1"/>
  <c r="E92" i="2"/>
  <c r="F92" i="2" s="1"/>
  <c r="K13" i="1" s="1"/>
  <c r="M89" i="2" l="1"/>
  <c r="K91" i="2"/>
  <c r="L91" i="2" s="1"/>
  <c r="N91" i="2" s="1"/>
  <c r="M13" i="1"/>
  <c r="N13" i="1" s="1"/>
  <c r="I92" i="2"/>
  <c r="J92" i="2" s="1"/>
  <c r="M90" i="2"/>
  <c r="O90" i="2"/>
  <c r="H93" i="2"/>
  <c r="E93" i="2"/>
  <c r="F93" i="2" s="1"/>
  <c r="C94" i="2"/>
  <c r="D94" i="2" s="1"/>
  <c r="K92" i="2" l="1"/>
  <c r="L92" i="2" s="1"/>
  <c r="N92" i="2" s="1"/>
  <c r="I93" i="2"/>
  <c r="J93" i="2" s="1"/>
  <c r="M91" i="2"/>
  <c r="O91" i="2"/>
  <c r="E94" i="2"/>
  <c r="F94" i="2" s="1"/>
  <c r="H94" i="2"/>
  <c r="C95" i="2"/>
  <c r="D95" i="2" s="1"/>
  <c r="K93" i="2" l="1"/>
  <c r="L93" i="2" s="1"/>
  <c r="N93" i="2" s="1"/>
  <c r="M92" i="2"/>
  <c r="L13" i="1" s="1"/>
  <c r="I94" i="2"/>
  <c r="J94" i="2" s="1"/>
  <c r="O92" i="2"/>
  <c r="O13" i="1" s="1"/>
  <c r="E95" i="2"/>
  <c r="F95" i="2" s="1"/>
  <c r="H95" i="2"/>
  <c r="C96" i="2"/>
  <c r="D96" i="2" s="1"/>
  <c r="K94" i="2" l="1"/>
  <c r="L94" i="2" s="1"/>
  <c r="N94" i="2" s="1"/>
  <c r="I95" i="2"/>
  <c r="J95" i="2" s="1"/>
  <c r="H96" i="2"/>
  <c r="C97" i="2"/>
  <c r="D97" i="2" s="1"/>
  <c r="E96" i="2"/>
  <c r="F96" i="2" s="1"/>
  <c r="M93" i="2"/>
  <c r="O93" i="2"/>
  <c r="K95" i="2" l="1"/>
  <c r="L95" i="2" s="1"/>
  <c r="N95" i="2" s="1"/>
  <c r="M94" i="2"/>
  <c r="I96" i="2"/>
  <c r="J96" i="2" s="1"/>
  <c r="O94" i="2"/>
  <c r="E97" i="2"/>
  <c r="F97" i="2" s="1"/>
  <c r="H97" i="2"/>
  <c r="C98" i="2"/>
  <c r="D98" i="2" s="1"/>
  <c r="K96" i="2" l="1"/>
  <c r="L96" i="2" s="1"/>
  <c r="N96" i="2" s="1"/>
  <c r="O95" i="2"/>
  <c r="M95" i="2"/>
  <c r="I97" i="2"/>
  <c r="J97" i="2" s="1"/>
  <c r="C99" i="2"/>
  <c r="D99" i="2" s="1"/>
  <c r="E98" i="2"/>
  <c r="F98" i="2" s="1"/>
  <c r="H98" i="2"/>
  <c r="K97" i="2" l="1"/>
  <c r="L97" i="2" s="1"/>
  <c r="N97" i="2" s="1"/>
  <c r="I98" i="2"/>
  <c r="J98" i="2" s="1"/>
  <c r="M96" i="2"/>
  <c r="O96" i="2"/>
  <c r="H99" i="2"/>
  <c r="C100" i="2"/>
  <c r="D100" i="2" s="1"/>
  <c r="E99" i="2"/>
  <c r="F99" i="2" s="1"/>
  <c r="K98" i="2" l="1"/>
  <c r="L98" i="2" s="1"/>
  <c r="N98" i="2" s="1"/>
  <c r="M97" i="2"/>
  <c r="I99" i="2"/>
  <c r="J99" i="2" s="1"/>
  <c r="O97" i="2"/>
  <c r="E100" i="2"/>
  <c r="F100" i="2" s="1"/>
  <c r="H100" i="2"/>
  <c r="C101" i="2"/>
  <c r="D101" i="2" s="1"/>
  <c r="K99" i="2" l="1"/>
  <c r="M98" i="2"/>
  <c r="I100" i="2"/>
  <c r="J100" i="2" s="1"/>
  <c r="O98" i="2"/>
  <c r="H101" i="2"/>
  <c r="C102" i="2"/>
  <c r="D102" i="2" s="1"/>
  <c r="E101" i="2"/>
  <c r="F101" i="2" s="1"/>
  <c r="K100" i="2" l="1"/>
  <c r="L99" i="2"/>
  <c r="N99" i="2" s="1"/>
  <c r="O99" i="2" s="1"/>
  <c r="I101" i="2"/>
  <c r="J101" i="2" s="1"/>
  <c r="I14" i="1"/>
  <c r="H14" i="1" s="1"/>
  <c r="C103" i="2"/>
  <c r="D103" i="2" s="1"/>
  <c r="E102" i="2"/>
  <c r="F102" i="2" s="1"/>
  <c r="K14" i="1" s="1"/>
  <c r="H102" i="2"/>
  <c r="M14" i="1" l="1"/>
  <c r="M99" i="2"/>
  <c r="K101" i="2"/>
  <c r="L101" i="2" s="1"/>
  <c r="N101" i="2" s="1"/>
  <c r="L100" i="2"/>
  <c r="N100" i="2" s="1"/>
  <c r="O100" i="2" s="1"/>
  <c r="N14" i="1"/>
  <c r="I102" i="2"/>
  <c r="J102" i="2" s="1"/>
  <c r="E103" i="2"/>
  <c r="F103" i="2" s="1"/>
  <c r="H103" i="2"/>
  <c r="C104" i="2"/>
  <c r="D104" i="2" s="1"/>
  <c r="M100" i="2" l="1"/>
  <c r="M101" i="2" s="1"/>
  <c r="K102" i="2"/>
  <c r="I103" i="2"/>
  <c r="J103" i="2" s="1"/>
  <c r="O101" i="2"/>
  <c r="H104" i="2"/>
  <c r="C105" i="2"/>
  <c r="D105" i="2" s="1"/>
  <c r="E104" i="2"/>
  <c r="F104" i="2" s="1"/>
  <c r="K103" i="2" l="1"/>
  <c r="L103" i="2" s="1"/>
  <c r="N103" i="2" s="1"/>
  <c r="L102" i="2"/>
  <c r="N102" i="2" s="1"/>
  <c r="O102" i="2" s="1"/>
  <c r="O14" i="1" s="1"/>
  <c r="I104" i="2"/>
  <c r="J104" i="2" s="1"/>
  <c r="C106" i="2"/>
  <c r="D106" i="2" s="1"/>
  <c r="H105" i="2"/>
  <c r="E105" i="2"/>
  <c r="F105" i="2" s="1"/>
  <c r="M102" i="2" l="1"/>
  <c r="L14" i="1" s="1"/>
  <c r="K104" i="2"/>
  <c r="L104" i="2" s="1"/>
  <c r="N104" i="2" s="1"/>
  <c r="I105" i="2"/>
  <c r="J105" i="2" s="1"/>
  <c r="M103" i="2"/>
  <c r="O103" i="2"/>
  <c r="E106" i="2"/>
  <c r="F106" i="2" s="1"/>
  <c r="H106" i="2"/>
  <c r="C107" i="2"/>
  <c r="D107" i="2" s="1"/>
  <c r="K105" i="2" l="1"/>
  <c r="L105" i="2" s="1"/>
  <c r="N105" i="2" s="1"/>
  <c r="M104" i="2"/>
  <c r="I106" i="2"/>
  <c r="J106" i="2" s="1"/>
  <c r="O104" i="2"/>
  <c r="E107" i="2"/>
  <c r="F107" i="2" s="1"/>
  <c r="H107" i="2"/>
  <c r="C108" i="2"/>
  <c r="D108" i="2" s="1"/>
  <c r="K106" i="2" l="1"/>
  <c r="L106" i="2" s="1"/>
  <c r="N106" i="2" s="1"/>
  <c r="I107" i="2"/>
  <c r="J107" i="2" s="1"/>
  <c r="M105" i="2"/>
  <c r="O105" i="2"/>
  <c r="H108" i="2"/>
  <c r="C109" i="2"/>
  <c r="D109" i="2" s="1"/>
  <c r="E108" i="2"/>
  <c r="F108" i="2" s="1"/>
  <c r="K107" i="2" l="1"/>
  <c r="L107" i="2" s="1"/>
  <c r="N107" i="2" s="1"/>
  <c r="I108" i="2"/>
  <c r="J108" i="2" s="1"/>
  <c r="H109" i="2"/>
  <c r="C110" i="2"/>
  <c r="D110" i="2" s="1"/>
  <c r="E109" i="2"/>
  <c r="F109" i="2" s="1"/>
  <c r="M106" i="2"/>
  <c r="O106" i="2"/>
  <c r="K108" i="2" l="1"/>
  <c r="L108" i="2" s="1"/>
  <c r="N108" i="2" s="1"/>
  <c r="M107" i="2"/>
  <c r="I109" i="2"/>
  <c r="J109" i="2" s="1"/>
  <c r="O107" i="2"/>
  <c r="E110" i="2"/>
  <c r="F110" i="2" s="1"/>
  <c r="H110" i="2"/>
  <c r="C111" i="2"/>
  <c r="D111" i="2" s="1"/>
  <c r="K109" i="2" l="1"/>
  <c r="L109" i="2" s="1"/>
  <c r="N109" i="2" s="1"/>
  <c r="I110" i="2"/>
  <c r="J110" i="2" s="1"/>
  <c r="M108" i="2"/>
  <c r="O108" i="2"/>
  <c r="H111" i="2"/>
  <c r="C112" i="2"/>
  <c r="D112" i="2" s="1"/>
  <c r="E111" i="2"/>
  <c r="F111" i="2" s="1"/>
  <c r="K110" i="2" l="1"/>
  <c r="L110" i="2" s="1"/>
  <c r="N110" i="2" s="1"/>
  <c r="I111" i="2"/>
  <c r="J111" i="2" s="1"/>
  <c r="M109" i="2"/>
  <c r="I15" i="1"/>
  <c r="H15" i="1" s="1"/>
  <c r="O109" i="2"/>
  <c r="E112" i="2"/>
  <c r="F112" i="2" s="1"/>
  <c r="K15" i="1" s="1"/>
  <c r="H112" i="2"/>
  <c r="C113" i="2"/>
  <c r="D113" i="2" s="1"/>
  <c r="K111" i="2" l="1"/>
  <c r="L111" i="2" s="1"/>
  <c r="N111" i="2" s="1"/>
  <c r="M15" i="1"/>
  <c r="N15" i="1" s="1"/>
  <c r="I112" i="2"/>
  <c r="J112" i="2" s="1"/>
  <c r="E113" i="2"/>
  <c r="F113" i="2" s="1"/>
  <c r="H113" i="2"/>
  <c r="C114" i="2"/>
  <c r="D114" i="2" s="1"/>
  <c r="M110" i="2"/>
  <c r="O110" i="2"/>
  <c r="K112" i="2" l="1"/>
  <c r="L112" i="2" s="1"/>
  <c r="N112" i="2" s="1"/>
  <c r="M111" i="2"/>
  <c r="I113" i="2"/>
  <c r="J113" i="2" s="1"/>
  <c r="O111" i="2"/>
  <c r="C115" i="2"/>
  <c r="D115" i="2" s="1"/>
  <c r="E114" i="2"/>
  <c r="F114" i="2" s="1"/>
  <c r="H114" i="2"/>
  <c r="I114" i="2" l="1"/>
  <c r="J114" i="2" s="1"/>
  <c r="K113" i="2"/>
  <c r="M112" i="2"/>
  <c r="L15" i="1" s="1"/>
  <c r="H115" i="2"/>
  <c r="E115" i="2"/>
  <c r="F115" i="2" s="1"/>
  <c r="C116" i="2"/>
  <c r="D116" i="2" s="1"/>
  <c r="O112" i="2"/>
  <c r="O15" i="1" s="1"/>
  <c r="K114" i="2" l="1"/>
  <c r="L114" i="2" s="1"/>
  <c r="N114" i="2" s="1"/>
  <c r="L113" i="2"/>
  <c r="N113" i="2" s="1"/>
  <c r="O113" i="2" s="1"/>
  <c r="I115" i="2"/>
  <c r="J115" i="2" s="1"/>
  <c r="K115" i="2" s="1"/>
  <c r="H116" i="2"/>
  <c r="C117" i="2"/>
  <c r="D117" i="2" s="1"/>
  <c r="E116" i="2"/>
  <c r="F116" i="2" s="1"/>
  <c r="M113" i="2" l="1"/>
  <c r="M114" i="2" s="1"/>
  <c r="L115" i="2"/>
  <c r="N115" i="2" s="1"/>
  <c r="I116" i="2"/>
  <c r="J116" i="2" s="1"/>
  <c r="O114" i="2"/>
  <c r="H117" i="2"/>
  <c r="C118" i="2"/>
  <c r="D118" i="2" s="1"/>
  <c r="E117" i="2"/>
  <c r="F117" i="2" s="1"/>
  <c r="K116" i="2" l="1"/>
  <c r="L116" i="2" s="1"/>
  <c r="N116" i="2" s="1"/>
  <c r="M115" i="2"/>
  <c r="I117" i="2"/>
  <c r="J117" i="2" s="1"/>
  <c r="O115" i="2"/>
  <c r="H118" i="2"/>
  <c r="C119" i="2"/>
  <c r="D119" i="2" s="1"/>
  <c r="E118" i="2"/>
  <c r="F118" i="2" s="1"/>
  <c r="K117" i="2" l="1"/>
  <c r="L117" i="2" s="1"/>
  <c r="N117" i="2" s="1"/>
  <c r="I118" i="2"/>
  <c r="J118" i="2" s="1"/>
  <c r="M116" i="2"/>
  <c r="O116" i="2"/>
  <c r="C120" i="2"/>
  <c r="D120" i="2" s="1"/>
  <c r="E119" i="2"/>
  <c r="F119" i="2" s="1"/>
  <c r="H119" i="2"/>
  <c r="I119" i="2" l="1"/>
  <c r="J119" i="2" s="1"/>
  <c r="K118" i="2"/>
  <c r="M117" i="2"/>
  <c r="O117" i="2"/>
  <c r="E120" i="2"/>
  <c r="F120" i="2" s="1"/>
  <c r="H120" i="2"/>
  <c r="C121" i="2"/>
  <c r="D121" i="2" s="1"/>
  <c r="K119" i="2" l="1"/>
  <c r="L118" i="2"/>
  <c r="N118" i="2" s="1"/>
  <c r="O118" i="2" s="1"/>
  <c r="I120" i="2"/>
  <c r="J120" i="2" s="1"/>
  <c r="E121" i="2"/>
  <c r="F121" i="2" s="1"/>
  <c r="C122" i="2"/>
  <c r="D122" i="2" s="1"/>
  <c r="H121" i="2"/>
  <c r="K120" i="2" l="1"/>
  <c r="L120" i="2" s="1"/>
  <c r="N120" i="2" s="1"/>
  <c r="L119" i="2"/>
  <c r="N119" i="2" s="1"/>
  <c r="O119" i="2" s="1"/>
  <c r="M118" i="2"/>
  <c r="I121" i="2"/>
  <c r="J121" i="2" s="1"/>
  <c r="I16" i="1"/>
  <c r="H16" i="1" s="1"/>
  <c r="H122" i="2"/>
  <c r="C123" i="2"/>
  <c r="D123" i="2" s="1"/>
  <c r="E122" i="2"/>
  <c r="F122" i="2" s="1"/>
  <c r="K16" i="1" s="1"/>
  <c r="M16" i="1" l="1"/>
  <c r="N16" i="1" s="1"/>
  <c r="M119" i="2"/>
  <c r="K121" i="2"/>
  <c r="I122" i="2"/>
  <c r="J122" i="2" s="1"/>
  <c r="M120" i="2"/>
  <c r="O120" i="2"/>
  <c r="H123" i="2"/>
  <c r="C124" i="2"/>
  <c r="D124" i="2" s="1"/>
  <c r="E123" i="2"/>
  <c r="F123" i="2" s="1"/>
  <c r="K122" i="2" l="1"/>
  <c r="L122" i="2" s="1"/>
  <c r="N122" i="2" s="1"/>
  <c r="L121" i="2"/>
  <c r="N121" i="2" s="1"/>
  <c r="O121" i="2" s="1"/>
  <c r="I123" i="2"/>
  <c r="J123" i="2" s="1"/>
  <c r="C125" i="2"/>
  <c r="D125" i="2" s="1"/>
  <c r="E124" i="2"/>
  <c r="F124" i="2" s="1"/>
  <c r="H124" i="2"/>
  <c r="M121" i="2" l="1"/>
  <c r="M122" i="2" s="1"/>
  <c r="L16" i="1" s="1"/>
  <c r="K123" i="2"/>
  <c r="L123" i="2" s="1"/>
  <c r="N123" i="2" s="1"/>
  <c r="I124" i="2"/>
  <c r="J124" i="2" s="1"/>
  <c r="O122" i="2"/>
  <c r="O16" i="1" s="1"/>
  <c r="E125" i="2"/>
  <c r="F125" i="2" s="1"/>
  <c r="H125" i="2"/>
  <c r="C126" i="2"/>
  <c r="D126" i="2" s="1"/>
  <c r="K124" i="2" l="1"/>
  <c r="L124" i="2" s="1"/>
  <c r="N124" i="2" s="1"/>
  <c r="I125" i="2"/>
  <c r="J125" i="2" s="1"/>
  <c r="M123" i="2"/>
  <c r="O123" i="2"/>
  <c r="C127" i="2"/>
  <c r="D127" i="2" s="1"/>
  <c r="H126" i="2"/>
  <c r="E126" i="2"/>
  <c r="F126" i="2" s="1"/>
  <c r="K125" i="2" l="1"/>
  <c r="L125" i="2" s="1"/>
  <c r="N125" i="2" s="1"/>
  <c r="M124" i="2"/>
  <c r="I126" i="2"/>
  <c r="J126" i="2" s="1"/>
  <c r="O124" i="2"/>
  <c r="C128" i="2"/>
  <c r="D128" i="2" s="1"/>
  <c r="E127" i="2"/>
  <c r="F127" i="2" s="1"/>
  <c r="H127" i="2"/>
  <c r="K126" i="2" l="1"/>
  <c r="I127" i="2"/>
  <c r="J127" i="2" s="1"/>
  <c r="M125" i="2"/>
  <c r="O125" i="2"/>
  <c r="H128" i="2"/>
  <c r="C129" i="2"/>
  <c r="D129" i="2" s="1"/>
  <c r="E128" i="2"/>
  <c r="F128" i="2" s="1"/>
  <c r="K127" i="2" l="1"/>
  <c r="L127" i="2" s="1"/>
  <c r="N127" i="2" s="1"/>
  <c r="L126" i="2"/>
  <c r="N126" i="2" s="1"/>
  <c r="O126" i="2" s="1"/>
  <c r="I128" i="2"/>
  <c r="J128" i="2" s="1"/>
  <c r="E129" i="2"/>
  <c r="F129" i="2" s="1"/>
  <c r="H129" i="2"/>
  <c r="C130" i="2"/>
  <c r="D130" i="2" s="1"/>
  <c r="M126" i="2" l="1"/>
  <c r="M127" i="2" s="1"/>
  <c r="K128" i="2"/>
  <c r="L128" i="2" s="1"/>
  <c r="N128" i="2" s="1"/>
  <c r="I129" i="2"/>
  <c r="J129" i="2" s="1"/>
  <c r="O127" i="2"/>
  <c r="H130" i="2"/>
  <c r="C131" i="2"/>
  <c r="D131" i="2" s="1"/>
  <c r="E130" i="2"/>
  <c r="F130" i="2" s="1"/>
  <c r="K129" i="2" l="1"/>
  <c r="L129" i="2" s="1"/>
  <c r="N129" i="2" s="1"/>
  <c r="I130" i="2"/>
  <c r="J130" i="2" s="1"/>
  <c r="M128" i="2"/>
  <c r="O128" i="2"/>
  <c r="H131" i="2"/>
  <c r="C132" i="2"/>
  <c r="D132" i="2" s="1"/>
  <c r="E131" i="2"/>
  <c r="F131" i="2" s="1"/>
  <c r="K130" i="2" l="1"/>
  <c r="L130" i="2" s="1"/>
  <c r="N130" i="2" s="1"/>
  <c r="I131" i="2"/>
  <c r="J131" i="2" s="1"/>
  <c r="M129" i="2"/>
  <c r="I17" i="1"/>
  <c r="H17" i="1" s="1"/>
  <c r="O129" i="2"/>
  <c r="E132" i="2"/>
  <c r="F132" i="2" s="1"/>
  <c r="K17" i="1" s="1"/>
  <c r="H132" i="2"/>
  <c r="C133" i="2"/>
  <c r="D133" i="2" s="1"/>
  <c r="M17" i="1" l="1"/>
  <c r="N17" i="1" s="1"/>
  <c r="K131" i="2"/>
  <c r="L131" i="2" s="1"/>
  <c r="N131" i="2" s="1"/>
  <c r="I132" i="2"/>
  <c r="J132" i="2" s="1"/>
  <c r="M130" i="2"/>
  <c r="O130" i="2"/>
  <c r="C134" i="2"/>
  <c r="D134" i="2" s="1"/>
  <c r="E133" i="2"/>
  <c r="F133" i="2" s="1"/>
  <c r="H133" i="2"/>
  <c r="K132" i="2" l="1"/>
  <c r="L132" i="2" s="1"/>
  <c r="N132" i="2" s="1"/>
  <c r="M131" i="2"/>
  <c r="I133" i="2"/>
  <c r="J133" i="2" s="1"/>
  <c r="O131" i="2"/>
  <c r="C135" i="2"/>
  <c r="D135" i="2" s="1"/>
  <c r="E134" i="2"/>
  <c r="F134" i="2" s="1"/>
  <c r="H134" i="2"/>
  <c r="K133" i="2" l="1"/>
  <c r="L133" i="2" s="1"/>
  <c r="N133" i="2" s="1"/>
  <c r="M132" i="2"/>
  <c r="L17" i="1" s="1"/>
  <c r="I134" i="2"/>
  <c r="J134" i="2" s="1"/>
  <c r="O132" i="2"/>
  <c r="O17" i="1" s="1"/>
  <c r="E135" i="2"/>
  <c r="F135" i="2" s="1"/>
  <c r="H135" i="2"/>
  <c r="C136" i="2"/>
  <c r="D136" i="2" s="1"/>
  <c r="I135" i="2" l="1"/>
  <c r="J135" i="2" s="1"/>
  <c r="K134" i="2"/>
  <c r="M133" i="2"/>
  <c r="O133" i="2"/>
  <c r="E136" i="2"/>
  <c r="F136" i="2" s="1"/>
  <c r="H136" i="2"/>
  <c r="C137" i="2"/>
  <c r="D137" i="2" s="1"/>
  <c r="K135" i="2" l="1"/>
  <c r="L135" i="2" s="1"/>
  <c r="N135" i="2" s="1"/>
  <c r="L134" i="2"/>
  <c r="N134" i="2" s="1"/>
  <c r="O134" i="2" s="1"/>
  <c r="I136" i="2"/>
  <c r="J136" i="2" s="1"/>
  <c r="E137" i="2"/>
  <c r="F137" i="2" s="1"/>
  <c r="H137" i="2"/>
  <c r="C138" i="2"/>
  <c r="D138" i="2" s="1"/>
  <c r="M134" i="2" l="1"/>
  <c r="M135" i="2" s="1"/>
  <c r="K136" i="2"/>
  <c r="L136" i="2" s="1"/>
  <c r="N136" i="2" s="1"/>
  <c r="O135" i="2"/>
  <c r="I137" i="2"/>
  <c r="J137" i="2" s="1"/>
  <c r="E138" i="2"/>
  <c r="F138" i="2" s="1"/>
  <c r="C139" i="2"/>
  <c r="D139" i="2" s="1"/>
  <c r="H138" i="2"/>
  <c r="K137" i="2" l="1"/>
  <c r="L137" i="2" s="1"/>
  <c r="N137" i="2" s="1"/>
  <c r="I138" i="2"/>
  <c r="J138" i="2" s="1"/>
  <c r="M136" i="2"/>
  <c r="O136" i="2"/>
  <c r="H139" i="2"/>
  <c r="E139" i="2"/>
  <c r="F139" i="2" s="1"/>
  <c r="C140" i="2"/>
  <c r="D140" i="2" s="1"/>
  <c r="K138" i="2" l="1"/>
  <c r="L138" i="2" s="1"/>
  <c r="N138" i="2" s="1"/>
  <c r="I139" i="2"/>
  <c r="J139" i="2" s="1"/>
  <c r="M137" i="2"/>
  <c r="O137" i="2"/>
  <c r="H140" i="2"/>
  <c r="C141" i="2"/>
  <c r="D141" i="2" s="1"/>
  <c r="E140" i="2"/>
  <c r="F140" i="2" s="1"/>
  <c r="K139" i="2" l="1"/>
  <c r="M138" i="2"/>
  <c r="I140" i="2"/>
  <c r="J140" i="2" s="1"/>
  <c r="O138" i="2"/>
  <c r="C142" i="2"/>
  <c r="D142" i="2" s="1"/>
  <c r="E141" i="2"/>
  <c r="F141" i="2" s="1"/>
  <c r="H141" i="2"/>
  <c r="K140" i="2" l="1"/>
  <c r="L140" i="2" s="1"/>
  <c r="N140" i="2" s="1"/>
  <c r="L139" i="2"/>
  <c r="N139" i="2" s="1"/>
  <c r="O139" i="2" s="1"/>
  <c r="I141" i="2"/>
  <c r="J141" i="2" s="1"/>
  <c r="I18" i="1"/>
  <c r="H18" i="1" s="1"/>
  <c r="H142" i="2"/>
  <c r="C143" i="2"/>
  <c r="D143" i="2" s="1"/>
  <c r="E142" i="2"/>
  <c r="F142" i="2" s="1"/>
  <c r="K18" i="1" s="1"/>
  <c r="M139" i="2"/>
  <c r="K141" i="2" l="1"/>
  <c r="M18" i="1"/>
  <c r="N18" i="1" s="1"/>
  <c r="M140" i="2"/>
  <c r="I142" i="2"/>
  <c r="J142" i="2" s="1"/>
  <c r="O140" i="2"/>
  <c r="H143" i="2"/>
  <c r="C144" i="2"/>
  <c r="D144" i="2" s="1"/>
  <c r="E143" i="2"/>
  <c r="F143" i="2" s="1"/>
  <c r="K142" i="2" l="1"/>
  <c r="L142" i="2" s="1"/>
  <c r="N142" i="2" s="1"/>
  <c r="L141" i="2"/>
  <c r="N141" i="2" s="1"/>
  <c r="O141" i="2" s="1"/>
  <c r="I143" i="2"/>
  <c r="J143" i="2" s="1"/>
  <c r="C145" i="2"/>
  <c r="D145" i="2" s="1"/>
  <c r="H144" i="2"/>
  <c r="E144" i="2"/>
  <c r="F144" i="2" s="1"/>
  <c r="M141" i="2" l="1"/>
  <c r="M142" i="2" s="1"/>
  <c r="L18" i="1" s="1"/>
  <c r="K143" i="2"/>
  <c r="I144" i="2"/>
  <c r="J144" i="2" s="1"/>
  <c r="E145" i="2"/>
  <c r="F145" i="2" s="1"/>
  <c r="C146" i="2"/>
  <c r="D146" i="2" s="1"/>
  <c r="H145" i="2"/>
  <c r="O142" i="2"/>
  <c r="O18" i="1" s="1"/>
  <c r="K144" i="2" l="1"/>
  <c r="L143" i="2"/>
  <c r="N143" i="2" s="1"/>
  <c r="O143" i="2" s="1"/>
  <c r="I145" i="2"/>
  <c r="J145" i="2" s="1"/>
  <c r="C147" i="2"/>
  <c r="D147" i="2" s="1"/>
  <c r="H146" i="2"/>
  <c r="E146" i="2"/>
  <c r="F146" i="2" s="1"/>
  <c r="K145" i="2" l="1"/>
  <c r="L144" i="2"/>
  <c r="N144" i="2" s="1"/>
  <c r="O144" i="2" s="1"/>
  <c r="M143" i="2"/>
  <c r="I146" i="2"/>
  <c r="J146" i="2" s="1"/>
  <c r="C148" i="2"/>
  <c r="D148" i="2" s="1"/>
  <c r="H147" i="2"/>
  <c r="E147" i="2"/>
  <c r="F147" i="2" s="1"/>
  <c r="K146" i="2" l="1"/>
  <c r="M144" i="2"/>
  <c r="L145" i="2"/>
  <c r="N145" i="2" s="1"/>
  <c r="O145" i="2" s="1"/>
  <c r="I147" i="2"/>
  <c r="J147" i="2" s="1"/>
  <c r="E148" i="2"/>
  <c r="F148" i="2" s="1"/>
  <c r="C149" i="2"/>
  <c r="D149" i="2" s="1"/>
  <c r="H148" i="2"/>
  <c r="K147" i="2" l="1"/>
  <c r="L147" i="2" s="1"/>
  <c r="N147" i="2" s="1"/>
  <c r="L146" i="2"/>
  <c r="N146" i="2" s="1"/>
  <c r="O146" i="2" s="1"/>
  <c r="M145" i="2"/>
  <c r="I148" i="2"/>
  <c r="J148" i="2" s="1"/>
  <c r="E149" i="2"/>
  <c r="F149" i="2" s="1"/>
  <c r="H149" i="2"/>
  <c r="C150" i="2"/>
  <c r="D150" i="2" s="1"/>
  <c r="K148" i="2" l="1"/>
  <c r="L148" i="2" s="1"/>
  <c r="N148" i="2" s="1"/>
  <c r="M146" i="2"/>
  <c r="M147" i="2" s="1"/>
  <c r="I149" i="2"/>
  <c r="J149" i="2" s="1"/>
  <c r="O147" i="2"/>
  <c r="E150" i="2"/>
  <c r="F150" i="2" s="1"/>
  <c r="H150" i="2"/>
  <c r="C151" i="2"/>
  <c r="D151" i="2" s="1"/>
  <c r="K149" i="2" l="1"/>
  <c r="L149" i="2" s="1"/>
  <c r="N149" i="2" s="1"/>
  <c r="M148" i="2"/>
  <c r="I150" i="2"/>
  <c r="J150" i="2" s="1"/>
  <c r="O148" i="2"/>
  <c r="C152" i="2"/>
  <c r="D152" i="2" s="1"/>
  <c r="H151" i="2"/>
  <c r="E151" i="2"/>
  <c r="F151" i="2" s="1"/>
  <c r="K150" i="2" l="1"/>
  <c r="M149" i="2"/>
  <c r="I151" i="2"/>
  <c r="J151" i="2" s="1"/>
  <c r="I19" i="1"/>
  <c r="H19" i="1" s="1"/>
  <c r="O149" i="2"/>
  <c r="H152" i="2"/>
  <c r="C153" i="2"/>
  <c r="D153" i="2" s="1"/>
  <c r="E152" i="2"/>
  <c r="F152" i="2" s="1"/>
  <c r="K19" i="1" s="1"/>
  <c r="K151" i="2" l="1"/>
  <c r="L151" i="2" s="1"/>
  <c r="N151" i="2" s="1"/>
  <c r="L150" i="2"/>
  <c r="M150" i="2" s="1"/>
  <c r="M19" i="1"/>
  <c r="N19" i="1" s="1"/>
  <c r="I152" i="2"/>
  <c r="J152" i="2" s="1"/>
  <c r="N150" i="2"/>
  <c r="O150" i="2" s="1"/>
  <c r="H153" i="2"/>
  <c r="C154" i="2"/>
  <c r="D154" i="2" s="1"/>
  <c r="E153" i="2"/>
  <c r="F153" i="2" s="1"/>
  <c r="K152" i="2" l="1"/>
  <c r="L152" i="2" s="1"/>
  <c r="N152" i="2" s="1"/>
  <c r="I153" i="2"/>
  <c r="J153" i="2" s="1"/>
  <c r="E154" i="2"/>
  <c r="F154" i="2" s="1"/>
  <c r="H154" i="2"/>
  <c r="C155" i="2"/>
  <c r="D155" i="2" s="1"/>
  <c r="M151" i="2"/>
  <c r="O151" i="2"/>
  <c r="K153" i="2" l="1"/>
  <c r="L153" i="2" s="1"/>
  <c r="N153" i="2" s="1"/>
  <c r="I154" i="2"/>
  <c r="J154" i="2" s="1"/>
  <c r="H155" i="2"/>
  <c r="E155" i="2"/>
  <c r="F155" i="2" s="1"/>
  <c r="C156" i="2"/>
  <c r="D156" i="2" s="1"/>
  <c r="M152" i="2"/>
  <c r="L19" i="1" s="1"/>
  <c r="O152" i="2"/>
  <c r="O19" i="1" s="1"/>
  <c r="K154" i="2" l="1"/>
  <c r="L154" i="2" s="1"/>
  <c r="N154" i="2" s="1"/>
  <c r="I155" i="2"/>
  <c r="J155" i="2" s="1"/>
  <c r="M153" i="2"/>
  <c r="O153" i="2"/>
  <c r="E156" i="2"/>
  <c r="F156" i="2" s="1"/>
  <c r="H156" i="2"/>
  <c r="C157" i="2"/>
  <c r="D157" i="2" s="1"/>
  <c r="K155" i="2" l="1"/>
  <c r="L155" i="2" s="1"/>
  <c r="N155" i="2" s="1"/>
  <c r="M154" i="2"/>
  <c r="I156" i="2"/>
  <c r="J156" i="2" s="1"/>
  <c r="H157" i="2"/>
  <c r="C158" i="2"/>
  <c r="D158" i="2" s="1"/>
  <c r="E157" i="2"/>
  <c r="F157" i="2" s="1"/>
  <c r="O154" i="2"/>
  <c r="K156" i="2" l="1"/>
  <c r="M155" i="2"/>
  <c r="I157" i="2"/>
  <c r="J157" i="2" s="1"/>
  <c r="C159" i="2"/>
  <c r="D159" i="2" s="1"/>
  <c r="H158" i="2"/>
  <c r="E158" i="2"/>
  <c r="F158" i="2" s="1"/>
  <c r="O155" i="2"/>
  <c r="K157" i="2" l="1"/>
  <c r="L157" i="2" s="1"/>
  <c r="N157" i="2" s="1"/>
  <c r="L156" i="2"/>
  <c r="N156" i="2" s="1"/>
  <c r="O156" i="2" s="1"/>
  <c r="I158" i="2"/>
  <c r="J158" i="2" s="1"/>
  <c r="E159" i="2"/>
  <c r="F159" i="2" s="1"/>
  <c r="H159" i="2"/>
  <c r="C160" i="2"/>
  <c r="D160" i="2" s="1"/>
  <c r="M156" i="2" l="1"/>
  <c r="M157" i="2" s="1"/>
  <c r="K158" i="2"/>
  <c r="L158" i="2" s="1"/>
  <c r="N158" i="2" s="1"/>
  <c r="I159" i="2"/>
  <c r="J159" i="2" s="1"/>
  <c r="O157" i="2"/>
  <c r="C161" i="2"/>
  <c r="D161" i="2" s="1"/>
  <c r="E160" i="2"/>
  <c r="F160" i="2" s="1"/>
  <c r="H160" i="2"/>
  <c r="I160" i="2" l="1"/>
  <c r="J160" i="2" s="1"/>
  <c r="K159" i="2"/>
  <c r="M158" i="2"/>
  <c r="O158" i="2"/>
  <c r="C162" i="2"/>
  <c r="D162" i="2" s="1"/>
  <c r="E161" i="2"/>
  <c r="F161" i="2" s="1"/>
  <c r="H161" i="2"/>
  <c r="K160" i="2" l="1"/>
  <c r="L160" i="2" s="1"/>
  <c r="N160" i="2" s="1"/>
  <c r="L159" i="2"/>
  <c r="N159" i="2" s="1"/>
  <c r="O159" i="2" s="1"/>
  <c r="I161" i="2"/>
  <c r="J161" i="2" s="1"/>
  <c r="I20" i="1"/>
  <c r="H20" i="1" s="1"/>
  <c r="M159" i="2"/>
  <c r="H162" i="2"/>
  <c r="C163" i="2"/>
  <c r="D163" i="2" s="1"/>
  <c r="E162" i="2"/>
  <c r="F162" i="2" s="1"/>
  <c r="K20" i="1" s="1"/>
  <c r="K161" i="2" l="1"/>
  <c r="L161" i="2" s="1"/>
  <c r="N161" i="2" s="1"/>
  <c r="M20" i="1"/>
  <c r="N20" i="1" s="1"/>
  <c r="M160" i="2"/>
  <c r="I162" i="2"/>
  <c r="J162" i="2" s="1"/>
  <c r="O160" i="2"/>
  <c r="H163" i="2"/>
  <c r="C164" i="2"/>
  <c r="D164" i="2" s="1"/>
  <c r="E163" i="2"/>
  <c r="F163" i="2" s="1"/>
  <c r="K162" i="2" l="1"/>
  <c r="M161" i="2"/>
  <c r="I163" i="2"/>
  <c r="J163" i="2" s="1"/>
  <c r="O161" i="2"/>
  <c r="C165" i="2"/>
  <c r="D165" i="2" s="1"/>
  <c r="E164" i="2"/>
  <c r="F164" i="2" s="1"/>
  <c r="H164" i="2"/>
  <c r="K163" i="2" l="1"/>
  <c r="L162" i="2"/>
  <c r="N162" i="2" s="1"/>
  <c r="O162" i="2" s="1"/>
  <c r="O20" i="1" s="1"/>
  <c r="I164" i="2"/>
  <c r="J164" i="2" s="1"/>
  <c r="E165" i="2"/>
  <c r="F165" i="2" s="1"/>
  <c r="H165" i="2"/>
  <c r="C166" i="2"/>
  <c r="D166" i="2" s="1"/>
  <c r="K164" i="2" l="1"/>
  <c r="L164" i="2" s="1"/>
  <c r="N164" i="2" s="1"/>
  <c r="M162" i="2"/>
  <c r="L20" i="1" s="1"/>
  <c r="I165" i="2"/>
  <c r="J165" i="2" s="1"/>
  <c r="L163" i="2"/>
  <c r="N163" i="2" s="1"/>
  <c r="O163" i="2" s="1"/>
  <c r="H166" i="2"/>
  <c r="C167" i="2"/>
  <c r="D167" i="2" s="1"/>
  <c r="E166" i="2"/>
  <c r="F166" i="2" s="1"/>
  <c r="M163" i="2" l="1"/>
  <c r="M164" i="2" s="1"/>
  <c r="K165" i="2"/>
  <c r="L165" i="2" s="1"/>
  <c r="N165" i="2" s="1"/>
  <c r="I166" i="2"/>
  <c r="J166" i="2" s="1"/>
  <c r="O164" i="2"/>
  <c r="C168" i="2"/>
  <c r="D168" i="2" s="1"/>
  <c r="E167" i="2"/>
  <c r="F167" i="2" s="1"/>
  <c r="H167" i="2"/>
  <c r="K166" i="2" l="1"/>
  <c r="L166" i="2" s="1"/>
  <c r="N166" i="2" s="1"/>
  <c r="M165" i="2"/>
  <c r="I167" i="2"/>
  <c r="J167" i="2" s="1"/>
  <c r="O165" i="2"/>
  <c r="H168" i="2"/>
  <c r="E168" i="2"/>
  <c r="F168" i="2" s="1"/>
  <c r="C169" i="2"/>
  <c r="D169" i="2" s="1"/>
  <c r="K167" i="2" l="1"/>
  <c r="M166" i="2"/>
  <c r="I168" i="2"/>
  <c r="J168" i="2" s="1"/>
  <c r="O166" i="2"/>
  <c r="C170" i="2"/>
  <c r="D170" i="2" s="1"/>
  <c r="E169" i="2"/>
  <c r="F169" i="2" s="1"/>
  <c r="H169" i="2"/>
  <c r="K168" i="2" l="1"/>
  <c r="L168" i="2" s="1"/>
  <c r="N168" i="2" s="1"/>
  <c r="L167" i="2"/>
  <c r="N167" i="2" s="1"/>
  <c r="O167" i="2" s="1"/>
  <c r="I169" i="2"/>
  <c r="J169" i="2" s="1"/>
  <c r="H170" i="2"/>
  <c r="C171" i="2"/>
  <c r="D171" i="2" s="1"/>
  <c r="E170" i="2"/>
  <c r="F170" i="2" s="1"/>
  <c r="K169" i="2" l="1"/>
  <c r="L169" i="2" s="1"/>
  <c r="N169" i="2" s="1"/>
  <c r="M167" i="2"/>
  <c r="I170" i="2"/>
  <c r="J170" i="2" s="1"/>
  <c r="M168" i="2"/>
  <c r="O168" i="2"/>
  <c r="E171" i="2"/>
  <c r="F171" i="2" s="1"/>
  <c r="H171" i="2"/>
  <c r="C172" i="2"/>
  <c r="D172" i="2" s="1"/>
  <c r="K170" i="2" l="1"/>
  <c r="M169" i="2"/>
  <c r="I171" i="2"/>
  <c r="J171" i="2" s="1"/>
  <c r="O169" i="2"/>
  <c r="I21" i="1"/>
  <c r="H21" i="1" s="1"/>
  <c r="C173" i="2"/>
  <c r="D173" i="2" s="1"/>
  <c r="H172" i="2"/>
  <c r="E172" i="2"/>
  <c r="F172" i="2" s="1"/>
  <c r="K21" i="1" s="1"/>
  <c r="L170" i="2"/>
  <c r="N170" i="2" s="1"/>
  <c r="K171" i="2" l="1"/>
  <c r="L171" i="2" s="1"/>
  <c r="N171" i="2" s="1"/>
  <c r="M21" i="1"/>
  <c r="N21" i="1" s="1"/>
  <c r="I172" i="2"/>
  <c r="J172" i="2" s="1"/>
  <c r="M170" i="2"/>
  <c r="O170" i="2"/>
  <c r="H173" i="2"/>
  <c r="C174" i="2"/>
  <c r="D174" i="2" s="1"/>
  <c r="E173" i="2"/>
  <c r="F173" i="2" s="1"/>
  <c r="K172" i="2" l="1"/>
  <c r="I173" i="2"/>
  <c r="J173" i="2" s="1"/>
  <c r="M171" i="2"/>
  <c r="O171" i="2"/>
  <c r="H174" i="2"/>
  <c r="C175" i="2"/>
  <c r="D175" i="2" s="1"/>
  <c r="E174" i="2"/>
  <c r="F174" i="2" s="1"/>
  <c r="K173" i="2" l="1"/>
  <c r="L173" i="2" s="1"/>
  <c r="N173" i="2" s="1"/>
  <c r="L172" i="2"/>
  <c r="N172" i="2" s="1"/>
  <c r="O172" i="2" s="1"/>
  <c r="O21" i="1" s="1"/>
  <c r="I174" i="2"/>
  <c r="J174" i="2" s="1"/>
  <c r="H175" i="2"/>
  <c r="E175" i="2"/>
  <c r="F175" i="2" s="1"/>
  <c r="C176" i="2"/>
  <c r="D176" i="2" s="1"/>
  <c r="K174" i="2" l="1"/>
  <c r="L174" i="2" s="1"/>
  <c r="N174" i="2" s="1"/>
  <c r="M172" i="2"/>
  <c r="L21" i="1" s="1"/>
  <c r="I175" i="2"/>
  <c r="J175" i="2" s="1"/>
  <c r="O173" i="2"/>
  <c r="E176" i="2"/>
  <c r="F176" i="2" s="1"/>
  <c r="H176" i="2"/>
  <c r="C177" i="2"/>
  <c r="D177" i="2" s="1"/>
  <c r="K175" i="2" l="1"/>
  <c r="L175" i="2" s="1"/>
  <c r="N175" i="2" s="1"/>
  <c r="M173" i="2"/>
  <c r="M174" i="2" s="1"/>
  <c r="I176" i="2"/>
  <c r="J176" i="2" s="1"/>
  <c r="O174" i="2"/>
  <c r="H177" i="2"/>
  <c r="E177" i="2"/>
  <c r="F177" i="2" s="1"/>
  <c r="C178" i="2"/>
  <c r="D178" i="2" s="1"/>
  <c r="K176" i="2" l="1"/>
  <c r="M175" i="2"/>
  <c r="I177" i="2"/>
  <c r="J177" i="2" s="1"/>
  <c r="O175" i="2"/>
  <c r="E178" i="2"/>
  <c r="F178" i="2" s="1"/>
  <c r="H178" i="2"/>
  <c r="C179" i="2"/>
  <c r="D179" i="2" s="1"/>
  <c r="K177" i="2" l="1"/>
  <c r="L177" i="2" s="1"/>
  <c r="N177" i="2" s="1"/>
  <c r="L176" i="2"/>
  <c r="N176" i="2" s="1"/>
  <c r="O176" i="2" s="1"/>
  <c r="I178" i="2"/>
  <c r="J178" i="2" s="1"/>
  <c r="H179" i="2"/>
  <c r="C180" i="2"/>
  <c r="D180" i="2" s="1"/>
  <c r="E179" i="2"/>
  <c r="F179" i="2" s="1"/>
  <c r="K178" i="2" l="1"/>
  <c r="M176" i="2"/>
  <c r="M177" i="2" s="1"/>
  <c r="I179" i="2"/>
  <c r="J179" i="2" s="1"/>
  <c r="O177" i="2"/>
  <c r="H180" i="2"/>
  <c r="C181" i="2"/>
  <c r="D181" i="2" s="1"/>
  <c r="E180" i="2"/>
  <c r="F180" i="2" s="1"/>
  <c r="K179" i="2" l="1"/>
  <c r="L179" i="2" s="1"/>
  <c r="N179" i="2" s="1"/>
  <c r="L178" i="2"/>
  <c r="N178" i="2" s="1"/>
  <c r="O178" i="2" s="1"/>
  <c r="I180" i="2"/>
  <c r="J180" i="2" s="1"/>
  <c r="M178" i="2"/>
  <c r="H181" i="2"/>
  <c r="C182" i="2"/>
  <c r="D182" i="2" s="1"/>
  <c r="E181" i="2"/>
  <c r="F181" i="2" s="1"/>
  <c r="K180" i="2" l="1"/>
  <c r="I181" i="2"/>
  <c r="J181" i="2" s="1"/>
  <c r="I22" i="1"/>
  <c r="H22" i="1" s="1"/>
  <c r="M179" i="2"/>
  <c r="O179" i="2"/>
  <c r="E182" i="2"/>
  <c r="F182" i="2" s="1"/>
  <c r="K22" i="1" s="1"/>
  <c r="H182" i="2"/>
  <c r="C183" i="2"/>
  <c r="D183" i="2" s="1"/>
  <c r="K181" i="2" l="1"/>
  <c r="L180" i="2"/>
  <c r="N180" i="2" s="1"/>
  <c r="O180" i="2" s="1"/>
  <c r="M22" i="1"/>
  <c r="N22" i="1" s="1"/>
  <c r="I182" i="2"/>
  <c r="J182" i="2" s="1"/>
  <c r="H183" i="2"/>
  <c r="E183" i="2"/>
  <c r="F183" i="2" s="1"/>
  <c r="M180" i="2" l="1"/>
  <c r="K182" i="2"/>
  <c r="L182" i="2" s="1"/>
  <c r="N182" i="2" s="1"/>
  <c r="L181" i="2"/>
  <c r="N181" i="2" s="1"/>
  <c r="O181" i="2" s="1"/>
  <c r="I183" i="2"/>
  <c r="J183" i="2" s="1"/>
  <c r="M181" i="2" l="1"/>
  <c r="M182" i="2" s="1"/>
  <c r="L22" i="1" s="1"/>
  <c r="K183" i="2"/>
  <c r="L183" i="2" s="1"/>
  <c r="N183" i="2" s="1"/>
  <c r="O182" i="2"/>
  <c r="O22" i="1" s="1"/>
  <c r="O183" i="2" l="1"/>
  <c r="M183" i="2"/>
</calcChain>
</file>

<file path=xl/comments1.xml><?xml version="1.0" encoding="utf-8"?>
<comments xmlns="http://schemas.openxmlformats.org/spreadsheetml/2006/main">
  <authors>
    <author>Evgeniy A. Krugliy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Безубыточный объем производства рассчитывается по формуле:
</t>
        </r>
        <r>
          <rPr>
            <b/>
            <sz val="10"/>
            <color indexed="81"/>
            <rFont val="Tahoma"/>
            <family val="2"/>
            <charset val="204"/>
          </rPr>
          <t>Q</t>
        </r>
        <r>
          <rPr>
            <b/>
            <sz val="9"/>
            <color indexed="81"/>
            <rFont val="Tahoma"/>
            <family val="2"/>
            <charset val="204"/>
          </rPr>
          <t xml:space="preserve"> = </t>
        </r>
        <r>
          <rPr>
            <b/>
            <sz val="10"/>
            <color indexed="81"/>
            <rFont val="Tahoma"/>
            <family val="2"/>
            <charset val="204"/>
          </rPr>
          <t>З</t>
        </r>
        <r>
          <rPr>
            <b/>
            <i/>
            <sz val="9"/>
            <color indexed="81"/>
            <rFont val="Tahoma"/>
            <family val="2"/>
            <charset val="204"/>
          </rPr>
          <t xml:space="preserve">пост. </t>
        </r>
        <r>
          <rPr>
            <b/>
            <sz val="9"/>
            <color indexed="81"/>
            <rFont val="Tahoma"/>
            <family val="2"/>
            <charset val="204"/>
          </rPr>
          <t>/ (</t>
        </r>
        <r>
          <rPr>
            <b/>
            <sz val="10"/>
            <color indexed="81"/>
            <rFont val="Tahoma"/>
            <family val="2"/>
            <charset val="204"/>
          </rPr>
          <t>Ц</t>
        </r>
        <r>
          <rPr>
            <b/>
            <sz val="9"/>
            <color indexed="81"/>
            <rFont val="Tahoma"/>
            <family val="2"/>
            <charset val="204"/>
          </rPr>
          <t xml:space="preserve"> - </t>
        </r>
        <r>
          <rPr>
            <b/>
            <sz val="10"/>
            <color indexed="81"/>
            <rFont val="Tahoma"/>
            <family val="2"/>
            <charset val="204"/>
          </rPr>
          <t>З</t>
        </r>
        <r>
          <rPr>
            <b/>
            <i/>
            <sz val="9"/>
            <color indexed="81"/>
            <rFont val="Tahoma"/>
            <family val="2"/>
            <charset val="204"/>
          </rPr>
          <t xml:space="preserve">уд.пер.),
</t>
        </r>
        <r>
          <rPr>
            <b/>
            <sz val="9"/>
            <color indexed="81"/>
            <rFont val="Tahoma"/>
            <family val="2"/>
            <charset val="204"/>
          </rPr>
          <t>где
З</t>
        </r>
        <r>
          <rPr>
            <b/>
            <i/>
            <sz val="9"/>
            <color indexed="81"/>
            <rFont val="Tahoma"/>
            <family val="2"/>
            <charset val="204"/>
          </rPr>
          <t>пост.</t>
        </r>
        <r>
          <rPr>
            <b/>
            <sz val="9"/>
            <color indexed="81"/>
            <rFont val="Tahoma"/>
            <family val="2"/>
            <charset val="204"/>
          </rPr>
          <t xml:space="preserve"> - постоянные затраты
Ц - цены единицы продукции
З</t>
        </r>
        <r>
          <rPr>
            <b/>
            <i/>
            <sz val="9"/>
            <color indexed="81"/>
            <rFont val="Tahoma"/>
            <family val="2"/>
            <charset val="204"/>
          </rPr>
          <t>уд.пер.</t>
        </r>
        <r>
          <rPr>
            <b/>
            <sz val="9"/>
            <color indexed="81"/>
            <rFont val="Tahoma"/>
            <family val="2"/>
            <charset val="204"/>
          </rPr>
          <t xml:space="preserve"> - переменные затраты на единицу продукции</t>
        </r>
      </text>
    </comment>
  </commentList>
</comments>
</file>

<file path=xl/sharedStrings.xml><?xml version="1.0" encoding="utf-8"?>
<sst xmlns="http://schemas.openxmlformats.org/spreadsheetml/2006/main" count="85" uniqueCount="55">
  <si>
    <t>Производство товарной продукции</t>
  </si>
  <si>
    <t>Цена реализации</t>
  </si>
  <si>
    <t>Налог на прибыль</t>
  </si>
  <si>
    <t>руб./ед.</t>
  </si>
  <si>
    <t>руб./сут.</t>
  </si>
  <si>
    <t>Рост производства в годовом выражении</t>
  </si>
  <si>
    <t>%</t>
  </si>
  <si>
    <t>Ставка дисконтирования</t>
  </si>
  <si>
    <t>кг./сут.</t>
  </si>
  <si>
    <t>Сутки</t>
  </si>
  <si>
    <t>Выручка от реализ.</t>
  </si>
  <si>
    <t>За период</t>
  </si>
  <si>
    <t>Нараст. итогом</t>
  </si>
  <si>
    <t>Баланс. прибыль</t>
  </si>
  <si>
    <t>Нарастающим итогом</t>
  </si>
  <si>
    <t>Нарастающ. итогом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</si>
  <si>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</si>
  <si>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</si>
  <si>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</si>
  <si>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</si>
  <si>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</si>
  <si>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</si>
  <si>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</si>
  <si>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</si>
  <si>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</si>
  <si>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</si>
  <si>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</si>
  <si>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</si>
  <si>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</si>
  <si>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Начислено с начала года</t>
  </si>
  <si>
    <t>Уплачено</t>
  </si>
  <si>
    <t>Дисконт. поток (NPV)</t>
  </si>
  <si>
    <t>Денежный поток (NV)</t>
  </si>
  <si>
    <t>Суммарные удельные переменные издержки</t>
  </si>
  <si>
    <t>За сутки</t>
  </si>
  <si>
    <t>Объем производства</t>
  </si>
  <si>
    <t>Период</t>
  </si>
  <si>
    <t>Накоплен.</t>
  </si>
  <si>
    <t>Среднесут.</t>
  </si>
  <si>
    <t>NV</t>
  </si>
  <si>
    <t>руб.</t>
  </si>
  <si>
    <t>Килограмм</t>
  </si>
  <si>
    <t>Рублей</t>
  </si>
  <si>
    <t>Q произв. (при NV=0)</t>
  </si>
  <si>
    <t>NPV</t>
  </si>
  <si>
    <t>Q произв. (при NPV=0)</t>
  </si>
  <si>
    <t>Рассчетный Q произв.</t>
  </si>
  <si>
    <t>?</t>
  </si>
  <si>
    <t>Затраты</t>
  </si>
  <si>
    <t>Пост.</t>
  </si>
  <si>
    <t>Перемен.</t>
  </si>
  <si>
    <t>Переменные затраты</t>
  </si>
  <si>
    <t>Единоврем. затраты</t>
  </si>
  <si>
    <t>Единовременные OPEX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</si>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</sst>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00"/>
    <numFmt numFmtId="182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i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/>
    </xf>
    <xf numFmtId="0" fontId="5" fillId="4" borderId="5" xfId="1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5" fillId="4" borderId="6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5" fillId="4" borderId="2" xfId="1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81" fontId="2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181" fontId="2" fillId="4" borderId="6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181" fontId="2" fillId="4" borderId="2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82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2"/>
  <sheetViews>
    <sheetView tabSelected="1" zoomScale="80" zoomScaleNormal="80" workbookViewId="0"/>
  </sheetViews>
  <sheetFormatPr defaultRowHeight="15" x14ac:dyDescent="0.25"/>
  <cols>
    <col min="1" max="1" width="3.7109375" style="2" customWidth="1"/>
    <col min="2" max="2" width="45.7109375" style="29" customWidth="1"/>
    <col min="3" max="4" width="10.7109375" style="1" customWidth="1"/>
    <col min="5" max="5" width="9.140625" style="1"/>
    <col min="6" max="7" width="9.140625" style="2"/>
    <col min="8" max="11" width="11.85546875" style="2" customWidth="1"/>
    <col min="12" max="12" width="12.7109375" style="2" customWidth="1"/>
    <col min="13" max="13" width="12.7109375" style="1" customWidth="1"/>
    <col min="14" max="15" width="12.7109375" style="2" customWidth="1"/>
    <col min="16" max="16" width="12.7109375" style="1" customWidth="1"/>
    <col min="17" max="17" width="12.7109375" style="2" customWidth="1"/>
    <col min="18" max="16384" width="9.140625" style="2"/>
  </cols>
  <sheetData>
    <row r="2" spans="2:17" ht="15" customHeight="1" x14ac:dyDescent="0.25">
      <c r="B2" s="50" t="s">
        <v>54</v>
      </c>
      <c r="C2" s="50"/>
      <c r="D2" s="50"/>
      <c r="G2" s="30" t="s">
        <v>36</v>
      </c>
      <c r="H2" s="30" t="s">
        <v>46</v>
      </c>
      <c r="I2" s="30"/>
      <c r="J2" s="31" t="s">
        <v>48</v>
      </c>
      <c r="K2" s="32"/>
      <c r="L2" s="30" t="s">
        <v>39</v>
      </c>
      <c r="M2" s="30" t="s">
        <v>43</v>
      </c>
      <c r="N2" s="30"/>
      <c r="O2" s="30" t="s">
        <v>44</v>
      </c>
      <c r="P2" s="30" t="s">
        <v>45</v>
      </c>
      <c r="Q2" s="30"/>
    </row>
    <row r="3" spans="2:17" x14ac:dyDescent="0.25">
      <c r="B3" s="33" t="s">
        <v>0</v>
      </c>
      <c r="C3" s="34" t="s">
        <v>8</v>
      </c>
      <c r="D3" s="35">
        <v>6.7950101930000004</v>
      </c>
      <c r="G3" s="30"/>
      <c r="H3" s="34" t="s">
        <v>38</v>
      </c>
      <c r="I3" s="34" t="s">
        <v>37</v>
      </c>
      <c r="J3" s="34" t="s">
        <v>49</v>
      </c>
      <c r="K3" s="34" t="s">
        <v>50</v>
      </c>
      <c r="L3" s="30"/>
      <c r="M3" s="34" t="s">
        <v>38</v>
      </c>
      <c r="N3" s="34" t="s">
        <v>37</v>
      </c>
      <c r="O3" s="30"/>
      <c r="P3" s="34" t="s">
        <v>38</v>
      </c>
      <c r="Q3" s="34" t="s">
        <v>37</v>
      </c>
    </row>
    <row r="4" spans="2:17" x14ac:dyDescent="0.25">
      <c r="B4" s="33" t="s">
        <v>5</v>
      </c>
      <c r="C4" s="34" t="s">
        <v>6</v>
      </c>
      <c r="D4" s="36">
        <v>0.1</v>
      </c>
      <c r="G4" s="34" t="s">
        <v>9</v>
      </c>
      <c r="H4" s="37" t="s">
        <v>41</v>
      </c>
      <c r="I4" s="37"/>
      <c r="J4" s="31" t="s">
        <v>42</v>
      </c>
      <c r="K4" s="38"/>
      <c r="L4" s="32"/>
      <c r="M4" s="37" t="s">
        <v>41</v>
      </c>
      <c r="N4" s="37"/>
      <c r="O4" s="34" t="s">
        <v>42</v>
      </c>
      <c r="P4" s="37" t="s">
        <v>41</v>
      </c>
      <c r="Q4" s="37"/>
    </row>
    <row r="5" spans="2:17" x14ac:dyDescent="0.25">
      <c r="B5" s="33" t="s">
        <v>33</v>
      </c>
      <c r="C5" s="34" t="s">
        <v>3</v>
      </c>
      <c r="D5" s="39">
        <v>220</v>
      </c>
      <c r="G5" s="40">
        <v>10</v>
      </c>
      <c r="H5" s="41">
        <f>$I5/$G5</f>
        <v>6.8038421971126208</v>
      </c>
      <c r="I5" s="41">
        <f>VLOOKUP($G5,Расчет!$B$3:$O$183,3,FALSE)</f>
        <v>68.038421971126212</v>
      </c>
      <c r="J5" s="42">
        <f>$D$6</f>
        <v>72000</v>
      </c>
      <c r="K5" s="41">
        <f>VLOOKUP($G5,Расчет!$B$3:$O$183,5,FALSE)</f>
        <v>14968.452833647769</v>
      </c>
      <c r="L5" s="41">
        <f>VLOOKUP($G5,Расчет!$B$3:$O$183,12,FALSE)</f>
        <v>-66556.926242309899</v>
      </c>
      <c r="M5" s="41">
        <f>($J$5/$G5)/($D$7-($K5/$G5/$H5))</f>
        <v>90.000000000000028</v>
      </c>
      <c r="N5" s="41">
        <f>$M5*$G5</f>
        <v>900.00000000000023</v>
      </c>
      <c r="O5" s="41">
        <f>VLOOKUP($G5,Расчет!$B$3:$O$183,14,FALSE)</f>
        <v>-66566.298752908551</v>
      </c>
      <c r="P5" s="41" t="s">
        <v>47</v>
      </c>
      <c r="Q5" s="41" t="str">
        <f>IF($P5="?","?",$P5*$G5)</f>
        <v>?</v>
      </c>
    </row>
    <row r="6" spans="2:17" x14ac:dyDescent="0.25">
      <c r="B6" s="33" t="s">
        <v>53</v>
      </c>
      <c r="C6" s="34" t="s">
        <v>40</v>
      </c>
      <c r="D6" s="39">
        <v>72000</v>
      </c>
      <c r="G6" s="43">
        <v>20</v>
      </c>
      <c r="H6" s="44">
        <f>$I6/$G6</f>
        <v>6.8136734914734918</v>
      </c>
      <c r="I6" s="44">
        <f>VLOOKUP($G6,Расчет!$B$3:$O$183,3,FALSE)</f>
        <v>136.27346982946983</v>
      </c>
      <c r="J6" s="45"/>
      <c r="K6" s="44">
        <f>VLOOKUP($G6,Расчет!$B$3:$O$183,5,FALSE)</f>
        <v>29980.16336248337</v>
      </c>
      <c r="L6" s="44">
        <f>VLOOKUP($G6,Расчет!$B$3:$O$183,12,FALSE)</f>
        <v>-61098.122413642413</v>
      </c>
      <c r="M6" s="44">
        <f t="shared" ref="M6:M22" si="0">($J$5/$G6)/($D$7-($K6/$G6/$H6))</f>
        <v>45.000000000000028</v>
      </c>
      <c r="N6" s="44">
        <f t="shared" ref="N6:N22" si="1">$M6*$G6</f>
        <v>900.00000000000057</v>
      </c>
      <c r="O6" s="44">
        <f>VLOOKUP($G6,Расчет!$B$3:$O$183,14,FALSE)</f>
        <v>-61137.720904892136</v>
      </c>
      <c r="P6" s="44" t="s">
        <v>47</v>
      </c>
      <c r="Q6" s="44" t="str">
        <f t="shared" ref="Q6:Q22" si="2">IF($P6="?","?",$P6*$G6)</f>
        <v>?</v>
      </c>
    </row>
    <row r="7" spans="2:17" x14ac:dyDescent="0.25">
      <c r="B7" s="33" t="s">
        <v>1</v>
      </c>
      <c r="C7" s="34" t="s">
        <v>4</v>
      </c>
      <c r="D7" s="46">
        <v>300</v>
      </c>
      <c r="G7" s="43">
        <v>30</v>
      </c>
      <c r="H7" s="44">
        <f>$I7/$G7</f>
        <v>6.8235237269651741</v>
      </c>
      <c r="I7" s="44">
        <f>VLOOKUP($G7,Расчет!$B$3:$O$183,3,FALSE)</f>
        <v>204.70571180895521</v>
      </c>
      <c r="J7" s="45"/>
      <c r="K7" s="44">
        <f>VLOOKUP($G7,Расчет!$B$3:$O$183,5,FALSE)</f>
        <v>45035.256597970161</v>
      </c>
      <c r="L7" s="44">
        <f>VLOOKUP($G7,Расчет!$B$3:$O$183,12,FALSE)</f>
        <v>-55623.543055283582</v>
      </c>
      <c r="M7" s="44">
        <f t="shared" si="0"/>
        <v>30.000000000000021</v>
      </c>
      <c r="N7" s="44">
        <f t="shared" si="1"/>
        <v>900.00000000000068</v>
      </c>
      <c r="O7" s="44">
        <f>VLOOKUP($G7,Расчет!$B$3:$O$183,14,FALSE)</f>
        <v>-55714.261625133411</v>
      </c>
      <c r="P7" s="44" t="s">
        <v>47</v>
      </c>
      <c r="Q7" s="44" t="str">
        <f t="shared" si="2"/>
        <v>?</v>
      </c>
    </row>
    <row r="8" spans="2:17" x14ac:dyDescent="0.25">
      <c r="B8" s="33" t="s">
        <v>7</v>
      </c>
      <c r="C8" s="34" t="s">
        <v>6</v>
      </c>
      <c r="D8" s="36">
        <v>0.15</v>
      </c>
      <c r="G8" s="43">
        <v>40</v>
      </c>
      <c r="H8" s="44">
        <f>$I8/$G8</f>
        <v>6.8333929446414938</v>
      </c>
      <c r="I8" s="44">
        <f>VLOOKUP($G8,Расчет!$B$3:$O$183,3,FALSE)</f>
        <v>273.33571778565977</v>
      </c>
      <c r="J8" s="45"/>
      <c r="K8" s="44">
        <f>VLOOKUP($G8,Расчет!$B$3:$O$183,5,FALSE)</f>
        <v>60133.85791284516</v>
      </c>
      <c r="L8" s="44">
        <f>VLOOKUP($G8,Расчет!$B$3:$O$183,12,FALSE)</f>
        <v>-50133.14257714722</v>
      </c>
      <c r="M8" s="44">
        <f t="shared" si="0"/>
        <v>22.500000000000014</v>
      </c>
      <c r="N8" s="44">
        <f t="shared" si="1"/>
        <v>900.00000000000057</v>
      </c>
      <c r="O8" s="44">
        <f>VLOOKUP($G8,Расчет!$B$3:$O$183,14,FALSE)</f>
        <v>-50295.916087370009</v>
      </c>
      <c r="P8" s="44" t="s">
        <v>47</v>
      </c>
      <c r="Q8" s="44" t="str">
        <f t="shared" si="2"/>
        <v>?</v>
      </c>
    </row>
    <row r="9" spans="2:17" x14ac:dyDescent="0.25">
      <c r="G9" s="43">
        <v>50</v>
      </c>
      <c r="H9" s="44">
        <f>$I9/$G9</f>
        <v>6.8432811856511906</v>
      </c>
      <c r="I9" s="44">
        <f>VLOOKUP($G9,Расчет!$B$3:$O$183,3,FALSE)</f>
        <v>342.16405928255955</v>
      </c>
      <c r="J9" s="45"/>
      <c r="K9" s="44">
        <f>VLOOKUP($G9,Расчет!$B$3:$O$183,5,FALSE)</f>
        <v>75276.09304216312</v>
      </c>
      <c r="L9" s="44">
        <f>VLOOKUP($G9,Расчет!$B$3:$O$183,12,FALSE)</f>
        <v>-44626.875257395237</v>
      </c>
      <c r="M9" s="44">
        <f t="shared" si="0"/>
        <v>18.000000000000014</v>
      </c>
      <c r="N9" s="44">
        <f t="shared" si="1"/>
        <v>900.00000000000068</v>
      </c>
      <c r="O9" s="44">
        <f>VLOOKUP($G9,Расчет!$B$3:$O$183,14,FALSE)</f>
        <v>-44882.679469890216</v>
      </c>
      <c r="P9" s="44" t="s">
        <v>47</v>
      </c>
      <c r="Q9" s="44" t="str">
        <f t="shared" si="2"/>
        <v>?</v>
      </c>
    </row>
    <row r="10" spans="2:17" x14ac:dyDescent="0.25">
      <c r="G10" s="43">
        <v>60</v>
      </c>
      <c r="H10" s="44">
        <f>$I10/$G10</f>
        <v>6.8531884912381464</v>
      </c>
      <c r="I10" s="44">
        <f>VLOOKUP($G10,Расчет!$B$3:$O$183,3,FALSE)</f>
        <v>411.1913094742888</v>
      </c>
      <c r="J10" s="45"/>
      <c r="K10" s="44">
        <f>VLOOKUP($G10,Расчет!$B$3:$O$183,5,FALSE)</f>
        <v>90462.08808434353</v>
      </c>
      <c r="L10" s="44">
        <f>VLOOKUP($G10,Расчет!$B$3:$O$183,12,FALSE)</f>
        <v>-39104.695242056892</v>
      </c>
      <c r="M10" s="44">
        <f t="shared" si="0"/>
        <v>14.999999999999995</v>
      </c>
      <c r="N10" s="44">
        <f t="shared" si="1"/>
        <v>899.99999999999966</v>
      </c>
      <c r="O10" s="44">
        <f>VLOOKUP($G10,Расчет!$B$3:$O$183,14,FALSE)</f>
        <v>-39474.546955528655</v>
      </c>
      <c r="P10" s="44" t="s">
        <v>47</v>
      </c>
      <c r="Q10" s="44" t="str">
        <f t="shared" si="2"/>
        <v>?</v>
      </c>
    </row>
    <row r="11" spans="2:17" x14ac:dyDescent="0.25">
      <c r="G11" s="43">
        <v>70</v>
      </c>
      <c r="H11" s="44">
        <f>$I11/$G11</f>
        <v>6.8631149027416143</v>
      </c>
      <c r="I11" s="44">
        <f>VLOOKUP($G11,Расчет!$B$3:$O$183,3,FALSE)</f>
        <v>480.418043191913</v>
      </c>
      <c r="J11" s="45"/>
      <c r="K11" s="44">
        <f>VLOOKUP($G11,Расчет!$B$3:$O$183,5,FALSE)</f>
        <v>105691.96950222086</v>
      </c>
      <c r="L11" s="44">
        <f>VLOOKUP($G11,Расчет!$B$3:$O$183,12,FALSE)</f>
        <v>-33566.556544646955</v>
      </c>
      <c r="M11" s="44">
        <f t="shared" si="0"/>
        <v>12.857142857142863</v>
      </c>
      <c r="N11" s="44">
        <f t="shared" si="1"/>
        <v>900.00000000000045</v>
      </c>
      <c r="O11" s="44">
        <f>VLOOKUP($G11,Расчет!$B$3:$O$183,14,FALSE)</f>
        <v>-34071.513731662053</v>
      </c>
      <c r="P11" s="44" t="s">
        <v>47</v>
      </c>
      <c r="Q11" s="44" t="str">
        <f t="shared" si="2"/>
        <v>?</v>
      </c>
    </row>
    <row r="12" spans="2:17" x14ac:dyDescent="0.25">
      <c r="G12" s="43">
        <v>80</v>
      </c>
      <c r="H12" s="44">
        <f>$I12/$G12</f>
        <v>6.8730604615964497</v>
      </c>
      <c r="I12" s="44">
        <f>VLOOKUP($G12,Расчет!$B$3:$O$183,3,FALSE)</f>
        <v>549.84483692771596</v>
      </c>
      <c r="J12" s="45"/>
      <c r="K12" s="44">
        <f>VLOOKUP($G12,Расчет!$B$3:$O$183,5,FALSE)</f>
        <v>120965.86412409748</v>
      </c>
      <c r="L12" s="44">
        <f>VLOOKUP($G12,Расчет!$B$3:$O$183,12,FALSE)</f>
        <v>-28012.41304578272</v>
      </c>
      <c r="M12" s="44">
        <f t="shared" si="0"/>
        <v>11.249999999999993</v>
      </c>
      <c r="N12" s="44">
        <f t="shared" si="1"/>
        <v>899.99999999999943</v>
      </c>
      <c r="O12" s="44">
        <f>VLOOKUP($G12,Расчет!$B$3:$O$183,14,FALSE)</f>
        <v>-28673.574990204885</v>
      </c>
      <c r="P12" s="44" t="s">
        <v>47</v>
      </c>
      <c r="Q12" s="44" t="str">
        <f t="shared" si="2"/>
        <v>?</v>
      </c>
    </row>
    <row r="13" spans="2:17" x14ac:dyDescent="0.25">
      <c r="G13" s="43">
        <v>90</v>
      </c>
      <c r="H13" s="44">
        <f>$I13/$G13</f>
        <v>6.8830252093333364</v>
      </c>
      <c r="I13" s="44">
        <f>VLOOKUP($G13,Расчет!$B$3:$O$183,3,FALSE)</f>
        <v>619.47226884000031</v>
      </c>
      <c r="J13" s="45"/>
      <c r="K13" s="44">
        <f>VLOOKUP($G13,Расчет!$B$3:$O$183,5,FALSE)</f>
        <v>136283.89914480006</v>
      </c>
      <c r="L13" s="44">
        <f>VLOOKUP($G13,Расчет!$B$3:$O$183,12,FALSE)</f>
        <v>-22442.218492799973</v>
      </c>
      <c r="M13" s="44">
        <f t="shared" si="0"/>
        <v>10</v>
      </c>
      <c r="N13" s="44">
        <f t="shared" si="1"/>
        <v>900</v>
      </c>
      <c r="O13" s="44">
        <f>VLOOKUP($G13,Расчет!$B$3:$O$183,14,FALSE)</f>
        <v>-23280.72592760517</v>
      </c>
      <c r="P13" s="44" t="s">
        <v>47</v>
      </c>
      <c r="Q13" s="44" t="str">
        <f t="shared" si="2"/>
        <v>?</v>
      </c>
    </row>
    <row r="14" spans="2:17" x14ac:dyDescent="0.25">
      <c r="G14" s="43">
        <v>100</v>
      </c>
      <c r="H14" s="44">
        <f>$I14/$G14</f>
        <v>6.893009187579028</v>
      </c>
      <c r="I14" s="44">
        <f>VLOOKUP($G14,Расчет!$B$3:$O$183,3,FALSE)</f>
        <v>689.30091875790276</v>
      </c>
      <c r="J14" s="45"/>
      <c r="K14" s="44">
        <f>VLOOKUP($G14,Расчет!$B$3:$O$183,5,FALSE)</f>
        <v>151646.20212673856</v>
      </c>
      <c r="L14" s="44">
        <f>VLOOKUP($G14,Расчет!$B$3:$O$183,12,FALSE)</f>
        <v>-16855.926499367783</v>
      </c>
      <c r="M14" s="44">
        <f t="shared" si="0"/>
        <v>8.9999999999999911</v>
      </c>
      <c r="N14" s="44">
        <f t="shared" si="1"/>
        <v>899.99999999999909</v>
      </c>
      <c r="O14" s="44">
        <f>VLOOKUP($G14,Расчет!$B$3:$O$183,14,FALSE)</f>
        <v>-17892.96174484014</v>
      </c>
      <c r="P14" s="44" t="s">
        <v>47</v>
      </c>
      <c r="Q14" s="44" t="str">
        <f t="shared" si="2"/>
        <v>?</v>
      </c>
    </row>
    <row r="15" spans="2:17" x14ac:dyDescent="0.25">
      <c r="G15" s="43">
        <v>110</v>
      </c>
      <c r="H15" s="44">
        <f>$I15/$G15</f>
        <v>6.9030124380565638</v>
      </c>
      <c r="I15" s="44">
        <f>VLOOKUP($G15,Расчет!$B$3:$O$183,3,FALSE)</f>
        <v>759.33136818622199</v>
      </c>
      <c r="J15" s="45"/>
      <c r="K15" s="44">
        <f>VLOOKUP($G15,Расчет!$B$3:$O$183,5,FALSE)</f>
        <v>167052.90100096873</v>
      </c>
      <c r="L15" s="44">
        <f>VLOOKUP($G15,Расчет!$B$3:$O$183,12,FALSE)</f>
        <v>-11253.490545102255</v>
      </c>
      <c r="M15" s="44">
        <f t="shared" si="0"/>
        <v>8.1818181818181674</v>
      </c>
      <c r="N15" s="44">
        <f t="shared" si="1"/>
        <v>899.99999999999841</v>
      </c>
      <c r="O15" s="44">
        <f>VLOOKUP($G15,Расчет!$B$3:$O$183,14,FALSE)</f>
        <v>-12510.277647412004</v>
      </c>
      <c r="P15" s="44" t="s">
        <v>47</v>
      </c>
      <c r="Q15" s="44" t="str">
        <f t="shared" si="2"/>
        <v>?</v>
      </c>
    </row>
    <row r="16" spans="2:17" x14ac:dyDescent="0.25">
      <c r="G16" s="43">
        <v>120</v>
      </c>
      <c r="H16" s="44">
        <f>$I16/$G16</f>
        <v>6.913035002585513</v>
      </c>
      <c r="I16" s="44">
        <f>VLOOKUP($G16,Расчет!$B$3:$O$183,3,FALSE)</f>
        <v>829.56420031026153</v>
      </c>
      <c r="J16" s="45"/>
      <c r="K16" s="44">
        <f>VLOOKUP($G16,Расчет!$B$3:$O$183,5,FALSE)</f>
        <v>182504.1240682574</v>
      </c>
      <c r="L16" s="44">
        <f>VLOOKUP($G16,Расчет!$B$3:$O$183,12,FALSE)</f>
        <v>-5634.8639751790961</v>
      </c>
      <c r="M16" s="44">
        <f t="shared" si="0"/>
        <v>7.499999999999984</v>
      </c>
      <c r="N16" s="44">
        <f t="shared" si="1"/>
        <v>899.99999999999807</v>
      </c>
      <c r="O16" s="44">
        <f>VLOOKUP($G16,Расчет!$B$3:$O$183,14,FALSE)</f>
        <v>-7132.6688453436645</v>
      </c>
      <c r="P16" s="44" t="s">
        <v>47</v>
      </c>
      <c r="Q16" s="44" t="str">
        <f t="shared" si="2"/>
        <v>?</v>
      </c>
    </row>
    <row r="17" spans="7:17" x14ac:dyDescent="0.25">
      <c r="G17" s="43">
        <v>130</v>
      </c>
      <c r="H17" s="44">
        <f>$I17/$G17</f>
        <v>6.9230769230822036</v>
      </c>
      <c r="I17" s="44">
        <f>VLOOKUP($G17,Расчет!$B$3:$O$183,3,FALSE)</f>
        <v>900.00000000068644</v>
      </c>
      <c r="J17" s="45"/>
      <c r="K17" s="44">
        <f>VLOOKUP($G17,Расчет!$B$3:$O$183,5,FALSE)</f>
        <v>198000.0000001509</v>
      </c>
      <c r="L17" s="44">
        <f>VLOOKUP($G17,Расчет!$B$3:$O$183,12,FALSE)</f>
        <v>4.3922341319557745E-8</v>
      </c>
      <c r="M17" s="44">
        <f t="shared" si="0"/>
        <v>6.92307692307691</v>
      </c>
      <c r="N17" s="44">
        <f t="shared" si="1"/>
        <v>899.99999999999829</v>
      </c>
      <c r="O17" s="44">
        <f>VLOOKUP($G17,Расчет!$B$3:$O$183,14,FALSE)</f>
        <v>-1760.1305531849066</v>
      </c>
      <c r="P17" s="44" t="s">
        <v>47</v>
      </c>
      <c r="Q17" s="44" t="str">
        <f t="shared" si="2"/>
        <v>?</v>
      </c>
    </row>
    <row r="18" spans="7:17" x14ac:dyDescent="0.25">
      <c r="G18" s="43">
        <v>140</v>
      </c>
      <c r="H18" s="44">
        <f>$I18/$G18</f>
        <v>6.9331382415599556</v>
      </c>
      <c r="I18" s="44">
        <f>VLOOKUP($G18,Расчет!$B$3:$O$183,3,FALSE)</f>
        <v>970.63935381839383</v>
      </c>
      <c r="J18" s="45"/>
      <c r="K18" s="44">
        <f>VLOOKUP($G18,Расчет!$B$3:$O$183,5,FALSE)</f>
        <v>213540.65784004651</v>
      </c>
      <c r="L18" s="44">
        <f>VLOOKUP($G18,Расчет!$B$3:$O$183,12,FALSE)</f>
        <v>4520.9186443771823</v>
      </c>
      <c r="M18" s="44">
        <f t="shared" si="0"/>
        <v>6.4285714285714199</v>
      </c>
      <c r="N18" s="44">
        <f t="shared" si="1"/>
        <v>899.99999999999875</v>
      </c>
      <c r="O18" s="44">
        <f>VLOOKUP($G18,Расчет!$B$3:$O$183,14,FALSE)</f>
        <v>2533.8474973899279</v>
      </c>
      <c r="P18" s="44" t="s">
        <v>47</v>
      </c>
      <c r="Q18" s="44" t="str">
        <f t="shared" si="2"/>
        <v>?</v>
      </c>
    </row>
    <row r="19" spans="7:17" x14ac:dyDescent="0.25">
      <c r="G19" s="43">
        <v>150</v>
      </c>
      <c r="H19" s="44">
        <f>$I19/$G19</f>
        <v>6.9432190001293144</v>
      </c>
      <c r="I19" s="44">
        <f>VLOOKUP($G19,Расчет!$B$3:$O$183,3,FALSE)</f>
        <v>1041.4828500193971</v>
      </c>
      <c r="J19" s="45"/>
      <c r="K19" s="44">
        <f>VLOOKUP($G19,Расчет!$B$3:$O$183,5,FALSE)</f>
        <v>229126.22700426713</v>
      </c>
      <c r="L19" s="44">
        <f>VLOOKUP($G19,Расчет!$B$3:$O$183,12,FALSE)</f>
        <v>9054.9024012413756</v>
      </c>
      <c r="M19" s="44">
        <f t="shared" si="0"/>
        <v>5.9999999999999805</v>
      </c>
      <c r="N19" s="44">
        <f t="shared" si="1"/>
        <v>899.99999999999704</v>
      </c>
      <c r="O19" s="44">
        <f>VLOOKUP($G19,Расчет!$B$3:$O$183,14,FALSE)</f>
        <v>6823.7767859566857</v>
      </c>
      <c r="P19" s="44" t="s">
        <v>47</v>
      </c>
      <c r="Q19" s="44" t="str">
        <f t="shared" si="2"/>
        <v>?</v>
      </c>
    </row>
    <row r="20" spans="7:17" x14ac:dyDescent="0.25">
      <c r="G20" s="43">
        <v>160</v>
      </c>
      <c r="H20" s="44">
        <f>$I20/$G20</f>
        <v>6.9533192409982787</v>
      </c>
      <c r="I20" s="44">
        <f>VLOOKUP($G20,Расчет!$B$3:$O$183,3,FALSE)</f>
        <v>1112.5310785597246</v>
      </c>
      <c r="J20" s="45"/>
      <c r="K20" s="44">
        <f>VLOOKUP($G20,Расчет!$B$3:$O$183,5,FALSE)</f>
        <v>244756.83728313923</v>
      </c>
      <c r="L20" s="44">
        <f>VLOOKUP($G20,Расчет!$B$3:$O$183,12,FALSE)</f>
        <v>13601.989027822348</v>
      </c>
      <c r="M20" s="44">
        <f t="shared" si="0"/>
        <v>5.6249999999999902</v>
      </c>
      <c r="N20" s="44">
        <f t="shared" si="1"/>
        <v>899.99999999999841</v>
      </c>
      <c r="O20" s="44">
        <f>VLOOKUP($G20,Расчет!$B$3:$O$183,14,FALSE)</f>
        <v>11109.661130064869</v>
      </c>
      <c r="P20" s="44" t="s">
        <v>47</v>
      </c>
      <c r="Q20" s="44" t="str">
        <f t="shared" si="2"/>
        <v>?</v>
      </c>
    </row>
    <row r="21" spans="7:17" x14ac:dyDescent="0.25">
      <c r="G21" s="43">
        <v>170</v>
      </c>
      <c r="H21" s="44">
        <f>$I21/$G21</f>
        <v>6.9634390064725533</v>
      </c>
      <c r="I21" s="44">
        <f>VLOOKUP($G21,Расчет!$B$3:$O$183,3,FALSE)</f>
        <v>1183.7846311003341</v>
      </c>
      <c r="J21" s="45"/>
      <c r="K21" s="44">
        <f>VLOOKUP($G21,Расчет!$B$3:$O$183,5,FALSE)</f>
        <v>260432.61884207334</v>
      </c>
      <c r="L21" s="44">
        <f>VLOOKUP($G21,Расчет!$B$3:$O$183,12,FALSE)</f>
        <v>18162.216390421345</v>
      </c>
      <c r="M21" s="44">
        <f t="shared" si="0"/>
        <v>5.2941176470588154</v>
      </c>
      <c r="N21" s="44">
        <f t="shared" si="1"/>
        <v>899.99999999999864</v>
      </c>
      <c r="O21" s="44">
        <f>VLOOKUP($G21,Расчет!$B$3:$O$183,14,FALSE)</f>
        <v>15391.504343664454</v>
      </c>
      <c r="P21" s="44" t="s">
        <v>47</v>
      </c>
      <c r="Q21" s="44" t="str">
        <f t="shared" si="2"/>
        <v>?</v>
      </c>
    </row>
    <row r="22" spans="7:17" x14ac:dyDescent="0.25">
      <c r="G22" s="47">
        <v>180</v>
      </c>
      <c r="H22" s="48">
        <f>$I22/$G22</f>
        <v>6.9735783389557655</v>
      </c>
      <c r="I22" s="48">
        <f>VLOOKUP($G22,Расчет!$B$3:$O$183,3,FALSE)</f>
        <v>1255.2441010120378</v>
      </c>
      <c r="J22" s="49"/>
      <c r="K22" s="48">
        <f>VLOOKUP($G22,Расчет!$B$3:$O$183,5,FALSE)</f>
        <v>276153.70222264819</v>
      </c>
      <c r="L22" s="48">
        <f>VLOOKUP($G22,Расчет!$B$3:$O$183,12,FALSE)</f>
        <v>22735.622464770378</v>
      </c>
      <c r="M22" s="48">
        <f t="shared" si="0"/>
        <v>4.9999999999999947</v>
      </c>
      <c r="N22" s="48">
        <f t="shared" si="1"/>
        <v>899.99999999999909</v>
      </c>
      <c r="O22" s="48">
        <f>VLOOKUP($G22,Расчет!$B$3:$O$183,14,FALSE)</f>
        <v>19669.310237109261</v>
      </c>
      <c r="P22" s="48" t="s">
        <v>47</v>
      </c>
      <c r="Q22" s="48" t="str">
        <f t="shared" si="2"/>
        <v>?</v>
      </c>
    </row>
  </sheetData>
  <mergeCells count="13">
    <mergeCell ref="J5:J22"/>
    <mergeCell ref="B2:D2"/>
    <mergeCell ref="O2:O3"/>
    <mergeCell ref="P2:Q2"/>
    <mergeCell ref="P4:Q4"/>
    <mergeCell ref="J2:K2"/>
    <mergeCell ref="J4:L4"/>
    <mergeCell ref="H2:I2"/>
    <mergeCell ref="H4:I4"/>
    <mergeCell ref="L2:L3"/>
    <mergeCell ref="G2:G3"/>
    <mergeCell ref="M2:N2"/>
    <mergeCell ref="M4:N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7"/>
  <sheetViews>
    <sheetView zoomScale="80" zoomScaleNormal="80" workbookViewId="0">
      <selection sqref="A1:B1"/>
    </sheetView>
  </sheetViews>
  <sheetFormatPr defaultRowHeight="12.75" x14ac:dyDescent="0.2"/>
  <cols>
    <col min="1" max="1" width="4.7109375" style="4" customWidth="1"/>
    <col min="2" max="2" width="5.85546875" style="3" customWidth="1"/>
    <col min="3" max="3" width="10.7109375" style="3" customWidth="1"/>
    <col min="4" max="15" width="12.7109375" style="3" customWidth="1"/>
    <col min="16" max="18" width="9.140625" style="3"/>
    <col min="19" max="16384" width="9.140625" style="4"/>
  </cols>
  <sheetData>
    <row r="1" spans="1:15" ht="15" customHeight="1" x14ac:dyDescent="0.2">
      <c r="A1" s="9" t="s">
        <v>9</v>
      </c>
      <c r="B1" s="10"/>
      <c r="C1" s="6" t="s">
        <v>35</v>
      </c>
      <c r="D1" s="6"/>
      <c r="E1" s="9" t="s">
        <v>51</v>
      </c>
      <c r="F1" s="10"/>
      <c r="G1" s="21" t="s">
        <v>52</v>
      </c>
      <c r="H1" s="5" t="s">
        <v>10</v>
      </c>
      <c r="I1" s="5" t="s">
        <v>13</v>
      </c>
      <c r="J1" s="6" t="s">
        <v>2</v>
      </c>
      <c r="K1" s="6"/>
      <c r="L1" s="6" t="s">
        <v>32</v>
      </c>
      <c r="M1" s="6"/>
      <c r="N1" s="6" t="s">
        <v>31</v>
      </c>
      <c r="O1" s="6"/>
    </row>
    <row r="2" spans="1:15" ht="36.75" customHeight="1" x14ac:dyDescent="0.2">
      <c r="A2" s="17" t="s">
        <v>16</v>
      </c>
      <c r="B2" s="17" t="s">
        <v>9</v>
      </c>
      <c r="C2" s="7" t="s">
        <v>34</v>
      </c>
      <c r="D2" s="7" t="s">
        <v>12</v>
      </c>
      <c r="E2" s="7" t="s">
        <v>34</v>
      </c>
      <c r="F2" s="7" t="s">
        <v>12</v>
      </c>
      <c r="G2" s="22"/>
      <c r="H2" s="5"/>
      <c r="I2" s="5"/>
      <c r="J2" s="7" t="s">
        <v>29</v>
      </c>
      <c r="K2" s="7" t="s">
        <v>30</v>
      </c>
      <c r="L2" s="8" t="s">
        <v>11</v>
      </c>
      <c r="M2" s="8" t="s">
        <v>14</v>
      </c>
      <c r="N2" s="8" t="s">
        <v>11</v>
      </c>
      <c r="O2" s="8" t="s">
        <v>15</v>
      </c>
    </row>
    <row r="3" spans="1:15" x14ac:dyDescent="0.2">
      <c r="A3" s="18" t="s">
        <v>17</v>
      </c>
      <c r="B3" s="12">
        <v>1</v>
      </c>
      <c r="C3" s="23">
        <f>'Условия + итог'!$D$3</f>
        <v>6.7950101930000004</v>
      </c>
      <c r="D3" s="23">
        <f>$C3</f>
        <v>6.7950101930000004</v>
      </c>
      <c r="E3" s="24">
        <f>'Условия + итог'!$D$5*$C3</f>
        <v>1494.90224246</v>
      </c>
      <c r="F3" s="24">
        <f>$E3</f>
        <v>1494.90224246</v>
      </c>
      <c r="G3" s="24">
        <f>'Условия + итог'!$D$6</f>
        <v>72000</v>
      </c>
      <c r="H3" s="24">
        <f>'Условия + итог'!$D$7*$C3</f>
        <v>2038.5030579000002</v>
      </c>
      <c r="I3" s="24">
        <f>$H3-$E3-$G3</f>
        <v>-71456.399184559996</v>
      </c>
      <c r="J3" s="24">
        <f>$I3*0.2</f>
        <v>-14291.279836911999</v>
      </c>
      <c r="K3" s="24">
        <f>IF($J3&lt;=0,0,$J3)</f>
        <v>0</v>
      </c>
      <c r="L3" s="24">
        <f>$I3-$K3</f>
        <v>-71456.399184559996</v>
      </c>
      <c r="M3" s="24">
        <f>$L3</f>
        <v>-71456.399184559996</v>
      </c>
      <c r="N3" s="24">
        <f>$L3*1</f>
        <v>-71456.399184559996</v>
      </c>
      <c r="O3" s="24">
        <f>$N3</f>
        <v>-71456.399184559996</v>
      </c>
    </row>
    <row r="4" spans="1:15" x14ac:dyDescent="0.2">
      <c r="A4" s="19"/>
      <c r="B4" s="14">
        <f>$B3+1</f>
        <v>2</v>
      </c>
      <c r="C4" s="25">
        <f>$C3*(1+(1-EXP(LN(1-'Условия + итог'!$D$4)/365)))</f>
        <v>6.796971350420784</v>
      </c>
      <c r="D4" s="25">
        <f>$C4+$D3</f>
        <v>13.591981543420784</v>
      </c>
      <c r="E4" s="26">
        <f>'Условия + итог'!$D$5*$C4</f>
        <v>1495.3336970925725</v>
      </c>
      <c r="F4" s="26">
        <f>$E4+$F3</f>
        <v>2990.2359395525727</v>
      </c>
      <c r="G4" s="26"/>
      <c r="H4" s="26">
        <f>'Условия + итог'!$D$7*$C4</f>
        <v>2039.0914051262353</v>
      </c>
      <c r="I4" s="26">
        <f>$H4-$E4-$G4</f>
        <v>543.75770803366277</v>
      </c>
      <c r="J4" s="26">
        <f>$I4*0.2+$J3</f>
        <v>-14182.528295305267</v>
      </c>
      <c r="K4" s="26">
        <f>IF(SUM($K3:$K$3)&gt;$J4,0,$J4-SUM($K3:$K$3))</f>
        <v>0</v>
      </c>
      <c r="L4" s="26">
        <f t="shared" ref="L4:L67" si="0">$I4-$K4</f>
        <v>543.75770803366277</v>
      </c>
      <c r="M4" s="26">
        <f>$L4+$M3</f>
        <v>-70912.641476526333</v>
      </c>
      <c r="N4" s="26">
        <f>$L4*1/(1+'Условия + итог'!$D$8)^(($B4-$B$3)/365)</f>
        <v>543.54953793667823</v>
      </c>
      <c r="O4" s="26">
        <f>$N4+$O3</f>
        <v>-70912.849646623319</v>
      </c>
    </row>
    <row r="5" spans="1:15" x14ac:dyDescent="0.2">
      <c r="A5" s="19"/>
      <c r="B5" s="14">
        <f t="shared" ref="B5:B68" si="1">$B4+1</f>
        <v>3</v>
      </c>
      <c r="C5" s="25">
        <f>$C4*(1+(1-EXP(LN(1-'Условия + итог'!$D$4)/365)))</f>
        <v>6.7989330738655056</v>
      </c>
      <c r="D5" s="25">
        <f t="shared" ref="D5:D68" si="2">$C5+$D4</f>
        <v>20.390914617286292</v>
      </c>
      <c r="E5" s="26">
        <f>'Условия + итог'!$D$5*$C5</f>
        <v>1495.7652762504113</v>
      </c>
      <c r="F5" s="26">
        <f t="shared" ref="F5:F68" si="3">$E5+$F4</f>
        <v>4486.001215802984</v>
      </c>
      <c r="G5" s="26"/>
      <c r="H5" s="26">
        <f>'Условия + итог'!$D$7*$C5</f>
        <v>2039.6799221596516</v>
      </c>
      <c r="I5" s="26">
        <f>$H5-$E5-$G5</f>
        <v>543.91464590924033</v>
      </c>
      <c r="J5" s="26">
        <f t="shared" ref="J5:J68" si="4">$I5*0.2+$J4</f>
        <v>-14073.745366123418</v>
      </c>
      <c r="K5" s="26">
        <f>IF(SUM($K$3:$K4)&gt;$J5,0,$J5-SUM($K$3:$K4))</f>
        <v>0</v>
      </c>
      <c r="L5" s="26">
        <f t="shared" si="0"/>
        <v>543.91464590924033</v>
      </c>
      <c r="M5" s="26">
        <f t="shared" ref="M5:M68" si="5">$L5+$M4</f>
        <v>-70368.726830617088</v>
      </c>
      <c r="N5" s="26">
        <f>$L5*1/(1+'Условия + итог'!$D$8)^(($B5-$B$3)/365)</f>
        <v>543.49826527032906</v>
      </c>
      <c r="O5" s="26">
        <f t="shared" ref="O5:O68" si="6">$N5+$O4</f>
        <v>-70369.351381352986</v>
      </c>
    </row>
    <row r="6" spans="1:15" x14ac:dyDescent="0.2">
      <c r="A6" s="19"/>
      <c r="B6" s="14">
        <f t="shared" si="1"/>
        <v>4</v>
      </c>
      <c r="C6" s="25">
        <f>$C5*(1+(1-EXP(LN(1-'Условия + итог'!$D$4)/365)))</f>
        <v>6.8008953634975295</v>
      </c>
      <c r="D6" s="25">
        <f t="shared" si="2"/>
        <v>27.191809980783823</v>
      </c>
      <c r="E6" s="26">
        <f>'Условия + итог'!$D$5*$C6</f>
        <v>1496.1969799694566</v>
      </c>
      <c r="F6" s="26">
        <f t="shared" si="3"/>
        <v>5982.1981957724402</v>
      </c>
      <c r="G6" s="26"/>
      <c r="H6" s="26">
        <f>'Условия + итог'!$D$7*$C6</f>
        <v>2040.2686090492589</v>
      </c>
      <c r="I6" s="26">
        <f>$H6-$E6-$G6</f>
        <v>544.07162907980228</v>
      </c>
      <c r="J6" s="26">
        <f t="shared" si="4"/>
        <v>-13964.931040307458</v>
      </c>
      <c r="K6" s="26">
        <f>IF(SUM($K$3:$K5)&gt;$J6,0,$J6-SUM($K$3:$K5))</f>
        <v>0</v>
      </c>
      <c r="L6" s="26">
        <f t="shared" si="0"/>
        <v>544.07162907980228</v>
      </c>
      <c r="M6" s="26">
        <f t="shared" si="5"/>
        <v>-69824.655201537287</v>
      </c>
      <c r="N6" s="26">
        <f>$L6*1/(1+'Условия + итог'!$D$8)^(($B6-$B$3)/365)</f>
        <v>543.44699744049672</v>
      </c>
      <c r="O6" s="26">
        <f t="shared" si="6"/>
        <v>-69825.904383912493</v>
      </c>
    </row>
    <row r="7" spans="1:15" x14ac:dyDescent="0.2">
      <c r="A7" s="19"/>
      <c r="B7" s="14">
        <f t="shared" si="1"/>
        <v>5</v>
      </c>
      <c r="C7" s="25">
        <f>$C6*(1+(1-EXP(LN(1-'Условия + итог'!$D$4)/365)))</f>
        <v>6.8028582194802674</v>
      </c>
      <c r="D7" s="25">
        <f t="shared" si="2"/>
        <v>33.994668200264087</v>
      </c>
      <c r="E7" s="26">
        <f>'Условия + итог'!$D$5*$C7</f>
        <v>1496.6288082856588</v>
      </c>
      <c r="F7" s="26">
        <f t="shared" si="3"/>
        <v>7478.8270040580992</v>
      </c>
      <c r="G7" s="26"/>
      <c r="H7" s="26">
        <f>'Условия + итог'!$D$7*$C7</f>
        <v>2040.8574658440803</v>
      </c>
      <c r="I7" s="26">
        <f>$H7-$E7-$G7</f>
        <v>544.22865755842145</v>
      </c>
      <c r="J7" s="26">
        <f t="shared" si="4"/>
        <v>-13856.085308795773</v>
      </c>
      <c r="K7" s="26">
        <f>IF(SUM($K$3:$K6)&gt;$J7,0,$J7-SUM($K$3:$K6))</f>
        <v>0</v>
      </c>
      <c r="L7" s="26">
        <f t="shared" si="0"/>
        <v>544.22865755842145</v>
      </c>
      <c r="M7" s="26">
        <f t="shared" si="5"/>
        <v>-69280.426543978872</v>
      </c>
      <c r="N7" s="26">
        <f>$L7*1/(1+'Условия + итог'!$D$8)^(($B7-$B$3)/365)</f>
        <v>543.39573444672465</v>
      </c>
      <c r="O7" s="26">
        <f t="shared" si="6"/>
        <v>-69282.508649465773</v>
      </c>
    </row>
    <row r="8" spans="1:15" x14ac:dyDescent="0.2">
      <c r="A8" s="19"/>
      <c r="B8" s="14">
        <f t="shared" si="1"/>
        <v>6</v>
      </c>
      <c r="C8" s="25">
        <f>$C7*(1+(1-EXP(LN(1-'Условия + итог'!$D$4)/365)))</f>
        <v>6.8048216419771776</v>
      </c>
      <c r="D8" s="25">
        <f t="shared" si="2"/>
        <v>40.799489842241265</v>
      </c>
      <c r="E8" s="26">
        <f>'Условия + итог'!$D$5*$C8</f>
        <v>1497.0607612349791</v>
      </c>
      <c r="F8" s="26">
        <f t="shared" si="3"/>
        <v>8975.8877652930787</v>
      </c>
      <c r="G8" s="26"/>
      <c r="H8" s="26">
        <f>'Условия + итог'!$D$7*$C8</f>
        <v>2041.4464925931534</v>
      </c>
      <c r="I8" s="26">
        <f>$H8-$E8-$G8</f>
        <v>544.38573135817433</v>
      </c>
      <c r="J8" s="26">
        <f t="shared" si="4"/>
        <v>-13747.208162524139</v>
      </c>
      <c r="K8" s="26">
        <f>IF(SUM($K$3:$K7)&gt;$J8,0,$J8-SUM($K$3:$K7))</f>
        <v>0</v>
      </c>
      <c r="L8" s="26">
        <f t="shared" si="0"/>
        <v>544.38573135817433</v>
      </c>
      <c r="M8" s="26">
        <f t="shared" si="5"/>
        <v>-68736.040812620704</v>
      </c>
      <c r="N8" s="26">
        <f>$L8*1/(1+'Условия + итог'!$D$8)^(($B8-$B$3)/365)</f>
        <v>543.34447628855651</v>
      </c>
      <c r="O8" s="26">
        <f t="shared" si="6"/>
        <v>-68739.164173177211</v>
      </c>
    </row>
    <row r="9" spans="1:15" x14ac:dyDescent="0.2">
      <c r="A9" s="19"/>
      <c r="B9" s="14">
        <f t="shared" si="1"/>
        <v>7</v>
      </c>
      <c r="C9" s="25">
        <f>$C8*(1+(1-EXP(LN(1-'Условия + итог'!$D$4)/365)))</f>
        <v>6.806785631151766</v>
      </c>
      <c r="D9" s="25">
        <f t="shared" si="2"/>
        <v>47.606275473393033</v>
      </c>
      <c r="E9" s="26">
        <f>'Условия + итог'!$D$5*$C9</f>
        <v>1497.4928388533885</v>
      </c>
      <c r="F9" s="26">
        <f t="shared" si="3"/>
        <v>10473.380604146467</v>
      </c>
      <c r="G9" s="26"/>
      <c r="H9" s="26">
        <f>'Условия + итог'!$D$7*$C9</f>
        <v>2042.0356893455298</v>
      </c>
      <c r="I9" s="26">
        <f>$H9-$E9-$G9</f>
        <v>544.54285049214127</v>
      </c>
      <c r="J9" s="26">
        <f t="shared" si="4"/>
        <v>-13638.29959242571</v>
      </c>
      <c r="K9" s="26">
        <f>IF(SUM($K$3:$K8)&gt;$J9,0,$J9-SUM($K$3:$K8))</f>
        <v>0</v>
      </c>
      <c r="L9" s="26">
        <f t="shared" si="0"/>
        <v>544.54285049214127</v>
      </c>
      <c r="M9" s="26">
        <f t="shared" si="5"/>
        <v>-68191.49796212856</v>
      </c>
      <c r="N9" s="26">
        <f>$L9*1/(1+'Условия + итог'!$D$8)^(($B9-$B$3)/365)</f>
        <v>543.29322296553619</v>
      </c>
      <c r="O9" s="26">
        <f t="shared" si="6"/>
        <v>-68195.870950211669</v>
      </c>
    </row>
    <row r="10" spans="1:15" x14ac:dyDescent="0.2">
      <c r="A10" s="19"/>
      <c r="B10" s="14">
        <f t="shared" si="1"/>
        <v>8</v>
      </c>
      <c r="C10" s="25">
        <f>$C9*(1+(1-EXP(LN(1-'Условия + итог'!$D$4)/365)))</f>
        <v>6.8087501871675862</v>
      </c>
      <c r="D10" s="25">
        <f t="shared" si="2"/>
        <v>54.415025660560616</v>
      </c>
      <c r="E10" s="26">
        <f>'Условия + итог'!$D$5*$C10</f>
        <v>1497.9250411768689</v>
      </c>
      <c r="F10" s="26">
        <f t="shared" si="3"/>
        <v>11971.305645323337</v>
      </c>
      <c r="G10" s="26"/>
      <c r="H10" s="26">
        <f>'Условия + итог'!$D$7*$C10</f>
        <v>2042.6250561502759</v>
      </c>
      <c r="I10" s="26">
        <f>$H10-$E10-$G10</f>
        <v>544.70001497340695</v>
      </c>
      <c r="J10" s="26">
        <f t="shared" si="4"/>
        <v>-13529.359589431029</v>
      </c>
      <c r="K10" s="26">
        <f>IF(SUM($K$3:$K9)&gt;$J10,0,$J10-SUM($K$3:$K9))</f>
        <v>0</v>
      </c>
      <c r="L10" s="26">
        <f t="shared" si="0"/>
        <v>544.70001497340695</v>
      </c>
      <c r="M10" s="26">
        <f t="shared" si="5"/>
        <v>-67646.797947155152</v>
      </c>
      <c r="N10" s="26">
        <f>$L10*1/(1+'Условия + итог'!$D$8)^(($B10-$B$3)/365)</f>
        <v>543.24197447720815</v>
      </c>
      <c r="O10" s="26">
        <f t="shared" si="6"/>
        <v>-67652.628975734464</v>
      </c>
    </row>
    <row r="11" spans="1:15" x14ac:dyDescent="0.2">
      <c r="A11" s="19"/>
      <c r="B11" s="14">
        <f t="shared" si="1"/>
        <v>9</v>
      </c>
      <c r="C11" s="25">
        <f>$C10*(1+(1-EXP(LN(1-'Условия + итог'!$D$4)/365)))</f>
        <v>6.8107153101882369</v>
      </c>
      <c r="D11" s="25">
        <f t="shared" si="2"/>
        <v>61.225740970748852</v>
      </c>
      <c r="E11" s="26">
        <f>'Условия + итог'!$D$5*$C11</f>
        <v>1498.3573682414121</v>
      </c>
      <c r="F11" s="26">
        <f t="shared" si="3"/>
        <v>13469.663013564748</v>
      </c>
      <c r="G11" s="26"/>
      <c r="H11" s="26">
        <f>'Условия + итог'!$D$7*$C11</f>
        <v>2043.2145930564711</v>
      </c>
      <c r="I11" s="26">
        <f>$H11-$E11-$G11</f>
        <v>544.857224815059</v>
      </c>
      <c r="J11" s="26">
        <f t="shared" si="4"/>
        <v>-13420.388144468017</v>
      </c>
      <c r="K11" s="26">
        <f>IF(SUM($K$3:$K10)&gt;$J11,0,$J11-SUM($K$3:$K10))</f>
        <v>0</v>
      </c>
      <c r="L11" s="26">
        <f t="shared" si="0"/>
        <v>544.857224815059</v>
      </c>
      <c r="M11" s="26">
        <f t="shared" si="5"/>
        <v>-67101.940722340092</v>
      </c>
      <c r="N11" s="26">
        <f>$L11*1/(1+'Условия + итог'!$D$8)^(($B11-$B$3)/365)</f>
        <v>543.19073082311547</v>
      </c>
      <c r="O11" s="26">
        <f t="shared" si="6"/>
        <v>-67109.438244911347</v>
      </c>
    </row>
    <row r="12" spans="1:15" x14ac:dyDescent="0.2">
      <c r="A12" s="19"/>
      <c r="B12" s="14">
        <f t="shared" si="1"/>
        <v>10</v>
      </c>
      <c r="C12" s="25">
        <f>$C11*(1+(1-EXP(LN(1-'Условия + итог'!$D$4)/365)))</f>
        <v>6.812681000377367</v>
      </c>
      <c r="D12" s="25">
        <f t="shared" si="2"/>
        <v>68.038421971126212</v>
      </c>
      <c r="E12" s="26">
        <f>'Условия + итог'!$D$5*$C12</f>
        <v>1498.7898200830207</v>
      </c>
      <c r="F12" s="26">
        <f t="shared" si="3"/>
        <v>14968.452833647769</v>
      </c>
      <c r="G12" s="26"/>
      <c r="H12" s="26">
        <f>'Условия + итог'!$D$7*$C12</f>
        <v>2043.80430011321</v>
      </c>
      <c r="I12" s="26">
        <f>$H12-$E12-$G12</f>
        <v>545.01448003018936</v>
      </c>
      <c r="J12" s="26">
        <f t="shared" si="4"/>
        <v>-13311.38524846198</v>
      </c>
      <c r="K12" s="26">
        <f>IF(SUM($K$3:$K11)&gt;$J12,0,$J12-SUM($K$3:$K11))</f>
        <v>0</v>
      </c>
      <c r="L12" s="26">
        <f t="shared" si="0"/>
        <v>545.01448003018936</v>
      </c>
      <c r="M12" s="26">
        <f t="shared" si="5"/>
        <v>-66556.926242309899</v>
      </c>
      <c r="N12" s="26">
        <f>$L12*1/(1+'Условия + итог'!$D$8)^(($B12-$B$3)/365)</f>
        <v>543.13949200280285</v>
      </c>
      <c r="O12" s="26">
        <f t="shared" si="6"/>
        <v>-66566.298752908551</v>
      </c>
    </row>
    <row r="13" spans="1:15" x14ac:dyDescent="0.2">
      <c r="A13" s="19"/>
      <c r="B13" s="14">
        <f t="shared" si="1"/>
        <v>11</v>
      </c>
      <c r="C13" s="25">
        <f>$C12*(1+(1-EXP(LN(1-'Условия + итог'!$D$4)/365)))</f>
        <v>6.8146472578986703</v>
      </c>
      <c r="D13" s="25">
        <f t="shared" si="2"/>
        <v>74.853069229024882</v>
      </c>
      <c r="E13" s="26">
        <f>'Условия + итог'!$D$5*$C13</f>
        <v>1499.2223967377074</v>
      </c>
      <c r="F13" s="26">
        <f t="shared" si="3"/>
        <v>16467.675230385477</v>
      </c>
      <c r="G13" s="26"/>
      <c r="H13" s="26">
        <f>'Условия + итог'!$D$7*$C13</f>
        <v>2044.394177369601</v>
      </c>
      <c r="I13" s="26">
        <f>$H13-$E13-$G13</f>
        <v>545.17178063189363</v>
      </c>
      <c r="J13" s="26">
        <f t="shared" si="4"/>
        <v>-13202.350892335602</v>
      </c>
      <c r="K13" s="26">
        <f>IF(SUM($K$3:$K12)&gt;$J13,0,$J13-SUM($K$3:$K12))</f>
        <v>0</v>
      </c>
      <c r="L13" s="26">
        <f t="shared" si="0"/>
        <v>545.17178063189363</v>
      </c>
      <c r="M13" s="26">
        <f t="shared" si="5"/>
        <v>-66011.754461678007</v>
      </c>
      <c r="N13" s="26">
        <f>$L13*1/(1+'Условия + итог'!$D$8)^(($B13-$B$3)/365)</f>
        <v>543.08825801581395</v>
      </c>
      <c r="O13" s="26">
        <f t="shared" si="6"/>
        <v>-66023.210494892744</v>
      </c>
    </row>
    <row r="14" spans="1:15" x14ac:dyDescent="0.2">
      <c r="A14" s="19"/>
      <c r="B14" s="14">
        <f t="shared" si="1"/>
        <v>12</v>
      </c>
      <c r="C14" s="25">
        <f>$C13*(1+(1-EXP(LN(1-'Условия + итог'!$D$4)/365)))</f>
        <v>6.8166140829158888</v>
      </c>
      <c r="D14" s="25">
        <f t="shared" si="2"/>
        <v>81.669683311940773</v>
      </c>
      <c r="E14" s="26">
        <f>'Условия + итог'!$D$5*$C14</f>
        <v>1499.6550982414956</v>
      </c>
      <c r="F14" s="26">
        <f t="shared" si="3"/>
        <v>17967.330328626973</v>
      </c>
      <c r="G14" s="26"/>
      <c r="H14" s="26">
        <f>'Условия + итог'!$D$7*$C14</f>
        <v>2044.9842248747666</v>
      </c>
      <c r="I14" s="26">
        <f>$H14-$E14-$G14</f>
        <v>545.32912663327102</v>
      </c>
      <c r="J14" s="26">
        <f t="shared" si="4"/>
        <v>-13093.285067008948</v>
      </c>
      <c r="K14" s="26">
        <f>IF(SUM($K$3:$K13)&gt;$J14,0,$J14-SUM($K$3:$K13))</f>
        <v>0</v>
      </c>
      <c r="L14" s="26">
        <f t="shared" si="0"/>
        <v>545.32912663327102</v>
      </c>
      <c r="M14" s="26">
        <f t="shared" si="5"/>
        <v>-65466.425335044732</v>
      </c>
      <c r="N14" s="26">
        <f>$L14*1/(1+'Условия + итог'!$D$8)^(($B14-$B$3)/365)</f>
        <v>543.03702886169299</v>
      </c>
      <c r="O14" s="26">
        <f t="shared" si="6"/>
        <v>-65480.173466031054</v>
      </c>
    </row>
    <row r="15" spans="1:15" x14ac:dyDescent="0.2">
      <c r="A15" s="19"/>
      <c r="B15" s="14">
        <f t="shared" si="1"/>
        <v>13</v>
      </c>
      <c r="C15" s="25">
        <f>$C14*(1+(1-EXP(LN(1-'Условия + итог'!$D$4)/365)))</f>
        <v>6.8185814755928122</v>
      </c>
      <c r="D15" s="25">
        <f t="shared" si="2"/>
        <v>88.488264787533581</v>
      </c>
      <c r="E15" s="26">
        <f>'Условия + итог'!$D$5*$C15</f>
        <v>1500.0879246304187</v>
      </c>
      <c r="F15" s="26">
        <f t="shared" si="3"/>
        <v>19467.41825325739</v>
      </c>
      <c r="G15" s="26"/>
      <c r="H15" s="26">
        <f>'Условия + итог'!$D$7*$C15</f>
        <v>2045.5744426778438</v>
      </c>
      <c r="I15" s="26">
        <f>$H15-$E15-$G15</f>
        <v>545.48651804742508</v>
      </c>
      <c r="J15" s="26">
        <f t="shared" si="4"/>
        <v>-12984.187763399463</v>
      </c>
      <c r="K15" s="26">
        <f>IF(SUM($K$3:$K14)&gt;$J15,0,$J15-SUM($K$3:$K14))</f>
        <v>0</v>
      </c>
      <c r="L15" s="26">
        <f t="shared" si="0"/>
        <v>545.48651804742508</v>
      </c>
      <c r="M15" s="26">
        <f t="shared" si="5"/>
        <v>-64920.93881699731</v>
      </c>
      <c r="N15" s="26">
        <f>$L15*1/(1+'Условия + итог'!$D$8)^(($B15-$B$3)/365)</f>
        <v>542.98580453998431</v>
      </c>
      <c r="O15" s="26">
        <f t="shared" si="6"/>
        <v>-64937.187661491073</v>
      </c>
    </row>
    <row r="16" spans="1:15" x14ac:dyDescent="0.2">
      <c r="A16" s="19"/>
      <c r="B16" s="14">
        <f t="shared" si="1"/>
        <v>14</v>
      </c>
      <c r="C16" s="25">
        <f>$C15*(1+(1-EXP(LN(1-'Условия + итог'!$D$4)/365)))</f>
        <v>6.8205494360932759</v>
      </c>
      <c r="D16" s="25">
        <f t="shared" si="2"/>
        <v>95.308814223626854</v>
      </c>
      <c r="E16" s="26">
        <f>'Условия + итог'!$D$5*$C16</f>
        <v>1500.5208759405207</v>
      </c>
      <c r="F16" s="26">
        <f t="shared" si="3"/>
        <v>20967.939129197912</v>
      </c>
      <c r="G16" s="26"/>
      <c r="H16" s="26">
        <f>'Условия + итог'!$D$7*$C16</f>
        <v>2046.1648308279828</v>
      </c>
      <c r="I16" s="26">
        <f>$H16-$E16-$G16</f>
        <v>545.64395488746209</v>
      </c>
      <c r="J16" s="26">
        <f t="shared" si="4"/>
        <v>-12875.05897242197</v>
      </c>
      <c r="K16" s="26">
        <f>IF(SUM($K$3:$K15)&gt;$J16,0,$J16-SUM($K$3:$K15))</f>
        <v>0</v>
      </c>
      <c r="L16" s="26">
        <f t="shared" si="0"/>
        <v>545.64395488746209</v>
      </c>
      <c r="M16" s="26">
        <f t="shared" si="5"/>
        <v>-64375.294862109848</v>
      </c>
      <c r="N16" s="26">
        <f>$L16*1/(1+'Условия + итог'!$D$8)^(($B16-$B$3)/365)</f>
        <v>542.93458505023159</v>
      </c>
      <c r="O16" s="26">
        <f t="shared" si="6"/>
        <v>-64394.253076440844</v>
      </c>
    </row>
    <row r="17" spans="1:15" x14ac:dyDescent="0.2">
      <c r="A17" s="19"/>
      <c r="B17" s="14">
        <f t="shared" si="1"/>
        <v>15</v>
      </c>
      <c r="C17" s="25">
        <f>$C16*(1+(1-EXP(LN(1-'Условия + итог'!$D$4)/365)))</f>
        <v>6.8225179645811647</v>
      </c>
      <c r="D17" s="25">
        <f t="shared" si="2"/>
        <v>102.13133218820802</v>
      </c>
      <c r="E17" s="26">
        <f>'Условия + итог'!$D$5*$C17</f>
        <v>1500.9539522078562</v>
      </c>
      <c r="F17" s="26">
        <f t="shared" si="3"/>
        <v>22468.893081405768</v>
      </c>
      <c r="G17" s="26"/>
      <c r="H17" s="26">
        <f>'Условия + итог'!$D$7*$C17</f>
        <v>2046.7553893743493</v>
      </c>
      <c r="I17" s="26">
        <f>$H17-$E17-$G17</f>
        <v>545.80143716649309</v>
      </c>
      <c r="J17" s="26">
        <f t="shared" si="4"/>
        <v>-12765.898684988671</v>
      </c>
      <c r="K17" s="26">
        <f>IF(SUM($K$3:$K16)&gt;$J17,0,$J17-SUM($K$3:$K16))</f>
        <v>0</v>
      </c>
      <c r="L17" s="26">
        <f t="shared" si="0"/>
        <v>545.80143716649309</v>
      </c>
      <c r="M17" s="26">
        <f t="shared" si="5"/>
        <v>-63829.493424943357</v>
      </c>
      <c r="N17" s="26">
        <f>$L17*1/(1+'Условия + итог'!$D$8)^(($B17-$B$3)/365)</f>
        <v>542.88337039197916</v>
      </c>
      <c r="O17" s="26">
        <f t="shared" si="6"/>
        <v>-63851.369706048863</v>
      </c>
    </row>
    <row r="18" spans="1:15" x14ac:dyDescent="0.2">
      <c r="A18" s="19"/>
      <c r="B18" s="14">
        <f t="shared" si="1"/>
        <v>16</v>
      </c>
      <c r="C18" s="25">
        <f>$C17*(1+(1-EXP(LN(1-'Условия + итог'!$D$4)/365)))</f>
        <v>6.8244870612204087</v>
      </c>
      <c r="D18" s="25">
        <f t="shared" si="2"/>
        <v>108.95581924942843</v>
      </c>
      <c r="E18" s="26">
        <f>'Условия + итог'!$D$5*$C18</f>
        <v>1501.3871534684899</v>
      </c>
      <c r="F18" s="26">
        <f t="shared" si="3"/>
        <v>23970.280234874259</v>
      </c>
      <c r="G18" s="26"/>
      <c r="H18" s="26">
        <f>'Условия + итог'!$D$7*$C18</f>
        <v>2047.3461183661227</v>
      </c>
      <c r="I18" s="26">
        <f>$H18-$E18-$G18</f>
        <v>545.95896489763277</v>
      </c>
      <c r="J18" s="26">
        <f t="shared" si="4"/>
        <v>-12656.706892009144</v>
      </c>
      <c r="K18" s="26">
        <f>IF(SUM($K$3:$K17)&gt;$J18,0,$J18-SUM($K$3:$K17))</f>
        <v>0</v>
      </c>
      <c r="L18" s="26">
        <f t="shared" si="0"/>
        <v>545.95896489763277</v>
      </c>
      <c r="M18" s="26">
        <f t="shared" si="5"/>
        <v>-63283.534460045725</v>
      </c>
      <c r="N18" s="26">
        <f>$L18*1/(1+'Условия + итог'!$D$8)^(($B18-$B$3)/365)</f>
        <v>542.8321605647717</v>
      </c>
      <c r="O18" s="26">
        <f t="shared" si="6"/>
        <v>-63308.537545484091</v>
      </c>
    </row>
    <row r="19" spans="1:15" x14ac:dyDescent="0.2">
      <c r="A19" s="19"/>
      <c r="B19" s="14">
        <f t="shared" si="1"/>
        <v>17</v>
      </c>
      <c r="C19" s="25">
        <f>$C18*(1+(1-EXP(LN(1-'Условия + итог'!$D$4)/365)))</f>
        <v>6.8264567261749862</v>
      </c>
      <c r="D19" s="25">
        <f t="shared" si="2"/>
        <v>115.78227597560341</v>
      </c>
      <c r="E19" s="26">
        <f>'Условия + итог'!$D$5*$C19</f>
        <v>1501.820479758497</v>
      </c>
      <c r="F19" s="26">
        <f t="shared" si="3"/>
        <v>25472.100714632757</v>
      </c>
      <c r="G19" s="26"/>
      <c r="H19" s="26">
        <f>'Условия + итог'!$D$7*$C19</f>
        <v>2047.937017852496</v>
      </c>
      <c r="I19" s="26">
        <f>$H19-$E19-$G19</f>
        <v>546.116538093999</v>
      </c>
      <c r="J19" s="26">
        <f t="shared" si="4"/>
        <v>-12547.483584390344</v>
      </c>
      <c r="K19" s="26">
        <f>IF(SUM($K$3:$K18)&gt;$J19,0,$J19-SUM($K$3:$K18))</f>
        <v>0</v>
      </c>
      <c r="L19" s="26">
        <f t="shared" si="0"/>
        <v>546.116538093999</v>
      </c>
      <c r="M19" s="26">
        <f t="shared" si="5"/>
        <v>-62737.417921951725</v>
      </c>
      <c r="N19" s="26">
        <f>$L19*1/(1+'Условия + итог'!$D$8)^(($B19-$B$3)/365)</f>
        <v>542.78095556815299</v>
      </c>
      <c r="O19" s="26">
        <f t="shared" si="6"/>
        <v>-62765.756589915938</v>
      </c>
    </row>
    <row r="20" spans="1:15" x14ac:dyDescent="0.2">
      <c r="A20" s="19"/>
      <c r="B20" s="14">
        <f t="shared" si="1"/>
        <v>18</v>
      </c>
      <c r="C20" s="25">
        <f>$C19*(1+(1-EXP(LN(1-'Условия + итог'!$D$4)/365)))</f>
        <v>6.8284269596089233</v>
      </c>
      <c r="D20" s="25">
        <f t="shared" si="2"/>
        <v>122.61070293521233</v>
      </c>
      <c r="E20" s="26">
        <f>'Условия + итог'!$D$5*$C20</f>
        <v>1502.2539311139631</v>
      </c>
      <c r="F20" s="26">
        <f t="shared" si="3"/>
        <v>26974.35464574672</v>
      </c>
      <c r="G20" s="26"/>
      <c r="H20" s="26">
        <f>'Условия + итог'!$D$7*$C20</f>
        <v>2048.528087882677</v>
      </c>
      <c r="I20" s="26">
        <f>$H20-$E20-$G20</f>
        <v>546.27415676871396</v>
      </c>
      <c r="J20" s="26">
        <f t="shared" si="4"/>
        <v>-12438.228753036601</v>
      </c>
      <c r="K20" s="26">
        <f>IF(SUM($K$3:$K19)&gt;$J20,0,$J20-SUM($K$3:$K19))</f>
        <v>0</v>
      </c>
      <c r="L20" s="26">
        <f t="shared" si="0"/>
        <v>546.27415676871396</v>
      </c>
      <c r="M20" s="26">
        <f t="shared" si="5"/>
        <v>-62191.143765183013</v>
      </c>
      <c r="N20" s="26">
        <f>$L20*1/(1+'Условия + итог'!$D$8)^(($B20-$B$3)/365)</f>
        <v>542.72975540166738</v>
      </c>
      <c r="O20" s="26">
        <f t="shared" si="6"/>
        <v>-62223.026834514269</v>
      </c>
    </row>
    <row r="21" spans="1:15" x14ac:dyDescent="0.2">
      <c r="A21" s="19"/>
      <c r="B21" s="14">
        <f t="shared" si="1"/>
        <v>19</v>
      </c>
      <c r="C21" s="25">
        <f>$C20*(1+(1-EXP(LN(1-'Условия + итог'!$D$4)/365)))</f>
        <v>6.8303977616862932</v>
      </c>
      <c r="D21" s="25">
        <f t="shared" si="2"/>
        <v>129.44110069689862</v>
      </c>
      <c r="E21" s="26">
        <f>'Условия + итог'!$D$5*$C21</f>
        <v>1502.6875075709845</v>
      </c>
      <c r="F21" s="26">
        <f t="shared" si="3"/>
        <v>28477.042153317703</v>
      </c>
      <c r="G21" s="26"/>
      <c r="H21" s="26">
        <f>'Условия + итог'!$D$7*$C21</f>
        <v>2049.119328505888</v>
      </c>
      <c r="I21" s="26">
        <f>$H21-$E21-$G21</f>
        <v>546.4318209349035</v>
      </c>
      <c r="J21" s="26">
        <f t="shared" si="4"/>
        <v>-12328.94238884962</v>
      </c>
      <c r="K21" s="26">
        <f>IF(SUM($K$3:$K20)&gt;$J21,0,$J21-SUM($K$3:$K20))</f>
        <v>0</v>
      </c>
      <c r="L21" s="26">
        <f t="shared" si="0"/>
        <v>546.4318209349035</v>
      </c>
      <c r="M21" s="26">
        <f t="shared" si="5"/>
        <v>-61644.711944248113</v>
      </c>
      <c r="N21" s="26">
        <f>$L21*1/(1+'Условия + итог'!$D$8)^(($B21-$B$3)/365)</f>
        <v>542.67856006485954</v>
      </c>
      <c r="O21" s="26">
        <f t="shared" si="6"/>
        <v>-61680.34827444941</v>
      </c>
    </row>
    <row r="22" spans="1:15" x14ac:dyDescent="0.2">
      <c r="A22" s="19"/>
      <c r="B22" s="14">
        <f t="shared" si="1"/>
        <v>20</v>
      </c>
      <c r="C22" s="25">
        <f>$C21*(1+(1-EXP(LN(1-'Условия + итог'!$D$4)/365)))</f>
        <v>6.8323691325712161</v>
      </c>
      <c r="D22" s="25">
        <f t="shared" si="2"/>
        <v>136.27346982946983</v>
      </c>
      <c r="E22" s="26">
        <f>'Условия + итог'!$D$5*$C22</f>
        <v>1503.1212091656676</v>
      </c>
      <c r="F22" s="26">
        <f t="shared" si="3"/>
        <v>29980.16336248337</v>
      </c>
      <c r="G22" s="26"/>
      <c r="H22" s="26">
        <f>'Условия + итог'!$D$7*$C22</f>
        <v>2049.7107397713648</v>
      </c>
      <c r="I22" s="26">
        <f>$H22-$E22-$G22</f>
        <v>546.58953060569729</v>
      </c>
      <c r="J22" s="26">
        <f t="shared" si="4"/>
        <v>-12219.624482728481</v>
      </c>
      <c r="K22" s="26">
        <f>IF(SUM($K$3:$K21)&gt;$J22,0,$J22-SUM($K$3:$K21))</f>
        <v>0</v>
      </c>
      <c r="L22" s="26">
        <f t="shared" si="0"/>
        <v>546.58953060569729</v>
      </c>
      <c r="M22" s="26">
        <f t="shared" si="5"/>
        <v>-61098.122413642413</v>
      </c>
      <c r="N22" s="26">
        <f>$L22*1/(1+'Условия + итог'!$D$8)^(($B22-$B$3)/365)</f>
        <v>542.62736955727382</v>
      </c>
      <c r="O22" s="26">
        <f t="shared" si="6"/>
        <v>-61137.720904892136</v>
      </c>
    </row>
    <row r="23" spans="1:15" x14ac:dyDescent="0.2">
      <c r="A23" s="19"/>
      <c r="B23" s="14">
        <f t="shared" si="1"/>
        <v>21</v>
      </c>
      <c r="C23" s="25">
        <f>$C22*(1+(1-EXP(LN(1-'Условия + итог'!$D$4)/365)))</f>
        <v>6.8343410724278595</v>
      </c>
      <c r="D23" s="25">
        <f t="shared" si="2"/>
        <v>143.10781090189769</v>
      </c>
      <c r="E23" s="26">
        <f>'Условия + итог'!$D$5*$C23</f>
        <v>1503.5550359341291</v>
      </c>
      <c r="F23" s="26">
        <f t="shared" si="3"/>
        <v>31483.718398417499</v>
      </c>
      <c r="G23" s="26"/>
      <c r="H23" s="26">
        <f>'Условия + итог'!$D$7*$C23</f>
        <v>2050.302321728358</v>
      </c>
      <c r="I23" s="26">
        <f>$H23-$E23-$G23</f>
        <v>546.7472857942289</v>
      </c>
      <c r="J23" s="26">
        <f t="shared" si="4"/>
        <v>-12110.275025569636</v>
      </c>
      <c r="K23" s="26">
        <f>IF(SUM($K$3:$K22)&gt;$J23,0,$J23-SUM($K$3:$K22))</f>
        <v>0</v>
      </c>
      <c r="L23" s="26">
        <f t="shared" si="0"/>
        <v>546.7472857942289</v>
      </c>
      <c r="M23" s="26">
        <f t="shared" si="5"/>
        <v>-60551.375127848187</v>
      </c>
      <c r="N23" s="26">
        <f>$L23*1/(1+'Условия + итог'!$D$8)^(($B23-$B$3)/365)</f>
        <v>542.5761838784548</v>
      </c>
      <c r="O23" s="26">
        <f t="shared" si="6"/>
        <v>-60595.144721013683</v>
      </c>
    </row>
    <row r="24" spans="1:15" x14ac:dyDescent="0.2">
      <c r="A24" s="19"/>
      <c r="B24" s="14">
        <f t="shared" si="1"/>
        <v>22</v>
      </c>
      <c r="C24" s="25">
        <f>$C23*(1+(1-EXP(LN(1-'Условия + итог'!$D$4)/365)))</f>
        <v>6.8363135814204385</v>
      </c>
      <c r="D24" s="25">
        <f t="shared" si="2"/>
        <v>149.94412448331812</v>
      </c>
      <c r="E24" s="26">
        <f>'Условия + итог'!$D$5*$C24</f>
        <v>1503.9889879124964</v>
      </c>
      <c r="F24" s="26">
        <f t="shared" si="3"/>
        <v>32987.707386329996</v>
      </c>
      <c r="G24" s="26"/>
      <c r="H24" s="26">
        <f>'Условия + итог'!$D$7*$C24</f>
        <v>2050.8940744261317</v>
      </c>
      <c r="I24" s="26">
        <f>$H24-$E24-$G24</f>
        <v>546.9050865136353</v>
      </c>
      <c r="J24" s="26">
        <f t="shared" si="4"/>
        <v>-12000.894008266909</v>
      </c>
      <c r="K24" s="26">
        <f>IF(SUM($K$3:$K23)&gt;$J24,0,$J24-SUM($K$3:$K23))</f>
        <v>0</v>
      </c>
      <c r="L24" s="26">
        <f t="shared" si="0"/>
        <v>546.9050865136353</v>
      </c>
      <c r="M24" s="26">
        <f t="shared" si="5"/>
        <v>-60004.470041334549</v>
      </c>
      <c r="N24" s="26">
        <f>$L24*1/(1+'Условия + итог'!$D$8)^(($B24-$B$3)/365)</f>
        <v>542.5250030279467</v>
      </c>
      <c r="O24" s="26">
        <f t="shared" si="6"/>
        <v>-60052.619717985734</v>
      </c>
    </row>
    <row r="25" spans="1:15" x14ac:dyDescent="0.2">
      <c r="A25" s="19"/>
      <c r="B25" s="14">
        <f t="shared" si="1"/>
        <v>23</v>
      </c>
      <c r="C25" s="25">
        <f>$C24*(1+(1-EXP(LN(1-'Условия + итог'!$D$4)/365)))</f>
        <v>6.8382866597132148</v>
      </c>
      <c r="D25" s="25">
        <f t="shared" si="2"/>
        <v>156.78241114303134</v>
      </c>
      <c r="E25" s="26">
        <f>'Условия + итог'!$D$5*$C25</f>
        <v>1504.4230651369073</v>
      </c>
      <c r="F25" s="26">
        <f t="shared" si="3"/>
        <v>34492.130451466903</v>
      </c>
      <c r="G25" s="26"/>
      <c r="H25" s="26">
        <f>'Условия + итог'!$D$7*$C25</f>
        <v>2051.4859979139646</v>
      </c>
      <c r="I25" s="26">
        <f>$H25-$E25-$G25</f>
        <v>547.06293277705731</v>
      </c>
      <c r="J25" s="26">
        <f t="shared" si="4"/>
        <v>-11891.481421711498</v>
      </c>
      <c r="K25" s="26">
        <f>IF(SUM($K$3:$K24)&gt;$J25,0,$J25-SUM($K$3:$K24))</f>
        <v>0</v>
      </c>
      <c r="L25" s="26">
        <f t="shared" si="0"/>
        <v>547.06293277705731</v>
      </c>
      <c r="M25" s="26">
        <f t="shared" si="5"/>
        <v>-59457.407108557491</v>
      </c>
      <c r="N25" s="26">
        <f>$L25*1/(1+'Условия + итог'!$D$8)^(($B25-$B$3)/365)</f>
        <v>542.47382700529408</v>
      </c>
      <c r="O25" s="26">
        <f t="shared" si="6"/>
        <v>-59510.145890980442</v>
      </c>
    </row>
    <row r="26" spans="1:15" x14ac:dyDescent="0.2">
      <c r="A26" s="19"/>
      <c r="B26" s="14">
        <f t="shared" si="1"/>
        <v>24</v>
      </c>
      <c r="C26" s="25">
        <f>$C25*(1+(1-EXP(LN(1-'Условия + итог'!$D$4)/365)))</f>
        <v>6.8402603074704995</v>
      </c>
      <c r="D26" s="25">
        <f t="shared" si="2"/>
        <v>163.62267145050183</v>
      </c>
      <c r="E26" s="26">
        <f>'Условия + итог'!$D$5*$C26</f>
        <v>1504.8572676435099</v>
      </c>
      <c r="F26" s="26">
        <f t="shared" si="3"/>
        <v>35996.98771911041</v>
      </c>
      <c r="G26" s="26"/>
      <c r="H26" s="26">
        <f>'Условия + итог'!$D$7*$C26</f>
        <v>2052.07809224115</v>
      </c>
      <c r="I26" s="26">
        <f>$H26-$E26-$G26</f>
        <v>547.2208245976401</v>
      </c>
      <c r="J26" s="26">
        <f t="shared" si="4"/>
        <v>-11782.037256791969</v>
      </c>
      <c r="K26" s="26">
        <f>IF(SUM($K$3:$K25)&gt;$J26,0,$J26-SUM($K$3:$K25))</f>
        <v>0</v>
      </c>
      <c r="L26" s="26">
        <f t="shared" si="0"/>
        <v>547.2208245976401</v>
      </c>
      <c r="M26" s="26">
        <f t="shared" si="5"/>
        <v>-58910.186283959847</v>
      </c>
      <c r="N26" s="26">
        <f>$L26*1/(1+'Условия + итог'!$D$8)^(($B26-$B$3)/365)</f>
        <v>542.42265581004165</v>
      </c>
      <c r="O26" s="26">
        <f t="shared" si="6"/>
        <v>-58967.723235170401</v>
      </c>
    </row>
    <row r="27" spans="1:15" x14ac:dyDescent="0.2">
      <c r="A27" s="19"/>
      <c r="B27" s="14">
        <f t="shared" si="1"/>
        <v>25</v>
      </c>
      <c r="C27" s="25">
        <f>$C26*(1+(1-EXP(LN(1-'Условия + итог'!$D$4)/365)))</f>
        <v>6.8422345248566492</v>
      </c>
      <c r="D27" s="25">
        <f t="shared" si="2"/>
        <v>170.46490597535848</v>
      </c>
      <c r="E27" s="26">
        <f>'Условия + итог'!$D$5*$C27</f>
        <v>1505.2915954684629</v>
      </c>
      <c r="F27" s="26">
        <f t="shared" si="3"/>
        <v>37502.279314578875</v>
      </c>
      <c r="G27" s="26"/>
      <c r="H27" s="26">
        <f>'Условия + итог'!$D$7*$C27</f>
        <v>2052.6703574569947</v>
      </c>
      <c r="I27" s="26">
        <f>$H27-$E27-$G27</f>
        <v>547.37876198853178</v>
      </c>
      <c r="J27" s="26">
        <f t="shared" si="4"/>
        <v>-11672.561504394263</v>
      </c>
      <c r="K27" s="26">
        <f>IF(SUM($K$3:$K26)&gt;$J27,0,$J27-SUM($K$3:$K26))</f>
        <v>0</v>
      </c>
      <c r="L27" s="26">
        <f t="shared" si="0"/>
        <v>547.37876198853178</v>
      </c>
      <c r="M27" s="26">
        <f t="shared" si="5"/>
        <v>-58362.807521971314</v>
      </c>
      <c r="N27" s="26">
        <f>$L27*1/(1+'Условия + итог'!$D$8)^(($B27-$B$3)/365)</f>
        <v>542.37148944173373</v>
      </c>
      <c r="O27" s="26">
        <f t="shared" si="6"/>
        <v>-58425.351745728665</v>
      </c>
    </row>
    <row r="28" spans="1:15" x14ac:dyDescent="0.2">
      <c r="A28" s="19"/>
      <c r="B28" s="14">
        <f t="shared" si="1"/>
        <v>26</v>
      </c>
      <c r="C28" s="25">
        <f>$C27*(1+(1-EXP(LN(1-'Условия + итог'!$D$4)/365)))</f>
        <v>6.8442093120360692</v>
      </c>
      <c r="D28" s="25">
        <f t="shared" si="2"/>
        <v>177.30911528739455</v>
      </c>
      <c r="E28" s="26">
        <f>'Условия + итог'!$D$5*$C28</f>
        <v>1505.7260486479352</v>
      </c>
      <c r="F28" s="26">
        <f t="shared" si="3"/>
        <v>39008.00536322681</v>
      </c>
      <c r="G28" s="26"/>
      <c r="H28" s="26">
        <f>'Условия + итог'!$D$7*$C28</f>
        <v>2053.2627936108206</v>
      </c>
      <c r="I28" s="26">
        <f>$H28-$E28-$G28</f>
        <v>547.53674496288545</v>
      </c>
      <c r="J28" s="26">
        <f t="shared" si="4"/>
        <v>-11563.054155401687</v>
      </c>
      <c r="K28" s="26">
        <f>IF(SUM($K$3:$K27)&gt;$J28,0,$J28-SUM($K$3:$K27))</f>
        <v>0</v>
      </c>
      <c r="L28" s="26">
        <f t="shared" si="0"/>
        <v>547.53674496288545</v>
      </c>
      <c r="M28" s="26">
        <f t="shared" si="5"/>
        <v>-57815.270777008431</v>
      </c>
      <c r="N28" s="26">
        <f>$L28*1/(1+'Условия + итог'!$D$8)^(($B28-$B$3)/365)</f>
        <v>542.3203278999157</v>
      </c>
      <c r="O28" s="26">
        <f t="shared" si="6"/>
        <v>-57883.031417828752</v>
      </c>
    </row>
    <row r="29" spans="1:15" x14ac:dyDescent="0.2">
      <c r="A29" s="19"/>
      <c r="B29" s="14">
        <f t="shared" si="1"/>
        <v>27</v>
      </c>
      <c r="C29" s="25">
        <f>$C28*(1+(1-EXP(LN(1-'Условия + итог'!$D$4)/365)))</f>
        <v>6.8461846691732111</v>
      </c>
      <c r="D29" s="25">
        <f t="shared" si="2"/>
        <v>184.15529995656775</v>
      </c>
      <c r="E29" s="26">
        <f>'Условия + итог'!$D$5*$C29</f>
        <v>1506.1606272181064</v>
      </c>
      <c r="F29" s="26">
        <f t="shared" si="3"/>
        <v>40514.165990444919</v>
      </c>
      <c r="G29" s="26"/>
      <c r="H29" s="26">
        <f>'Условия + итог'!$D$7*$C29</f>
        <v>2053.8554007519633</v>
      </c>
      <c r="I29" s="26">
        <f>$H29-$E29-$G29</f>
        <v>547.69477353385696</v>
      </c>
      <c r="J29" s="26">
        <f t="shared" si="4"/>
        <v>-11453.515200694916</v>
      </c>
      <c r="K29" s="26">
        <f>IF(SUM($K$3:$K28)&gt;$J29,0,$J29-SUM($K$3:$K28))</f>
        <v>0</v>
      </c>
      <c r="L29" s="26">
        <f t="shared" si="0"/>
        <v>547.69477353385696</v>
      </c>
      <c r="M29" s="26">
        <f t="shared" si="5"/>
        <v>-57267.576003474576</v>
      </c>
      <c r="N29" s="26">
        <f>$L29*1/(1+'Условия + итог'!$D$8)^(($B29-$B$3)/365)</f>
        <v>542.26917118413201</v>
      </c>
      <c r="O29" s="26">
        <f t="shared" si="6"/>
        <v>-57340.762246644619</v>
      </c>
    </row>
    <row r="30" spans="1:15" x14ac:dyDescent="0.2">
      <c r="A30" s="19"/>
      <c r="B30" s="14">
        <f t="shared" si="1"/>
        <v>28</v>
      </c>
      <c r="C30" s="25">
        <f>$C29*(1+(1-EXP(LN(1-'Условия + итог'!$D$4)/365)))</f>
        <v>6.8481605964325745</v>
      </c>
      <c r="D30" s="25">
        <f t="shared" si="2"/>
        <v>191.00346055300031</v>
      </c>
      <c r="E30" s="26">
        <f>'Условия + итог'!$D$5*$C30</f>
        <v>1506.5953312151664</v>
      </c>
      <c r="F30" s="26">
        <f t="shared" si="3"/>
        <v>42020.761321660088</v>
      </c>
      <c r="G30" s="26"/>
      <c r="H30" s="26">
        <f>'Условия + итог'!$D$7*$C30</f>
        <v>2054.4481789297724</v>
      </c>
      <c r="I30" s="26">
        <f>$H30-$E30-$G30</f>
        <v>547.85284771460601</v>
      </c>
      <c r="J30" s="26">
        <f t="shared" si="4"/>
        <v>-11343.944631151995</v>
      </c>
      <c r="K30" s="26">
        <f>IF(SUM($K$3:$K29)&gt;$J30,0,$J30-SUM($K$3:$K29))</f>
        <v>0</v>
      </c>
      <c r="L30" s="26">
        <f t="shared" si="0"/>
        <v>547.85284771460601</v>
      </c>
      <c r="M30" s="26">
        <f t="shared" si="5"/>
        <v>-56719.723155759973</v>
      </c>
      <c r="N30" s="26">
        <f>$L30*1/(1+'Условия + итог'!$D$8)^(($B30-$B$3)/365)</f>
        <v>542.218019293927</v>
      </c>
      <c r="O30" s="26">
        <f t="shared" si="6"/>
        <v>-56798.544227350692</v>
      </c>
    </row>
    <row r="31" spans="1:15" x14ac:dyDescent="0.2">
      <c r="A31" s="19"/>
      <c r="B31" s="14">
        <f t="shared" si="1"/>
        <v>29</v>
      </c>
      <c r="C31" s="25">
        <f>$C30*(1+(1-EXP(LN(1-'Условия + итог'!$D$4)/365)))</f>
        <v>6.8501370939787067</v>
      </c>
      <c r="D31" s="25">
        <f t="shared" si="2"/>
        <v>197.85359764697901</v>
      </c>
      <c r="E31" s="26">
        <f>'Условия + итог'!$D$5*$C31</f>
        <v>1507.0301606753155</v>
      </c>
      <c r="F31" s="26">
        <f t="shared" si="3"/>
        <v>43527.7914823354</v>
      </c>
      <c r="G31" s="26"/>
      <c r="H31" s="26">
        <f>'Условия + итог'!$D$7*$C31</f>
        <v>2055.0411281936122</v>
      </c>
      <c r="I31" s="26">
        <f>$H31-$E31-$G31</f>
        <v>548.01096751829664</v>
      </c>
      <c r="J31" s="26">
        <f t="shared" si="4"/>
        <v>-11234.342437648336</v>
      </c>
      <c r="K31" s="26">
        <f>IF(SUM($K$3:$K30)&gt;$J31,0,$J31-SUM($K$3:$K30))</f>
        <v>0</v>
      </c>
      <c r="L31" s="26">
        <f t="shared" si="0"/>
        <v>548.01096751829664</v>
      </c>
      <c r="M31" s="26">
        <f t="shared" si="5"/>
        <v>-56171.712188241676</v>
      </c>
      <c r="N31" s="26">
        <f>$L31*1/(1+'Условия + итог'!$D$8)^(($B31-$B$3)/365)</f>
        <v>542.16687222884582</v>
      </c>
      <c r="O31" s="26">
        <f t="shared" si="6"/>
        <v>-56256.377355121847</v>
      </c>
    </row>
    <row r="32" spans="1:15" x14ac:dyDescent="0.2">
      <c r="A32" s="19"/>
      <c r="B32" s="14">
        <f t="shared" si="1"/>
        <v>30</v>
      </c>
      <c r="C32" s="25">
        <f>$C31*(1+(1-EXP(LN(1-'Условия + итог'!$D$4)/365)))</f>
        <v>6.8521141619762025</v>
      </c>
      <c r="D32" s="25">
        <f t="shared" si="2"/>
        <v>204.70571180895521</v>
      </c>
      <c r="E32" s="26">
        <f>'Условия + итог'!$D$5*$C32</f>
        <v>1507.4651156347645</v>
      </c>
      <c r="F32" s="26">
        <f t="shared" si="3"/>
        <v>45035.256597970161</v>
      </c>
      <c r="G32" s="26"/>
      <c r="H32" s="26">
        <f>'Условия + итог'!$D$7*$C32</f>
        <v>2055.6342485928608</v>
      </c>
      <c r="I32" s="26">
        <f>$H32-$E32-$G32</f>
        <v>548.16913295809627</v>
      </c>
      <c r="J32" s="26">
        <f t="shared" si="4"/>
        <v>-11124.708611056718</v>
      </c>
      <c r="K32" s="26">
        <f>IF(SUM($K$3:$K31)&gt;$J32,0,$J32-SUM($K$3:$K31))</f>
        <v>0</v>
      </c>
      <c r="L32" s="26">
        <f t="shared" si="0"/>
        <v>548.16913295809627</v>
      </c>
      <c r="M32" s="26">
        <f t="shared" si="5"/>
        <v>-55623.543055283582</v>
      </c>
      <c r="N32" s="26">
        <f>$L32*1/(1+'Условия + итог'!$D$8)^(($B32-$B$3)/365)</f>
        <v>542.11572998843326</v>
      </c>
      <c r="O32" s="26">
        <f t="shared" si="6"/>
        <v>-55714.261625133411</v>
      </c>
    </row>
    <row r="33" spans="1:15" x14ac:dyDescent="0.2">
      <c r="A33" s="20"/>
      <c r="B33" s="16">
        <f t="shared" si="1"/>
        <v>31</v>
      </c>
      <c r="C33" s="27">
        <f>$C32*(1+(1-EXP(LN(1-'Условия + итог'!$D$4)/365)))</f>
        <v>6.8540918005897042</v>
      </c>
      <c r="D33" s="27">
        <f t="shared" si="2"/>
        <v>211.55980360954493</v>
      </c>
      <c r="E33" s="28">
        <f>'Условия + итог'!$D$5*$C33</f>
        <v>1507.9001961297349</v>
      </c>
      <c r="F33" s="28">
        <f t="shared" si="3"/>
        <v>46543.156794099894</v>
      </c>
      <c r="G33" s="28"/>
      <c r="H33" s="28">
        <f>'Условия + итог'!$D$7*$C33</f>
        <v>2056.2275401769111</v>
      </c>
      <c r="I33" s="28">
        <f>$H33-$E33-$G33</f>
        <v>548.32734404717621</v>
      </c>
      <c r="J33" s="28">
        <f t="shared" si="4"/>
        <v>-11015.043142247283</v>
      </c>
      <c r="K33" s="28">
        <f>IF(SUM($K$3:$K32)&gt;$J33,0,$J33-SUM($K$3:$K32))</f>
        <v>0</v>
      </c>
      <c r="L33" s="28">
        <f t="shared" si="0"/>
        <v>548.32734404717621</v>
      </c>
      <c r="M33" s="28">
        <f t="shared" si="5"/>
        <v>-55075.215711236408</v>
      </c>
      <c r="N33" s="28">
        <f>$L33*1/(1+'Условия + итог'!$D$8)^(($B33-$B$3)/365)</f>
        <v>542.06459257223401</v>
      </c>
      <c r="O33" s="28">
        <f t="shared" si="6"/>
        <v>-55172.197032561176</v>
      </c>
    </row>
    <row r="34" spans="1:15" x14ac:dyDescent="0.2">
      <c r="A34" s="18" t="s">
        <v>18</v>
      </c>
      <c r="B34" s="12">
        <f t="shared" si="1"/>
        <v>32</v>
      </c>
      <c r="C34" s="23">
        <f>$C33*(1+(1-EXP(LN(1-'Условия + итог'!$D$4)/365)))</f>
        <v>6.8560700099839016</v>
      </c>
      <c r="D34" s="23">
        <f t="shared" si="2"/>
        <v>218.41587361952884</v>
      </c>
      <c r="E34" s="24">
        <f>'Условия + итог'!$D$5*$C34</f>
        <v>1508.3354021964583</v>
      </c>
      <c r="F34" s="24">
        <f t="shared" si="3"/>
        <v>48051.492196296349</v>
      </c>
      <c r="G34" s="24"/>
      <c r="H34" s="24">
        <f>'Условия + итог'!$D$7*$C34</f>
        <v>2056.8210029951706</v>
      </c>
      <c r="I34" s="24">
        <f>$H34-$E34-$G34</f>
        <v>548.48560079871231</v>
      </c>
      <c r="J34" s="24">
        <f t="shared" si="4"/>
        <v>-10905.34602208754</v>
      </c>
      <c r="K34" s="24">
        <f>IF(SUM($K$3:$K33)&gt;$J34,0,$J34-SUM($K$3:$K33))</f>
        <v>0</v>
      </c>
      <c r="L34" s="24">
        <f t="shared" si="0"/>
        <v>548.48560079871231</v>
      </c>
      <c r="M34" s="24">
        <f t="shared" si="5"/>
        <v>-54526.730110437697</v>
      </c>
      <c r="N34" s="24">
        <f>$L34*1/(1+'Условия + итог'!$D$8)^(($B34-$B$3)/365)</f>
        <v>542.01345997979388</v>
      </c>
      <c r="O34" s="24">
        <f t="shared" si="6"/>
        <v>-54630.18357258138</v>
      </c>
    </row>
    <row r="35" spans="1:15" x14ac:dyDescent="0.2">
      <c r="A35" s="19"/>
      <c r="B35" s="14">
        <f t="shared" si="1"/>
        <v>33</v>
      </c>
      <c r="C35" s="25">
        <f>$C34*(1+(1-EXP(LN(1-'Условия + итог'!$D$4)/365)))</f>
        <v>6.8580487903235312</v>
      </c>
      <c r="D35" s="25">
        <f t="shared" si="2"/>
        <v>225.27392240985236</v>
      </c>
      <c r="E35" s="26">
        <f>'Условия + итог'!$D$5*$C35</f>
        <v>1508.7707338711768</v>
      </c>
      <c r="F35" s="26">
        <f t="shared" si="3"/>
        <v>49560.262930167526</v>
      </c>
      <c r="G35" s="26"/>
      <c r="H35" s="26">
        <f>'Условия + итог'!$D$7*$C35</f>
        <v>2057.4146370970593</v>
      </c>
      <c r="I35" s="26">
        <f>$H35-$E35-$G35</f>
        <v>548.64390322588247</v>
      </c>
      <c r="J35" s="26">
        <f t="shared" si="4"/>
        <v>-10795.617241442364</v>
      </c>
      <c r="K35" s="26">
        <f>IF(SUM($K$3:$K34)&gt;$J35,0,$J35-SUM($K$3:$K34))</f>
        <v>0</v>
      </c>
      <c r="L35" s="26">
        <f t="shared" si="0"/>
        <v>548.64390322588247</v>
      </c>
      <c r="M35" s="26">
        <f t="shared" si="5"/>
        <v>-53978.086207211811</v>
      </c>
      <c r="N35" s="26">
        <f>$L35*1/(1+'Условия + итог'!$D$8)^(($B35-$B$3)/365)</f>
        <v>541.96233221065654</v>
      </c>
      <c r="O35" s="26">
        <f t="shared" si="6"/>
        <v>-54088.221240370724</v>
      </c>
    </row>
    <row r="36" spans="1:15" x14ac:dyDescent="0.2">
      <c r="A36" s="19"/>
      <c r="B36" s="14">
        <f t="shared" si="1"/>
        <v>34</v>
      </c>
      <c r="C36" s="25">
        <f>$C35*(1+(1-EXP(LN(1-'Условия + итог'!$D$4)/365)))</f>
        <v>6.8600281417733777</v>
      </c>
      <c r="D36" s="25">
        <f t="shared" si="2"/>
        <v>232.13395055162573</v>
      </c>
      <c r="E36" s="26">
        <f>'Условия + итог'!$D$5*$C36</f>
        <v>1509.206191190143</v>
      </c>
      <c r="F36" s="26">
        <f t="shared" si="3"/>
        <v>51069.469121357666</v>
      </c>
      <c r="G36" s="26"/>
      <c r="H36" s="26">
        <f>'Условия + итог'!$D$7*$C36</f>
        <v>2058.0084425320133</v>
      </c>
      <c r="I36" s="26">
        <f>$H36-$E36-$G36</f>
        <v>548.80225134187026</v>
      </c>
      <c r="J36" s="26">
        <f t="shared" si="4"/>
        <v>-10685.85679117399</v>
      </c>
      <c r="K36" s="26">
        <f>IF(SUM($K$3:$K35)&gt;$J36,0,$J36-SUM($K$3:$K35))</f>
        <v>0</v>
      </c>
      <c r="L36" s="26">
        <f t="shared" si="0"/>
        <v>548.80225134187026</v>
      </c>
      <c r="M36" s="26">
        <f t="shared" si="5"/>
        <v>-53429.283955869942</v>
      </c>
      <c r="N36" s="26">
        <f>$L36*1/(1+'Условия + итог'!$D$8)^(($B36-$B$3)/365)</f>
        <v>541.91120926436793</v>
      </c>
      <c r="O36" s="26">
        <f t="shared" si="6"/>
        <v>-53546.310031106354</v>
      </c>
    </row>
    <row r="37" spans="1:15" x14ac:dyDescent="0.2">
      <c r="A37" s="19"/>
      <c r="B37" s="14">
        <f t="shared" si="1"/>
        <v>35</v>
      </c>
      <c r="C37" s="25">
        <f>$C36*(1+(1-EXP(LN(1-'Условия + итог'!$D$4)/365)))</f>
        <v>6.8620080644982737</v>
      </c>
      <c r="D37" s="25">
        <f t="shared" si="2"/>
        <v>238.995958616124</v>
      </c>
      <c r="E37" s="26">
        <f>'Условия + итог'!$D$5*$C37</f>
        <v>1509.6417741896203</v>
      </c>
      <c r="F37" s="26">
        <f t="shared" si="3"/>
        <v>52579.110895547288</v>
      </c>
      <c r="G37" s="26"/>
      <c r="H37" s="26">
        <f>'Условия + итог'!$D$7*$C37</f>
        <v>2058.6024193494823</v>
      </c>
      <c r="I37" s="26">
        <f>$H37-$E37-$G37</f>
        <v>548.960645159862</v>
      </c>
      <c r="J37" s="26">
        <f t="shared" si="4"/>
        <v>-10576.064662142018</v>
      </c>
      <c r="K37" s="26">
        <f>IF(SUM($K$3:$K36)&gt;$J37,0,$J37-SUM($K$3:$K36))</f>
        <v>0</v>
      </c>
      <c r="L37" s="26">
        <f t="shared" si="0"/>
        <v>548.960645159862</v>
      </c>
      <c r="M37" s="26">
        <f t="shared" si="5"/>
        <v>-52880.323310710082</v>
      </c>
      <c r="N37" s="26">
        <f>$L37*1/(1+'Условия + итог'!$D$8)^(($B37-$B$3)/365)</f>
        <v>541.86009114047283</v>
      </c>
      <c r="O37" s="26">
        <f t="shared" si="6"/>
        <v>-53004.449939965882</v>
      </c>
    </row>
    <row r="38" spans="1:15" x14ac:dyDescent="0.2">
      <c r="A38" s="19"/>
      <c r="B38" s="14">
        <f t="shared" si="1"/>
        <v>36</v>
      </c>
      <c r="C38" s="25">
        <f>$C37*(1+(1-EXP(LN(1-'Условия + итог'!$D$4)/365)))</f>
        <v>6.8639885586630989</v>
      </c>
      <c r="D38" s="25">
        <f t="shared" si="2"/>
        <v>245.8599471747871</v>
      </c>
      <c r="E38" s="26">
        <f>'Условия + итог'!$D$5*$C38</f>
        <v>1510.0774829058817</v>
      </c>
      <c r="F38" s="26">
        <f t="shared" si="3"/>
        <v>54089.188378453167</v>
      </c>
      <c r="G38" s="26"/>
      <c r="H38" s="26">
        <f>'Условия + итог'!$D$7*$C38</f>
        <v>2059.1965675989295</v>
      </c>
      <c r="I38" s="26">
        <f>$H38-$E38-$G38</f>
        <v>549.11908469304785</v>
      </c>
      <c r="J38" s="26">
        <f t="shared" si="4"/>
        <v>-10466.240845203409</v>
      </c>
      <c r="K38" s="26">
        <f>IF(SUM($K$3:$K37)&gt;$J38,0,$J38-SUM($K$3:$K37))</f>
        <v>0</v>
      </c>
      <c r="L38" s="26">
        <f t="shared" si="0"/>
        <v>549.11908469304785</v>
      </c>
      <c r="M38" s="26">
        <f t="shared" si="5"/>
        <v>-52331.204226017035</v>
      </c>
      <c r="N38" s="26">
        <f>$L38*1/(1+'Условия + итог'!$D$8)^(($B38-$B$3)/365)</f>
        <v>541.80897783851617</v>
      </c>
      <c r="O38" s="26">
        <f t="shared" si="6"/>
        <v>-52462.640962127363</v>
      </c>
    </row>
    <row r="39" spans="1:15" x14ac:dyDescent="0.2">
      <c r="A39" s="19"/>
      <c r="B39" s="14">
        <f t="shared" si="1"/>
        <v>37</v>
      </c>
      <c r="C39" s="25">
        <f>$C38*(1+(1-EXP(LN(1-'Условия + итог'!$D$4)/365)))</f>
        <v>6.8659696244327808</v>
      </c>
      <c r="D39" s="25">
        <f t="shared" si="2"/>
        <v>252.72591679921987</v>
      </c>
      <c r="E39" s="26">
        <f>'Условия + итог'!$D$5*$C39</f>
        <v>1510.5133173752117</v>
      </c>
      <c r="F39" s="26">
        <f t="shared" si="3"/>
        <v>55599.701695828378</v>
      </c>
      <c r="G39" s="26"/>
      <c r="H39" s="26">
        <f>'Условия + итог'!$D$7*$C39</f>
        <v>2059.7908873298343</v>
      </c>
      <c r="I39" s="26">
        <f>$H39-$E39-$G39</f>
        <v>549.27756995462255</v>
      </c>
      <c r="J39" s="26">
        <f t="shared" si="4"/>
        <v>-10356.385331212485</v>
      </c>
      <c r="K39" s="26">
        <f>IF(SUM($K$3:$K38)&gt;$J39,0,$J39-SUM($K$3:$K38))</f>
        <v>0</v>
      </c>
      <c r="L39" s="26">
        <f t="shared" si="0"/>
        <v>549.27756995462255</v>
      </c>
      <c r="M39" s="26">
        <f t="shared" si="5"/>
        <v>-51781.926656062409</v>
      </c>
      <c r="N39" s="26">
        <f>$L39*1/(1+'Условия + итог'!$D$8)^(($B39-$B$3)/365)</f>
        <v>541.75786935804342</v>
      </c>
      <c r="O39" s="26">
        <f t="shared" si="6"/>
        <v>-51920.88309276932</v>
      </c>
    </row>
    <row r="40" spans="1:15" x14ac:dyDescent="0.2">
      <c r="A40" s="19"/>
      <c r="B40" s="14">
        <f t="shared" si="1"/>
        <v>38</v>
      </c>
      <c r="C40" s="25">
        <f>$C39*(1+(1-EXP(LN(1-'Условия + итог'!$D$4)/365)))</f>
        <v>6.8679512619722951</v>
      </c>
      <c r="D40" s="25">
        <f t="shared" si="2"/>
        <v>259.59386806119215</v>
      </c>
      <c r="E40" s="26">
        <f>'Условия + итог'!$D$5*$C40</f>
        <v>1510.949277633905</v>
      </c>
      <c r="F40" s="26">
        <f t="shared" si="3"/>
        <v>57110.650973462281</v>
      </c>
      <c r="G40" s="26"/>
      <c r="H40" s="26">
        <f>'Условия + итог'!$D$7*$C40</f>
        <v>2060.3853785916885</v>
      </c>
      <c r="I40" s="26">
        <f>$H40-$E40-$G40</f>
        <v>549.43610095778354</v>
      </c>
      <c r="J40" s="26">
        <f t="shared" si="4"/>
        <v>-10246.498111020928</v>
      </c>
      <c r="K40" s="26">
        <f>IF(SUM($K$3:$K39)&gt;$J40,0,$J40-SUM($K$3:$K39))</f>
        <v>0</v>
      </c>
      <c r="L40" s="26">
        <f t="shared" si="0"/>
        <v>549.43610095778354</v>
      </c>
      <c r="M40" s="26">
        <f t="shared" si="5"/>
        <v>-51232.490555104625</v>
      </c>
      <c r="N40" s="26">
        <f>$L40*1/(1+'Условия + итог'!$D$8)^(($B40-$B$3)/365)</f>
        <v>541.70676569859961</v>
      </c>
      <c r="O40" s="26">
        <f t="shared" si="6"/>
        <v>-51379.176327070723</v>
      </c>
    </row>
    <row r="41" spans="1:15" x14ac:dyDescent="0.2">
      <c r="A41" s="19"/>
      <c r="B41" s="14">
        <f t="shared" si="1"/>
        <v>39</v>
      </c>
      <c r="C41" s="25">
        <f>$C40*(1+(1-EXP(LN(1-'Условия + итог'!$D$4)/365)))</f>
        <v>6.8699334714466636</v>
      </c>
      <c r="D41" s="25">
        <f t="shared" si="2"/>
        <v>266.4638015326388</v>
      </c>
      <c r="E41" s="26">
        <f>'Условия + итог'!$D$5*$C41</f>
        <v>1511.385363718266</v>
      </c>
      <c r="F41" s="26">
        <f t="shared" si="3"/>
        <v>58622.036337180551</v>
      </c>
      <c r="G41" s="26"/>
      <c r="H41" s="26">
        <f>'Условия + итог'!$D$7*$C41</f>
        <v>2060.9800414339988</v>
      </c>
      <c r="I41" s="26">
        <f>$H41-$E41-$G41</f>
        <v>549.59467771573281</v>
      </c>
      <c r="J41" s="26">
        <f t="shared" si="4"/>
        <v>-10136.579175477782</v>
      </c>
      <c r="K41" s="26">
        <f>IF(SUM($K$3:$K40)&gt;$J41,0,$J41-SUM($K$3:$K40))</f>
        <v>0</v>
      </c>
      <c r="L41" s="26">
        <f t="shared" si="0"/>
        <v>549.59467771573281</v>
      </c>
      <c r="M41" s="26">
        <f t="shared" si="5"/>
        <v>-50682.895877388895</v>
      </c>
      <c r="N41" s="26">
        <f>$L41*1/(1+'Условия + итог'!$D$8)^(($B41-$B$3)/365)</f>
        <v>541.65566685972965</v>
      </c>
      <c r="O41" s="26">
        <f t="shared" si="6"/>
        <v>-50837.52066021099</v>
      </c>
    </row>
    <row r="42" spans="1:15" x14ac:dyDescent="0.2">
      <c r="A42" s="19"/>
      <c r="B42" s="14">
        <f t="shared" si="1"/>
        <v>40</v>
      </c>
      <c r="C42" s="25">
        <f>$C41*(1+(1-EXP(LN(1-'Условия + итог'!$D$4)/365)))</f>
        <v>6.8719162530209568</v>
      </c>
      <c r="D42" s="25">
        <f t="shared" si="2"/>
        <v>273.33571778565977</v>
      </c>
      <c r="E42" s="26">
        <f>'Условия + итог'!$D$5*$C42</f>
        <v>1511.8215756646105</v>
      </c>
      <c r="F42" s="26">
        <f t="shared" si="3"/>
        <v>60133.85791284516</v>
      </c>
      <c r="G42" s="26"/>
      <c r="H42" s="26">
        <f>'Условия + итог'!$D$7*$C42</f>
        <v>2061.5748759062872</v>
      </c>
      <c r="I42" s="26">
        <f>$H42-$E42-$G42</f>
        <v>549.7533002416767</v>
      </c>
      <c r="J42" s="26">
        <f t="shared" si="4"/>
        <v>-10026.628515429447</v>
      </c>
      <c r="K42" s="26">
        <f>IF(SUM($K$3:$K41)&gt;$J42,0,$J42-SUM($K$3:$K41))</f>
        <v>0</v>
      </c>
      <c r="L42" s="26">
        <f t="shared" si="0"/>
        <v>549.7533002416767</v>
      </c>
      <c r="M42" s="26">
        <f t="shared" si="5"/>
        <v>-50133.14257714722</v>
      </c>
      <c r="N42" s="26">
        <f>$L42*1/(1+'Условия + итог'!$D$8)^(($B42-$B$3)/365)</f>
        <v>541.60457284098004</v>
      </c>
      <c r="O42" s="26">
        <f t="shared" si="6"/>
        <v>-50295.916087370009</v>
      </c>
    </row>
    <row r="43" spans="1:15" x14ac:dyDescent="0.2">
      <c r="A43" s="19"/>
      <c r="B43" s="14">
        <f t="shared" si="1"/>
        <v>41</v>
      </c>
      <c r="C43" s="25">
        <f>$C42*(1+(1-EXP(LN(1-'Условия + итог'!$D$4)/365)))</f>
        <v>6.8738996068602924</v>
      </c>
      <c r="D43" s="25">
        <f t="shared" si="2"/>
        <v>280.20961739252004</v>
      </c>
      <c r="E43" s="26">
        <f>'Условия + итог'!$D$5*$C43</f>
        <v>1512.2579135092644</v>
      </c>
      <c r="F43" s="26">
        <f t="shared" si="3"/>
        <v>61646.115826354428</v>
      </c>
      <c r="G43" s="26"/>
      <c r="H43" s="26">
        <f>'Условия + итог'!$D$7*$C43</f>
        <v>2062.1698820580878</v>
      </c>
      <c r="I43" s="26">
        <f>$H43-$E43-$G43</f>
        <v>549.91196854882332</v>
      </c>
      <c r="J43" s="26">
        <f t="shared" si="4"/>
        <v>-9916.6461217196829</v>
      </c>
      <c r="K43" s="26">
        <f>IF(SUM($K$3:$K42)&gt;$J43,0,$J43-SUM($K$3:$K42))</f>
        <v>0</v>
      </c>
      <c r="L43" s="26">
        <f t="shared" si="0"/>
        <v>549.91196854882332</v>
      </c>
      <c r="M43" s="26">
        <f t="shared" si="5"/>
        <v>-49583.230608598395</v>
      </c>
      <c r="N43" s="26">
        <f>$L43*1/(1+'Условия + итог'!$D$8)^(($B43-$B$3)/365)</f>
        <v>541.55348364189456</v>
      </c>
      <c r="O43" s="26">
        <f t="shared" si="6"/>
        <v>-49754.362603728114</v>
      </c>
    </row>
    <row r="44" spans="1:15" x14ac:dyDescent="0.2">
      <c r="A44" s="19"/>
      <c r="B44" s="14">
        <f t="shared" si="1"/>
        <v>42</v>
      </c>
      <c r="C44" s="25">
        <f>$C43*(1+(1-EXP(LN(1-'Условия + итог'!$D$4)/365)))</f>
        <v>6.8758835331298362</v>
      </c>
      <c r="D44" s="25">
        <f t="shared" si="2"/>
        <v>287.08550092564985</v>
      </c>
      <c r="E44" s="26">
        <f>'Условия + итог'!$D$5*$C44</f>
        <v>1512.6943772885641</v>
      </c>
      <c r="F44" s="26">
        <f t="shared" si="3"/>
        <v>63158.810203642992</v>
      </c>
      <c r="G44" s="26"/>
      <c r="H44" s="26">
        <f>'Условия + итог'!$D$7*$C44</f>
        <v>2062.7650599389508</v>
      </c>
      <c r="I44" s="26">
        <f>$H44-$E44-$G44</f>
        <v>550.07068265038674</v>
      </c>
      <c r="J44" s="26">
        <f t="shared" si="4"/>
        <v>-9806.631985189606</v>
      </c>
      <c r="K44" s="26">
        <f>IF(SUM($K$3:$K43)&gt;$J44,0,$J44-SUM($K$3:$K43))</f>
        <v>0</v>
      </c>
      <c r="L44" s="26">
        <f t="shared" si="0"/>
        <v>550.07068265038674</v>
      </c>
      <c r="M44" s="26">
        <f t="shared" si="5"/>
        <v>-49033.159925948006</v>
      </c>
      <c r="N44" s="26">
        <f>$L44*1/(1+'Условия + итог'!$D$8)^(($B44-$B$3)/365)</f>
        <v>541.50239926201914</v>
      </c>
      <c r="O44" s="26">
        <f t="shared" si="6"/>
        <v>-49212.860204466095</v>
      </c>
    </row>
    <row r="45" spans="1:15" x14ac:dyDescent="0.2">
      <c r="A45" s="19"/>
      <c r="B45" s="14">
        <f t="shared" si="1"/>
        <v>43</v>
      </c>
      <c r="C45" s="25">
        <f>$C44*(1+(1-EXP(LN(1-'Условия + итог'!$D$4)/365)))</f>
        <v>6.8778680319948018</v>
      </c>
      <c r="D45" s="25">
        <f t="shared" si="2"/>
        <v>293.96336895764466</v>
      </c>
      <c r="E45" s="26">
        <f>'Условия + итог'!$D$5*$C45</f>
        <v>1513.1309670388564</v>
      </c>
      <c r="F45" s="26">
        <f t="shared" si="3"/>
        <v>64671.94117068185</v>
      </c>
      <c r="G45" s="26"/>
      <c r="H45" s="26">
        <f>'Условия + итог'!$D$7*$C45</f>
        <v>2063.3604095984406</v>
      </c>
      <c r="I45" s="26">
        <f>$H45-$E45-$G45</f>
        <v>550.22944255958419</v>
      </c>
      <c r="J45" s="26">
        <f t="shared" si="4"/>
        <v>-9696.5860966776891</v>
      </c>
      <c r="K45" s="26">
        <f>IF(SUM($K$3:$K44)&gt;$J45,0,$J45-SUM($K$3:$K44))</f>
        <v>0</v>
      </c>
      <c r="L45" s="26">
        <f t="shared" si="0"/>
        <v>550.22944255958419</v>
      </c>
      <c r="M45" s="26">
        <f t="shared" si="5"/>
        <v>-48482.930483388423</v>
      </c>
      <c r="N45" s="26">
        <f>$L45*1/(1+'Условия + итог'!$D$8)^(($B45-$B$3)/365)</f>
        <v>541.45131970089983</v>
      </c>
      <c r="O45" s="26">
        <f t="shared" si="6"/>
        <v>-48671.408884765195</v>
      </c>
    </row>
    <row r="46" spans="1:15" x14ac:dyDescent="0.2">
      <c r="A46" s="19"/>
      <c r="B46" s="14">
        <f t="shared" si="1"/>
        <v>44</v>
      </c>
      <c r="C46" s="25">
        <f>$C45*(1+(1-EXP(LN(1-'Условия + итог'!$D$4)/365)))</f>
        <v>6.8798531036204498</v>
      </c>
      <c r="D46" s="25">
        <f t="shared" si="2"/>
        <v>300.84322206126512</v>
      </c>
      <c r="E46" s="26">
        <f>'Условия + итог'!$D$5*$C46</f>
        <v>1513.567682796499</v>
      </c>
      <c r="F46" s="26">
        <f t="shared" si="3"/>
        <v>66185.508853478343</v>
      </c>
      <c r="G46" s="26"/>
      <c r="H46" s="26">
        <f>'Условия + итог'!$D$7*$C46</f>
        <v>2063.955931086135</v>
      </c>
      <c r="I46" s="26">
        <f>$H46-$E46-$G46</f>
        <v>550.38824828963607</v>
      </c>
      <c r="J46" s="26">
        <f t="shared" si="4"/>
        <v>-9586.5084470197617</v>
      </c>
      <c r="K46" s="26">
        <f>IF(SUM($K$3:$K45)&gt;$J46,0,$J46-SUM($K$3:$K45))</f>
        <v>0</v>
      </c>
      <c r="L46" s="26">
        <f t="shared" si="0"/>
        <v>550.38824828963607</v>
      </c>
      <c r="M46" s="26">
        <f t="shared" si="5"/>
        <v>-47932.542235098786</v>
      </c>
      <c r="N46" s="26">
        <f>$L46*1/(1+'Условия + итог'!$D$8)^(($B46-$B$3)/365)</f>
        <v>541.40024495808132</v>
      </c>
      <c r="O46" s="26">
        <f t="shared" si="6"/>
        <v>-48130.008639807114</v>
      </c>
    </row>
    <row r="47" spans="1:15" x14ac:dyDescent="0.2">
      <c r="A47" s="19"/>
      <c r="B47" s="14">
        <f t="shared" si="1"/>
        <v>45</v>
      </c>
      <c r="C47" s="25">
        <f>$C46*(1+(1-EXP(LN(1-'Условия + итог'!$D$4)/365)))</f>
        <v>6.8818387481720888</v>
      </c>
      <c r="D47" s="25">
        <f t="shared" si="2"/>
        <v>307.7250608094372</v>
      </c>
      <c r="E47" s="26">
        <f>'Условия + итог'!$D$5*$C47</f>
        <v>1514.0045245978595</v>
      </c>
      <c r="F47" s="26">
        <f t="shared" si="3"/>
        <v>67699.513378076197</v>
      </c>
      <c r="G47" s="26"/>
      <c r="H47" s="26">
        <f>'Условия + итог'!$D$7*$C47</f>
        <v>2064.5516244516266</v>
      </c>
      <c r="I47" s="26">
        <f>$H47-$E47-$G47</f>
        <v>550.54709985376712</v>
      </c>
      <c r="J47" s="26">
        <f t="shared" si="4"/>
        <v>-9476.3990270490085</v>
      </c>
      <c r="K47" s="26">
        <f>IF(SUM($K$3:$K46)&gt;$J47,0,$J47-SUM($K$3:$K46))</f>
        <v>0</v>
      </c>
      <c r="L47" s="26">
        <f t="shared" si="0"/>
        <v>550.54709985376712</v>
      </c>
      <c r="M47" s="26">
        <f t="shared" si="5"/>
        <v>-47381.995135245023</v>
      </c>
      <c r="N47" s="26">
        <f>$L47*1/(1+'Условия + итог'!$D$8)^(($B47-$B$3)/365)</f>
        <v>541.34917503310908</v>
      </c>
      <c r="O47" s="26">
        <f t="shared" si="6"/>
        <v>-47588.659464774006</v>
      </c>
    </row>
    <row r="48" spans="1:15" x14ac:dyDescent="0.2">
      <c r="A48" s="19"/>
      <c r="B48" s="14">
        <f t="shared" si="1"/>
        <v>46</v>
      </c>
      <c r="C48" s="25">
        <f>$C47*(1+(1-EXP(LN(1-'Условия + итог'!$D$4)/365)))</f>
        <v>6.8838249658150756</v>
      </c>
      <c r="D48" s="25">
        <f t="shared" si="2"/>
        <v>314.60888577525225</v>
      </c>
      <c r="E48" s="26">
        <f>'Условия + итог'!$D$5*$C48</f>
        <v>1514.4414924793166</v>
      </c>
      <c r="F48" s="26">
        <f t="shared" si="3"/>
        <v>69213.954870555521</v>
      </c>
      <c r="G48" s="26"/>
      <c r="H48" s="26">
        <f>'Условия + итог'!$D$7*$C48</f>
        <v>2065.1474897445228</v>
      </c>
      <c r="I48" s="26">
        <f>$H48-$E48-$G48</f>
        <v>550.70599726520618</v>
      </c>
      <c r="J48" s="26">
        <f t="shared" si="4"/>
        <v>-9366.2578275959677</v>
      </c>
      <c r="K48" s="26">
        <f>IF(SUM($K$3:$K47)&gt;$J48,0,$J48-SUM($K$3:$K47))</f>
        <v>0</v>
      </c>
      <c r="L48" s="26">
        <f t="shared" si="0"/>
        <v>550.70599726520618</v>
      </c>
      <c r="M48" s="26">
        <f t="shared" si="5"/>
        <v>-46831.289137979817</v>
      </c>
      <c r="N48" s="26">
        <f>$L48*1/(1+'Условия + итог'!$D$8)^(($B48-$B$3)/365)</f>
        <v>541.29810992552927</v>
      </c>
      <c r="O48" s="26">
        <f t="shared" si="6"/>
        <v>-47047.361354848479</v>
      </c>
    </row>
    <row r="49" spans="1:15" x14ac:dyDescent="0.2">
      <c r="A49" s="19"/>
      <c r="B49" s="14">
        <f t="shared" si="1"/>
        <v>47</v>
      </c>
      <c r="C49" s="25">
        <f>$C48*(1+(1-EXP(LN(1-'Условия + итог'!$D$4)/365)))</f>
        <v>6.8858117567148138</v>
      </c>
      <c r="D49" s="25">
        <f t="shared" si="2"/>
        <v>321.49469753196706</v>
      </c>
      <c r="E49" s="26">
        <f>'Условия + итог'!$D$5*$C49</f>
        <v>1514.878586477259</v>
      </c>
      <c r="F49" s="26">
        <f t="shared" si="3"/>
        <v>70728.833457032786</v>
      </c>
      <c r="G49" s="26"/>
      <c r="H49" s="26">
        <f>'Условия + итог'!$D$7*$C49</f>
        <v>2065.7435270144442</v>
      </c>
      <c r="I49" s="26">
        <f>$H49-$E49-$G49</f>
        <v>550.86494053718525</v>
      </c>
      <c r="J49" s="26">
        <f t="shared" si="4"/>
        <v>-9256.0848394885306</v>
      </c>
      <c r="K49" s="26">
        <f>IF(SUM($K$3:$K48)&gt;$J49,0,$J49-SUM($K$3:$K48))</f>
        <v>0</v>
      </c>
      <c r="L49" s="26">
        <f t="shared" si="0"/>
        <v>550.86494053718525</v>
      </c>
      <c r="M49" s="26">
        <f t="shared" si="5"/>
        <v>-46280.424197442633</v>
      </c>
      <c r="N49" s="26">
        <f>$L49*1/(1+'Условия + итог'!$D$8)^(($B49-$B$3)/365)</f>
        <v>541.24704963488693</v>
      </c>
      <c r="O49" s="26">
        <f t="shared" si="6"/>
        <v>-46506.114305213589</v>
      </c>
    </row>
    <row r="50" spans="1:15" x14ac:dyDescent="0.2">
      <c r="A50" s="19"/>
      <c r="B50" s="14">
        <f t="shared" si="1"/>
        <v>48</v>
      </c>
      <c r="C50" s="25">
        <f>$C49*(1+(1-EXP(LN(1-'Условия + итог'!$D$4)/365)))</f>
        <v>6.8877991210367551</v>
      </c>
      <c r="D50" s="25">
        <f t="shared" si="2"/>
        <v>328.38249665300384</v>
      </c>
      <c r="E50" s="26">
        <f>'Условия + итог'!$D$5*$C50</f>
        <v>1515.3158066280862</v>
      </c>
      <c r="F50" s="26">
        <f t="shared" si="3"/>
        <v>72244.149263660875</v>
      </c>
      <c r="G50" s="26"/>
      <c r="H50" s="26">
        <f>'Условия + итог'!$D$7*$C50</f>
        <v>2066.3397363110266</v>
      </c>
      <c r="I50" s="26">
        <f>$H50-$E50-$G50</f>
        <v>551.02392968294043</v>
      </c>
      <c r="J50" s="26">
        <f t="shared" si="4"/>
        <v>-9145.8800535519422</v>
      </c>
      <c r="K50" s="26">
        <f>IF(SUM($K$3:$K49)&gt;$J50,0,$J50-SUM($K$3:$K49))</f>
        <v>0</v>
      </c>
      <c r="L50" s="26">
        <f t="shared" si="0"/>
        <v>551.02392968294043</v>
      </c>
      <c r="M50" s="26">
        <f t="shared" si="5"/>
        <v>-45729.400267759695</v>
      </c>
      <c r="N50" s="26">
        <f>$L50*1/(1+'Условия + итог'!$D$8)^(($B50-$B$3)/365)</f>
        <v>541.19599416072765</v>
      </c>
      <c r="O50" s="26">
        <f t="shared" si="6"/>
        <v>-45964.918311052861</v>
      </c>
    </row>
    <row r="51" spans="1:15" x14ac:dyDescent="0.2">
      <c r="A51" s="19"/>
      <c r="B51" s="14">
        <f t="shared" si="1"/>
        <v>49</v>
      </c>
      <c r="C51" s="25">
        <f>$C50*(1+(1-EXP(LN(1-'Условия + итог'!$D$4)/365)))</f>
        <v>6.8897870589463999</v>
      </c>
      <c r="D51" s="25">
        <f t="shared" si="2"/>
        <v>335.27228371195025</v>
      </c>
      <c r="E51" s="26">
        <f>'Условия + итог'!$D$5*$C51</f>
        <v>1515.753152968208</v>
      </c>
      <c r="F51" s="26">
        <f t="shared" si="3"/>
        <v>73759.902416629076</v>
      </c>
      <c r="G51" s="26"/>
      <c r="H51" s="26">
        <f>'Условия + итог'!$D$7*$C51</f>
        <v>2066.9361176839197</v>
      </c>
      <c r="I51" s="26">
        <f>$H51-$E51-$G51</f>
        <v>551.18296471571171</v>
      </c>
      <c r="J51" s="26">
        <f t="shared" si="4"/>
        <v>-9035.6434606088005</v>
      </c>
      <c r="K51" s="26">
        <f>IF(SUM($K$3:$K50)&gt;$J51,0,$J51-SUM($K$3:$K50))</f>
        <v>0</v>
      </c>
      <c r="L51" s="26">
        <f t="shared" si="0"/>
        <v>551.18296471571171</v>
      </c>
      <c r="M51" s="26">
        <f t="shared" si="5"/>
        <v>-45178.217303043981</v>
      </c>
      <c r="N51" s="26">
        <f>$L51*1/(1+'Условия + итог'!$D$8)^(($B51-$B$3)/365)</f>
        <v>541.14494350259724</v>
      </c>
      <c r="O51" s="26">
        <f t="shared" si="6"/>
        <v>-45423.77336755026</v>
      </c>
    </row>
    <row r="52" spans="1:15" x14ac:dyDescent="0.2">
      <c r="A52" s="19"/>
      <c r="B52" s="14">
        <f t="shared" si="1"/>
        <v>50</v>
      </c>
      <c r="C52" s="25">
        <f>$C51*(1+(1-EXP(LN(1-'Условия + итог'!$D$4)/365)))</f>
        <v>6.8917755706092949</v>
      </c>
      <c r="D52" s="25">
        <f t="shared" si="2"/>
        <v>342.16405928255955</v>
      </c>
      <c r="E52" s="26">
        <f>'Условия + итог'!$D$5*$C52</f>
        <v>1516.1906255340448</v>
      </c>
      <c r="F52" s="26">
        <f t="shared" si="3"/>
        <v>75276.09304216312</v>
      </c>
      <c r="G52" s="26"/>
      <c r="H52" s="26">
        <f>'Условия + итог'!$D$7*$C52</f>
        <v>2067.5326711827884</v>
      </c>
      <c r="I52" s="26">
        <f>$H52-$E52-$G52</f>
        <v>551.34204564874358</v>
      </c>
      <c r="J52" s="26">
        <f t="shared" si="4"/>
        <v>-8925.3750514790518</v>
      </c>
      <c r="K52" s="26">
        <f>IF(SUM($K$3:$K51)&gt;$J52,0,$J52-SUM($K$3:$K51))</f>
        <v>0</v>
      </c>
      <c r="L52" s="26">
        <f t="shared" si="0"/>
        <v>551.34204564874358</v>
      </c>
      <c r="M52" s="26">
        <f t="shared" si="5"/>
        <v>-44626.875257395237</v>
      </c>
      <c r="N52" s="26">
        <f>$L52*1/(1+'Условия + итог'!$D$8)^(($B52-$B$3)/365)</f>
        <v>541.09389766004199</v>
      </c>
      <c r="O52" s="26">
        <f t="shared" si="6"/>
        <v>-44882.679469890216</v>
      </c>
    </row>
    <row r="53" spans="1:15" x14ac:dyDescent="0.2">
      <c r="A53" s="19"/>
      <c r="B53" s="14">
        <f t="shared" si="1"/>
        <v>51</v>
      </c>
      <c r="C53" s="25">
        <f>$C52*(1+(1-EXP(LN(1-'Условия + итог'!$D$4)/365)))</f>
        <v>6.8937646561910348</v>
      </c>
      <c r="D53" s="25">
        <f t="shared" si="2"/>
        <v>349.05782393875057</v>
      </c>
      <c r="E53" s="26">
        <f>'Условия + итог'!$D$5*$C53</f>
        <v>1516.6282243620276</v>
      </c>
      <c r="F53" s="26">
        <f t="shared" si="3"/>
        <v>76792.721266525143</v>
      </c>
      <c r="G53" s="26"/>
      <c r="H53" s="26">
        <f>'Условия + итог'!$D$7*$C53</f>
        <v>2068.1293968573104</v>
      </c>
      <c r="I53" s="26">
        <f>$H53-$E53-$G53</f>
        <v>551.50117249528284</v>
      </c>
      <c r="J53" s="26">
        <f t="shared" si="4"/>
        <v>-8815.0748169799954</v>
      </c>
      <c r="K53" s="26">
        <f>IF(SUM($K$3:$K52)&gt;$J53,0,$J53-SUM($K$3:$K52))</f>
        <v>0</v>
      </c>
      <c r="L53" s="26">
        <f t="shared" si="0"/>
        <v>551.50117249528284</v>
      </c>
      <c r="M53" s="26">
        <f t="shared" si="5"/>
        <v>-44075.374084899951</v>
      </c>
      <c r="N53" s="26">
        <f>$L53*1/(1+'Условия + итог'!$D$8)^(($B53-$B$3)/365)</f>
        <v>541.0428566326068</v>
      </c>
      <c r="O53" s="26">
        <f t="shared" si="6"/>
        <v>-44341.636613257608</v>
      </c>
    </row>
    <row r="54" spans="1:15" x14ac:dyDescent="0.2">
      <c r="A54" s="19"/>
      <c r="B54" s="14">
        <f t="shared" si="1"/>
        <v>52</v>
      </c>
      <c r="C54" s="25">
        <f>$C53*(1+(1-EXP(LN(1-'Условия + итог'!$D$4)/365)))</f>
        <v>6.8957543158572632</v>
      </c>
      <c r="D54" s="25">
        <f t="shared" si="2"/>
        <v>355.95357825460786</v>
      </c>
      <c r="E54" s="26">
        <f>'Условия + итог'!$D$5*$C54</f>
        <v>1517.0659494885979</v>
      </c>
      <c r="F54" s="26">
        <f t="shared" si="3"/>
        <v>78309.787216013734</v>
      </c>
      <c r="G54" s="26"/>
      <c r="H54" s="26">
        <f>'Условия + итог'!$D$7*$C54</f>
        <v>2068.7262947571789</v>
      </c>
      <c r="I54" s="26">
        <f>$H54-$E54-$G54</f>
        <v>551.66034526858107</v>
      </c>
      <c r="J54" s="26">
        <f t="shared" si="4"/>
        <v>-8704.7427479262788</v>
      </c>
      <c r="K54" s="26">
        <f>IF(SUM($K$3:$K53)&gt;$J54,0,$J54-SUM($K$3:$K53))</f>
        <v>0</v>
      </c>
      <c r="L54" s="26">
        <f t="shared" si="0"/>
        <v>551.66034526858107</v>
      </c>
      <c r="M54" s="26">
        <f t="shared" si="5"/>
        <v>-43523.71373963137</v>
      </c>
      <c r="N54" s="26">
        <f>$L54*1/(1+'Условия + итог'!$D$8)^(($B54-$B$3)/365)</f>
        <v>540.99182041983772</v>
      </c>
      <c r="O54" s="26">
        <f t="shared" si="6"/>
        <v>-43800.644792837767</v>
      </c>
    </row>
    <row r="55" spans="1:15" x14ac:dyDescent="0.2">
      <c r="A55" s="19"/>
      <c r="B55" s="14">
        <f t="shared" si="1"/>
        <v>53</v>
      </c>
      <c r="C55" s="25">
        <f>$C54*(1+(1-EXP(LN(1-'Условия + итог'!$D$4)/365)))</f>
        <v>6.8977445497736705</v>
      </c>
      <c r="D55" s="25">
        <f t="shared" si="2"/>
        <v>362.85132280438154</v>
      </c>
      <c r="E55" s="26">
        <f>'Условия + итог'!$D$5*$C55</f>
        <v>1517.5038009502075</v>
      </c>
      <c r="F55" s="26">
        <f t="shared" si="3"/>
        <v>79827.291016963936</v>
      </c>
      <c r="G55" s="26"/>
      <c r="H55" s="26">
        <f>'Условия + итог'!$D$7*$C55</f>
        <v>2069.323364932101</v>
      </c>
      <c r="I55" s="26">
        <f>$H55-$E55-$G55</f>
        <v>551.81956398189345</v>
      </c>
      <c r="J55" s="26">
        <f t="shared" si="4"/>
        <v>-8594.3788351299008</v>
      </c>
      <c r="K55" s="26">
        <f>IF(SUM($K$3:$K54)&gt;$J55,0,$J55-SUM($K$3:$K54))</f>
        <v>0</v>
      </c>
      <c r="L55" s="26">
        <f t="shared" si="0"/>
        <v>551.81956398189345</v>
      </c>
      <c r="M55" s="26">
        <f t="shared" si="5"/>
        <v>-42971.894175649475</v>
      </c>
      <c r="N55" s="26">
        <f>$L55*1/(1+'Условия + итог'!$D$8)^(($B55-$B$3)/365)</f>
        <v>540.94078902128047</v>
      </c>
      <c r="O55" s="26">
        <f t="shared" si="6"/>
        <v>-43259.704003816485</v>
      </c>
    </row>
    <row r="56" spans="1:15" x14ac:dyDescent="0.2">
      <c r="A56" s="19"/>
      <c r="B56" s="14">
        <f t="shared" si="1"/>
        <v>54</v>
      </c>
      <c r="C56" s="25">
        <f>$C55*(1+(1-EXP(LN(1-'Условия + итог'!$D$4)/365)))</f>
        <v>6.8997353581059953</v>
      </c>
      <c r="D56" s="25">
        <f t="shared" si="2"/>
        <v>369.75105816248754</v>
      </c>
      <c r="E56" s="26">
        <f>'Условия + итог'!$D$5*$C56</f>
        <v>1517.941778783319</v>
      </c>
      <c r="F56" s="26">
        <f t="shared" si="3"/>
        <v>81345.232795747259</v>
      </c>
      <c r="G56" s="26"/>
      <c r="H56" s="26">
        <f>'Условия + итог'!$D$7*$C56</f>
        <v>2069.9206074317985</v>
      </c>
      <c r="I56" s="26">
        <f>$H56-$E56-$G56</f>
        <v>551.97882864847952</v>
      </c>
      <c r="J56" s="26">
        <f t="shared" si="4"/>
        <v>-8483.9830694002048</v>
      </c>
      <c r="K56" s="26">
        <f>IF(SUM($K$3:$K55)&gt;$J56,0,$J56-SUM($K$3:$K55))</f>
        <v>0</v>
      </c>
      <c r="L56" s="26">
        <f t="shared" si="0"/>
        <v>551.97882864847952</v>
      </c>
      <c r="M56" s="26">
        <f t="shared" si="5"/>
        <v>-42419.915347000999</v>
      </c>
      <c r="N56" s="26">
        <f>$L56*1/(1+'Условия + итог'!$D$8)^(($B56-$B$3)/365)</f>
        <v>540.88976243648142</v>
      </c>
      <c r="O56" s="26">
        <f t="shared" si="6"/>
        <v>-42718.814241380001</v>
      </c>
    </row>
    <row r="57" spans="1:15" x14ac:dyDescent="0.2">
      <c r="A57" s="19"/>
      <c r="B57" s="14">
        <f t="shared" si="1"/>
        <v>55</v>
      </c>
      <c r="C57" s="25">
        <f>$C56*(1+(1-EXP(LN(1-'Условия + итог'!$D$4)/365)))</f>
        <v>6.901726741020024</v>
      </c>
      <c r="D57" s="25">
        <f t="shared" si="2"/>
        <v>376.65278490350755</v>
      </c>
      <c r="E57" s="26">
        <f>'Условия + итог'!$D$5*$C57</f>
        <v>1518.3798830244052</v>
      </c>
      <c r="F57" s="26">
        <f t="shared" si="3"/>
        <v>82863.612678771664</v>
      </c>
      <c r="G57" s="26"/>
      <c r="H57" s="26">
        <f>'Условия + итог'!$D$7*$C57</f>
        <v>2070.5180223060074</v>
      </c>
      <c r="I57" s="26">
        <f>$H57-$E57-$G57</f>
        <v>552.13813928160221</v>
      </c>
      <c r="J57" s="26">
        <f t="shared" si="4"/>
        <v>-8373.5554415438837</v>
      </c>
      <c r="K57" s="26">
        <f>IF(SUM($K$3:$K56)&gt;$J57,0,$J57-SUM($K$3:$K56))</f>
        <v>0</v>
      </c>
      <c r="L57" s="26">
        <f t="shared" si="0"/>
        <v>552.13813928160221</v>
      </c>
      <c r="M57" s="26">
        <f t="shared" si="5"/>
        <v>-41867.777207719395</v>
      </c>
      <c r="N57" s="26">
        <f>$L57*1/(1+'Условия + итог'!$D$8)^(($B57-$B$3)/365)</f>
        <v>540.83874066498652</v>
      </c>
      <c r="O57" s="26">
        <f t="shared" si="6"/>
        <v>-42177.975500715016</v>
      </c>
    </row>
    <row r="58" spans="1:15" x14ac:dyDescent="0.2">
      <c r="A58" s="19"/>
      <c r="B58" s="14">
        <f t="shared" si="1"/>
        <v>56</v>
      </c>
      <c r="C58" s="25">
        <f>$C57*(1+(1-EXP(LN(1-'Условия + итог'!$D$4)/365)))</f>
        <v>6.9037186986815904</v>
      </c>
      <c r="D58" s="25">
        <f t="shared" si="2"/>
        <v>383.55650360218914</v>
      </c>
      <c r="E58" s="26">
        <f>'Условия + итог'!$D$5*$C58</f>
        <v>1518.8181137099498</v>
      </c>
      <c r="F58" s="26">
        <f t="shared" si="3"/>
        <v>84382.430792481609</v>
      </c>
      <c r="G58" s="26"/>
      <c r="H58" s="26">
        <f>'Условия + итог'!$D$7*$C58</f>
        <v>2071.115609604477</v>
      </c>
      <c r="I58" s="26">
        <f>$H58-$E58-$G58</f>
        <v>552.29749589452717</v>
      </c>
      <c r="J58" s="26">
        <f t="shared" si="4"/>
        <v>-8263.0959423649783</v>
      </c>
      <c r="K58" s="26">
        <f>IF(SUM($K$3:$K57)&gt;$J58,0,$J58-SUM($K$3:$K57))</f>
        <v>0</v>
      </c>
      <c r="L58" s="26">
        <f t="shared" si="0"/>
        <v>552.29749589452717</v>
      </c>
      <c r="M58" s="26">
        <f t="shared" si="5"/>
        <v>-41315.479711824868</v>
      </c>
      <c r="N58" s="26">
        <f>$L58*1/(1+'Условия + итог'!$D$8)^(($B58-$B$3)/365)</f>
        <v>540.78772370634056</v>
      </c>
      <c r="O58" s="26">
        <f t="shared" si="6"/>
        <v>-41637.187777008672</v>
      </c>
    </row>
    <row r="59" spans="1:15" x14ac:dyDescent="0.2">
      <c r="A59" s="19"/>
      <c r="B59" s="14">
        <f t="shared" si="1"/>
        <v>57</v>
      </c>
      <c r="C59" s="25">
        <f>$C58*(1+(1-EXP(LN(1-'Условия + итог'!$D$4)/365)))</f>
        <v>6.9057112312565776</v>
      </c>
      <c r="D59" s="25">
        <f t="shared" si="2"/>
        <v>390.46221483344573</v>
      </c>
      <c r="E59" s="26">
        <f>'Условия + итог'!$D$5*$C59</f>
        <v>1519.2564708764471</v>
      </c>
      <c r="F59" s="26">
        <f t="shared" si="3"/>
        <v>85901.68726335805</v>
      </c>
      <c r="G59" s="26"/>
      <c r="H59" s="26">
        <f>'Условия + итог'!$D$7*$C59</f>
        <v>2071.7133693769733</v>
      </c>
      <c r="I59" s="26">
        <f>$H59-$E59-$G59</f>
        <v>552.45689850052622</v>
      </c>
      <c r="J59" s="26">
        <f t="shared" si="4"/>
        <v>-8152.6045626648729</v>
      </c>
      <c r="K59" s="26">
        <f>IF(SUM($K$3:$K58)&gt;$J59,0,$J59-SUM($K$3:$K58))</f>
        <v>0</v>
      </c>
      <c r="L59" s="26">
        <f t="shared" si="0"/>
        <v>552.45689850052622</v>
      </c>
      <c r="M59" s="26">
        <f t="shared" si="5"/>
        <v>-40763.022813324344</v>
      </c>
      <c r="N59" s="26">
        <f>$L59*1/(1+'Условия + итог'!$D$8)^(($B59-$B$3)/365)</f>
        <v>540.73671156009084</v>
      </c>
      <c r="O59" s="26">
        <f t="shared" si="6"/>
        <v>-41096.451065448578</v>
      </c>
    </row>
    <row r="60" spans="1:15" x14ac:dyDescent="0.2">
      <c r="A60" s="19"/>
      <c r="B60" s="14">
        <f t="shared" si="1"/>
        <v>58</v>
      </c>
      <c r="C60" s="25">
        <f>$C59*(1+(1-EXP(LN(1-'Условия + итог'!$D$4)/365)))</f>
        <v>6.9077043389109143</v>
      </c>
      <c r="D60" s="25">
        <f t="shared" si="2"/>
        <v>397.36991917235662</v>
      </c>
      <c r="E60" s="26">
        <f>'Условия + итог'!$D$5*$C60</f>
        <v>1519.6949545604011</v>
      </c>
      <c r="F60" s="26">
        <f t="shared" si="3"/>
        <v>87421.38221791845</v>
      </c>
      <c r="G60" s="26"/>
      <c r="H60" s="26">
        <f>'Условия + итог'!$D$7*$C60</f>
        <v>2072.3113016732741</v>
      </c>
      <c r="I60" s="26">
        <f>$H60-$E60-$G60</f>
        <v>552.61634711287297</v>
      </c>
      <c r="J60" s="26">
        <f t="shared" si="4"/>
        <v>-8042.0812932422987</v>
      </c>
      <c r="K60" s="26">
        <f>IF(SUM($K$3:$K59)&gt;$J60,0,$J60-SUM($K$3:$K59))</f>
        <v>0</v>
      </c>
      <c r="L60" s="26">
        <f t="shared" si="0"/>
        <v>552.61634711287297</v>
      </c>
      <c r="M60" s="26">
        <f t="shared" si="5"/>
        <v>-40210.406466211469</v>
      </c>
      <c r="N60" s="26">
        <f>$L60*1/(1+'Условия + итог'!$D$8)^(($B60-$B$3)/365)</f>
        <v>540.68570422578273</v>
      </c>
      <c r="O60" s="26">
        <f t="shared" si="6"/>
        <v>-40555.765361222795</v>
      </c>
    </row>
    <row r="61" spans="1:15" x14ac:dyDescent="0.2">
      <c r="A61" s="20"/>
      <c r="B61" s="16">
        <f t="shared" si="1"/>
        <v>59</v>
      </c>
      <c r="C61" s="27">
        <f>$C60*(1+(1-EXP(LN(1-'Условия + итог'!$D$4)/365)))</f>
        <v>6.9096980218105788</v>
      </c>
      <c r="D61" s="27">
        <f t="shared" si="2"/>
        <v>404.2796171941672</v>
      </c>
      <c r="E61" s="28">
        <f>'Условия + итог'!$D$5*$C61</f>
        <v>1520.1335647983274</v>
      </c>
      <c r="F61" s="28">
        <f t="shared" si="3"/>
        <v>88941.515782716771</v>
      </c>
      <c r="G61" s="28"/>
      <c r="H61" s="28">
        <f>'Условия + итог'!$D$7*$C61</f>
        <v>2072.9094065431736</v>
      </c>
      <c r="I61" s="28">
        <f>$H61-$E61-$G61</f>
        <v>552.77584174484628</v>
      </c>
      <c r="J61" s="28">
        <f t="shared" si="4"/>
        <v>-7931.5261248933293</v>
      </c>
      <c r="K61" s="28">
        <f>IF(SUM($K$3:$K60)&gt;$J61,0,$J61-SUM($K$3:$K60))</f>
        <v>0</v>
      </c>
      <c r="L61" s="28">
        <f t="shared" si="0"/>
        <v>552.77584174484628</v>
      </c>
      <c r="M61" s="28">
        <f t="shared" si="5"/>
        <v>-39657.630624466619</v>
      </c>
      <c r="N61" s="28">
        <f>$L61*1/(1+'Условия + итог'!$D$8)^(($B61-$B$3)/365)</f>
        <v>540.63470170296273</v>
      </c>
      <c r="O61" s="28">
        <f t="shared" si="6"/>
        <v>-40015.130659519833</v>
      </c>
    </row>
    <row r="62" spans="1:15" x14ac:dyDescent="0.2">
      <c r="A62" s="18" t="s">
        <v>19</v>
      </c>
      <c r="B62" s="12">
        <f t="shared" si="1"/>
        <v>60</v>
      </c>
      <c r="C62" s="23">
        <f>$C61*(1+(1-EXP(LN(1-'Условия + итог'!$D$4)/365)))</f>
        <v>6.9116922801215974</v>
      </c>
      <c r="D62" s="23">
        <f t="shared" si="2"/>
        <v>411.1913094742888</v>
      </c>
      <c r="E62" s="24">
        <f>'Условия + итог'!$D$5*$C62</f>
        <v>1520.5723016267514</v>
      </c>
      <c r="F62" s="24">
        <f t="shared" si="3"/>
        <v>90462.08808434353</v>
      </c>
      <c r="G62" s="24"/>
      <c r="H62" s="24">
        <f>'Условия + итог'!$D$7*$C62</f>
        <v>2073.5076840364791</v>
      </c>
      <c r="I62" s="24">
        <f>$H62-$E62-$G62</f>
        <v>552.93538240972771</v>
      </c>
      <c r="J62" s="24">
        <f t="shared" si="4"/>
        <v>-7820.9390484113837</v>
      </c>
      <c r="K62" s="24">
        <f>IF(SUM($K$3:$K61)&gt;$J62,0,$J62-SUM($K$3:$K61))</f>
        <v>0</v>
      </c>
      <c r="L62" s="24">
        <f t="shared" si="0"/>
        <v>552.93538240972771</v>
      </c>
      <c r="M62" s="24">
        <f t="shared" si="5"/>
        <v>-39104.695242056892</v>
      </c>
      <c r="N62" s="24">
        <f>$L62*1/(1+'Условия + итог'!$D$8)^(($B62-$B$3)/365)</f>
        <v>540.58370399117666</v>
      </c>
      <c r="O62" s="24">
        <f t="shared" si="6"/>
        <v>-39474.546955528655</v>
      </c>
    </row>
    <row r="63" spans="1:15" x14ac:dyDescent="0.2">
      <c r="A63" s="19"/>
      <c r="B63" s="14">
        <f t="shared" si="1"/>
        <v>61</v>
      </c>
      <c r="C63" s="25">
        <f>$C62*(1+(1-EXP(LN(1-'Условия + итог'!$D$4)/365)))</f>
        <v>6.9136871140100435</v>
      </c>
      <c r="D63" s="25">
        <f t="shared" si="2"/>
        <v>418.10499658829883</v>
      </c>
      <c r="E63" s="26">
        <f>'Условия + итог'!$D$5*$C63</f>
        <v>1521.0111650822096</v>
      </c>
      <c r="F63" s="26">
        <f t="shared" si="3"/>
        <v>91983.099249425737</v>
      </c>
      <c r="G63" s="26"/>
      <c r="H63" s="26">
        <f>'Условия + итог'!$D$7*$C63</f>
        <v>2074.106134203013</v>
      </c>
      <c r="I63" s="26">
        <f>$H63-$E63-$G63</f>
        <v>553.0949691208034</v>
      </c>
      <c r="J63" s="26">
        <f t="shared" si="4"/>
        <v>-7710.3200545872232</v>
      </c>
      <c r="K63" s="26">
        <f>IF(SUM($K$3:$K62)&gt;$J63,0,$J63-SUM($K$3:$K62))</f>
        <v>0</v>
      </c>
      <c r="L63" s="26">
        <f t="shared" si="0"/>
        <v>553.0949691208034</v>
      </c>
      <c r="M63" s="26">
        <f t="shared" si="5"/>
        <v>-38551.600272936092</v>
      </c>
      <c r="N63" s="26">
        <f>$L63*1/(1+'Условия + итог'!$D$8)^(($B63-$B$3)/365)</f>
        <v>540.53271108997092</v>
      </c>
      <c r="O63" s="26">
        <f t="shared" si="6"/>
        <v>-38934.01424443868</v>
      </c>
    </row>
    <row r="64" spans="1:15" x14ac:dyDescent="0.2">
      <c r="A64" s="19"/>
      <c r="B64" s="14">
        <f t="shared" si="1"/>
        <v>62</v>
      </c>
      <c r="C64" s="25">
        <f>$C63*(1+(1-EXP(LN(1-'Условия + итог'!$D$4)/365)))</f>
        <v>6.9156825236420385</v>
      </c>
      <c r="D64" s="25">
        <f t="shared" si="2"/>
        <v>425.02067911194086</v>
      </c>
      <c r="E64" s="26">
        <f>'Условия + итог'!$D$5*$C64</f>
        <v>1521.4501552012484</v>
      </c>
      <c r="F64" s="26">
        <f t="shared" si="3"/>
        <v>93504.549404626989</v>
      </c>
      <c r="G64" s="26"/>
      <c r="H64" s="26">
        <f>'Условия + итог'!$D$7*$C64</f>
        <v>2074.7047570926115</v>
      </c>
      <c r="I64" s="26">
        <f>$H64-$E64-$G64</f>
        <v>553.25460189136311</v>
      </c>
      <c r="J64" s="26">
        <f t="shared" si="4"/>
        <v>-7599.6691342089507</v>
      </c>
      <c r="K64" s="26">
        <f>IF(SUM($K$3:$K63)&gt;$J64,0,$J64-SUM($K$3:$K63))</f>
        <v>0</v>
      </c>
      <c r="L64" s="26">
        <f t="shared" si="0"/>
        <v>553.25460189136311</v>
      </c>
      <c r="M64" s="26">
        <f t="shared" si="5"/>
        <v>-37998.345671044728</v>
      </c>
      <c r="N64" s="26">
        <f>$L64*1/(1+'Условия + итог'!$D$8)^(($B64-$B$3)/365)</f>
        <v>540.48172299889177</v>
      </c>
      <c r="O64" s="26">
        <f t="shared" si="6"/>
        <v>-38393.532521439789</v>
      </c>
    </row>
    <row r="65" spans="1:15" x14ac:dyDescent="0.2">
      <c r="A65" s="19"/>
      <c r="B65" s="14">
        <f t="shared" si="1"/>
        <v>63</v>
      </c>
      <c r="C65" s="25">
        <f>$C64*(1+(1-EXP(LN(1-'Условия + итог'!$D$4)/365)))</f>
        <v>6.9176785091837516</v>
      </c>
      <c r="D65" s="25">
        <f t="shared" si="2"/>
        <v>431.93835762112462</v>
      </c>
      <c r="E65" s="26">
        <f>'Условия + итог'!$D$5*$C65</f>
        <v>1521.8892720204253</v>
      </c>
      <c r="F65" s="26">
        <f t="shared" si="3"/>
        <v>95026.43867664742</v>
      </c>
      <c r="G65" s="26"/>
      <c r="H65" s="26">
        <f>'Условия + итог'!$D$7*$C65</f>
        <v>2075.3035527551256</v>
      </c>
      <c r="I65" s="26">
        <f>$H65-$E65-$G65</f>
        <v>553.41428073470024</v>
      </c>
      <c r="J65" s="26">
        <f t="shared" si="4"/>
        <v>-7488.9862780620106</v>
      </c>
      <c r="K65" s="26">
        <f>IF(SUM($K$3:$K64)&gt;$J65,0,$J65-SUM($K$3:$K64))</f>
        <v>0</v>
      </c>
      <c r="L65" s="26">
        <f t="shared" si="0"/>
        <v>553.41428073470024</v>
      </c>
      <c r="M65" s="26">
        <f t="shared" si="5"/>
        <v>-37444.931390310026</v>
      </c>
      <c r="N65" s="26">
        <f>$L65*1/(1+'Условия + итог'!$D$8)^(($B65-$B$3)/365)</f>
        <v>540.43073971748515</v>
      </c>
      <c r="O65" s="26">
        <f t="shared" si="6"/>
        <v>-37853.101781722304</v>
      </c>
    </row>
    <row r="66" spans="1:15" x14ac:dyDescent="0.2">
      <c r="A66" s="19"/>
      <c r="B66" s="14">
        <f t="shared" si="1"/>
        <v>64</v>
      </c>
      <c r="C66" s="25">
        <f>$C65*(1+(1-EXP(LN(1-'Условия + итог'!$D$4)/365)))</f>
        <v>6.919675070801401</v>
      </c>
      <c r="D66" s="25">
        <f t="shared" si="2"/>
        <v>438.85803269192604</v>
      </c>
      <c r="E66" s="26">
        <f>'Условия + итог'!$D$5*$C66</f>
        <v>1522.3285155763083</v>
      </c>
      <c r="F66" s="26">
        <f t="shared" si="3"/>
        <v>96548.767192223735</v>
      </c>
      <c r="G66" s="26"/>
      <c r="H66" s="26">
        <f>'Условия + итог'!$D$7*$C66</f>
        <v>2075.9025212404204</v>
      </c>
      <c r="I66" s="26">
        <f>$H66-$E66-$G66</f>
        <v>553.57400566411206</v>
      </c>
      <c r="J66" s="26">
        <f t="shared" si="4"/>
        <v>-7378.2714769291879</v>
      </c>
      <c r="K66" s="26">
        <f>IF(SUM($K$3:$K65)&gt;$J66,0,$J66-SUM($K$3:$K65))</f>
        <v>0</v>
      </c>
      <c r="L66" s="26">
        <f t="shared" si="0"/>
        <v>553.57400566411206</v>
      </c>
      <c r="M66" s="26">
        <f t="shared" si="5"/>
        <v>-36891.357384645911</v>
      </c>
      <c r="N66" s="26">
        <f>$L66*1/(1+'Условия + итог'!$D$8)^(($B66-$B$3)/365)</f>
        <v>540.37976124529746</v>
      </c>
      <c r="O66" s="26">
        <f t="shared" si="6"/>
        <v>-37312.722020477006</v>
      </c>
    </row>
    <row r="67" spans="1:15" x14ac:dyDescent="0.2">
      <c r="A67" s="19"/>
      <c r="B67" s="14">
        <f t="shared" si="1"/>
        <v>65</v>
      </c>
      <c r="C67" s="25">
        <f>$C66*(1+(1-EXP(LN(1-'Условия + итог'!$D$4)/365)))</f>
        <v>6.9216722086612519</v>
      </c>
      <c r="D67" s="25">
        <f t="shared" si="2"/>
        <v>445.77970490058732</v>
      </c>
      <c r="E67" s="26">
        <f>'Условия + итог'!$D$5*$C67</f>
        <v>1522.7678859054754</v>
      </c>
      <c r="F67" s="26">
        <f t="shared" si="3"/>
        <v>98071.535078129207</v>
      </c>
      <c r="G67" s="26"/>
      <c r="H67" s="26">
        <f>'Условия + итог'!$D$7*$C67</f>
        <v>2076.5016625983758</v>
      </c>
      <c r="I67" s="26">
        <f>$H67-$E67-$G67</f>
        <v>553.73377669290039</v>
      </c>
      <c r="J67" s="26">
        <f t="shared" si="4"/>
        <v>-7267.5247215906074</v>
      </c>
      <c r="K67" s="26">
        <f>IF(SUM($K$3:$K66)&gt;$J67,0,$J67-SUM($K$3:$K66))</f>
        <v>0</v>
      </c>
      <c r="L67" s="26">
        <f t="shared" si="0"/>
        <v>553.73377669290039</v>
      </c>
      <c r="M67" s="26">
        <f t="shared" si="5"/>
        <v>-36337.623607953014</v>
      </c>
      <c r="N67" s="26">
        <f>$L67*1/(1+'Условия + итог'!$D$8)^(($B67-$B$3)/365)</f>
        <v>540.32878758187553</v>
      </c>
      <c r="O67" s="26">
        <f t="shared" si="6"/>
        <v>-36772.393232895127</v>
      </c>
    </row>
    <row r="68" spans="1:15" x14ac:dyDescent="0.2">
      <c r="A68" s="19"/>
      <c r="B68" s="14">
        <f t="shared" si="1"/>
        <v>66</v>
      </c>
      <c r="C68" s="25">
        <f>$C67*(1+(1-EXP(LN(1-'Условия + итог'!$D$4)/365)))</f>
        <v>6.9236699229296175</v>
      </c>
      <c r="D68" s="25">
        <f t="shared" si="2"/>
        <v>452.70337482351692</v>
      </c>
      <c r="E68" s="26">
        <f>'Условия + итог'!$D$5*$C68</f>
        <v>1523.2073830445158</v>
      </c>
      <c r="F68" s="26">
        <f t="shared" si="3"/>
        <v>99594.742461173722</v>
      </c>
      <c r="G68" s="26"/>
      <c r="H68" s="26">
        <f>'Условия + итог'!$D$7*$C68</f>
        <v>2077.1009768788854</v>
      </c>
      <c r="I68" s="26">
        <f>$H68-$E68-$G68</f>
        <v>553.89359383436954</v>
      </c>
      <c r="J68" s="26">
        <f t="shared" si="4"/>
        <v>-7156.7460028237338</v>
      </c>
      <c r="K68" s="26">
        <f>IF(SUM($K$3:$K67)&gt;$J68,0,$J68-SUM($K$3:$K67))</f>
        <v>0</v>
      </c>
      <c r="L68" s="26">
        <f t="shared" ref="L68:L131" si="7">$I68-$K68</f>
        <v>553.89359383436954</v>
      </c>
      <c r="M68" s="26">
        <f t="shared" si="5"/>
        <v>-35783.730014118642</v>
      </c>
      <c r="N68" s="26">
        <f>$L68*1/(1+'Условия + итог'!$D$8)^(($B68-$B$3)/365)</f>
        <v>540.27781872676496</v>
      </c>
      <c r="O68" s="26">
        <f t="shared" si="6"/>
        <v>-36232.115414168366</v>
      </c>
    </row>
    <row r="69" spans="1:15" x14ac:dyDescent="0.2">
      <c r="A69" s="19"/>
      <c r="B69" s="14">
        <f t="shared" ref="B69:B132" si="8">$B68+1</f>
        <v>67</v>
      </c>
      <c r="C69" s="25">
        <f>$C68*(1+(1-EXP(LN(1-'Условия + итог'!$D$4)/365)))</f>
        <v>6.9256682137728598</v>
      </c>
      <c r="D69" s="25">
        <f t="shared" ref="D69:D132" si="9">$C69+$D68</f>
        <v>459.62904303728976</v>
      </c>
      <c r="E69" s="26">
        <f>'Условия + итог'!$D$5*$C69</f>
        <v>1523.647007030029</v>
      </c>
      <c r="F69" s="26">
        <f t="shared" ref="F69:F132" si="10">$E69+$F68</f>
        <v>101118.38946820375</v>
      </c>
      <c r="G69" s="26"/>
      <c r="H69" s="26">
        <f>'Условия + итог'!$D$7*$C69</f>
        <v>2077.7004641318581</v>
      </c>
      <c r="I69" s="26">
        <f>$H69-$E69-$G69</f>
        <v>554.05345710182905</v>
      </c>
      <c r="J69" s="26">
        <f t="shared" ref="J69:J132" si="11">$I69*0.2+$J68</f>
        <v>-7045.9353114033684</v>
      </c>
      <c r="K69" s="26">
        <f>IF(SUM($K$3:$K68)&gt;$J69,0,$J69-SUM($K$3:$K68))</f>
        <v>0</v>
      </c>
      <c r="L69" s="26">
        <f t="shared" si="7"/>
        <v>554.05345710182905</v>
      </c>
      <c r="M69" s="26">
        <f t="shared" ref="M69:M132" si="12">$L69+$M68</f>
        <v>-35229.676557016814</v>
      </c>
      <c r="N69" s="26">
        <f>$L69*1/(1+'Условия + итог'!$D$8)^(($B69-$B$3)/365)</f>
        <v>540.22685467951283</v>
      </c>
      <c r="O69" s="26">
        <f t="shared" ref="O69:O132" si="13">$N69+$O68</f>
        <v>-35691.888559488856</v>
      </c>
    </row>
    <row r="70" spans="1:15" x14ac:dyDescent="0.2">
      <c r="A70" s="19"/>
      <c r="B70" s="14">
        <f t="shared" si="8"/>
        <v>68</v>
      </c>
      <c r="C70" s="25">
        <f>$C69*(1+(1-EXP(LN(1-'Условия + итог'!$D$4)/365)))</f>
        <v>6.927667081357388</v>
      </c>
      <c r="D70" s="25">
        <f t="shared" si="9"/>
        <v>466.55671011864717</v>
      </c>
      <c r="E70" s="26">
        <f>'Условия + итог'!$D$5*$C70</f>
        <v>1524.0867578986254</v>
      </c>
      <c r="F70" s="26">
        <f t="shared" si="10"/>
        <v>102642.47622610237</v>
      </c>
      <c r="G70" s="26"/>
      <c r="H70" s="26">
        <f>'Условия + итог'!$D$7*$C70</f>
        <v>2078.3001244072166</v>
      </c>
      <c r="I70" s="26">
        <f>$H70-$E70-$G70</f>
        <v>554.21336650859121</v>
      </c>
      <c r="J70" s="26">
        <f t="shared" si="11"/>
        <v>-6935.0926381016498</v>
      </c>
      <c r="K70" s="26">
        <f>IF(SUM($K$3:$K69)&gt;$J70,0,$J70-SUM($K$3:$K69))</f>
        <v>0</v>
      </c>
      <c r="L70" s="26">
        <f t="shared" si="7"/>
        <v>554.21336650859121</v>
      </c>
      <c r="M70" s="26">
        <f t="shared" si="12"/>
        <v>-34675.463190508221</v>
      </c>
      <c r="N70" s="26">
        <f>$L70*1/(1+'Условия + итог'!$D$8)^(($B70-$B$3)/365)</f>
        <v>540.17589543966517</v>
      </c>
      <c r="O70" s="26">
        <f t="shared" si="13"/>
        <v>-35151.712664049192</v>
      </c>
    </row>
    <row r="71" spans="1:15" x14ac:dyDescent="0.2">
      <c r="A71" s="19"/>
      <c r="B71" s="14">
        <f t="shared" si="8"/>
        <v>69</v>
      </c>
      <c r="C71" s="25">
        <f>$C70*(1+(1-EXP(LN(1-'Условия + итог'!$D$4)/365)))</f>
        <v>6.929666525849659</v>
      </c>
      <c r="D71" s="25">
        <f t="shared" si="9"/>
        <v>473.48637664449683</v>
      </c>
      <c r="E71" s="26">
        <f>'Условия + итог'!$D$5*$C71</f>
        <v>1524.5266356869249</v>
      </c>
      <c r="F71" s="26">
        <f t="shared" si="10"/>
        <v>104167.0028617893</v>
      </c>
      <c r="G71" s="26"/>
      <c r="H71" s="26">
        <f>'Условия + итог'!$D$7*$C71</f>
        <v>2078.8999577548975</v>
      </c>
      <c r="I71" s="26">
        <f>$H71-$E71-$G71</f>
        <v>554.37332206797259</v>
      </c>
      <c r="J71" s="26">
        <f t="shared" si="11"/>
        <v>-6824.2179736880553</v>
      </c>
      <c r="K71" s="26">
        <f>IF(SUM($K$3:$K70)&gt;$J71,0,$J71-SUM($K$3:$K70))</f>
        <v>0</v>
      </c>
      <c r="L71" s="26">
        <f t="shared" si="7"/>
        <v>554.37332206797259</v>
      </c>
      <c r="M71" s="26">
        <f t="shared" si="12"/>
        <v>-34121.089868440249</v>
      </c>
      <c r="N71" s="26">
        <f>$L71*1/(1+'Условия + итог'!$D$8)^(($B71-$B$3)/365)</f>
        <v>540.12494100676849</v>
      </c>
      <c r="O71" s="26">
        <f t="shared" si="13"/>
        <v>-34611.587723042423</v>
      </c>
    </row>
    <row r="72" spans="1:15" x14ac:dyDescent="0.2">
      <c r="A72" s="19"/>
      <c r="B72" s="14">
        <f t="shared" si="8"/>
        <v>70</v>
      </c>
      <c r="C72" s="25">
        <f>$C71*(1+(1-EXP(LN(1-'Условия + итог'!$D$4)/365)))</f>
        <v>6.9316665474161789</v>
      </c>
      <c r="D72" s="25">
        <f t="shared" si="9"/>
        <v>480.418043191913</v>
      </c>
      <c r="E72" s="26">
        <f>'Условия + итог'!$D$5*$C72</f>
        <v>1524.9666404315594</v>
      </c>
      <c r="F72" s="26">
        <f t="shared" si="10"/>
        <v>105691.96950222086</v>
      </c>
      <c r="G72" s="26"/>
      <c r="H72" s="26">
        <f>'Условия + итог'!$D$7*$C72</f>
        <v>2079.4999642248536</v>
      </c>
      <c r="I72" s="26">
        <f>$H72-$E72-$G72</f>
        <v>554.53332379329413</v>
      </c>
      <c r="J72" s="26">
        <f t="shared" si="11"/>
        <v>-6713.3113089293965</v>
      </c>
      <c r="K72" s="26">
        <f>IF(SUM($K$3:$K71)&gt;$J72,0,$J72-SUM($K$3:$K71))</f>
        <v>0</v>
      </c>
      <c r="L72" s="26">
        <f t="shared" si="7"/>
        <v>554.53332379329413</v>
      </c>
      <c r="M72" s="26">
        <f t="shared" si="12"/>
        <v>-33566.556544646955</v>
      </c>
      <c r="N72" s="26">
        <f>$L72*1/(1+'Условия + итог'!$D$8)^(($B72-$B$3)/365)</f>
        <v>540.07399138036976</v>
      </c>
      <c r="O72" s="26">
        <f t="shared" si="13"/>
        <v>-34071.513731662053</v>
      </c>
    </row>
    <row r="73" spans="1:15" x14ac:dyDescent="0.2">
      <c r="A73" s="19"/>
      <c r="B73" s="14">
        <f t="shared" si="8"/>
        <v>71</v>
      </c>
      <c r="C73" s="25">
        <f>$C72*(1+(1-EXP(LN(1-'Условия + итог'!$D$4)/365)))</f>
        <v>6.9336671462235016</v>
      </c>
      <c r="D73" s="25">
        <f t="shared" si="9"/>
        <v>487.35171033813651</v>
      </c>
      <c r="E73" s="26">
        <f>'Условия + итог'!$D$5*$C73</f>
        <v>1525.4067721691704</v>
      </c>
      <c r="F73" s="26">
        <f t="shared" si="10"/>
        <v>107217.37627439003</v>
      </c>
      <c r="G73" s="26"/>
      <c r="H73" s="26">
        <f>'Условия + итог'!$D$7*$C73</f>
        <v>2080.1001438670505</v>
      </c>
      <c r="I73" s="26">
        <f>$H73-$E73-$G73</f>
        <v>554.69337169788014</v>
      </c>
      <c r="J73" s="26">
        <f t="shared" si="11"/>
        <v>-6602.3726345898203</v>
      </c>
      <c r="K73" s="26">
        <f>IF(SUM($K$3:$K72)&gt;$J73,0,$J73-SUM($K$3:$K72))</f>
        <v>0</v>
      </c>
      <c r="L73" s="26">
        <f t="shared" si="7"/>
        <v>554.69337169788014</v>
      </c>
      <c r="M73" s="26">
        <f t="shared" si="12"/>
        <v>-33011.863172949073</v>
      </c>
      <c r="N73" s="26">
        <f>$L73*1/(1+'Условия + итог'!$D$8)^(($B73-$B$3)/365)</f>
        <v>540.0230465600157</v>
      </c>
      <c r="O73" s="26">
        <f t="shared" si="13"/>
        <v>-33531.490685102035</v>
      </c>
    </row>
    <row r="74" spans="1:15" x14ac:dyDescent="0.2">
      <c r="A74" s="19"/>
      <c r="B74" s="14">
        <f t="shared" si="8"/>
        <v>72</v>
      </c>
      <c r="C74" s="25">
        <f>$C73*(1+(1-EXP(LN(1-'Условия + итог'!$D$4)/365)))</f>
        <v>6.9356683224382287</v>
      </c>
      <c r="D74" s="25">
        <f t="shared" si="9"/>
        <v>494.28737866057475</v>
      </c>
      <c r="E74" s="26">
        <f>'Условия + итог'!$D$5*$C74</f>
        <v>1525.8470309364104</v>
      </c>
      <c r="F74" s="26">
        <f t="shared" si="10"/>
        <v>108743.22330532644</v>
      </c>
      <c r="G74" s="26"/>
      <c r="H74" s="26">
        <f>'Условия + итог'!$D$7*$C74</f>
        <v>2080.7004967314688</v>
      </c>
      <c r="I74" s="26">
        <f>$H74-$E74-$G74</f>
        <v>554.85346579505836</v>
      </c>
      <c r="J74" s="26">
        <f t="shared" si="11"/>
        <v>-6491.4019414308086</v>
      </c>
      <c r="K74" s="26">
        <f>IF(SUM($K$3:$K73)&gt;$J74,0,$J74-SUM($K$3:$K73))</f>
        <v>0</v>
      </c>
      <c r="L74" s="26">
        <f t="shared" si="7"/>
        <v>554.85346579505836</v>
      </c>
      <c r="M74" s="26">
        <f t="shared" si="12"/>
        <v>-32457.009707154015</v>
      </c>
      <c r="N74" s="26">
        <f>$L74*1/(1+'Условия + итог'!$D$8)^(($B74-$B$3)/365)</f>
        <v>539.97210654525259</v>
      </c>
      <c r="O74" s="26">
        <f t="shared" si="13"/>
        <v>-32991.518578556781</v>
      </c>
    </row>
    <row r="75" spans="1:15" x14ac:dyDescent="0.2">
      <c r="A75" s="19"/>
      <c r="B75" s="14">
        <f t="shared" si="8"/>
        <v>73</v>
      </c>
      <c r="C75" s="25">
        <f>$C74*(1+(1-EXP(LN(1-'Условия + итог'!$D$4)/365)))</f>
        <v>6.9376700762270094</v>
      </c>
      <c r="D75" s="25">
        <f t="shared" si="9"/>
        <v>501.22504873680174</v>
      </c>
      <c r="E75" s="26">
        <f>'Условия + итог'!$D$5*$C75</f>
        <v>1526.287416769942</v>
      </c>
      <c r="F75" s="26">
        <f t="shared" si="10"/>
        <v>110269.51072209638</v>
      </c>
      <c r="G75" s="26"/>
      <c r="H75" s="26">
        <f>'Условия + итог'!$D$7*$C75</f>
        <v>2081.3010228681028</v>
      </c>
      <c r="I75" s="26">
        <f>$H75-$E75-$G75</f>
        <v>555.01360609816084</v>
      </c>
      <c r="J75" s="26">
        <f t="shared" si="11"/>
        <v>-6380.3992202111767</v>
      </c>
      <c r="K75" s="26">
        <f>IF(SUM($K$3:$K74)&gt;$J75,0,$J75-SUM($K$3:$K74))</f>
        <v>0</v>
      </c>
      <c r="L75" s="26">
        <f t="shared" si="7"/>
        <v>555.01360609816084</v>
      </c>
      <c r="M75" s="26">
        <f t="shared" si="12"/>
        <v>-31901.996101055855</v>
      </c>
      <c r="N75" s="26">
        <f>$L75*1/(1+'Условия + итог'!$D$8)^(($B75-$B$3)/365)</f>
        <v>539.92117133562704</v>
      </c>
      <c r="O75" s="26">
        <f t="shared" si="13"/>
        <v>-32451.597407221154</v>
      </c>
    </row>
    <row r="76" spans="1:15" x14ac:dyDescent="0.2">
      <c r="A76" s="19"/>
      <c r="B76" s="14">
        <f t="shared" si="8"/>
        <v>74</v>
      </c>
      <c r="C76" s="25">
        <f>$C75*(1+(1-EXP(LN(1-'Условия + итог'!$D$4)/365)))</f>
        <v>6.9396724077565421</v>
      </c>
      <c r="D76" s="25">
        <f t="shared" si="9"/>
        <v>508.16472114455826</v>
      </c>
      <c r="E76" s="26">
        <f>'Условия + итог'!$D$5*$C76</f>
        <v>1526.7279297064392</v>
      </c>
      <c r="F76" s="26">
        <f t="shared" si="10"/>
        <v>111796.23865180282</v>
      </c>
      <c r="G76" s="26"/>
      <c r="H76" s="26">
        <f>'Условия + итог'!$D$7*$C76</f>
        <v>2081.9017223269625</v>
      </c>
      <c r="I76" s="26">
        <f>$H76-$E76-$G76</f>
        <v>555.17379262052327</v>
      </c>
      <c r="J76" s="26">
        <f t="shared" si="11"/>
        <v>-6269.3644616870724</v>
      </c>
      <c r="K76" s="26">
        <f>IF(SUM($K$3:$K75)&gt;$J76,0,$J76-SUM($K$3:$K75))</f>
        <v>0</v>
      </c>
      <c r="L76" s="26">
        <f t="shared" si="7"/>
        <v>555.17379262052327</v>
      </c>
      <c r="M76" s="26">
        <f t="shared" si="12"/>
        <v>-31346.82230843533</v>
      </c>
      <c r="N76" s="26">
        <f>$L76*1/(1+'Условия + итог'!$D$8)^(($B76-$B$3)/365)</f>
        <v>539.87024093068578</v>
      </c>
      <c r="O76" s="26">
        <f t="shared" si="13"/>
        <v>-31911.727166290468</v>
      </c>
    </row>
    <row r="77" spans="1:15" x14ac:dyDescent="0.2">
      <c r="A77" s="19"/>
      <c r="B77" s="14">
        <f t="shared" si="8"/>
        <v>75</v>
      </c>
      <c r="C77" s="25">
        <f>$C76*(1+(1-EXP(LN(1-'Условия + итог'!$D$4)/365)))</f>
        <v>6.9416753171935728</v>
      </c>
      <c r="D77" s="25">
        <f t="shared" si="9"/>
        <v>515.10639646175184</v>
      </c>
      <c r="E77" s="26">
        <f>'Условия + итог'!$D$5*$C77</f>
        <v>1527.168569782586</v>
      </c>
      <c r="F77" s="26">
        <f t="shared" si="10"/>
        <v>113323.40722158541</v>
      </c>
      <c r="G77" s="26"/>
      <c r="H77" s="26">
        <f>'Условия + итог'!$D$7*$C77</f>
        <v>2082.5025951580719</v>
      </c>
      <c r="I77" s="26">
        <f>$H77-$E77-$G77</f>
        <v>555.33402537548591</v>
      </c>
      <c r="J77" s="26">
        <f t="shared" si="11"/>
        <v>-6158.2976566119751</v>
      </c>
      <c r="K77" s="26">
        <f>IF(SUM($K$3:$K76)&gt;$J77,0,$J77-SUM($K$3:$K76))</f>
        <v>0</v>
      </c>
      <c r="L77" s="26">
        <f t="shared" si="7"/>
        <v>555.33402537548591</v>
      </c>
      <c r="M77" s="26">
        <f t="shared" si="12"/>
        <v>-30791.488283059844</v>
      </c>
      <c r="N77" s="26">
        <f>$L77*1/(1+'Условия + итог'!$D$8)^(($B77-$B$3)/365)</f>
        <v>539.81931532997612</v>
      </c>
      <c r="O77" s="26">
        <f t="shared" si="13"/>
        <v>-31371.907850960491</v>
      </c>
    </row>
    <row r="78" spans="1:15" x14ac:dyDescent="0.2">
      <c r="A78" s="19"/>
      <c r="B78" s="14">
        <f t="shared" si="8"/>
        <v>76</v>
      </c>
      <c r="C78" s="25">
        <f>$C77*(1+(1-EXP(LN(1-'Условия + итог'!$D$4)/365)))</f>
        <v>6.943678804704895</v>
      </c>
      <c r="D78" s="25">
        <f t="shared" si="9"/>
        <v>522.0500752664567</v>
      </c>
      <c r="E78" s="26">
        <f>'Условия + итог'!$D$5*$C78</f>
        <v>1527.6093370350768</v>
      </c>
      <c r="F78" s="26">
        <f t="shared" si="10"/>
        <v>114851.01655862048</v>
      </c>
      <c r="G78" s="26"/>
      <c r="H78" s="26">
        <f>'Условия + итог'!$D$7*$C78</f>
        <v>2083.1036414114683</v>
      </c>
      <c r="I78" s="26">
        <f>$H78-$E78-$G78</f>
        <v>555.49430437639148</v>
      </c>
      <c r="J78" s="26">
        <f t="shared" si="11"/>
        <v>-6047.1987957366964</v>
      </c>
      <c r="K78" s="26">
        <f>IF(SUM($K$3:$K77)&gt;$J78,0,$J78-SUM($K$3:$K77))</f>
        <v>0</v>
      </c>
      <c r="L78" s="26">
        <f t="shared" si="7"/>
        <v>555.49430437639148</v>
      </c>
      <c r="M78" s="26">
        <f t="shared" si="12"/>
        <v>-30235.993978683451</v>
      </c>
      <c r="N78" s="26">
        <f>$L78*1/(1+'Условия + итог'!$D$8)^(($B78-$B$3)/365)</f>
        <v>539.76839453304399</v>
      </c>
      <c r="O78" s="26">
        <f t="shared" si="13"/>
        <v>-30832.139456427449</v>
      </c>
    </row>
    <row r="79" spans="1:15" x14ac:dyDescent="0.2">
      <c r="A79" s="19"/>
      <c r="B79" s="14">
        <f t="shared" si="8"/>
        <v>77</v>
      </c>
      <c r="C79" s="25">
        <f>$C78*(1+(1-EXP(LN(1-'Условия + итог'!$D$4)/365)))</f>
        <v>6.9456828704573512</v>
      </c>
      <c r="D79" s="25">
        <f t="shared" si="9"/>
        <v>528.99575813691411</v>
      </c>
      <c r="E79" s="26">
        <f>'Условия + итог'!$D$5*$C79</f>
        <v>1528.0502315006172</v>
      </c>
      <c r="F79" s="26">
        <f t="shared" si="10"/>
        <v>116379.0667901211</v>
      </c>
      <c r="G79" s="26"/>
      <c r="H79" s="26">
        <f>'Условия + итог'!$D$7*$C79</f>
        <v>2083.7048611372052</v>
      </c>
      <c r="I79" s="26">
        <f>$H79-$E79-$G79</f>
        <v>555.65462963658797</v>
      </c>
      <c r="J79" s="26">
        <f t="shared" si="11"/>
        <v>-5936.0678698093789</v>
      </c>
      <c r="K79" s="26">
        <f>IF(SUM($K$3:$K78)&gt;$J79,0,$J79-SUM($K$3:$K78))</f>
        <v>0</v>
      </c>
      <c r="L79" s="26">
        <f t="shared" si="7"/>
        <v>555.65462963658797</v>
      </c>
      <c r="M79" s="26">
        <f t="shared" si="12"/>
        <v>-29680.339349046862</v>
      </c>
      <c r="N79" s="26">
        <f>$L79*1/(1+'Условия + итог'!$D$8)^(($B79-$B$3)/365)</f>
        <v>539.71747853943702</v>
      </c>
      <c r="O79" s="26">
        <f t="shared" si="13"/>
        <v>-30292.421977888011</v>
      </c>
    </row>
    <row r="80" spans="1:15" x14ac:dyDescent="0.2">
      <c r="A80" s="19"/>
      <c r="B80" s="14">
        <f t="shared" si="8"/>
        <v>78</v>
      </c>
      <c r="C80" s="25">
        <f>$C79*(1+(1-EXP(LN(1-'Условия + итог'!$D$4)/365)))</f>
        <v>6.9476875146178321</v>
      </c>
      <c r="D80" s="25">
        <f t="shared" si="9"/>
        <v>535.94344565153199</v>
      </c>
      <c r="E80" s="26">
        <f>'Условия + итог'!$D$5*$C80</f>
        <v>1528.4912532159231</v>
      </c>
      <c r="F80" s="26">
        <f t="shared" si="10"/>
        <v>117907.55804333702</v>
      </c>
      <c r="G80" s="26"/>
      <c r="H80" s="26">
        <f>'Условия + итог'!$D$7*$C80</f>
        <v>2084.3062543853498</v>
      </c>
      <c r="I80" s="26">
        <f>$H80-$E80-$G80</f>
        <v>555.81500116942675</v>
      </c>
      <c r="J80" s="26">
        <f t="shared" si="11"/>
        <v>-5824.9048695754936</v>
      </c>
      <c r="K80" s="26">
        <f>IF(SUM($K$3:$K79)&gt;$J80,0,$J80-SUM($K$3:$K79))</f>
        <v>0</v>
      </c>
      <c r="L80" s="26">
        <f t="shared" si="7"/>
        <v>555.81500116942675</v>
      </c>
      <c r="M80" s="26">
        <f t="shared" si="12"/>
        <v>-29124.524347877436</v>
      </c>
      <c r="N80" s="26">
        <f>$L80*1/(1+'Условия + итог'!$D$8)^(($B80-$B$3)/365)</f>
        <v>539.6665673487023</v>
      </c>
      <c r="O80" s="26">
        <f t="shared" si="13"/>
        <v>-29752.755410539306</v>
      </c>
    </row>
    <row r="81" spans="1:15" x14ac:dyDescent="0.2">
      <c r="A81" s="19"/>
      <c r="B81" s="14">
        <f t="shared" si="8"/>
        <v>79</v>
      </c>
      <c r="C81" s="25">
        <f>$C80*(1+(1-EXP(LN(1-'Условия + итог'!$D$4)/365)))</f>
        <v>6.949692737353276</v>
      </c>
      <c r="D81" s="25">
        <f t="shared" si="9"/>
        <v>542.89313838888529</v>
      </c>
      <c r="E81" s="26">
        <f>'Условия + итог'!$D$5*$C81</f>
        <v>1528.9324022177207</v>
      </c>
      <c r="F81" s="26">
        <f t="shared" si="10"/>
        <v>119436.49044555474</v>
      </c>
      <c r="G81" s="26"/>
      <c r="H81" s="26">
        <f>'Условия + итог'!$D$7*$C81</f>
        <v>2084.9078212059826</v>
      </c>
      <c r="I81" s="26">
        <f>$H81-$E81-$G81</f>
        <v>555.97541898826194</v>
      </c>
      <c r="J81" s="26">
        <f t="shared" si="11"/>
        <v>-5713.7097857778408</v>
      </c>
      <c r="K81" s="26">
        <f>IF(SUM($K$3:$K80)&gt;$J81,0,$J81-SUM($K$3:$K80))</f>
        <v>0</v>
      </c>
      <c r="L81" s="26">
        <f t="shared" si="7"/>
        <v>555.97541898826194</v>
      </c>
      <c r="M81" s="26">
        <f t="shared" si="12"/>
        <v>-28568.548928889173</v>
      </c>
      <c r="N81" s="26">
        <f>$L81*1/(1+'Условия + итог'!$D$8)^(($B81-$B$3)/365)</f>
        <v>539.61566096038564</v>
      </c>
      <c r="O81" s="26">
        <f t="shared" si="13"/>
        <v>-29213.139749578921</v>
      </c>
    </row>
    <row r="82" spans="1:15" x14ac:dyDescent="0.2">
      <c r="A82" s="19"/>
      <c r="B82" s="14">
        <f t="shared" si="8"/>
        <v>80</v>
      </c>
      <c r="C82" s="25">
        <f>$C81*(1+(1-EXP(LN(1-'Условия + итог'!$D$4)/365)))</f>
        <v>6.9516985388306693</v>
      </c>
      <c r="D82" s="25">
        <f t="shared" si="9"/>
        <v>549.84483692771596</v>
      </c>
      <c r="E82" s="26">
        <f>'Условия + итог'!$D$5*$C82</f>
        <v>1529.3736785427473</v>
      </c>
      <c r="F82" s="26">
        <f t="shared" si="10"/>
        <v>120965.86412409748</v>
      </c>
      <c r="G82" s="26"/>
      <c r="H82" s="26">
        <f>'Условия + итог'!$D$7*$C82</f>
        <v>2085.5095616492008</v>
      </c>
      <c r="I82" s="26">
        <f>$H82-$E82-$G82</f>
        <v>556.13588310645355</v>
      </c>
      <c r="J82" s="26">
        <f t="shared" si="11"/>
        <v>-5602.4826091565501</v>
      </c>
      <c r="K82" s="26">
        <f>IF(SUM($K$3:$K81)&gt;$J82,0,$J82-SUM($K$3:$K81))</f>
        <v>0</v>
      </c>
      <c r="L82" s="26">
        <f t="shared" si="7"/>
        <v>556.13588310645355</v>
      </c>
      <c r="M82" s="26">
        <f t="shared" si="12"/>
        <v>-28012.41304578272</v>
      </c>
      <c r="N82" s="26">
        <f>$L82*1/(1+'Условия + итог'!$D$8)^(($B82-$B$3)/365)</f>
        <v>539.56475937403513</v>
      </c>
      <c r="O82" s="26">
        <f t="shared" si="13"/>
        <v>-28673.574990204885</v>
      </c>
    </row>
    <row r="83" spans="1:15" x14ac:dyDescent="0.2">
      <c r="A83" s="19"/>
      <c r="B83" s="14">
        <f t="shared" si="8"/>
        <v>81</v>
      </c>
      <c r="C83" s="25">
        <f>$C82*(1+(1-EXP(LN(1-'Условия + итог'!$D$4)/365)))</f>
        <v>6.9537049192170475</v>
      </c>
      <c r="D83" s="25">
        <f t="shared" si="9"/>
        <v>556.79854184693306</v>
      </c>
      <c r="E83" s="26">
        <f>'Условия + итог'!$D$5*$C83</f>
        <v>1529.8150822277505</v>
      </c>
      <c r="F83" s="26">
        <f t="shared" si="10"/>
        <v>122495.67920632524</v>
      </c>
      <c r="G83" s="26"/>
      <c r="H83" s="26">
        <f>'Условия + итог'!$D$7*$C83</f>
        <v>2086.1114757651144</v>
      </c>
      <c r="I83" s="26">
        <f>$H83-$E83-$G83</f>
        <v>556.29639353736388</v>
      </c>
      <c r="J83" s="26">
        <f t="shared" si="11"/>
        <v>-5491.2233304490774</v>
      </c>
      <c r="K83" s="26">
        <f>IF(SUM($K$3:$K82)&gt;$J83,0,$J83-SUM($K$3:$K82))</f>
        <v>0</v>
      </c>
      <c r="L83" s="26">
        <f t="shared" si="7"/>
        <v>556.29639353736388</v>
      </c>
      <c r="M83" s="26">
        <f t="shared" si="12"/>
        <v>-27456.116652245357</v>
      </c>
      <c r="N83" s="26">
        <f>$L83*1/(1+'Условия + итог'!$D$8)^(($B83-$B$3)/365)</f>
        <v>539.5138625891974</v>
      </c>
      <c r="O83" s="26">
        <f t="shared" si="13"/>
        <v>-28134.061127615689</v>
      </c>
    </row>
    <row r="84" spans="1:15" x14ac:dyDescent="0.2">
      <c r="A84" s="19"/>
      <c r="B84" s="14">
        <f t="shared" si="8"/>
        <v>82</v>
      </c>
      <c r="C84" s="25">
        <f>$C83*(1+(1-EXP(LN(1-'Условия + итог'!$D$4)/365)))</f>
        <v>6.9557118786794936</v>
      </c>
      <c r="D84" s="25">
        <f t="shared" si="9"/>
        <v>563.75425372561256</v>
      </c>
      <c r="E84" s="26">
        <f>'Условия + итог'!$D$5*$C84</f>
        <v>1530.2566133094886</v>
      </c>
      <c r="F84" s="26">
        <f t="shared" si="10"/>
        <v>124025.93581963473</v>
      </c>
      <c r="G84" s="26"/>
      <c r="H84" s="26">
        <f>'Условия + итог'!$D$7*$C84</f>
        <v>2086.7135636038479</v>
      </c>
      <c r="I84" s="26">
        <f>$H84-$E84-$G84</f>
        <v>556.45695029435933</v>
      </c>
      <c r="J84" s="26">
        <f t="shared" si="11"/>
        <v>-5379.9319403902055</v>
      </c>
      <c r="K84" s="26">
        <f>IF(SUM($K$3:$K83)&gt;$J84,0,$J84-SUM($K$3:$K83))</f>
        <v>0</v>
      </c>
      <c r="L84" s="26">
        <f t="shared" si="7"/>
        <v>556.45695029435933</v>
      </c>
      <c r="M84" s="26">
        <f t="shared" si="12"/>
        <v>-26899.659701950997</v>
      </c>
      <c r="N84" s="26">
        <f>$L84*1/(1+'Условия + итог'!$D$8)^(($B84-$B$3)/365)</f>
        <v>539.46297060541917</v>
      </c>
      <c r="O84" s="26">
        <f t="shared" si="13"/>
        <v>-27594.59815701027</v>
      </c>
    </row>
    <row r="85" spans="1:15" x14ac:dyDescent="0.2">
      <c r="A85" s="19"/>
      <c r="B85" s="14">
        <f t="shared" si="8"/>
        <v>83</v>
      </c>
      <c r="C85" s="25">
        <f>$C84*(1+(1-EXP(LN(1-'Условия + итог'!$D$4)/365)))</f>
        <v>6.9577194173851389</v>
      </c>
      <c r="D85" s="25">
        <f t="shared" si="9"/>
        <v>570.71197314299775</v>
      </c>
      <c r="E85" s="26">
        <f>'Условия + итог'!$D$5*$C85</f>
        <v>1530.6982718247305</v>
      </c>
      <c r="F85" s="26">
        <f t="shared" si="10"/>
        <v>125556.63409145946</v>
      </c>
      <c r="G85" s="26"/>
      <c r="H85" s="26">
        <f>'Условия + итог'!$D$7*$C85</f>
        <v>2087.3158252155417</v>
      </c>
      <c r="I85" s="26">
        <f>$H85-$E85-$G85</f>
        <v>556.61755339081128</v>
      </c>
      <c r="J85" s="26">
        <f t="shared" si="11"/>
        <v>-5268.6084297120433</v>
      </c>
      <c r="K85" s="26">
        <f>IF(SUM($K$3:$K84)&gt;$J85,0,$J85-SUM($K$3:$K84))</f>
        <v>0</v>
      </c>
      <c r="L85" s="26">
        <f t="shared" si="7"/>
        <v>556.61755339081128</v>
      </c>
      <c r="M85" s="26">
        <f t="shared" si="12"/>
        <v>-26343.042148560187</v>
      </c>
      <c r="N85" s="26">
        <f>$L85*1/(1+'Условия + итог'!$D$8)^(($B85-$B$3)/365)</f>
        <v>539.41208342224843</v>
      </c>
      <c r="O85" s="26">
        <f t="shared" si="13"/>
        <v>-27055.186073588022</v>
      </c>
    </row>
    <row r="86" spans="1:15" x14ac:dyDescent="0.2">
      <c r="A86" s="19"/>
      <c r="B86" s="14">
        <f t="shared" si="8"/>
        <v>84</v>
      </c>
      <c r="C86" s="25">
        <f>$C85*(1+(1-EXP(LN(1-'Условия + итог'!$D$4)/365)))</f>
        <v>6.9597275355011634</v>
      </c>
      <c r="D86" s="25">
        <f t="shared" si="9"/>
        <v>577.67170067849895</v>
      </c>
      <c r="E86" s="26">
        <f>'Условия + итог'!$D$5*$C86</f>
        <v>1531.1400578102559</v>
      </c>
      <c r="F86" s="26">
        <f t="shared" si="10"/>
        <v>127087.77414926972</v>
      </c>
      <c r="G86" s="26"/>
      <c r="H86" s="26">
        <f>'Условия + итог'!$D$7*$C86</f>
        <v>2087.9182606503491</v>
      </c>
      <c r="I86" s="26">
        <f>$H86-$E86-$G86</f>
        <v>556.77820284009317</v>
      </c>
      <c r="J86" s="26">
        <f t="shared" si="11"/>
        <v>-5157.252789144025</v>
      </c>
      <c r="K86" s="26">
        <f>IF(SUM($K$3:$K85)&gt;$J86,0,$J86-SUM($K$3:$K85))</f>
        <v>0</v>
      </c>
      <c r="L86" s="26">
        <f t="shared" si="7"/>
        <v>556.77820284009317</v>
      </c>
      <c r="M86" s="26">
        <f t="shared" si="12"/>
        <v>-25786.263945720093</v>
      </c>
      <c r="N86" s="26">
        <f>$L86*1/(1+'Условия + итог'!$D$8)^(($B86-$B$3)/365)</f>
        <v>539.36120103923145</v>
      </c>
      <c r="O86" s="26">
        <f t="shared" si="13"/>
        <v>-26515.82487254879</v>
      </c>
    </row>
    <row r="87" spans="1:15" x14ac:dyDescent="0.2">
      <c r="A87" s="19"/>
      <c r="B87" s="14">
        <f t="shared" si="8"/>
        <v>85</v>
      </c>
      <c r="C87" s="25">
        <f>$C86*(1+(1-EXP(LN(1-'Условия + итог'!$D$4)/365)))</f>
        <v>6.9617362331947943</v>
      </c>
      <c r="D87" s="25">
        <f t="shared" si="9"/>
        <v>584.63343691169371</v>
      </c>
      <c r="E87" s="26">
        <f>'Условия + итог'!$D$5*$C87</f>
        <v>1531.5819713028548</v>
      </c>
      <c r="F87" s="26">
        <f t="shared" si="10"/>
        <v>128619.35612057259</v>
      </c>
      <c r="G87" s="26"/>
      <c r="H87" s="26">
        <f>'Условия + итог'!$D$7*$C87</f>
        <v>2088.5208699584382</v>
      </c>
      <c r="I87" s="26">
        <f>$H87-$E87-$G87</f>
        <v>556.93889865558344</v>
      </c>
      <c r="J87" s="26">
        <f t="shared" si="11"/>
        <v>-5045.865009412908</v>
      </c>
      <c r="K87" s="26">
        <f>IF(SUM($K$3:$K86)&gt;$J87,0,$J87-SUM($K$3:$K86))</f>
        <v>0</v>
      </c>
      <c r="L87" s="26">
        <f t="shared" si="7"/>
        <v>556.93889865558344</v>
      </c>
      <c r="M87" s="26">
        <f t="shared" si="12"/>
        <v>-25229.325047064511</v>
      </c>
      <c r="N87" s="26">
        <f>$L87*1/(1+'Условия + итог'!$D$8)^(($B87-$B$3)/365)</f>
        <v>539.31032345591575</v>
      </c>
      <c r="O87" s="26">
        <f t="shared" si="13"/>
        <v>-25976.514549092873</v>
      </c>
    </row>
    <row r="88" spans="1:15" x14ac:dyDescent="0.2">
      <c r="A88" s="19"/>
      <c r="B88" s="14">
        <f t="shared" si="8"/>
        <v>86</v>
      </c>
      <c r="C88" s="25">
        <f>$C87*(1+(1-EXP(LN(1-'Условия + итог'!$D$4)/365)))</f>
        <v>6.9637455106333084</v>
      </c>
      <c r="D88" s="25">
        <f t="shared" si="9"/>
        <v>591.59718242232702</v>
      </c>
      <c r="E88" s="26">
        <f>'Условия + итог'!$D$5*$C88</f>
        <v>1532.0240123393278</v>
      </c>
      <c r="F88" s="26">
        <f t="shared" si="10"/>
        <v>130151.38013291192</v>
      </c>
      <c r="G88" s="26"/>
      <c r="H88" s="26">
        <f>'Условия + итог'!$D$7*$C88</f>
        <v>2089.1236531899926</v>
      </c>
      <c r="I88" s="26">
        <f>$H88-$E88-$G88</f>
        <v>557.09964085066485</v>
      </c>
      <c r="J88" s="26">
        <f t="shared" si="11"/>
        <v>-4934.4450812427749</v>
      </c>
      <c r="K88" s="26">
        <f>IF(SUM($K$3:$K87)&gt;$J88,0,$J88-SUM($K$3:$K87))</f>
        <v>0</v>
      </c>
      <c r="L88" s="26">
        <f t="shared" si="7"/>
        <v>557.09964085066485</v>
      </c>
      <c r="M88" s="26">
        <f t="shared" si="12"/>
        <v>-24672.225406213845</v>
      </c>
      <c r="N88" s="26">
        <f>$L88*1/(1+'Условия + итог'!$D$8)^(($B88-$B$3)/365)</f>
        <v>539.25945067184909</v>
      </c>
      <c r="O88" s="26">
        <f t="shared" si="13"/>
        <v>-25437.255098421025</v>
      </c>
    </row>
    <row r="89" spans="1:15" x14ac:dyDescent="0.2">
      <c r="A89" s="19"/>
      <c r="B89" s="14">
        <f t="shared" si="8"/>
        <v>87</v>
      </c>
      <c r="C89" s="25">
        <f>$C88*(1+(1-EXP(LN(1-'Условия + итог'!$D$4)/365)))</f>
        <v>6.9657553679840296</v>
      </c>
      <c r="D89" s="25">
        <f t="shared" si="9"/>
        <v>598.56293779031103</v>
      </c>
      <c r="E89" s="26">
        <f>'Условия + итог'!$D$5*$C89</f>
        <v>1532.4661809564866</v>
      </c>
      <c r="F89" s="26">
        <f t="shared" si="10"/>
        <v>131683.84631386842</v>
      </c>
      <c r="G89" s="26"/>
      <c r="H89" s="26">
        <f>'Условия + итог'!$D$7*$C89</f>
        <v>2089.7266103952088</v>
      </c>
      <c r="I89" s="26">
        <f>$H89-$E89-$G89</f>
        <v>557.26042943872221</v>
      </c>
      <c r="J89" s="26">
        <f t="shared" si="11"/>
        <v>-4822.9929953550309</v>
      </c>
      <c r="K89" s="26">
        <f>IF(SUM($K$3:$K88)&gt;$J89,0,$J89-SUM($K$3:$K88))</f>
        <v>0</v>
      </c>
      <c r="L89" s="26">
        <f t="shared" si="7"/>
        <v>557.26042943872221</v>
      </c>
      <c r="M89" s="26">
        <f t="shared" si="12"/>
        <v>-24114.964976775122</v>
      </c>
      <c r="N89" s="26">
        <f>$L89*1/(1+'Условия + итог'!$D$8)^(($B89-$B$3)/365)</f>
        <v>539.20858268657776</v>
      </c>
      <c r="O89" s="26">
        <f t="shared" si="13"/>
        <v>-24898.046515734448</v>
      </c>
    </row>
    <row r="90" spans="1:15" x14ac:dyDescent="0.2">
      <c r="A90" s="19"/>
      <c r="B90" s="14">
        <f t="shared" si="8"/>
        <v>88</v>
      </c>
      <c r="C90" s="25">
        <f>$C89*(1+(1-EXP(LN(1-'Условия + итог'!$D$4)/365)))</f>
        <v>6.9677658054143308</v>
      </c>
      <c r="D90" s="25">
        <f t="shared" si="9"/>
        <v>605.5307035957253</v>
      </c>
      <c r="E90" s="26">
        <f>'Условия + итог'!$D$5*$C90</f>
        <v>1532.9084771911528</v>
      </c>
      <c r="F90" s="26">
        <f t="shared" si="10"/>
        <v>133216.75479105956</v>
      </c>
      <c r="G90" s="26"/>
      <c r="H90" s="26">
        <f>'Условия + итог'!$D$7*$C90</f>
        <v>2090.3297416242995</v>
      </c>
      <c r="I90" s="26">
        <f>$H90-$E90-$G90</f>
        <v>557.42126443314669</v>
      </c>
      <c r="J90" s="26">
        <f t="shared" si="11"/>
        <v>-4711.5087424684016</v>
      </c>
      <c r="K90" s="26">
        <f>IF(SUM($K$3:$K89)&gt;$J90,0,$J90-SUM($K$3:$K89))</f>
        <v>0</v>
      </c>
      <c r="L90" s="26">
        <f t="shared" si="7"/>
        <v>557.42126443314669</v>
      </c>
      <c r="M90" s="26">
        <f t="shared" si="12"/>
        <v>-23557.543712341976</v>
      </c>
      <c r="N90" s="26">
        <f>$L90*1/(1+'Условия + итог'!$D$8)^(($B90-$B$3)/365)</f>
        <v>539.15771949965028</v>
      </c>
      <c r="O90" s="26">
        <f t="shared" si="13"/>
        <v>-24358.888796234798</v>
      </c>
    </row>
    <row r="91" spans="1:15" x14ac:dyDescent="0.2">
      <c r="A91" s="19"/>
      <c r="B91" s="14">
        <f t="shared" si="8"/>
        <v>89</v>
      </c>
      <c r="C91" s="25">
        <f>$C90*(1+(1-EXP(LN(1-'Условия + итог'!$D$4)/365)))</f>
        <v>6.9697768230916326</v>
      </c>
      <c r="D91" s="25">
        <f t="shared" si="9"/>
        <v>612.50048041881689</v>
      </c>
      <c r="E91" s="26">
        <f>'Условия + итог'!$D$5*$C91</f>
        <v>1533.3509010801592</v>
      </c>
      <c r="F91" s="26">
        <f t="shared" si="10"/>
        <v>134750.10569213971</v>
      </c>
      <c r="G91" s="26"/>
      <c r="H91" s="26">
        <f>'Условия + итог'!$D$7*$C91</f>
        <v>2090.9330469274896</v>
      </c>
      <c r="I91" s="26">
        <f>$H91-$E91-$G91</f>
        <v>557.58214584733037</v>
      </c>
      <c r="J91" s="26">
        <f t="shared" si="11"/>
        <v>-4599.9923132989352</v>
      </c>
      <c r="K91" s="26">
        <f>IF(SUM($K$3:$K90)&gt;$J91,0,$J91-SUM($K$3:$K90))</f>
        <v>0</v>
      </c>
      <c r="L91" s="26">
        <f t="shared" si="7"/>
        <v>557.58214584733037</v>
      </c>
      <c r="M91" s="26">
        <f t="shared" si="12"/>
        <v>-22999.961566494647</v>
      </c>
      <c r="N91" s="26">
        <f>$L91*1/(1+'Условия + итог'!$D$8)^(($B91-$B$3)/365)</f>
        <v>539.10686111061261</v>
      </c>
      <c r="O91" s="26">
        <f t="shared" si="13"/>
        <v>-23819.781935124185</v>
      </c>
    </row>
    <row r="92" spans="1:15" x14ac:dyDescent="0.2">
      <c r="A92" s="20"/>
      <c r="B92" s="16">
        <f t="shared" si="8"/>
        <v>90</v>
      </c>
      <c r="C92" s="27">
        <f>$C91*(1+(1-EXP(LN(1-'Условия + итог'!$D$4)/365)))</f>
        <v>6.9717884211834047</v>
      </c>
      <c r="D92" s="27">
        <f t="shared" si="9"/>
        <v>619.47226884000031</v>
      </c>
      <c r="E92" s="28">
        <f>'Условия + итог'!$D$5*$C92</f>
        <v>1533.793452660349</v>
      </c>
      <c r="F92" s="28">
        <f t="shared" si="10"/>
        <v>136283.89914480006</v>
      </c>
      <c r="G92" s="28"/>
      <c r="H92" s="28">
        <f>'Условия + итог'!$D$7*$C92</f>
        <v>2091.5365263550216</v>
      </c>
      <c r="I92" s="28">
        <f>$H92-$E92-$G92</f>
        <v>557.7430736946726</v>
      </c>
      <c r="J92" s="28">
        <f t="shared" si="11"/>
        <v>-4488.4436985600005</v>
      </c>
      <c r="K92" s="28">
        <f>IF(SUM($K$3:$K91)&gt;$J92,0,$J92-SUM($K$3:$K91))</f>
        <v>0</v>
      </c>
      <c r="L92" s="28">
        <f t="shared" si="7"/>
        <v>557.7430736946726</v>
      </c>
      <c r="M92" s="28">
        <f t="shared" si="12"/>
        <v>-22442.218492799973</v>
      </c>
      <c r="N92" s="28">
        <f>$L92*1/(1+'Условия + итог'!$D$8)^(($B92-$B$3)/365)</f>
        <v>539.05600751901386</v>
      </c>
      <c r="O92" s="28">
        <f t="shared" si="13"/>
        <v>-23280.72592760517</v>
      </c>
    </row>
    <row r="93" spans="1:15" x14ac:dyDescent="0.2">
      <c r="A93" s="18" t="s">
        <v>20</v>
      </c>
      <c r="B93" s="12">
        <f t="shared" si="8"/>
        <v>91</v>
      </c>
      <c r="C93" s="23">
        <f>$C92*(1+(1-EXP(LN(1-'Условия + итог'!$D$4)/365)))</f>
        <v>6.9738005998571646</v>
      </c>
      <c r="D93" s="23">
        <f t="shared" si="9"/>
        <v>626.44606943985752</v>
      </c>
      <c r="E93" s="24">
        <f>'Условия + итог'!$D$5*$C93</f>
        <v>1534.2361319685763</v>
      </c>
      <c r="F93" s="24">
        <f t="shared" si="10"/>
        <v>137818.13527676865</v>
      </c>
      <c r="G93" s="24"/>
      <c r="H93" s="24">
        <f>'Условия + итог'!$D$7*$C93</f>
        <v>2092.1401799571495</v>
      </c>
      <c r="I93" s="24">
        <f>$H93-$E93-$G93</f>
        <v>557.90404798857321</v>
      </c>
      <c r="J93" s="24">
        <f t="shared" si="11"/>
        <v>-4376.862888962286</v>
      </c>
      <c r="K93" s="24">
        <f>IF(SUM($K$3:$K92)&gt;$J93,0,$J93-SUM($K$3:$K92))</f>
        <v>0</v>
      </c>
      <c r="L93" s="24">
        <f t="shared" si="7"/>
        <v>557.90404798857321</v>
      </c>
      <c r="M93" s="24">
        <f t="shared" si="12"/>
        <v>-21884.3144448114</v>
      </c>
      <c r="N93" s="24">
        <f>$L93*1/(1+'Условия + итог'!$D$8)^(($B93-$B$3)/365)</f>
        <v>539.00515872439985</v>
      </c>
      <c r="O93" s="24">
        <f t="shared" si="13"/>
        <v>-22741.720768880768</v>
      </c>
    </row>
    <row r="94" spans="1:15" x14ac:dyDescent="0.2">
      <c r="A94" s="19"/>
      <c r="B94" s="14">
        <f t="shared" si="8"/>
        <v>92</v>
      </c>
      <c r="C94" s="25">
        <f>$C93*(1+(1-EXP(LN(1-'Условия + итог'!$D$4)/365)))</f>
        <v>6.9758133592804779</v>
      </c>
      <c r="D94" s="25">
        <f t="shared" si="9"/>
        <v>633.42188279913796</v>
      </c>
      <c r="E94" s="26">
        <f>'Условия + итог'!$D$5*$C94</f>
        <v>1534.6789390417052</v>
      </c>
      <c r="F94" s="26">
        <f t="shared" si="10"/>
        <v>139352.81421581036</v>
      </c>
      <c r="G94" s="26"/>
      <c r="H94" s="26">
        <f>'Условия + итог'!$D$7*$C94</f>
        <v>2092.7440077841434</v>
      </c>
      <c r="I94" s="26">
        <f>$H94-$E94-$G94</f>
        <v>558.06506874243814</v>
      </c>
      <c r="J94" s="26">
        <f t="shared" si="11"/>
        <v>-4265.2498752137981</v>
      </c>
      <c r="K94" s="26">
        <f>IF(SUM($K$3:$K93)&gt;$J94,0,$J94-SUM($K$3:$K93))</f>
        <v>0</v>
      </c>
      <c r="L94" s="26">
        <f t="shared" si="7"/>
        <v>558.06506874243814</v>
      </c>
      <c r="M94" s="26">
        <f t="shared" si="12"/>
        <v>-21326.249376068961</v>
      </c>
      <c r="N94" s="26">
        <f>$L94*1/(1+'Условия + итог'!$D$8)^(($B94-$B$3)/365)</f>
        <v>538.95431472631901</v>
      </c>
      <c r="O94" s="26">
        <f t="shared" si="13"/>
        <v>-22202.766454154451</v>
      </c>
    </row>
    <row r="95" spans="1:15" x14ac:dyDescent="0.2">
      <c r="A95" s="19"/>
      <c r="B95" s="14">
        <f t="shared" si="8"/>
        <v>93</v>
      </c>
      <c r="C95" s="25">
        <f>$C94*(1+(1-EXP(LN(1-'Условия + итог'!$D$4)/365)))</f>
        <v>6.9778266996209597</v>
      </c>
      <c r="D95" s="25">
        <f t="shared" si="9"/>
        <v>640.39970949875897</v>
      </c>
      <c r="E95" s="26">
        <f>'Условия + итог'!$D$5*$C95</f>
        <v>1535.1218739166111</v>
      </c>
      <c r="F95" s="26">
        <f t="shared" si="10"/>
        <v>140887.93608972698</v>
      </c>
      <c r="G95" s="26"/>
      <c r="H95" s="26">
        <f>'Условия + итог'!$D$7*$C95</f>
        <v>2093.3480098862879</v>
      </c>
      <c r="I95" s="26">
        <f>$H95-$E95-$G95</f>
        <v>558.22613596967676</v>
      </c>
      <c r="J95" s="26">
        <f t="shared" si="11"/>
        <v>-4153.6046480198629</v>
      </c>
      <c r="K95" s="26">
        <f>IF(SUM($K$3:$K94)&gt;$J95,0,$J95-SUM($K$3:$K94))</f>
        <v>0</v>
      </c>
      <c r="L95" s="26">
        <f t="shared" si="7"/>
        <v>558.22613596967676</v>
      </c>
      <c r="M95" s="26">
        <f t="shared" si="12"/>
        <v>-20768.023240099283</v>
      </c>
      <c r="N95" s="26">
        <f>$L95*1/(1+'Условия + итог'!$D$8)^(($B95-$B$3)/365)</f>
        <v>538.90347552431865</v>
      </c>
      <c r="O95" s="26">
        <f t="shared" si="13"/>
        <v>-21663.862978630132</v>
      </c>
    </row>
    <row r="96" spans="1:15" x14ac:dyDescent="0.2">
      <c r="A96" s="19"/>
      <c r="B96" s="14">
        <f t="shared" si="8"/>
        <v>94</v>
      </c>
      <c r="C96" s="25">
        <f>$C95*(1+(1-EXP(LN(1-'Условия + итог'!$D$4)/365)))</f>
        <v>6.9798406210462725</v>
      </c>
      <c r="D96" s="25">
        <f t="shared" si="9"/>
        <v>647.37955011980523</v>
      </c>
      <c r="E96" s="26">
        <f>'Условия + итог'!$D$5*$C96</f>
        <v>1535.56493663018</v>
      </c>
      <c r="F96" s="26">
        <f t="shared" si="10"/>
        <v>142423.50102635715</v>
      </c>
      <c r="G96" s="26"/>
      <c r="H96" s="26">
        <f>'Условия + итог'!$D$7*$C96</f>
        <v>2093.9521863138816</v>
      </c>
      <c r="I96" s="26">
        <f>$H96-$E96-$G96</f>
        <v>558.38724968370161</v>
      </c>
      <c r="J96" s="26">
        <f t="shared" si="11"/>
        <v>-4041.9271980831227</v>
      </c>
      <c r="K96" s="26">
        <f>IF(SUM($K$3:$K95)&gt;$J96,0,$J96-SUM($K$3:$K95))</f>
        <v>0</v>
      </c>
      <c r="L96" s="26">
        <f t="shared" si="7"/>
        <v>558.38724968370161</v>
      </c>
      <c r="M96" s="26">
        <f t="shared" si="12"/>
        <v>-20209.63599041558</v>
      </c>
      <c r="N96" s="26">
        <f>$L96*1/(1+'Условия + итог'!$D$8)^(($B96-$B$3)/365)</f>
        <v>538.85264111794629</v>
      </c>
      <c r="O96" s="26">
        <f t="shared" si="13"/>
        <v>-21125.010337512187</v>
      </c>
    </row>
    <row r="97" spans="1:15" x14ac:dyDescent="0.2">
      <c r="A97" s="19"/>
      <c r="B97" s="14">
        <f t="shared" si="8"/>
        <v>95</v>
      </c>
      <c r="C97" s="25">
        <f>$C96*(1+(1-EXP(LN(1-'Условия + итог'!$D$4)/365)))</f>
        <v>6.9818551237241273</v>
      </c>
      <c r="D97" s="25">
        <f t="shared" si="9"/>
        <v>654.36140524352936</v>
      </c>
      <c r="E97" s="26">
        <f>'Условия + итог'!$D$5*$C97</f>
        <v>1536.0081272193081</v>
      </c>
      <c r="F97" s="26">
        <f t="shared" si="10"/>
        <v>143959.50915357645</v>
      </c>
      <c r="G97" s="26"/>
      <c r="H97" s="26">
        <f>'Условия + итог'!$D$7*$C97</f>
        <v>2094.5565371172383</v>
      </c>
      <c r="I97" s="26">
        <f>$H97-$E97-$G97</f>
        <v>558.54840989793024</v>
      </c>
      <c r="J97" s="26">
        <f t="shared" si="11"/>
        <v>-3930.2175161035366</v>
      </c>
      <c r="K97" s="26">
        <f>IF(SUM($K$3:$K96)&gt;$J97,0,$J97-SUM($K$3:$K96))</f>
        <v>0</v>
      </c>
      <c r="L97" s="26">
        <f t="shared" si="7"/>
        <v>558.54840989793024</v>
      </c>
      <c r="M97" s="26">
        <f t="shared" si="12"/>
        <v>-19651.087580517651</v>
      </c>
      <c r="N97" s="26">
        <f>$L97*1/(1+'Условия + итог'!$D$8)^(($B97-$B$3)/365)</f>
        <v>538.80181150675025</v>
      </c>
      <c r="O97" s="26">
        <f t="shared" si="13"/>
        <v>-20586.208526005437</v>
      </c>
    </row>
    <row r="98" spans="1:15" x14ac:dyDescent="0.2">
      <c r="A98" s="19"/>
      <c r="B98" s="14">
        <f t="shared" si="8"/>
        <v>96</v>
      </c>
      <c r="C98" s="25">
        <f>$C97*(1+(1-EXP(LN(1-'Условия + итог'!$D$4)/365)))</f>
        <v>6.9838702078222834</v>
      </c>
      <c r="D98" s="25">
        <f t="shared" si="9"/>
        <v>661.34527545135165</v>
      </c>
      <c r="E98" s="26">
        <f>'Условия + итог'!$D$5*$C98</f>
        <v>1536.4514457209023</v>
      </c>
      <c r="F98" s="26">
        <f t="shared" si="10"/>
        <v>145495.96059929737</v>
      </c>
      <c r="G98" s="26"/>
      <c r="H98" s="26">
        <f>'Условия + итог'!$D$7*$C98</f>
        <v>2095.161062346685</v>
      </c>
      <c r="I98" s="26">
        <f>$H98-$E98-$G98</f>
        <v>558.7096166257827</v>
      </c>
      <c r="J98" s="26">
        <f t="shared" si="11"/>
        <v>-3818.4755927783799</v>
      </c>
      <c r="K98" s="26">
        <f>IF(SUM($K$3:$K97)&gt;$J98,0,$J98-SUM($K$3:$K97))</f>
        <v>0</v>
      </c>
      <c r="L98" s="26">
        <f t="shared" si="7"/>
        <v>558.7096166257827</v>
      </c>
      <c r="M98" s="26">
        <f t="shared" si="12"/>
        <v>-19092.377963891868</v>
      </c>
      <c r="N98" s="26">
        <f>$L98*1/(1+'Условия + итог'!$D$8)^(($B98-$B$3)/365)</f>
        <v>538.75098669027705</v>
      </c>
      <c r="O98" s="26">
        <f t="shared" si="13"/>
        <v>-20047.457539315161</v>
      </c>
    </row>
    <row r="99" spans="1:15" x14ac:dyDescent="0.2">
      <c r="A99" s="19"/>
      <c r="B99" s="14">
        <f t="shared" si="8"/>
        <v>97</v>
      </c>
      <c r="C99" s="25">
        <f>$C98*(1+(1-EXP(LN(1-'Условия + итог'!$D$4)/365)))</f>
        <v>6.9858858735085496</v>
      </c>
      <c r="D99" s="25">
        <f t="shared" si="9"/>
        <v>668.3311613248602</v>
      </c>
      <c r="E99" s="26">
        <f>'Условия + итог'!$D$5*$C99</f>
        <v>1536.8948921718809</v>
      </c>
      <c r="F99" s="26">
        <f t="shared" si="10"/>
        <v>147032.85549146924</v>
      </c>
      <c r="G99" s="26"/>
      <c r="H99" s="26">
        <f>'Условия + итог'!$D$7*$C99</f>
        <v>2095.7657620525647</v>
      </c>
      <c r="I99" s="26">
        <f>$H99-$E99-$G99</f>
        <v>558.87086988068381</v>
      </c>
      <c r="J99" s="26">
        <f t="shared" si="11"/>
        <v>-3706.7014188022431</v>
      </c>
      <c r="K99" s="26">
        <f>IF(SUM($K$3:$K98)&gt;$J99,0,$J99-SUM($K$3:$K98))</f>
        <v>0</v>
      </c>
      <c r="L99" s="26">
        <f t="shared" si="7"/>
        <v>558.87086988068381</v>
      </c>
      <c r="M99" s="26">
        <f t="shared" si="12"/>
        <v>-18533.507094011184</v>
      </c>
      <c r="N99" s="26">
        <f>$L99*1/(1+'Условия + итог'!$D$8)^(($B99-$B$3)/365)</f>
        <v>538.70016666807498</v>
      </c>
      <c r="O99" s="26">
        <f t="shared" si="13"/>
        <v>-19508.757372647087</v>
      </c>
    </row>
    <row r="100" spans="1:15" x14ac:dyDescent="0.2">
      <c r="A100" s="19"/>
      <c r="B100" s="14">
        <f t="shared" si="8"/>
        <v>98</v>
      </c>
      <c r="C100" s="25">
        <f>$C99*(1+(1-EXP(LN(1-'Условия + итог'!$D$4)/365)))</f>
        <v>6.9879021209507819</v>
      </c>
      <c r="D100" s="25">
        <f t="shared" si="9"/>
        <v>675.31906344581103</v>
      </c>
      <c r="E100" s="26">
        <f>'Условия + итог'!$D$5*$C100</f>
        <v>1537.338466609172</v>
      </c>
      <c r="F100" s="26">
        <f t="shared" si="10"/>
        <v>148570.19395807839</v>
      </c>
      <c r="G100" s="26"/>
      <c r="H100" s="26">
        <f>'Условия + итог'!$D$7*$C100</f>
        <v>2096.3706362852345</v>
      </c>
      <c r="I100" s="26">
        <f>$H100-$E100-$G100</f>
        <v>559.03216967606249</v>
      </c>
      <c r="J100" s="26">
        <f t="shared" si="11"/>
        <v>-3594.8949848670304</v>
      </c>
      <c r="K100" s="26">
        <f>IF(SUM($K$3:$K99)&gt;$J100,0,$J100-SUM($K$3:$K99))</f>
        <v>0</v>
      </c>
      <c r="L100" s="26">
        <f t="shared" si="7"/>
        <v>559.03216967606249</v>
      </c>
      <c r="M100" s="26">
        <f t="shared" si="12"/>
        <v>-17974.474924335122</v>
      </c>
      <c r="N100" s="26">
        <f>$L100*1/(1+'Условия + итог'!$D$8)^(($B100-$B$3)/365)</f>
        <v>538.64935143969217</v>
      </c>
      <c r="O100" s="26">
        <f t="shared" si="13"/>
        <v>-18970.108021207394</v>
      </c>
    </row>
    <row r="101" spans="1:15" x14ac:dyDescent="0.2">
      <c r="A101" s="19"/>
      <c r="B101" s="14">
        <f t="shared" si="8"/>
        <v>99</v>
      </c>
      <c r="C101" s="25">
        <f>$C100*(1+(1-EXP(LN(1-'Условия + итог'!$D$4)/365)))</f>
        <v>6.989918950316885</v>
      </c>
      <c r="D101" s="25">
        <f t="shared" si="9"/>
        <v>682.30898239612793</v>
      </c>
      <c r="E101" s="26">
        <f>'Условия + итог'!$D$5*$C101</f>
        <v>1537.7821690697147</v>
      </c>
      <c r="F101" s="26">
        <f t="shared" si="10"/>
        <v>150107.97612714811</v>
      </c>
      <c r="G101" s="26"/>
      <c r="H101" s="26">
        <f>'Условия + итог'!$D$7*$C101</f>
        <v>2096.9756850950657</v>
      </c>
      <c r="I101" s="26">
        <f>$H101-$E101-$G101</f>
        <v>559.19351602535107</v>
      </c>
      <c r="J101" s="26">
        <f t="shared" si="11"/>
        <v>-3483.0562816619604</v>
      </c>
      <c r="K101" s="26">
        <f>IF(SUM($K$3:$K100)&gt;$J101,0,$J101-SUM($K$3:$K100))</f>
        <v>0</v>
      </c>
      <c r="L101" s="26">
        <f t="shared" si="7"/>
        <v>559.19351602535107</v>
      </c>
      <c r="M101" s="26">
        <f t="shared" si="12"/>
        <v>-17415.281408309769</v>
      </c>
      <c r="N101" s="26">
        <f>$L101*1/(1+'Условия + итог'!$D$8)^(($B101-$B$3)/365)</f>
        <v>538.59854100467612</v>
      </c>
      <c r="O101" s="26">
        <f t="shared" si="13"/>
        <v>-18431.509480202716</v>
      </c>
    </row>
    <row r="102" spans="1:15" x14ac:dyDescent="0.2">
      <c r="A102" s="19"/>
      <c r="B102" s="14">
        <f t="shared" si="8"/>
        <v>100</v>
      </c>
      <c r="C102" s="25">
        <f>$C101*(1+(1-EXP(LN(1-'Условия + итог'!$D$4)/365)))</f>
        <v>6.9919363617748118</v>
      </c>
      <c r="D102" s="25">
        <f t="shared" si="9"/>
        <v>689.30091875790276</v>
      </c>
      <c r="E102" s="26">
        <f>'Условия + итог'!$D$5*$C102</f>
        <v>1538.2259995904585</v>
      </c>
      <c r="F102" s="26">
        <f t="shared" si="10"/>
        <v>151646.20212673856</v>
      </c>
      <c r="G102" s="26"/>
      <c r="H102" s="26">
        <f>'Условия + итог'!$D$7*$C102</f>
        <v>2097.5809085324436</v>
      </c>
      <c r="I102" s="26">
        <f>$H102-$E102-$G102</f>
        <v>559.35490894198506</v>
      </c>
      <c r="J102" s="26">
        <f t="shared" si="11"/>
        <v>-3371.1852998735635</v>
      </c>
      <c r="K102" s="26">
        <f>IF(SUM($K$3:$K101)&gt;$J102,0,$J102-SUM($K$3:$K101))</f>
        <v>0</v>
      </c>
      <c r="L102" s="26">
        <f t="shared" si="7"/>
        <v>559.35490894198506</v>
      </c>
      <c r="M102" s="26">
        <f t="shared" si="12"/>
        <v>-16855.926499367783</v>
      </c>
      <c r="N102" s="26">
        <f>$L102*1/(1+'Условия + итог'!$D$8)^(($B102-$B$3)/365)</f>
        <v>538.54773536257414</v>
      </c>
      <c r="O102" s="26">
        <f t="shared" si="13"/>
        <v>-17892.96174484014</v>
      </c>
    </row>
    <row r="103" spans="1:15" x14ac:dyDescent="0.2">
      <c r="A103" s="19"/>
      <c r="B103" s="14">
        <f t="shared" si="8"/>
        <v>101</v>
      </c>
      <c r="C103" s="25">
        <f>$C102*(1+(1-EXP(LN(1-'Условия + итог'!$D$4)/365)))</f>
        <v>6.9939543554925647</v>
      </c>
      <c r="D103" s="25">
        <f t="shared" si="9"/>
        <v>696.29487311339528</v>
      </c>
      <c r="E103" s="26">
        <f>'Условия + итог'!$D$5*$C103</f>
        <v>1538.6699582083643</v>
      </c>
      <c r="F103" s="26">
        <f t="shared" si="10"/>
        <v>153184.87208494692</v>
      </c>
      <c r="G103" s="26"/>
      <c r="H103" s="26">
        <f>'Условия + итог'!$D$7*$C103</f>
        <v>2098.1863066477695</v>
      </c>
      <c r="I103" s="26">
        <f>$H103-$E103-$G103</f>
        <v>559.51634843940519</v>
      </c>
      <c r="J103" s="26">
        <f t="shared" si="11"/>
        <v>-3259.2820301856823</v>
      </c>
      <c r="K103" s="26">
        <f>IF(SUM($K$3:$K102)&gt;$J103,0,$J103-SUM($K$3:$K102))</f>
        <v>0</v>
      </c>
      <c r="L103" s="26">
        <f t="shared" si="7"/>
        <v>559.51634843940519</v>
      </c>
      <c r="M103" s="26">
        <f t="shared" si="12"/>
        <v>-16296.410150928377</v>
      </c>
      <c r="N103" s="26">
        <f>$L103*1/(1+'Условия + итог'!$D$8)^(($B103-$B$3)/365)</f>
        <v>538.49693451293479</v>
      </c>
      <c r="O103" s="26">
        <f t="shared" si="13"/>
        <v>-17354.464810327205</v>
      </c>
    </row>
    <row r="104" spans="1:15" x14ac:dyDescent="0.2">
      <c r="A104" s="19"/>
      <c r="B104" s="14">
        <f t="shared" si="8"/>
        <v>102</v>
      </c>
      <c r="C104" s="25">
        <f>$C103*(1+(1-EXP(LN(1-'Условия + итог'!$D$4)/365)))</f>
        <v>6.9959729316381933</v>
      </c>
      <c r="D104" s="25">
        <f t="shared" si="9"/>
        <v>703.2908460450335</v>
      </c>
      <c r="E104" s="26">
        <f>'Условия + итог'!$D$5*$C104</f>
        <v>1539.1140449604025</v>
      </c>
      <c r="F104" s="26">
        <f t="shared" si="10"/>
        <v>154723.98612990734</v>
      </c>
      <c r="G104" s="26"/>
      <c r="H104" s="26">
        <f>'Условия + итог'!$D$7*$C104</f>
        <v>2098.7918794914581</v>
      </c>
      <c r="I104" s="26">
        <f>$H104-$E104-$G104</f>
        <v>559.67783453105562</v>
      </c>
      <c r="J104" s="26">
        <f t="shared" si="11"/>
        <v>-3147.3464632794712</v>
      </c>
      <c r="K104" s="26">
        <f>IF(SUM($K$3:$K103)&gt;$J104,0,$J104-SUM($K$3:$K103))</f>
        <v>0</v>
      </c>
      <c r="L104" s="26">
        <f t="shared" si="7"/>
        <v>559.67783453105562</v>
      </c>
      <c r="M104" s="26">
        <f t="shared" si="12"/>
        <v>-15736.732316397321</v>
      </c>
      <c r="N104" s="26">
        <f>$L104*1/(1+'Условия + итог'!$D$8)^(($B104-$B$3)/365)</f>
        <v>538.44613845530591</v>
      </c>
      <c r="O104" s="26">
        <f t="shared" si="13"/>
        <v>-16816.018671871898</v>
      </c>
    </row>
    <row r="105" spans="1:15" x14ac:dyDescent="0.2">
      <c r="A105" s="19"/>
      <c r="B105" s="14">
        <f t="shared" si="8"/>
        <v>103</v>
      </c>
      <c r="C105" s="25">
        <f>$C104*(1+(1-EXP(LN(1-'Условия + итог'!$D$4)/365)))</f>
        <v>6.997992090379797</v>
      </c>
      <c r="D105" s="25">
        <f t="shared" si="9"/>
        <v>710.28883813541336</v>
      </c>
      <c r="E105" s="26">
        <f>'Условия + итог'!$D$5*$C105</f>
        <v>1539.5582598835554</v>
      </c>
      <c r="F105" s="26">
        <f t="shared" si="10"/>
        <v>156263.54438979088</v>
      </c>
      <c r="G105" s="26"/>
      <c r="H105" s="26">
        <f>'Условия + итог'!$D$7*$C105</f>
        <v>2099.3976271139391</v>
      </c>
      <c r="I105" s="26">
        <f>$H105-$E105-$G105</f>
        <v>559.83936723038369</v>
      </c>
      <c r="J105" s="26">
        <f t="shared" si="11"/>
        <v>-3035.3785898333945</v>
      </c>
      <c r="K105" s="26">
        <f>IF(SUM($K$3:$K104)&gt;$J105,0,$J105-SUM($K$3:$K104))</f>
        <v>0</v>
      </c>
      <c r="L105" s="26">
        <f t="shared" si="7"/>
        <v>559.83936723038369</v>
      </c>
      <c r="M105" s="26">
        <f t="shared" si="12"/>
        <v>-15176.892949166937</v>
      </c>
      <c r="N105" s="26">
        <f>$L105*1/(1+'Условия + итог'!$D$8)^(($B105-$B$3)/365)</f>
        <v>538.39534718923494</v>
      </c>
      <c r="O105" s="26">
        <f t="shared" si="13"/>
        <v>-16277.623324682663</v>
      </c>
    </row>
    <row r="106" spans="1:15" x14ac:dyDescent="0.2">
      <c r="A106" s="19"/>
      <c r="B106" s="14">
        <f t="shared" si="8"/>
        <v>104</v>
      </c>
      <c r="C106" s="25">
        <f>$C105*(1+(1-EXP(LN(1-'Условия + итог'!$D$4)/365)))</f>
        <v>7.0000118318855229</v>
      </c>
      <c r="D106" s="25">
        <f t="shared" si="9"/>
        <v>717.28884996729892</v>
      </c>
      <c r="E106" s="26">
        <f>'Условия + итог'!$D$5*$C106</f>
        <v>1540.0026030148151</v>
      </c>
      <c r="F106" s="26">
        <f t="shared" si="10"/>
        <v>157803.5469928057</v>
      </c>
      <c r="G106" s="26"/>
      <c r="H106" s="26">
        <f>'Условия + итог'!$D$7*$C106</f>
        <v>2100.0035495656571</v>
      </c>
      <c r="I106" s="26">
        <f>$H106-$E106-$G106</f>
        <v>560.00094655084195</v>
      </c>
      <c r="J106" s="26">
        <f t="shared" si="11"/>
        <v>-2923.378400523226</v>
      </c>
      <c r="K106" s="26">
        <f>IF(SUM($K$3:$K105)&gt;$J106,0,$J106-SUM($K$3:$K105))</f>
        <v>0</v>
      </c>
      <c r="L106" s="26">
        <f t="shared" si="7"/>
        <v>560.00094655084195</v>
      </c>
      <c r="M106" s="26">
        <f t="shared" si="12"/>
        <v>-14616.892002616096</v>
      </c>
      <c r="N106" s="26">
        <f>$L106*1/(1+'Условия + итог'!$D$8)^(($B106-$B$3)/365)</f>
        <v>538.34456071427098</v>
      </c>
      <c r="O106" s="26">
        <f t="shared" si="13"/>
        <v>-15739.278763968392</v>
      </c>
    </row>
    <row r="107" spans="1:15" x14ac:dyDescent="0.2">
      <c r="A107" s="19"/>
      <c r="B107" s="14">
        <f t="shared" si="8"/>
        <v>105</v>
      </c>
      <c r="C107" s="25">
        <f>$C106*(1+(1-EXP(LN(1-'Условия + итог'!$D$4)/365)))</f>
        <v>7.0020321563235663</v>
      </c>
      <c r="D107" s="25">
        <f t="shared" si="9"/>
        <v>724.29088212362251</v>
      </c>
      <c r="E107" s="26">
        <f>'Условия + итог'!$D$5*$C107</f>
        <v>1540.4470743911845</v>
      </c>
      <c r="F107" s="26">
        <f t="shared" si="10"/>
        <v>159343.99406719688</v>
      </c>
      <c r="G107" s="26"/>
      <c r="H107" s="26">
        <f>'Условия + итог'!$D$7*$C107</f>
        <v>2100.60964689707</v>
      </c>
      <c r="I107" s="26">
        <f>$H107-$E107-$G107</f>
        <v>560.16257250588546</v>
      </c>
      <c r="J107" s="26">
        <f t="shared" si="11"/>
        <v>-2811.3458860220489</v>
      </c>
      <c r="K107" s="26">
        <f>IF(SUM($K$3:$K106)&gt;$J107,0,$J107-SUM($K$3:$K106))</f>
        <v>0</v>
      </c>
      <c r="L107" s="26">
        <f t="shared" si="7"/>
        <v>560.16257250588546</v>
      </c>
      <c r="M107" s="26">
        <f t="shared" si="12"/>
        <v>-14056.72943011021</v>
      </c>
      <c r="N107" s="26">
        <f>$L107*1/(1+'Условия + итог'!$D$8)^(($B107-$B$3)/365)</f>
        <v>538.293779029961</v>
      </c>
      <c r="O107" s="26">
        <f t="shared" si="13"/>
        <v>-15200.984984938432</v>
      </c>
    </row>
    <row r="108" spans="1:15" x14ac:dyDescent="0.2">
      <c r="A108" s="19"/>
      <c r="B108" s="14">
        <f t="shared" si="8"/>
        <v>106</v>
      </c>
      <c r="C108" s="25">
        <f>$C107*(1+(1-EXP(LN(1-'Условия + итог'!$D$4)/365)))</f>
        <v>7.0040530638621723</v>
      </c>
      <c r="D108" s="25">
        <f t="shared" si="9"/>
        <v>731.29493518748473</v>
      </c>
      <c r="E108" s="26">
        <f>'Условия + итог'!$D$5*$C108</f>
        <v>1540.8916740496779</v>
      </c>
      <c r="F108" s="26">
        <f t="shared" si="10"/>
        <v>160884.88574124654</v>
      </c>
      <c r="G108" s="26"/>
      <c r="H108" s="26">
        <f>'Условия + итог'!$D$7*$C108</f>
        <v>2101.2159191586516</v>
      </c>
      <c r="I108" s="26">
        <f>$H108-$E108-$G108</f>
        <v>560.32424510897363</v>
      </c>
      <c r="J108" s="26">
        <f t="shared" si="11"/>
        <v>-2699.2810370002544</v>
      </c>
      <c r="K108" s="26">
        <f>IF(SUM($K$3:$K107)&gt;$J108,0,$J108-SUM($K$3:$K107))</f>
        <v>0</v>
      </c>
      <c r="L108" s="26">
        <f t="shared" si="7"/>
        <v>560.32424510897363</v>
      </c>
      <c r="M108" s="26">
        <f t="shared" si="12"/>
        <v>-13496.405185001237</v>
      </c>
      <c r="N108" s="26">
        <f>$L108*1/(1+'Условия + итог'!$D$8)^(($B108-$B$3)/365)</f>
        <v>538.2430021358532</v>
      </c>
      <c r="O108" s="26">
        <f t="shared" si="13"/>
        <v>-14662.741982802578</v>
      </c>
    </row>
    <row r="109" spans="1:15" x14ac:dyDescent="0.2">
      <c r="A109" s="19"/>
      <c r="B109" s="14">
        <f t="shared" si="8"/>
        <v>107</v>
      </c>
      <c r="C109" s="25">
        <f>$C108*(1+(1-EXP(LN(1-'Условия + итог'!$D$4)/365)))</f>
        <v>7.0060745546696337</v>
      </c>
      <c r="D109" s="25">
        <f t="shared" si="9"/>
        <v>738.30100974215441</v>
      </c>
      <c r="E109" s="26">
        <f>'Условия + итог'!$D$5*$C109</f>
        <v>1541.3364020273193</v>
      </c>
      <c r="F109" s="26">
        <f t="shared" si="10"/>
        <v>162426.22214327386</v>
      </c>
      <c r="G109" s="26"/>
      <c r="H109" s="26">
        <f>'Условия + итог'!$D$7*$C109</f>
        <v>2101.8223664008901</v>
      </c>
      <c r="I109" s="26">
        <f>$H109-$E109-$G109</f>
        <v>560.48596437357082</v>
      </c>
      <c r="J109" s="26">
        <f t="shared" si="11"/>
        <v>-2587.1838441255404</v>
      </c>
      <c r="K109" s="26">
        <f>IF(SUM($K$3:$K108)&gt;$J109,0,$J109-SUM($K$3:$K108))</f>
        <v>0</v>
      </c>
      <c r="L109" s="26">
        <f t="shared" si="7"/>
        <v>560.48596437357082</v>
      </c>
      <c r="M109" s="26">
        <f t="shared" si="12"/>
        <v>-12935.919220627666</v>
      </c>
      <c r="N109" s="26">
        <f>$L109*1/(1+'Условия + итог'!$D$8)^(($B109-$B$3)/365)</f>
        <v>538.19223003149671</v>
      </c>
      <c r="O109" s="26">
        <f t="shared" si="13"/>
        <v>-14124.549752771081</v>
      </c>
    </row>
    <row r="110" spans="1:15" x14ac:dyDescent="0.2">
      <c r="A110" s="19"/>
      <c r="B110" s="14">
        <f t="shared" si="8"/>
        <v>108</v>
      </c>
      <c r="C110" s="25">
        <f>$C109*(1+(1-EXP(LN(1-'Условия + итог'!$D$4)/365)))</f>
        <v>7.0080966289142914</v>
      </c>
      <c r="D110" s="25">
        <f t="shared" si="9"/>
        <v>745.30910637106865</v>
      </c>
      <c r="E110" s="26">
        <f>'Условия + итог'!$D$5*$C110</f>
        <v>1541.7812583611442</v>
      </c>
      <c r="F110" s="26">
        <f t="shared" si="10"/>
        <v>163968.00340163501</v>
      </c>
      <c r="G110" s="26"/>
      <c r="H110" s="26">
        <f>'Условия + итог'!$D$7*$C110</f>
        <v>2102.4289886742872</v>
      </c>
      <c r="I110" s="26">
        <f>$H110-$E110-$G110</f>
        <v>560.64773031314303</v>
      </c>
      <c r="J110" s="26">
        <f t="shared" si="11"/>
        <v>-2475.0542980629116</v>
      </c>
      <c r="K110" s="26">
        <f>IF(SUM($K$3:$K109)&gt;$J110,0,$J110-SUM($K$3:$K109))</f>
        <v>0</v>
      </c>
      <c r="L110" s="26">
        <f t="shared" si="7"/>
        <v>560.64773031314303</v>
      </c>
      <c r="M110" s="26">
        <f t="shared" si="12"/>
        <v>-12375.271490314522</v>
      </c>
      <c r="N110" s="26">
        <f>$L110*1/(1+'Условия + итог'!$D$8)^(($B110-$B$3)/365)</f>
        <v>538.14146271643847</v>
      </c>
      <c r="O110" s="26">
        <f t="shared" si="13"/>
        <v>-13586.408290054644</v>
      </c>
    </row>
    <row r="111" spans="1:15" x14ac:dyDescent="0.2">
      <c r="A111" s="19"/>
      <c r="B111" s="14">
        <f t="shared" si="8"/>
        <v>109</v>
      </c>
      <c r="C111" s="25">
        <f>$C110*(1+(1-EXP(LN(1-'Условия + итог'!$D$4)/365)))</f>
        <v>7.0101192867645361</v>
      </c>
      <c r="D111" s="25">
        <f t="shared" si="9"/>
        <v>752.31922565783316</v>
      </c>
      <c r="E111" s="26">
        <f>'Условия + итог'!$D$5*$C111</f>
        <v>1542.2262430881979</v>
      </c>
      <c r="F111" s="26">
        <f t="shared" si="10"/>
        <v>165510.22964472321</v>
      </c>
      <c r="G111" s="26"/>
      <c r="H111" s="26">
        <f>'Условия + итог'!$D$7*$C111</f>
        <v>2103.0357860293607</v>
      </c>
      <c r="I111" s="26">
        <f>$H111-$E111-$G111</f>
        <v>560.80954294116282</v>
      </c>
      <c r="J111" s="26">
        <f t="shared" si="11"/>
        <v>-2362.892389474679</v>
      </c>
      <c r="K111" s="26">
        <f>IF(SUM($K$3:$K110)&gt;$J111,0,$J111-SUM($K$3:$K110))</f>
        <v>0</v>
      </c>
      <c r="L111" s="26">
        <f t="shared" si="7"/>
        <v>560.80954294116282</v>
      </c>
      <c r="M111" s="26">
        <f t="shared" si="12"/>
        <v>-11814.46194737336</v>
      </c>
      <c r="N111" s="26">
        <f>$L111*1/(1+'Условия + итог'!$D$8)^(($B111-$B$3)/365)</f>
        <v>538.09070019022772</v>
      </c>
      <c r="O111" s="26">
        <f t="shared" si="13"/>
        <v>-13048.317589864417</v>
      </c>
    </row>
    <row r="112" spans="1:15" x14ac:dyDescent="0.2">
      <c r="A112" s="19"/>
      <c r="B112" s="14">
        <f t="shared" si="8"/>
        <v>110</v>
      </c>
      <c r="C112" s="25">
        <f>$C111*(1+(1-EXP(LN(1-'Условия + итог'!$D$4)/365)))</f>
        <v>7.0121425283888055</v>
      </c>
      <c r="D112" s="25">
        <f t="shared" si="9"/>
        <v>759.33136818622199</v>
      </c>
      <c r="E112" s="26">
        <f>'Условия + итог'!$D$5*$C112</f>
        <v>1542.6713562455373</v>
      </c>
      <c r="F112" s="26">
        <f t="shared" si="10"/>
        <v>167052.90100096873</v>
      </c>
      <c r="G112" s="26"/>
      <c r="H112" s="26">
        <f>'Условия + итог'!$D$7*$C112</f>
        <v>2103.6427585166416</v>
      </c>
      <c r="I112" s="26">
        <f>$H112-$E112-$G112</f>
        <v>560.97140227110435</v>
      </c>
      <c r="J112" s="26">
        <f t="shared" si="11"/>
        <v>-2250.6981090204581</v>
      </c>
      <c r="K112" s="26">
        <f>IF(SUM($K$3:$K111)&gt;$J112,0,$J112-SUM($K$3:$K111))</f>
        <v>0</v>
      </c>
      <c r="L112" s="26">
        <f t="shared" si="7"/>
        <v>560.97140227110435</v>
      </c>
      <c r="M112" s="26">
        <f t="shared" si="12"/>
        <v>-11253.490545102255</v>
      </c>
      <c r="N112" s="26">
        <f>$L112*1/(1+'Условия + итог'!$D$8)^(($B112-$B$3)/365)</f>
        <v>538.03994245241222</v>
      </c>
      <c r="O112" s="26">
        <f t="shared" si="13"/>
        <v>-12510.277647412004</v>
      </c>
    </row>
    <row r="113" spans="1:15" x14ac:dyDescent="0.2">
      <c r="A113" s="19"/>
      <c r="B113" s="14">
        <f t="shared" si="8"/>
        <v>111</v>
      </c>
      <c r="C113" s="25">
        <f>$C112*(1+(1-EXP(LN(1-'Условия + итог'!$D$4)/365)))</f>
        <v>7.0141663539555879</v>
      </c>
      <c r="D113" s="25">
        <f t="shared" si="9"/>
        <v>766.3455345401776</v>
      </c>
      <c r="E113" s="26">
        <f>'Условия + итог'!$D$5*$C113</f>
        <v>1543.1165978702293</v>
      </c>
      <c r="F113" s="26">
        <f t="shared" si="10"/>
        <v>168596.01759883895</v>
      </c>
      <c r="G113" s="26"/>
      <c r="H113" s="26">
        <f>'Условия + итог'!$D$7*$C113</f>
        <v>2104.2499061866765</v>
      </c>
      <c r="I113" s="26">
        <f>$H113-$E113-$G113</f>
        <v>561.13330831644726</v>
      </c>
      <c r="J113" s="26">
        <f t="shared" si="11"/>
        <v>-2138.4714473571685</v>
      </c>
      <c r="K113" s="26">
        <f>IF(SUM($K$3:$K112)&gt;$J113,0,$J113-SUM($K$3:$K112))</f>
        <v>0</v>
      </c>
      <c r="L113" s="26">
        <f t="shared" si="7"/>
        <v>561.13330831644726</v>
      </c>
      <c r="M113" s="26">
        <f t="shared" si="12"/>
        <v>-10692.357236785807</v>
      </c>
      <c r="N113" s="26">
        <f>$L113*1/(1+'Условия + итог'!$D$8)^(($B113-$B$3)/365)</f>
        <v>537.98918950254051</v>
      </c>
      <c r="O113" s="26">
        <f t="shared" si="13"/>
        <v>-11972.288457909463</v>
      </c>
    </row>
    <row r="114" spans="1:15" x14ac:dyDescent="0.2">
      <c r="A114" s="19"/>
      <c r="B114" s="14">
        <f t="shared" si="8"/>
        <v>112</v>
      </c>
      <c r="C114" s="25">
        <f>$C113*(1+(1-EXP(LN(1-'Условия + итог'!$D$4)/365)))</f>
        <v>7.0161907636334186</v>
      </c>
      <c r="D114" s="25">
        <f t="shared" si="9"/>
        <v>773.361725303811</v>
      </c>
      <c r="E114" s="26">
        <f>'Условия + итог'!$D$5*$C114</f>
        <v>1543.5619679993522</v>
      </c>
      <c r="F114" s="26">
        <f t="shared" si="10"/>
        <v>170139.57956683831</v>
      </c>
      <c r="G114" s="26"/>
      <c r="H114" s="26">
        <f>'Условия + итог'!$D$7*$C114</f>
        <v>2104.8572290900256</v>
      </c>
      <c r="I114" s="26">
        <f>$H114-$E114-$G114</f>
        <v>561.29526109067342</v>
      </c>
      <c r="J114" s="26">
        <f t="shared" si="11"/>
        <v>-2026.2123951390338</v>
      </c>
      <c r="K114" s="26">
        <f>IF(SUM($K$3:$K113)&gt;$J114,0,$J114-SUM($K$3:$K113))</f>
        <v>0</v>
      </c>
      <c r="L114" s="26">
        <f t="shared" si="7"/>
        <v>561.29526109067342</v>
      </c>
      <c r="M114" s="26">
        <f t="shared" si="12"/>
        <v>-10131.061975695133</v>
      </c>
      <c r="N114" s="26">
        <f>$L114*1/(1+'Условия + итог'!$D$8)^(($B114-$B$3)/365)</f>
        <v>537.93844134016024</v>
      </c>
      <c r="O114" s="26">
        <f t="shared" si="13"/>
        <v>-11434.350016569302</v>
      </c>
    </row>
    <row r="115" spans="1:15" x14ac:dyDescent="0.2">
      <c r="A115" s="19"/>
      <c r="B115" s="14">
        <f t="shared" si="8"/>
        <v>113</v>
      </c>
      <c r="C115" s="25">
        <f>$C114*(1+(1-EXP(LN(1-'Условия + итог'!$D$4)/365)))</f>
        <v>7.018215757590883</v>
      </c>
      <c r="D115" s="25">
        <f t="shared" si="9"/>
        <v>780.37994106140184</v>
      </c>
      <c r="E115" s="26">
        <f>'Условия + итог'!$D$5*$C115</f>
        <v>1544.0074666699943</v>
      </c>
      <c r="F115" s="26">
        <f t="shared" si="10"/>
        <v>171683.58703350829</v>
      </c>
      <c r="G115" s="26"/>
      <c r="H115" s="26">
        <f>'Условия + итог'!$D$7*$C115</f>
        <v>2105.464727277265</v>
      </c>
      <c r="I115" s="26">
        <f>$H115-$E115-$G115</f>
        <v>561.45726060727065</v>
      </c>
      <c r="J115" s="26">
        <f t="shared" si="11"/>
        <v>-1913.9209430175797</v>
      </c>
      <c r="K115" s="26">
        <f>IF(SUM($K$3:$K114)&gt;$J115,0,$J115-SUM($K$3:$K114))</f>
        <v>0</v>
      </c>
      <c r="L115" s="26">
        <f t="shared" si="7"/>
        <v>561.45726060727065</v>
      </c>
      <c r="M115" s="26">
        <f t="shared" si="12"/>
        <v>-9569.6047150878621</v>
      </c>
      <c r="N115" s="26">
        <f>$L115*1/(1+'Условия + итог'!$D$8)^(($B115-$B$3)/365)</f>
        <v>537.88769796482097</v>
      </c>
      <c r="O115" s="26">
        <f t="shared" si="13"/>
        <v>-10896.462318604481</v>
      </c>
    </row>
    <row r="116" spans="1:15" x14ac:dyDescent="0.2">
      <c r="A116" s="19"/>
      <c r="B116" s="14">
        <f t="shared" si="8"/>
        <v>114</v>
      </c>
      <c r="C116" s="25">
        <f>$C115*(1+(1-EXP(LN(1-'Условия + итог'!$D$4)/365)))</f>
        <v>7.0202413359966132</v>
      </c>
      <c r="D116" s="25">
        <f t="shared" si="9"/>
        <v>787.40018239739845</v>
      </c>
      <c r="E116" s="26">
        <f>'Условия + итог'!$D$5*$C116</f>
        <v>1544.4530939192548</v>
      </c>
      <c r="F116" s="26">
        <f t="shared" si="10"/>
        <v>173228.04012742755</v>
      </c>
      <c r="G116" s="26"/>
      <c r="H116" s="26">
        <f>'Условия + итог'!$D$7*$C116</f>
        <v>2106.0724007989838</v>
      </c>
      <c r="I116" s="26">
        <f>$H116-$E116-$G116</f>
        <v>561.61930687972904</v>
      </c>
      <c r="J116" s="26">
        <f t="shared" si="11"/>
        <v>-1801.5970816416338</v>
      </c>
      <c r="K116" s="26">
        <f>IF(SUM($K$3:$K115)&gt;$J116,0,$J116-SUM($K$3:$K115))</f>
        <v>0</v>
      </c>
      <c r="L116" s="26">
        <f t="shared" si="7"/>
        <v>561.61930687972904</v>
      </c>
      <c r="M116" s="26">
        <f t="shared" si="12"/>
        <v>-9007.9854082081329</v>
      </c>
      <c r="N116" s="26">
        <f>$L116*1/(1+'Условия + итог'!$D$8)^(($B116-$B$3)/365)</f>
        <v>537.83695937607013</v>
      </c>
      <c r="O116" s="26">
        <f t="shared" si="13"/>
        <v>-10358.62535922841</v>
      </c>
    </row>
    <row r="117" spans="1:15" x14ac:dyDescent="0.2">
      <c r="A117" s="19"/>
      <c r="B117" s="14">
        <f t="shared" si="8"/>
        <v>115</v>
      </c>
      <c r="C117" s="25">
        <f>$C116*(1+(1-EXP(LN(1-'Условия + итог'!$D$4)/365)))</f>
        <v>7.0222674990192919</v>
      </c>
      <c r="D117" s="25">
        <f t="shared" si="9"/>
        <v>794.42244989641779</v>
      </c>
      <c r="E117" s="26">
        <f>'Условия + итог'!$D$5*$C117</f>
        <v>1544.8988497842442</v>
      </c>
      <c r="F117" s="26">
        <f t="shared" si="10"/>
        <v>174772.9389772118</v>
      </c>
      <c r="G117" s="26"/>
      <c r="H117" s="26">
        <f>'Условия + итог'!$D$7*$C117</f>
        <v>2106.6802497057874</v>
      </c>
      <c r="I117" s="26">
        <f>$H117-$E117-$G117</f>
        <v>561.7813999215432</v>
      </c>
      <c r="J117" s="26">
        <f t="shared" si="11"/>
        <v>-1689.2408016573252</v>
      </c>
      <c r="K117" s="26">
        <f>IF(SUM($K$3:$K116)&gt;$J117,0,$J117-SUM($K$3:$K116))</f>
        <v>0</v>
      </c>
      <c r="L117" s="26">
        <f t="shared" si="7"/>
        <v>561.7813999215432</v>
      </c>
      <c r="M117" s="26">
        <f t="shared" si="12"/>
        <v>-8446.2040082865897</v>
      </c>
      <c r="N117" s="26">
        <f>$L117*1/(1+'Условия + итог'!$D$8)^(($B117-$B$3)/365)</f>
        <v>537.7862255734567</v>
      </c>
      <c r="O117" s="26">
        <f t="shared" si="13"/>
        <v>-9820.8391336549539</v>
      </c>
    </row>
    <row r="118" spans="1:15" x14ac:dyDescent="0.2">
      <c r="A118" s="19"/>
      <c r="B118" s="14">
        <f t="shared" si="8"/>
        <v>116</v>
      </c>
      <c r="C118" s="25">
        <f>$C117*(1+(1-EXP(LN(1-'Условия + итог'!$D$4)/365)))</f>
        <v>7.0242942468276492</v>
      </c>
      <c r="D118" s="25">
        <f t="shared" si="9"/>
        <v>801.44674414324538</v>
      </c>
      <c r="E118" s="26">
        <f>'Условия + итог'!$D$5*$C118</f>
        <v>1545.3447343020828</v>
      </c>
      <c r="F118" s="26">
        <f t="shared" si="10"/>
        <v>176318.28371151388</v>
      </c>
      <c r="G118" s="26"/>
      <c r="H118" s="26">
        <f>'Условия + итог'!$D$7*$C118</f>
        <v>2107.2882740482946</v>
      </c>
      <c r="I118" s="26">
        <f>$H118-$E118-$G118</f>
        <v>561.94353974621185</v>
      </c>
      <c r="J118" s="26">
        <f t="shared" si="11"/>
        <v>-1576.8520937080827</v>
      </c>
      <c r="K118" s="26">
        <f>IF(SUM($K$3:$K117)&gt;$J118,0,$J118-SUM($K$3:$K117))</f>
        <v>0</v>
      </c>
      <c r="L118" s="26">
        <f t="shared" si="7"/>
        <v>561.94353974621185</v>
      </c>
      <c r="M118" s="26">
        <f t="shared" si="12"/>
        <v>-7884.2604685403776</v>
      </c>
      <c r="N118" s="26">
        <f>$L118*1/(1+'Условия + итог'!$D$8)^(($B118-$B$3)/365)</f>
        <v>537.73549655652937</v>
      </c>
      <c r="O118" s="26">
        <f t="shared" si="13"/>
        <v>-9283.1036370984239</v>
      </c>
    </row>
    <row r="119" spans="1:15" x14ac:dyDescent="0.2">
      <c r="A119" s="19"/>
      <c r="B119" s="14">
        <f t="shared" si="8"/>
        <v>117</v>
      </c>
      <c r="C119" s="25">
        <f>$C118*(1+(1-EXP(LN(1-'Условия + итог'!$D$4)/365)))</f>
        <v>7.0263215795904648</v>
      </c>
      <c r="D119" s="25">
        <f t="shared" si="9"/>
        <v>808.47306572283583</v>
      </c>
      <c r="E119" s="26">
        <f>'Условия + итог'!$D$5*$C119</f>
        <v>1545.7907475099023</v>
      </c>
      <c r="F119" s="26">
        <f t="shared" si="10"/>
        <v>177864.07445902377</v>
      </c>
      <c r="G119" s="26"/>
      <c r="H119" s="26">
        <f>'Условия + итог'!$D$7*$C119</f>
        <v>2107.8964738771392</v>
      </c>
      <c r="I119" s="26">
        <f>$H119-$E119-$G119</f>
        <v>562.10572636723691</v>
      </c>
      <c r="J119" s="26">
        <f t="shared" si="11"/>
        <v>-1464.4309484346354</v>
      </c>
      <c r="K119" s="26">
        <f>IF(SUM($K$3:$K118)&gt;$J119,0,$J119-SUM($K$3:$K118))</f>
        <v>0</v>
      </c>
      <c r="L119" s="26">
        <f t="shared" si="7"/>
        <v>562.10572636723691</v>
      </c>
      <c r="M119" s="26">
        <f t="shared" si="12"/>
        <v>-7322.1547421731411</v>
      </c>
      <c r="N119" s="26">
        <f>$L119*1/(1+'Условия + итог'!$D$8)^(($B119-$B$3)/365)</f>
        <v>537.6847723248361</v>
      </c>
      <c r="O119" s="26">
        <f t="shared" si="13"/>
        <v>-8745.4188647735882</v>
      </c>
    </row>
    <row r="120" spans="1:15" x14ac:dyDescent="0.2">
      <c r="A120" s="19"/>
      <c r="B120" s="14">
        <f t="shared" si="8"/>
        <v>118</v>
      </c>
      <c r="C120" s="25">
        <f>$C119*(1+(1-EXP(LN(1-'Условия + итог'!$D$4)/365)))</f>
        <v>7.0283494974765661</v>
      </c>
      <c r="D120" s="25">
        <f t="shared" si="9"/>
        <v>815.50141522031242</v>
      </c>
      <c r="E120" s="26">
        <f>'Условия + итог'!$D$5*$C120</f>
        <v>1546.2368894448446</v>
      </c>
      <c r="F120" s="26">
        <f t="shared" si="10"/>
        <v>179410.31134846862</v>
      </c>
      <c r="G120" s="26"/>
      <c r="H120" s="26">
        <f>'Условия + итог'!$D$7*$C120</f>
        <v>2108.5048492429696</v>
      </c>
      <c r="I120" s="26">
        <f>$H120-$E120-$G120</f>
        <v>562.26795979812505</v>
      </c>
      <c r="J120" s="26">
        <f t="shared" si="11"/>
        <v>-1351.9773564750103</v>
      </c>
      <c r="K120" s="26">
        <f>IF(SUM($K$3:$K119)&gt;$J120,0,$J120-SUM($K$3:$K119))</f>
        <v>0</v>
      </c>
      <c r="L120" s="26">
        <f t="shared" si="7"/>
        <v>562.26795979812505</v>
      </c>
      <c r="M120" s="26">
        <f t="shared" si="12"/>
        <v>-6759.8867823750161</v>
      </c>
      <c r="N120" s="26">
        <f>$L120*1/(1+'Условия + итог'!$D$8)^(($B120-$B$3)/365)</f>
        <v>537.63405287792614</v>
      </c>
      <c r="O120" s="26">
        <f t="shared" si="13"/>
        <v>-8207.7848118956626</v>
      </c>
    </row>
    <row r="121" spans="1:15" x14ac:dyDescent="0.2">
      <c r="A121" s="19"/>
      <c r="B121" s="14">
        <f t="shared" si="8"/>
        <v>119</v>
      </c>
      <c r="C121" s="25">
        <f>$C120*(1+(1-EXP(LN(1-'Условия + итог'!$D$4)/365)))</f>
        <v>7.0303780006548298</v>
      </c>
      <c r="D121" s="25">
        <f t="shared" si="9"/>
        <v>822.5317932209673</v>
      </c>
      <c r="E121" s="26">
        <f>'Условия + итог'!$D$5*$C121</f>
        <v>1546.6831601440626</v>
      </c>
      <c r="F121" s="26">
        <f t="shared" si="10"/>
        <v>180956.99450861267</v>
      </c>
      <c r="G121" s="26"/>
      <c r="H121" s="26">
        <f>'Условия + итог'!$D$7*$C121</f>
        <v>2109.1134001964488</v>
      </c>
      <c r="I121" s="26">
        <f>$H121-$E121-$G121</f>
        <v>562.43024005238613</v>
      </c>
      <c r="J121" s="26">
        <f t="shared" si="11"/>
        <v>-1239.4913084645332</v>
      </c>
      <c r="K121" s="26">
        <f>IF(SUM($K$3:$K120)&gt;$J121,0,$J121-SUM($K$3:$K120))</f>
        <v>0</v>
      </c>
      <c r="L121" s="26">
        <f t="shared" si="7"/>
        <v>562.43024005238613</v>
      </c>
      <c r="M121" s="26">
        <f t="shared" si="12"/>
        <v>-6197.4565423226304</v>
      </c>
      <c r="N121" s="26">
        <f>$L121*1/(1+'Условия + итог'!$D$8)^(($B121-$B$3)/365)</f>
        <v>537.58333821534779</v>
      </c>
      <c r="O121" s="26">
        <f t="shared" si="13"/>
        <v>-7670.2014736803148</v>
      </c>
    </row>
    <row r="122" spans="1:15" x14ac:dyDescent="0.2">
      <c r="A122" s="20"/>
      <c r="B122" s="16">
        <f t="shared" si="8"/>
        <v>120</v>
      </c>
      <c r="C122" s="27">
        <f>$C121*(1+(1-EXP(LN(1-'Условия + итог'!$D$4)/365)))</f>
        <v>7.0324070892941819</v>
      </c>
      <c r="D122" s="27">
        <f t="shared" si="9"/>
        <v>829.56420031026153</v>
      </c>
      <c r="E122" s="28">
        <f>'Условия + итог'!$D$5*$C122</f>
        <v>1547.1295596447201</v>
      </c>
      <c r="F122" s="28">
        <f t="shared" si="10"/>
        <v>182504.1240682574</v>
      </c>
      <c r="G122" s="28"/>
      <c r="H122" s="28">
        <f>'Условия + итог'!$D$7*$C122</f>
        <v>2109.7221267882546</v>
      </c>
      <c r="I122" s="28">
        <f>$H122-$E122-$G122</f>
        <v>562.59256714353455</v>
      </c>
      <c r="J122" s="28">
        <f t="shared" si="11"/>
        <v>-1126.9727950358263</v>
      </c>
      <c r="K122" s="28">
        <f>IF(SUM($K$3:$K121)&gt;$J122,0,$J122-SUM($K$3:$K121))</f>
        <v>0</v>
      </c>
      <c r="L122" s="28">
        <f t="shared" si="7"/>
        <v>562.59256714353455</v>
      </c>
      <c r="M122" s="28">
        <f t="shared" si="12"/>
        <v>-5634.8639751790961</v>
      </c>
      <c r="N122" s="28">
        <f>$L122*1/(1+'Условия + итог'!$D$8)^(($B122-$B$3)/365)</f>
        <v>537.53262833665008</v>
      </c>
      <c r="O122" s="28">
        <f t="shared" si="13"/>
        <v>-7132.6688453436645</v>
      </c>
    </row>
    <row r="123" spans="1:15" x14ac:dyDescent="0.2">
      <c r="A123" s="18" t="s">
        <v>21</v>
      </c>
      <c r="B123" s="12">
        <f t="shared" si="8"/>
        <v>121</v>
      </c>
      <c r="C123" s="23">
        <f>$C122*(1+(1-EXP(LN(1-'Условия + итог'!$D$4)/365)))</f>
        <v>7.0344367635635958</v>
      </c>
      <c r="D123" s="23">
        <f t="shared" si="9"/>
        <v>836.5986370738251</v>
      </c>
      <c r="E123" s="24">
        <f>'Условия + итог'!$D$5*$C123</f>
        <v>1547.5760879839911</v>
      </c>
      <c r="F123" s="24">
        <f t="shared" si="10"/>
        <v>184051.70015624139</v>
      </c>
      <c r="G123" s="24"/>
      <c r="H123" s="24">
        <f>'Условия + итог'!$D$7*$C123</f>
        <v>2110.3310290690788</v>
      </c>
      <c r="I123" s="24">
        <f>$H123-$E123-$G123</f>
        <v>562.75494108508769</v>
      </c>
      <c r="J123" s="24">
        <f t="shared" si="11"/>
        <v>-1014.4218068188087</v>
      </c>
      <c r="K123" s="24">
        <f>IF(SUM($K$3:$K122)&gt;$J123,0,$J123-SUM($K$3:$K122))</f>
        <v>0</v>
      </c>
      <c r="L123" s="24">
        <f t="shared" si="7"/>
        <v>562.75494108508769</v>
      </c>
      <c r="M123" s="24">
        <f t="shared" si="12"/>
        <v>-5072.1090340940082</v>
      </c>
      <c r="N123" s="24">
        <f>$L123*1/(1+'Условия + итог'!$D$8)^(($B123-$B$3)/365)</f>
        <v>537.4819232413812</v>
      </c>
      <c r="O123" s="24">
        <f t="shared" si="13"/>
        <v>-6595.1869221022835</v>
      </c>
    </row>
    <row r="124" spans="1:15" x14ac:dyDescent="0.2">
      <c r="A124" s="19"/>
      <c r="B124" s="14">
        <f t="shared" si="8"/>
        <v>122</v>
      </c>
      <c r="C124" s="25">
        <f>$C123*(1+(1-EXP(LN(1-'Условия + итог'!$D$4)/365)))</f>
        <v>7.0364670236320954</v>
      </c>
      <c r="D124" s="25">
        <f t="shared" si="9"/>
        <v>843.6351040974572</v>
      </c>
      <c r="E124" s="26">
        <f>'Условия + итог'!$D$5*$C124</f>
        <v>1548.0227451990611</v>
      </c>
      <c r="F124" s="26">
        <f t="shared" si="10"/>
        <v>185599.72290144046</v>
      </c>
      <c r="G124" s="26"/>
      <c r="H124" s="26">
        <f>'Условия + итог'!$D$7*$C124</f>
        <v>2110.9401070896288</v>
      </c>
      <c r="I124" s="26">
        <f>$H124-$E124-$G124</f>
        <v>562.91736189056769</v>
      </c>
      <c r="J124" s="26">
        <f t="shared" si="11"/>
        <v>-901.83833444069512</v>
      </c>
      <c r="K124" s="26">
        <f>IF(SUM($K$3:$K123)&gt;$J124,0,$J124-SUM($K$3:$K123))</f>
        <v>0</v>
      </c>
      <c r="L124" s="26">
        <f t="shared" si="7"/>
        <v>562.91736189056769</v>
      </c>
      <c r="M124" s="26">
        <f t="shared" si="12"/>
        <v>-4509.1916722034402</v>
      </c>
      <c r="N124" s="26">
        <f>$L124*1/(1+'Условия + итог'!$D$8)^(($B124-$B$3)/365)</f>
        <v>537.43122292909038</v>
      </c>
      <c r="O124" s="26">
        <f t="shared" si="13"/>
        <v>-6057.7556991731926</v>
      </c>
    </row>
    <row r="125" spans="1:15" x14ac:dyDescent="0.2">
      <c r="A125" s="19"/>
      <c r="B125" s="14">
        <f t="shared" si="8"/>
        <v>123</v>
      </c>
      <c r="C125" s="25">
        <f>$C124*(1+(1-EXP(LN(1-'Условия + итог'!$D$4)/365)))</f>
        <v>7.0384978696687517</v>
      </c>
      <c r="D125" s="25">
        <f t="shared" si="9"/>
        <v>850.67360196712593</v>
      </c>
      <c r="E125" s="26">
        <f>'Условия + итог'!$D$5*$C125</f>
        <v>1548.4695313271254</v>
      </c>
      <c r="F125" s="26">
        <f t="shared" si="10"/>
        <v>187148.1924327676</v>
      </c>
      <c r="G125" s="26"/>
      <c r="H125" s="26">
        <f>'Условия + итог'!$D$7*$C125</f>
        <v>2111.5493609006253</v>
      </c>
      <c r="I125" s="26">
        <f>$H125-$E125-$G125</f>
        <v>563.07982957349986</v>
      </c>
      <c r="J125" s="26">
        <f t="shared" si="11"/>
        <v>-789.22236852599508</v>
      </c>
      <c r="K125" s="26">
        <f>IF(SUM($K$3:$K124)&gt;$J125,0,$J125-SUM($K$3:$K124))</f>
        <v>0</v>
      </c>
      <c r="L125" s="26">
        <f t="shared" si="7"/>
        <v>563.07982957349986</v>
      </c>
      <c r="M125" s="26">
        <f t="shared" si="12"/>
        <v>-3946.1118426299404</v>
      </c>
      <c r="N125" s="26">
        <f>$L125*1/(1+'Условия + итог'!$D$8)^(($B125-$B$3)/365)</f>
        <v>537.38052739932584</v>
      </c>
      <c r="O125" s="26">
        <f t="shared" si="13"/>
        <v>-5520.3751717738669</v>
      </c>
    </row>
    <row r="126" spans="1:15" x14ac:dyDescent="0.2">
      <c r="A126" s="19"/>
      <c r="B126" s="14">
        <f t="shared" si="8"/>
        <v>124</v>
      </c>
      <c r="C126" s="25">
        <f>$C125*(1+(1-EXP(LN(1-'Условия + итог'!$D$4)/365)))</f>
        <v>7.0405293018426853</v>
      </c>
      <c r="D126" s="25">
        <f t="shared" si="9"/>
        <v>857.71413126896857</v>
      </c>
      <c r="E126" s="26">
        <f>'Условия + итог'!$D$5*$C126</f>
        <v>1548.9164464053908</v>
      </c>
      <c r="F126" s="26">
        <f t="shared" si="10"/>
        <v>188697.108879173</v>
      </c>
      <c r="G126" s="26"/>
      <c r="H126" s="26">
        <f>'Условия + итог'!$D$7*$C126</f>
        <v>2112.1587905528054</v>
      </c>
      <c r="I126" s="26">
        <f>$H126-$E126-$G126</f>
        <v>563.24234414741454</v>
      </c>
      <c r="J126" s="26">
        <f t="shared" si="11"/>
        <v>-676.57389969651217</v>
      </c>
      <c r="K126" s="26">
        <f>IF(SUM($K$3:$K125)&gt;$J126,0,$J126-SUM($K$3:$K125))</f>
        <v>0</v>
      </c>
      <c r="L126" s="26">
        <f t="shared" si="7"/>
        <v>563.24234414741454</v>
      </c>
      <c r="M126" s="26">
        <f t="shared" si="12"/>
        <v>-3382.8694984825261</v>
      </c>
      <c r="N126" s="26">
        <f>$L126*1/(1+'Условия + итог'!$D$8)^(($B126-$B$3)/365)</f>
        <v>537.32983665163715</v>
      </c>
      <c r="O126" s="26">
        <f t="shared" si="13"/>
        <v>-4983.0453351222295</v>
      </c>
    </row>
    <row r="127" spans="1:15" x14ac:dyDescent="0.2">
      <c r="A127" s="19"/>
      <c r="B127" s="14">
        <f t="shared" si="8"/>
        <v>125</v>
      </c>
      <c r="C127" s="25">
        <f>$C126*(1+(1-EXP(LN(1-'Условия + итог'!$D$4)/365)))</f>
        <v>7.0425613203230659</v>
      </c>
      <c r="D127" s="25">
        <f t="shared" si="9"/>
        <v>864.75669258929167</v>
      </c>
      <c r="E127" s="26">
        <f>'Условия + итог'!$D$5*$C127</f>
        <v>1549.3634904710746</v>
      </c>
      <c r="F127" s="26">
        <f t="shared" si="10"/>
        <v>190246.47236964406</v>
      </c>
      <c r="G127" s="26"/>
      <c r="H127" s="26">
        <f>'Условия + итог'!$D$7*$C127</f>
        <v>2112.7683960969198</v>
      </c>
      <c r="I127" s="26">
        <f>$H127-$E127-$G127</f>
        <v>563.40490562584523</v>
      </c>
      <c r="J127" s="26">
        <f t="shared" si="11"/>
        <v>-563.8929185713431</v>
      </c>
      <c r="K127" s="26">
        <f>IF(SUM($K$3:$K126)&gt;$J127,0,$J127-SUM($K$3:$K126))</f>
        <v>0</v>
      </c>
      <c r="L127" s="26">
        <f t="shared" si="7"/>
        <v>563.40490562584523</v>
      </c>
      <c r="M127" s="26">
        <f t="shared" si="12"/>
        <v>-2819.4645928566806</v>
      </c>
      <c r="N127" s="26">
        <f>$L127*1/(1+'Условия + итог'!$D$8)^(($B127-$B$3)/365)</f>
        <v>537.27915068557331</v>
      </c>
      <c r="O127" s="26">
        <f t="shared" si="13"/>
        <v>-4445.7661844366557</v>
      </c>
    </row>
    <row r="128" spans="1:15" x14ac:dyDescent="0.2">
      <c r="A128" s="19"/>
      <c r="B128" s="14">
        <f t="shared" si="8"/>
        <v>126</v>
      </c>
      <c r="C128" s="25">
        <f>$C127*(1+(1-EXP(LN(1-'Условия + итог'!$D$4)/365)))</f>
        <v>7.0445939252791119</v>
      </c>
      <c r="D128" s="25">
        <f t="shared" si="9"/>
        <v>871.80128651457073</v>
      </c>
      <c r="E128" s="26">
        <f>'Условия + итог'!$D$5*$C128</f>
        <v>1549.8106635614047</v>
      </c>
      <c r="F128" s="26">
        <f t="shared" si="10"/>
        <v>191796.28303320546</v>
      </c>
      <c r="G128" s="26"/>
      <c r="H128" s="26">
        <f>'Условия + итог'!$D$7*$C128</f>
        <v>2113.3781775837338</v>
      </c>
      <c r="I128" s="26">
        <f>$H128-$E128-$G128</f>
        <v>563.56751402232908</v>
      </c>
      <c r="J128" s="26">
        <f t="shared" si="11"/>
        <v>-451.1794157668773</v>
      </c>
      <c r="K128" s="26">
        <f>IF(SUM($K$3:$K127)&gt;$J128,0,$J128-SUM($K$3:$K127))</f>
        <v>0</v>
      </c>
      <c r="L128" s="26">
        <f t="shared" si="7"/>
        <v>563.56751402232908</v>
      </c>
      <c r="M128" s="26">
        <f t="shared" si="12"/>
        <v>-2255.8970788343513</v>
      </c>
      <c r="N128" s="26">
        <f>$L128*1/(1+'Условия + итог'!$D$8)^(($B128-$B$3)/365)</f>
        <v>537.22846950068288</v>
      </c>
      <c r="O128" s="26">
        <f t="shared" si="13"/>
        <v>-3908.5377149359729</v>
      </c>
    </row>
    <row r="129" spans="1:15" x14ac:dyDescent="0.2">
      <c r="A129" s="19"/>
      <c r="B129" s="14">
        <f t="shared" si="8"/>
        <v>127</v>
      </c>
      <c r="C129" s="25">
        <f>$C128*(1+(1-EXP(LN(1-'Условия + итог'!$D$4)/365)))</f>
        <v>7.0466271168800896</v>
      </c>
      <c r="D129" s="25">
        <f t="shared" si="9"/>
        <v>878.84791363145087</v>
      </c>
      <c r="E129" s="26">
        <f>'Условия + итог'!$D$5*$C129</f>
        <v>1550.2579657136198</v>
      </c>
      <c r="F129" s="26">
        <f t="shared" si="10"/>
        <v>193346.54099891908</v>
      </c>
      <c r="G129" s="26"/>
      <c r="H129" s="26">
        <f>'Условия + итог'!$D$7*$C129</f>
        <v>2113.9881350640267</v>
      </c>
      <c r="I129" s="26">
        <f>$H129-$E129-$G129</f>
        <v>563.73016935040687</v>
      </c>
      <c r="J129" s="26">
        <f t="shared" si="11"/>
        <v>-338.43338189679594</v>
      </c>
      <c r="K129" s="26">
        <f>IF(SUM($K$3:$K128)&gt;$J129,0,$J129-SUM($K$3:$K128))</f>
        <v>0</v>
      </c>
      <c r="L129" s="26">
        <f t="shared" si="7"/>
        <v>563.73016935040687</v>
      </c>
      <c r="M129" s="26">
        <f t="shared" si="12"/>
        <v>-1692.1669094839444</v>
      </c>
      <c r="N129" s="26">
        <f>$L129*1/(1+'Условия + итог'!$D$8)^(($B129-$B$3)/365)</f>
        <v>537.17779309651428</v>
      </c>
      <c r="O129" s="26">
        <f t="shared" si="13"/>
        <v>-3371.3599218394584</v>
      </c>
    </row>
    <row r="130" spans="1:15" x14ac:dyDescent="0.2">
      <c r="A130" s="19"/>
      <c r="B130" s="14">
        <f t="shared" si="8"/>
        <v>128</v>
      </c>
      <c r="C130" s="25">
        <f>$C129*(1+(1-EXP(LN(1-'Условия + итог'!$D$4)/365)))</f>
        <v>7.0486608952953151</v>
      </c>
      <c r="D130" s="25">
        <f t="shared" si="9"/>
        <v>885.89657452674624</v>
      </c>
      <c r="E130" s="26">
        <f>'Условия + итог'!$D$5*$C130</f>
        <v>1550.7053969649694</v>
      </c>
      <c r="F130" s="26">
        <f t="shared" si="10"/>
        <v>194897.24639588405</v>
      </c>
      <c r="G130" s="26"/>
      <c r="H130" s="26">
        <f>'Условия + итог'!$D$7*$C130</f>
        <v>2114.5982685885947</v>
      </c>
      <c r="I130" s="26">
        <f>$H130-$E130-$G130</f>
        <v>563.8928716236253</v>
      </c>
      <c r="J130" s="26">
        <f t="shared" si="11"/>
        <v>-225.65480757207087</v>
      </c>
      <c r="K130" s="26">
        <f>IF(SUM($K$3:$K129)&gt;$J130,0,$J130-SUM($K$3:$K129))</f>
        <v>0</v>
      </c>
      <c r="L130" s="26">
        <f t="shared" si="7"/>
        <v>563.8928716236253</v>
      </c>
      <c r="M130" s="26">
        <f t="shared" si="12"/>
        <v>-1128.2740378603191</v>
      </c>
      <c r="N130" s="26">
        <f>$L130*1/(1+'Условия + итог'!$D$8)^(($B130-$B$3)/365)</f>
        <v>537.127121472618</v>
      </c>
      <c r="O130" s="26">
        <f t="shared" si="13"/>
        <v>-2834.2328003668404</v>
      </c>
    </row>
    <row r="131" spans="1:15" x14ac:dyDescent="0.2">
      <c r="A131" s="19"/>
      <c r="B131" s="14">
        <f t="shared" si="8"/>
        <v>129</v>
      </c>
      <c r="C131" s="25">
        <f>$C130*(1+(1-EXP(LN(1-'Условия + итог'!$D$4)/365)))</f>
        <v>7.0506952606941535</v>
      </c>
      <c r="D131" s="25">
        <f t="shared" si="9"/>
        <v>892.9472697874404</v>
      </c>
      <c r="E131" s="26">
        <f>'Условия + итог'!$D$5*$C131</f>
        <v>1551.1529573527139</v>
      </c>
      <c r="F131" s="26">
        <f t="shared" si="10"/>
        <v>196448.39935323677</v>
      </c>
      <c r="G131" s="26"/>
      <c r="H131" s="26">
        <f>'Условия + итог'!$D$7*$C131</f>
        <v>2115.2085782082459</v>
      </c>
      <c r="I131" s="26">
        <f>$H131-$E131-$G131</f>
        <v>564.05562085553197</v>
      </c>
      <c r="J131" s="26">
        <f t="shared" si="11"/>
        <v>-112.84368340096447</v>
      </c>
      <c r="K131" s="26">
        <f>IF(SUM($K$3:$K130)&gt;$J131,0,$J131-SUM($K$3:$K130))</f>
        <v>0</v>
      </c>
      <c r="L131" s="26">
        <f t="shared" si="7"/>
        <v>564.05562085553197</v>
      </c>
      <c r="M131" s="26">
        <f t="shared" si="12"/>
        <v>-564.21841700478717</v>
      </c>
      <c r="N131" s="26">
        <f>$L131*1/(1+'Условия + итог'!$D$8)^(($B131-$B$3)/365)</f>
        <v>537.07645462854146</v>
      </c>
      <c r="O131" s="26">
        <f t="shared" si="13"/>
        <v>-2297.156345738299</v>
      </c>
    </row>
    <row r="132" spans="1:15" x14ac:dyDescent="0.2">
      <c r="A132" s="19"/>
      <c r="B132" s="14">
        <f t="shared" si="8"/>
        <v>130</v>
      </c>
      <c r="C132" s="25">
        <f>$C131*(1+(1-EXP(LN(1-'Условия + итог'!$D$4)/365)))</f>
        <v>7.0527302132460186</v>
      </c>
      <c r="D132" s="25">
        <f t="shared" si="9"/>
        <v>900.00000000068644</v>
      </c>
      <c r="E132" s="26">
        <f>'Условия + итог'!$D$5*$C132</f>
        <v>1551.6006469141241</v>
      </c>
      <c r="F132" s="26">
        <f t="shared" si="10"/>
        <v>198000.0000001509</v>
      </c>
      <c r="G132" s="26"/>
      <c r="H132" s="26">
        <f>'Условия + итог'!$D$7*$C132</f>
        <v>2115.8190639738054</v>
      </c>
      <c r="I132" s="26">
        <f>$H132-$E132-$G132</f>
        <v>564.21841705968131</v>
      </c>
      <c r="J132" s="26">
        <f t="shared" si="11"/>
        <v>1.0971803021675441E-8</v>
      </c>
      <c r="K132" s="26">
        <f>IF(SUM($K$3:$K131)&gt;$J132,0,$J132-SUM($K$3:$K131))</f>
        <v>1.0971803021675441E-8</v>
      </c>
      <c r="L132" s="26">
        <f t="shared" ref="L132:L183" si="14">$I132-$K132</f>
        <v>564.21841704870951</v>
      </c>
      <c r="M132" s="26">
        <f t="shared" si="12"/>
        <v>4.3922341319557745E-8</v>
      </c>
      <c r="N132" s="26">
        <f>$L132*1/(1+'Условия + итог'!$D$8)^(($B132-$B$3)/365)</f>
        <v>537.02579255339231</v>
      </c>
      <c r="O132" s="26">
        <f t="shared" si="13"/>
        <v>-1760.1305531849066</v>
      </c>
    </row>
    <row r="133" spans="1:15" x14ac:dyDescent="0.2">
      <c r="A133" s="19"/>
      <c r="B133" s="14">
        <f t="shared" ref="B133:B196" si="15">$B132+1</f>
        <v>131</v>
      </c>
      <c r="C133" s="25">
        <f>$C132*(1+(1-EXP(LN(1-'Условия + итог'!$D$4)/365)))</f>
        <v>7.054765753120372</v>
      </c>
      <c r="D133" s="25">
        <f t="shared" ref="D133:D183" si="16">$C133+$D132</f>
        <v>907.05476575380681</v>
      </c>
      <c r="E133" s="26">
        <f>'Условия + итог'!$D$5*$C133</f>
        <v>1552.0484656864819</v>
      </c>
      <c r="F133" s="26">
        <f t="shared" ref="F133:F183" si="17">$E133+$F132</f>
        <v>199552.04846583738</v>
      </c>
      <c r="G133" s="26"/>
      <c r="H133" s="26">
        <f>'Условия + итог'!$D$7*$C133</f>
        <v>2116.4297259361115</v>
      </c>
      <c r="I133" s="26">
        <f>$H133-$E133-$G133</f>
        <v>564.38126024962958</v>
      </c>
      <c r="J133" s="26">
        <f t="shared" ref="J133:J183" si="18">$I133*0.2+$J132</f>
        <v>112.87625206089773</v>
      </c>
      <c r="K133" s="26">
        <f>IF(SUM($K$3:$K132)&gt;$J133,0,$J133-SUM($K$3:$K132))</f>
        <v>112.87625204992592</v>
      </c>
      <c r="L133" s="26">
        <f t="shared" si="14"/>
        <v>451.50500819970364</v>
      </c>
      <c r="M133" s="26">
        <f t="shared" ref="M133:M183" si="19">$L133+$M132</f>
        <v>451.50500824362598</v>
      </c>
      <c r="N133" s="26">
        <f>$L133*1/(1+'Условия + итог'!$D$8)^(($B133-$B$3)/365)</f>
        <v>429.58010822243813</v>
      </c>
      <c r="O133" s="26">
        <f t="shared" ref="O133:O183" si="20">$N133+$O132</f>
        <v>-1330.5504449624684</v>
      </c>
    </row>
    <row r="134" spans="1:15" x14ac:dyDescent="0.2">
      <c r="A134" s="19"/>
      <c r="B134" s="14">
        <f t="shared" si="15"/>
        <v>132</v>
      </c>
      <c r="C134" s="25">
        <f>$C133*(1+(1-EXP(LN(1-'Условия + итог'!$D$4)/365)))</f>
        <v>7.0568018804867254</v>
      </c>
      <c r="D134" s="25">
        <f t="shared" si="16"/>
        <v>914.11156763429358</v>
      </c>
      <c r="E134" s="26">
        <f>'Условия + итог'!$D$5*$C134</f>
        <v>1552.4964137070797</v>
      </c>
      <c r="F134" s="26">
        <f t="shared" si="17"/>
        <v>201104.54487954447</v>
      </c>
      <c r="G134" s="26"/>
      <c r="H134" s="26">
        <f>'Условия + итог'!$D$7*$C134</f>
        <v>2117.0405641460175</v>
      </c>
      <c r="I134" s="26">
        <f>$H134-$E134-$G134</f>
        <v>564.54415043893778</v>
      </c>
      <c r="J134" s="26">
        <f t="shared" si="18"/>
        <v>225.78508214868529</v>
      </c>
      <c r="K134" s="26">
        <f>IF(SUM($K$3:$K133)&gt;$J134,0,$J134-SUM($K$3:$K133))</f>
        <v>112.90883008778756</v>
      </c>
      <c r="L134" s="26">
        <f t="shared" si="14"/>
        <v>451.6353203511502</v>
      </c>
      <c r="M134" s="26">
        <f t="shared" si="19"/>
        <v>903.14032859477618</v>
      </c>
      <c r="N134" s="26">
        <f>$L134*1/(1+'Условия + итог'!$D$8)^(($B134-$B$3)/365)</f>
        <v>429.53958621658251</v>
      </c>
      <c r="O134" s="26">
        <f t="shared" si="20"/>
        <v>-901.01085874588591</v>
      </c>
    </row>
    <row r="135" spans="1:15" x14ac:dyDescent="0.2">
      <c r="A135" s="19"/>
      <c r="B135" s="14">
        <f t="shared" si="15"/>
        <v>133</v>
      </c>
      <c r="C135" s="25">
        <f>$C134*(1+(1-EXP(LN(1-'Условия + итог'!$D$4)/365)))</f>
        <v>7.05883859551464</v>
      </c>
      <c r="D135" s="25">
        <f t="shared" si="16"/>
        <v>921.17040622980824</v>
      </c>
      <c r="E135" s="26">
        <f>'Условия + итог'!$D$5*$C135</f>
        <v>1552.9444910132208</v>
      </c>
      <c r="F135" s="26">
        <f t="shared" si="17"/>
        <v>202657.48937055768</v>
      </c>
      <c r="G135" s="26"/>
      <c r="H135" s="26">
        <f>'Условия + итог'!$D$7*$C135</f>
        <v>2117.6515786543919</v>
      </c>
      <c r="I135" s="26">
        <f>$H135-$E135-$G135</f>
        <v>564.70708764117103</v>
      </c>
      <c r="J135" s="26">
        <f t="shared" si="18"/>
        <v>338.7264996769195</v>
      </c>
      <c r="K135" s="26">
        <f>IF(SUM($K$3:$K134)&gt;$J135,0,$J135-SUM($K$3:$K134))</f>
        <v>112.94141752823421</v>
      </c>
      <c r="L135" s="26">
        <f t="shared" si="14"/>
        <v>451.76567011293685</v>
      </c>
      <c r="M135" s="26">
        <f t="shared" si="19"/>
        <v>1354.905998707713</v>
      </c>
      <c r="N135" s="26">
        <f>$L135*1/(1+'Условия + итог'!$D$8)^(($B135-$B$3)/365)</f>
        <v>429.49906803314087</v>
      </c>
      <c r="O135" s="26">
        <f t="shared" si="20"/>
        <v>-471.51179071274504</v>
      </c>
    </row>
    <row r="136" spans="1:15" x14ac:dyDescent="0.2">
      <c r="A136" s="19"/>
      <c r="B136" s="14">
        <f t="shared" si="15"/>
        <v>134</v>
      </c>
      <c r="C136" s="25">
        <f>$C135*(1+(1-EXP(LN(1-'Условия + итог'!$D$4)/365)))</f>
        <v>7.0608758983737241</v>
      </c>
      <c r="D136" s="25">
        <f t="shared" si="16"/>
        <v>928.23128212818199</v>
      </c>
      <c r="E136" s="26">
        <f>'Условия + итог'!$D$5*$C136</f>
        <v>1553.3926976422192</v>
      </c>
      <c r="F136" s="26">
        <f t="shared" si="17"/>
        <v>204210.88206819989</v>
      </c>
      <c r="G136" s="26"/>
      <c r="H136" s="26">
        <f>'Условия + итог'!$D$7*$C136</f>
        <v>2118.2627695121173</v>
      </c>
      <c r="I136" s="26">
        <f>$H136-$E136-$G136</f>
        <v>564.87007186989808</v>
      </c>
      <c r="J136" s="26">
        <f t="shared" si="18"/>
        <v>451.70051405089913</v>
      </c>
      <c r="K136" s="26">
        <f>IF(SUM($K$3:$K135)&gt;$J136,0,$J136-SUM($K$3:$K135))</f>
        <v>112.97401437397963</v>
      </c>
      <c r="L136" s="26">
        <f t="shared" si="14"/>
        <v>451.89605749591846</v>
      </c>
      <c r="M136" s="26">
        <f t="shared" si="19"/>
        <v>1806.8020562036315</v>
      </c>
      <c r="N136" s="26">
        <f>$L136*1/(1+'Условия + итог'!$D$8)^(($B136-$B$3)/365)</f>
        <v>429.45855367175267</v>
      </c>
      <c r="O136" s="26">
        <f t="shared" si="20"/>
        <v>-42.053237040992371</v>
      </c>
    </row>
    <row r="137" spans="1:15" x14ac:dyDescent="0.2">
      <c r="A137" s="19"/>
      <c r="B137" s="14">
        <f t="shared" si="15"/>
        <v>135</v>
      </c>
      <c r="C137" s="25">
        <f>$C136*(1+(1-EXP(LN(1-'Условия + итог'!$D$4)/365)))</f>
        <v>7.0629137892336367</v>
      </c>
      <c r="D137" s="25">
        <f t="shared" si="16"/>
        <v>935.29419591741566</v>
      </c>
      <c r="E137" s="26">
        <f>'Условия + итог'!$D$5*$C137</f>
        <v>1553.8410336314</v>
      </c>
      <c r="F137" s="26">
        <f t="shared" si="17"/>
        <v>205764.7231018313</v>
      </c>
      <c r="G137" s="26"/>
      <c r="H137" s="26">
        <f>'Условия + итог'!$D$7*$C137</f>
        <v>2118.8741367700909</v>
      </c>
      <c r="I137" s="26">
        <f>$H137-$E137-$G137</f>
        <v>565.03310313869088</v>
      </c>
      <c r="J137" s="26">
        <f t="shared" si="18"/>
        <v>564.70713467863732</v>
      </c>
      <c r="K137" s="26">
        <f>IF(SUM($K$3:$K136)&gt;$J137,0,$J137-SUM($K$3:$K136))</f>
        <v>113.00662062773819</v>
      </c>
      <c r="L137" s="26">
        <f t="shared" si="14"/>
        <v>452.02648251095269</v>
      </c>
      <c r="M137" s="26">
        <f t="shared" si="19"/>
        <v>2258.8285387145843</v>
      </c>
      <c r="N137" s="26">
        <f>$L137*1/(1+'Условия + итог'!$D$8)^(($B137-$B$3)/365)</f>
        <v>429.41804313205694</v>
      </c>
      <c r="O137" s="26">
        <f t="shared" si="20"/>
        <v>387.36480609106457</v>
      </c>
    </row>
    <row r="138" spans="1:15" x14ac:dyDescent="0.2">
      <c r="A138" s="19"/>
      <c r="B138" s="14">
        <f t="shared" si="15"/>
        <v>136</v>
      </c>
      <c r="C138" s="25">
        <f>$C137*(1+(1-EXP(LN(1-'Условия + итог'!$D$4)/365)))</f>
        <v>7.0649522682640846</v>
      </c>
      <c r="D138" s="25">
        <f t="shared" si="16"/>
        <v>942.35914818567971</v>
      </c>
      <c r="E138" s="26">
        <f>'Условия + итог'!$D$5*$C138</f>
        <v>1554.2894990180987</v>
      </c>
      <c r="F138" s="26">
        <f t="shared" si="17"/>
        <v>207319.01260084941</v>
      </c>
      <c r="G138" s="26"/>
      <c r="H138" s="26">
        <f>'Условия + итог'!$D$7*$C138</f>
        <v>2119.4856804792253</v>
      </c>
      <c r="I138" s="26">
        <f>$H138-$E138-$G138</f>
        <v>565.19618146112657</v>
      </c>
      <c r="J138" s="26">
        <f t="shared" si="18"/>
        <v>677.7463709708627</v>
      </c>
      <c r="K138" s="26">
        <f>IF(SUM($K$3:$K137)&gt;$J138,0,$J138-SUM($K$3:$K137))</f>
        <v>113.03923629222538</v>
      </c>
      <c r="L138" s="26">
        <f t="shared" si="14"/>
        <v>452.15694516890119</v>
      </c>
      <c r="M138" s="26">
        <f t="shared" si="19"/>
        <v>2710.9854838834854</v>
      </c>
      <c r="N138" s="26">
        <f>$L138*1/(1+'Условия + итог'!$D$8)^(($B138-$B$3)/365)</f>
        <v>429.37753641369335</v>
      </c>
      <c r="O138" s="26">
        <f t="shared" si="20"/>
        <v>816.74234250475797</v>
      </c>
    </row>
    <row r="139" spans="1:15" x14ac:dyDescent="0.2">
      <c r="A139" s="19"/>
      <c r="B139" s="14">
        <f t="shared" si="15"/>
        <v>137</v>
      </c>
      <c r="C139" s="25">
        <f>$C138*(1+(1-EXP(LN(1-'Условия + итог'!$D$4)/365)))</f>
        <v>7.0669913356348237</v>
      </c>
      <c r="D139" s="25">
        <f t="shared" si="16"/>
        <v>949.42613952131455</v>
      </c>
      <c r="E139" s="26">
        <f>'Условия + итог'!$D$5*$C139</f>
        <v>1554.7380938396611</v>
      </c>
      <c r="F139" s="26">
        <f t="shared" si="17"/>
        <v>208873.75069468908</v>
      </c>
      <c r="G139" s="26"/>
      <c r="H139" s="26">
        <f>'Условия + итог'!$D$7*$C139</f>
        <v>2120.0974006904471</v>
      </c>
      <c r="I139" s="26">
        <f>$H139-$E139-$G139</f>
        <v>565.35930685078597</v>
      </c>
      <c r="J139" s="26">
        <f t="shared" si="18"/>
        <v>790.81823234101989</v>
      </c>
      <c r="K139" s="26">
        <f>IF(SUM($K$3:$K138)&gt;$J139,0,$J139-SUM($K$3:$K138))</f>
        <v>113.07186137015719</v>
      </c>
      <c r="L139" s="26">
        <f t="shared" si="14"/>
        <v>452.28744548062878</v>
      </c>
      <c r="M139" s="26">
        <f t="shared" si="19"/>
        <v>3163.2729293641141</v>
      </c>
      <c r="N139" s="26">
        <f>$L139*1/(1+'Условия + итог'!$D$8)^(($B139-$B$3)/365)</f>
        <v>429.33703351630203</v>
      </c>
      <c r="O139" s="26">
        <f t="shared" si="20"/>
        <v>1246.0793760210599</v>
      </c>
    </row>
    <row r="140" spans="1:15" x14ac:dyDescent="0.2">
      <c r="A140" s="19"/>
      <c r="B140" s="14">
        <f t="shared" si="15"/>
        <v>138</v>
      </c>
      <c r="C140" s="25">
        <f>$C139*(1+(1-EXP(LN(1-'Условия + итог'!$D$4)/365)))</f>
        <v>7.0690309915156595</v>
      </c>
      <c r="D140" s="25">
        <f t="shared" si="16"/>
        <v>956.49517051283021</v>
      </c>
      <c r="E140" s="26">
        <f>'Условия + итог'!$D$5*$C140</f>
        <v>1555.1868181334451</v>
      </c>
      <c r="F140" s="26">
        <f t="shared" si="17"/>
        <v>210428.93751282254</v>
      </c>
      <c r="G140" s="26"/>
      <c r="H140" s="26">
        <f>'Условия + итог'!$D$7*$C140</f>
        <v>2120.7092974546977</v>
      </c>
      <c r="I140" s="26">
        <f>$H140-$E140-$G140</f>
        <v>565.5224793212526</v>
      </c>
      <c r="J140" s="26">
        <f t="shared" si="18"/>
        <v>903.92272820527046</v>
      </c>
      <c r="K140" s="26">
        <f>IF(SUM($K$3:$K139)&gt;$J140,0,$J140-SUM($K$3:$K139))</f>
        <v>113.10449586425057</v>
      </c>
      <c r="L140" s="26">
        <f t="shared" si="14"/>
        <v>452.41798345700204</v>
      </c>
      <c r="M140" s="26">
        <f t="shared" si="19"/>
        <v>3615.6909128211164</v>
      </c>
      <c r="N140" s="26">
        <f>$L140*1/(1+'Условия + итог'!$D$8)^(($B140-$B$3)/365)</f>
        <v>429.29653443952157</v>
      </c>
      <c r="O140" s="26">
        <f t="shared" si="20"/>
        <v>1675.3759104605815</v>
      </c>
    </row>
    <row r="141" spans="1:15" x14ac:dyDescent="0.2">
      <c r="A141" s="19"/>
      <c r="B141" s="14">
        <f t="shared" si="15"/>
        <v>139</v>
      </c>
      <c r="C141" s="25">
        <f>$C140*(1+(1-EXP(LN(1-'Условия + итог'!$D$4)/365)))</f>
        <v>7.0710712360764463</v>
      </c>
      <c r="D141" s="25">
        <f t="shared" si="16"/>
        <v>963.56624174890669</v>
      </c>
      <c r="E141" s="26">
        <f>'Условия + итог'!$D$5*$C141</f>
        <v>1555.6356719368182</v>
      </c>
      <c r="F141" s="26">
        <f t="shared" si="17"/>
        <v>211984.57318475936</v>
      </c>
      <c r="G141" s="26"/>
      <c r="H141" s="26">
        <f>'Условия + итог'!$D$7*$C141</f>
        <v>2121.3213708229337</v>
      </c>
      <c r="I141" s="26">
        <f>$H141-$E141-$G141</f>
        <v>565.68569888611546</v>
      </c>
      <c r="J141" s="26">
        <f t="shared" si="18"/>
        <v>1017.0598679824935</v>
      </c>
      <c r="K141" s="26">
        <f>IF(SUM($K$3:$K140)&gt;$J141,0,$J141-SUM($K$3:$K140))</f>
        <v>113.13713977722307</v>
      </c>
      <c r="L141" s="26">
        <f t="shared" si="14"/>
        <v>452.54855910889239</v>
      </c>
      <c r="M141" s="26">
        <f t="shared" si="19"/>
        <v>4068.2394719300087</v>
      </c>
      <c r="N141" s="26">
        <f>$L141*1/(1+'Условия + итог'!$D$8)^(($B141-$B$3)/365)</f>
        <v>429.25603918299231</v>
      </c>
      <c r="O141" s="26">
        <f t="shared" si="20"/>
        <v>2104.631949643574</v>
      </c>
    </row>
    <row r="142" spans="1:15" x14ac:dyDescent="0.2">
      <c r="A142" s="19"/>
      <c r="B142" s="14">
        <f t="shared" si="15"/>
        <v>140</v>
      </c>
      <c r="C142" s="25">
        <f>$C141*(1+(1-EXP(LN(1-'Условия + итог'!$D$4)/365)))</f>
        <v>7.0731120694870873</v>
      </c>
      <c r="D142" s="25">
        <f t="shared" si="16"/>
        <v>970.63935381839383</v>
      </c>
      <c r="E142" s="26">
        <f>'Условия + итог'!$D$5*$C142</f>
        <v>1556.0846552871592</v>
      </c>
      <c r="F142" s="26">
        <f t="shared" si="17"/>
        <v>213540.65784004651</v>
      </c>
      <c r="G142" s="26"/>
      <c r="H142" s="26">
        <f>'Условия + итог'!$D$7*$C142</f>
        <v>2121.9336208461264</v>
      </c>
      <c r="I142" s="26">
        <f>$H142-$E142-$G142</f>
        <v>565.84896555896717</v>
      </c>
      <c r="J142" s="26">
        <f t="shared" si="18"/>
        <v>1130.2296610942869</v>
      </c>
      <c r="K142" s="26">
        <f>IF(SUM($K$3:$K141)&gt;$J142,0,$J142-SUM($K$3:$K141))</f>
        <v>113.16979311179341</v>
      </c>
      <c r="L142" s="26">
        <f t="shared" si="14"/>
        <v>452.67917244717376</v>
      </c>
      <c r="M142" s="26">
        <f t="shared" si="19"/>
        <v>4520.9186443771823</v>
      </c>
      <c r="N142" s="26">
        <f>$L142*1/(1+'Условия + итог'!$D$8)^(($B142-$B$3)/365)</f>
        <v>429.21554774635399</v>
      </c>
      <c r="O142" s="26">
        <f t="shared" si="20"/>
        <v>2533.8474973899279</v>
      </c>
    </row>
    <row r="143" spans="1:15" x14ac:dyDescent="0.2">
      <c r="A143" s="19"/>
      <c r="B143" s="14">
        <f t="shared" si="15"/>
        <v>141</v>
      </c>
      <c r="C143" s="25">
        <f>$C142*(1+(1-EXP(LN(1-'Условия + итог'!$D$4)/365)))</f>
        <v>7.0751534919175345</v>
      </c>
      <c r="D143" s="25">
        <f t="shared" si="16"/>
        <v>977.71450731031132</v>
      </c>
      <c r="E143" s="26">
        <f>'Условия + итог'!$D$5*$C143</f>
        <v>1556.5337682218576</v>
      </c>
      <c r="F143" s="26">
        <f t="shared" si="17"/>
        <v>215097.19160826836</v>
      </c>
      <c r="G143" s="26"/>
      <c r="H143" s="26">
        <f>'Условия + итог'!$D$7*$C143</f>
        <v>2122.5460475752602</v>
      </c>
      <c r="I143" s="26">
        <f>$H143-$E143-$G143</f>
        <v>566.01227935340262</v>
      </c>
      <c r="J143" s="26">
        <f t="shared" si="18"/>
        <v>1243.4321169649675</v>
      </c>
      <c r="K143" s="26">
        <f>IF(SUM($K$3:$K142)&gt;$J143,0,$J143-SUM($K$3:$K142))</f>
        <v>113.20245587068052</v>
      </c>
      <c r="L143" s="26">
        <f t="shared" si="14"/>
        <v>452.80982348272209</v>
      </c>
      <c r="M143" s="26">
        <f t="shared" si="19"/>
        <v>4973.7284678599044</v>
      </c>
      <c r="N143" s="26">
        <f>$L143*1/(1+'Условия + итог'!$D$8)^(($B143-$B$3)/365)</f>
        <v>429.17506012924542</v>
      </c>
      <c r="O143" s="26">
        <f t="shared" si="20"/>
        <v>2963.0225575191735</v>
      </c>
    </row>
    <row r="144" spans="1:15" x14ac:dyDescent="0.2">
      <c r="A144" s="19"/>
      <c r="B144" s="14">
        <f t="shared" si="15"/>
        <v>142</v>
      </c>
      <c r="C144" s="25">
        <f>$C143*(1+(1-EXP(LN(1-'Условия + итог'!$D$4)/365)))</f>
        <v>7.0771955035377889</v>
      </c>
      <c r="D144" s="25">
        <f t="shared" si="16"/>
        <v>984.79170281384916</v>
      </c>
      <c r="E144" s="26">
        <f>'Условия + итог'!$D$5*$C144</f>
        <v>1556.9830107783137</v>
      </c>
      <c r="F144" s="26">
        <f t="shared" si="17"/>
        <v>216654.17461904668</v>
      </c>
      <c r="G144" s="26"/>
      <c r="H144" s="26">
        <f>'Условия + итог'!$D$7*$C144</f>
        <v>2123.1586510613365</v>
      </c>
      <c r="I144" s="26">
        <f>$H144-$E144-$G144</f>
        <v>566.17564028302286</v>
      </c>
      <c r="J144" s="26">
        <f t="shared" si="18"/>
        <v>1356.6672450215719</v>
      </c>
      <c r="K144" s="26">
        <f>IF(SUM($K$3:$K143)&gt;$J144,0,$J144-SUM($K$3:$K143))</f>
        <v>113.23512805660448</v>
      </c>
      <c r="L144" s="26">
        <f t="shared" si="14"/>
        <v>452.94051222641838</v>
      </c>
      <c r="M144" s="26">
        <f t="shared" si="19"/>
        <v>5426.6689800863223</v>
      </c>
      <c r="N144" s="26">
        <f>$L144*1/(1+'Условия + итог'!$D$8)^(($B144-$B$3)/365)</f>
        <v>429.13457633130696</v>
      </c>
      <c r="O144" s="26">
        <f t="shared" si="20"/>
        <v>3392.1571338504805</v>
      </c>
    </row>
    <row r="145" spans="1:15" x14ac:dyDescent="0.2">
      <c r="A145" s="19"/>
      <c r="B145" s="14">
        <f t="shared" si="15"/>
        <v>143</v>
      </c>
      <c r="C145" s="25">
        <f>$C144*(1+(1-EXP(LN(1-'Условия + итог'!$D$4)/365)))</f>
        <v>7.0792381045179011</v>
      </c>
      <c r="D145" s="25">
        <f t="shared" si="16"/>
        <v>991.87094091836707</v>
      </c>
      <c r="E145" s="26">
        <f>'Условия + итог'!$D$5*$C145</f>
        <v>1557.4323829939383</v>
      </c>
      <c r="F145" s="26">
        <f t="shared" si="17"/>
        <v>218211.6070020406</v>
      </c>
      <c r="G145" s="26"/>
      <c r="H145" s="26">
        <f>'Условия + итог'!$D$7*$C145</f>
        <v>2123.7714313553702</v>
      </c>
      <c r="I145" s="26">
        <f>$H145-$E145-$G145</f>
        <v>566.33904836143188</v>
      </c>
      <c r="J145" s="26">
        <f t="shared" si="18"/>
        <v>1469.9350546938583</v>
      </c>
      <c r="K145" s="26">
        <f>IF(SUM($K$3:$K144)&gt;$J145,0,$J145-SUM($K$3:$K144))</f>
        <v>113.26780967228638</v>
      </c>
      <c r="L145" s="26">
        <f t="shared" si="14"/>
        <v>453.0712386891455</v>
      </c>
      <c r="M145" s="26">
        <f t="shared" si="19"/>
        <v>5879.7402187754678</v>
      </c>
      <c r="N145" s="26">
        <f>$L145*1/(1+'Условия + итог'!$D$8)^(($B145-$B$3)/365)</f>
        <v>429.09409635217821</v>
      </c>
      <c r="O145" s="26">
        <f t="shared" si="20"/>
        <v>3821.2512302026589</v>
      </c>
    </row>
    <row r="146" spans="1:15" x14ac:dyDescent="0.2">
      <c r="A146" s="19"/>
      <c r="B146" s="14">
        <f t="shared" si="15"/>
        <v>144</v>
      </c>
      <c r="C146" s="25">
        <f>$C145*(1+(1-EXP(LN(1-'Условия + итог'!$D$4)/365)))</f>
        <v>7.0812812950279715</v>
      </c>
      <c r="D146" s="25">
        <f t="shared" si="16"/>
        <v>998.95222221339509</v>
      </c>
      <c r="E146" s="26">
        <f>'Условия + итог'!$D$5*$C146</f>
        <v>1557.8818849061538</v>
      </c>
      <c r="F146" s="26">
        <f t="shared" si="17"/>
        <v>219769.48888694675</v>
      </c>
      <c r="G146" s="26"/>
      <c r="H146" s="26">
        <f>'Условия + итог'!$D$7*$C146</f>
        <v>2124.3843885083916</v>
      </c>
      <c r="I146" s="26">
        <f>$H146-$E146-$G146</f>
        <v>566.50250360223777</v>
      </c>
      <c r="J146" s="26">
        <f t="shared" si="18"/>
        <v>1583.235555414306</v>
      </c>
      <c r="K146" s="26">
        <f>IF(SUM($K$3:$K145)&gt;$J146,0,$J146-SUM($K$3:$K145))</f>
        <v>113.30050072044764</v>
      </c>
      <c r="L146" s="26">
        <f t="shared" si="14"/>
        <v>453.20200288179012</v>
      </c>
      <c r="M146" s="26">
        <f t="shared" si="19"/>
        <v>6332.9422216572584</v>
      </c>
      <c r="N146" s="26">
        <f>$L146*1/(1+'Условия + итог'!$D$8)^(($B146-$B$3)/365)</f>
        <v>429.05362019149925</v>
      </c>
      <c r="O146" s="26">
        <f t="shared" si="20"/>
        <v>4250.3048503941582</v>
      </c>
    </row>
    <row r="147" spans="1:15" x14ac:dyDescent="0.2">
      <c r="A147" s="19"/>
      <c r="B147" s="14">
        <f t="shared" si="15"/>
        <v>145</v>
      </c>
      <c r="C147" s="25">
        <f>$C146*(1+(1-EXP(LN(1-'Условия + итог'!$D$4)/365)))</f>
        <v>7.0833250752381476</v>
      </c>
      <c r="D147" s="25">
        <f t="shared" si="16"/>
        <v>1006.0355472886332</v>
      </c>
      <c r="E147" s="26">
        <f>'Условия + итог'!$D$5*$C147</f>
        <v>1558.3315165523925</v>
      </c>
      <c r="F147" s="26">
        <f t="shared" si="17"/>
        <v>221327.82040349915</v>
      </c>
      <c r="G147" s="26"/>
      <c r="H147" s="26">
        <f>'Условия + итог'!$D$7*$C147</f>
        <v>2124.9975225714443</v>
      </c>
      <c r="I147" s="26">
        <f>$H147-$E147-$G147</f>
        <v>566.66600601905179</v>
      </c>
      <c r="J147" s="26">
        <f t="shared" si="18"/>
        <v>1696.5687566181164</v>
      </c>
      <c r="K147" s="26">
        <f>IF(SUM($K$3:$K146)&gt;$J147,0,$J147-SUM($K$3:$K146))</f>
        <v>113.3332012038104</v>
      </c>
      <c r="L147" s="26">
        <f t="shared" si="14"/>
        <v>453.33280481524139</v>
      </c>
      <c r="M147" s="26">
        <f t="shared" si="19"/>
        <v>6786.2750264725</v>
      </c>
      <c r="N147" s="26">
        <f>$L147*1/(1+'Условия + итог'!$D$8)^(($B147-$B$3)/365)</f>
        <v>429.01314784890945</v>
      </c>
      <c r="O147" s="26">
        <f t="shared" si="20"/>
        <v>4679.3179982430674</v>
      </c>
    </row>
    <row r="148" spans="1:15" x14ac:dyDescent="0.2">
      <c r="A148" s="19"/>
      <c r="B148" s="14">
        <f t="shared" si="15"/>
        <v>146</v>
      </c>
      <c r="C148" s="25">
        <f>$C147*(1+(1-EXP(LN(1-'Условия + итог'!$D$4)/365)))</f>
        <v>7.0853694453186273</v>
      </c>
      <c r="D148" s="25">
        <f t="shared" si="16"/>
        <v>1013.1209167339518</v>
      </c>
      <c r="E148" s="26">
        <f>'Условия + итог'!$D$5*$C148</f>
        <v>1558.781277970098</v>
      </c>
      <c r="F148" s="26">
        <f t="shared" si="17"/>
        <v>222886.60168146924</v>
      </c>
      <c r="G148" s="26"/>
      <c r="H148" s="26">
        <f>'Условия + итог'!$D$7*$C148</f>
        <v>2125.6108335955882</v>
      </c>
      <c r="I148" s="26">
        <f>$H148-$E148-$G148</f>
        <v>566.82955562549023</v>
      </c>
      <c r="J148" s="26">
        <f t="shared" si="18"/>
        <v>1809.9346677432145</v>
      </c>
      <c r="K148" s="26">
        <f>IF(SUM($K$3:$K147)&gt;$J148,0,$J148-SUM($K$3:$K147))</f>
        <v>113.36591112509814</v>
      </c>
      <c r="L148" s="26">
        <f t="shared" si="14"/>
        <v>453.46364450039209</v>
      </c>
      <c r="M148" s="26">
        <f t="shared" si="19"/>
        <v>7239.7386709728926</v>
      </c>
      <c r="N148" s="26">
        <f>$L148*1/(1+'Условия + итог'!$D$8)^(($B148-$B$3)/365)</f>
        <v>428.97267932404873</v>
      </c>
      <c r="O148" s="26">
        <f t="shared" si="20"/>
        <v>5108.2906775671163</v>
      </c>
    </row>
    <row r="149" spans="1:15" x14ac:dyDescent="0.2">
      <c r="A149" s="19"/>
      <c r="B149" s="14">
        <f t="shared" si="15"/>
        <v>147</v>
      </c>
      <c r="C149" s="25">
        <f>$C148*(1+(1-EXP(LN(1-'Условия + итог'!$D$4)/365)))</f>
        <v>7.0874144054396577</v>
      </c>
      <c r="D149" s="25">
        <f t="shared" si="16"/>
        <v>1020.2083311393915</v>
      </c>
      <c r="E149" s="26">
        <f>'Условия + итог'!$D$5*$C149</f>
        <v>1559.2311691967247</v>
      </c>
      <c r="F149" s="26">
        <f t="shared" si="17"/>
        <v>224445.83285066596</v>
      </c>
      <c r="G149" s="26"/>
      <c r="H149" s="26">
        <f>'Условия + итог'!$D$7*$C149</f>
        <v>2126.2243216318975</v>
      </c>
      <c r="I149" s="26">
        <f>$H149-$E149-$G149</f>
        <v>566.99315243517276</v>
      </c>
      <c r="J149" s="26">
        <f t="shared" si="18"/>
        <v>1923.3332982302491</v>
      </c>
      <c r="K149" s="26">
        <f>IF(SUM($K$3:$K148)&gt;$J149,0,$J149-SUM($K$3:$K148))</f>
        <v>113.39863048703455</v>
      </c>
      <c r="L149" s="26">
        <f t="shared" si="14"/>
        <v>453.59452194813821</v>
      </c>
      <c r="M149" s="26">
        <f t="shared" si="19"/>
        <v>7693.3331929210308</v>
      </c>
      <c r="N149" s="26">
        <f>$L149*1/(1+'Условия + итог'!$D$8)^(($B149-$B$3)/365)</f>
        <v>428.9322146165573</v>
      </c>
      <c r="O149" s="26">
        <f t="shared" si="20"/>
        <v>5537.222892183674</v>
      </c>
    </row>
    <row r="150" spans="1:15" x14ac:dyDescent="0.2">
      <c r="A150" s="19"/>
      <c r="B150" s="14">
        <f t="shared" si="15"/>
        <v>148</v>
      </c>
      <c r="C150" s="25">
        <f>$C149*(1+(1-EXP(LN(1-'Условия + итог'!$D$4)/365)))</f>
        <v>7.0894599557715337</v>
      </c>
      <c r="D150" s="25">
        <f t="shared" si="16"/>
        <v>1027.2977910951631</v>
      </c>
      <c r="E150" s="26">
        <f>'Условия + итог'!$D$5*$C150</f>
        <v>1559.6811902697375</v>
      </c>
      <c r="F150" s="26">
        <f t="shared" si="17"/>
        <v>226005.5140409357</v>
      </c>
      <c r="G150" s="26"/>
      <c r="H150" s="26">
        <f>'Условия + итог'!$D$7*$C150</f>
        <v>2126.8379867314602</v>
      </c>
      <c r="I150" s="26">
        <f>$H150-$E150-$G150</f>
        <v>567.15679646172271</v>
      </c>
      <c r="J150" s="26">
        <f t="shared" si="18"/>
        <v>2036.7646575225936</v>
      </c>
      <c r="K150" s="26">
        <f>IF(SUM($K$3:$K149)&gt;$J150,0,$J150-SUM($K$3:$K149))</f>
        <v>113.4313592923445</v>
      </c>
      <c r="L150" s="26">
        <f t="shared" si="14"/>
        <v>453.72543716937821</v>
      </c>
      <c r="M150" s="26">
        <f t="shared" si="19"/>
        <v>8147.0586300904088</v>
      </c>
      <c r="N150" s="26">
        <f>$L150*1/(1+'Условия + итог'!$D$8)^(($B150-$B$3)/365)</f>
        <v>428.89175372607457</v>
      </c>
      <c r="O150" s="26">
        <f t="shared" si="20"/>
        <v>5966.114645909749</v>
      </c>
    </row>
    <row r="151" spans="1:15" x14ac:dyDescent="0.2">
      <c r="A151" s="19"/>
      <c r="B151" s="14">
        <f t="shared" si="15"/>
        <v>149</v>
      </c>
      <c r="C151" s="25">
        <f>$C150*(1+(1-EXP(LN(1-'Условия + итог'!$D$4)/365)))</f>
        <v>7.0915060964846015</v>
      </c>
      <c r="D151" s="25">
        <f t="shared" si="16"/>
        <v>1034.3892971916478</v>
      </c>
      <c r="E151" s="26">
        <f>'Условия + итог'!$D$5*$C151</f>
        <v>1560.1313412266122</v>
      </c>
      <c r="F151" s="26">
        <f t="shared" si="17"/>
        <v>227565.6453821623</v>
      </c>
      <c r="G151" s="26"/>
      <c r="H151" s="26">
        <f>'Условия + итог'!$D$7*$C151</f>
        <v>2127.4518289453804</v>
      </c>
      <c r="I151" s="26">
        <f>$H151-$E151-$G151</f>
        <v>567.32048771876816</v>
      </c>
      <c r="J151" s="26">
        <f t="shared" si="18"/>
        <v>2150.2287550663473</v>
      </c>
      <c r="K151" s="26">
        <f>IF(SUM($K$3:$K150)&gt;$J151,0,$J151-SUM($K$3:$K150))</f>
        <v>113.46409754375372</v>
      </c>
      <c r="L151" s="26">
        <f t="shared" si="14"/>
        <v>453.85639017501444</v>
      </c>
      <c r="M151" s="26">
        <f t="shared" si="19"/>
        <v>8600.9150202654237</v>
      </c>
      <c r="N151" s="26">
        <f>$L151*1/(1+'Условия + итог'!$D$8)^(($B151-$B$3)/365)</f>
        <v>428.85129665224053</v>
      </c>
      <c r="O151" s="26">
        <f t="shared" si="20"/>
        <v>6394.9659425619893</v>
      </c>
    </row>
    <row r="152" spans="1:15" x14ac:dyDescent="0.2">
      <c r="A152" s="19"/>
      <c r="B152" s="14">
        <f t="shared" si="15"/>
        <v>150</v>
      </c>
      <c r="C152" s="25">
        <f>$C151*(1+(1-EXP(LN(1-'Условия + итог'!$D$4)/365)))</f>
        <v>7.0935528277492548</v>
      </c>
      <c r="D152" s="25">
        <f t="shared" si="16"/>
        <v>1041.4828500193971</v>
      </c>
      <c r="E152" s="26">
        <f>'Условия + итог'!$D$5*$C152</f>
        <v>1560.581622104836</v>
      </c>
      <c r="F152" s="26">
        <f t="shared" si="17"/>
        <v>229126.22700426713</v>
      </c>
      <c r="G152" s="26"/>
      <c r="H152" s="26">
        <f>'Условия + итог'!$D$7*$C152</f>
        <v>2128.0658483247767</v>
      </c>
      <c r="I152" s="26">
        <f>$H152-$E152-$G152</f>
        <v>567.48422621994064</v>
      </c>
      <c r="J152" s="26">
        <f t="shared" si="18"/>
        <v>2263.7256003103353</v>
      </c>
      <c r="K152" s="26">
        <f>IF(SUM($K$3:$K151)&gt;$J152,0,$J152-SUM($K$3:$K151))</f>
        <v>113.49684524398799</v>
      </c>
      <c r="L152" s="26">
        <f t="shared" si="14"/>
        <v>453.98738097595265</v>
      </c>
      <c r="M152" s="26">
        <f t="shared" si="19"/>
        <v>9054.9024012413756</v>
      </c>
      <c r="N152" s="26">
        <f>$L152*1/(1+'Условия + итог'!$D$8)^(($B152-$B$3)/365)</f>
        <v>428.81084339469595</v>
      </c>
      <c r="O152" s="26">
        <f t="shared" si="20"/>
        <v>6823.7767859566857</v>
      </c>
    </row>
    <row r="153" spans="1:15" x14ac:dyDescent="0.2">
      <c r="A153" s="20"/>
      <c r="B153" s="16">
        <f t="shared" si="15"/>
        <v>151</v>
      </c>
      <c r="C153" s="27">
        <f>$C152*(1+(1-EXP(LN(1-'Условия + итог'!$D$4)/365)))</f>
        <v>7.0956001497359367</v>
      </c>
      <c r="D153" s="27">
        <f t="shared" si="16"/>
        <v>1048.578450169133</v>
      </c>
      <c r="E153" s="28">
        <f>'Условия + итог'!$D$5*$C153</f>
        <v>1561.032032941906</v>
      </c>
      <c r="F153" s="28">
        <f t="shared" si="17"/>
        <v>230687.25903720903</v>
      </c>
      <c r="G153" s="28"/>
      <c r="H153" s="28">
        <f>'Условия + итог'!$D$7*$C153</f>
        <v>2128.6800449207808</v>
      </c>
      <c r="I153" s="28">
        <f>$H153-$E153-$G153</f>
        <v>567.64801197887482</v>
      </c>
      <c r="J153" s="28">
        <f t="shared" si="18"/>
        <v>2377.2552027061101</v>
      </c>
      <c r="K153" s="28">
        <f>IF(SUM($K$3:$K152)&gt;$J153,0,$J153-SUM($K$3:$K152))</f>
        <v>113.52960239577487</v>
      </c>
      <c r="L153" s="28">
        <f t="shared" si="14"/>
        <v>454.11840958309995</v>
      </c>
      <c r="M153" s="28">
        <f t="shared" si="19"/>
        <v>9509.0208108244751</v>
      </c>
      <c r="N153" s="28">
        <f>$L153*1/(1+'Условия + итог'!$D$8)^(($B153-$B$3)/365)</f>
        <v>428.77039395307963</v>
      </c>
      <c r="O153" s="28">
        <f t="shared" si="20"/>
        <v>7252.547179909765</v>
      </c>
    </row>
    <row r="154" spans="1:15" x14ac:dyDescent="0.2">
      <c r="A154" s="18" t="s">
        <v>22</v>
      </c>
      <c r="B154" s="12">
        <f t="shared" si="15"/>
        <v>152</v>
      </c>
      <c r="C154" s="23">
        <f>$C153*(1+(1-EXP(LN(1-'Условия + итог'!$D$4)/365)))</f>
        <v>7.0976480626151401</v>
      </c>
      <c r="D154" s="23">
        <f t="shared" si="16"/>
        <v>1055.6760982317483</v>
      </c>
      <c r="E154" s="24">
        <f>'Условия + итог'!$D$5*$C154</f>
        <v>1561.4825737753308</v>
      </c>
      <c r="F154" s="24">
        <f t="shared" si="17"/>
        <v>232248.74161098438</v>
      </c>
      <c r="G154" s="24"/>
      <c r="H154" s="24">
        <f>'Условия + итог'!$D$7*$C154</f>
        <v>2129.2944187845419</v>
      </c>
      <c r="I154" s="24">
        <f>$H154-$E154-$G154</f>
        <v>567.81184500921108</v>
      </c>
      <c r="J154" s="24">
        <f t="shared" si="18"/>
        <v>2490.8175717079525</v>
      </c>
      <c r="K154" s="24">
        <f>IF(SUM($K$3:$K153)&gt;$J154,0,$J154-SUM($K$3:$K153))</f>
        <v>113.5623690018424</v>
      </c>
      <c r="L154" s="24">
        <f t="shared" si="14"/>
        <v>454.24947600736868</v>
      </c>
      <c r="M154" s="24">
        <f t="shared" si="19"/>
        <v>9963.2702868318447</v>
      </c>
      <c r="N154" s="24">
        <f>$L154*1/(1+'Условия + итог'!$D$8)^(($B154-$B$3)/365)</f>
        <v>428.72994832703216</v>
      </c>
      <c r="O154" s="24">
        <f t="shared" si="20"/>
        <v>7681.2771282367976</v>
      </c>
    </row>
    <row r="155" spans="1:15" x14ac:dyDescent="0.2">
      <c r="A155" s="19"/>
      <c r="B155" s="14">
        <f t="shared" si="15"/>
        <v>153</v>
      </c>
      <c r="C155" s="25">
        <f>$C154*(1+(1-EXP(LN(1-'Условия + итог'!$D$4)/365)))</f>
        <v>7.099696566557407</v>
      </c>
      <c r="D155" s="25">
        <f t="shared" si="16"/>
        <v>1062.7757947983057</v>
      </c>
      <c r="E155" s="26">
        <f>'Условия + итог'!$D$5*$C155</f>
        <v>1561.9332446426295</v>
      </c>
      <c r="F155" s="26">
        <f t="shared" si="17"/>
        <v>233810.674855627</v>
      </c>
      <c r="G155" s="26"/>
      <c r="H155" s="26">
        <f>'Условия + итог'!$D$7*$C155</f>
        <v>2129.9089699672222</v>
      </c>
      <c r="I155" s="26">
        <f>$H155-$E155-$G155</f>
        <v>567.97572532459276</v>
      </c>
      <c r="J155" s="26">
        <f t="shared" si="18"/>
        <v>2604.4127167728711</v>
      </c>
      <c r="K155" s="26">
        <f>IF(SUM($K$3:$K154)&gt;$J155,0,$J155-SUM($K$3:$K154))</f>
        <v>113.5951450649186</v>
      </c>
      <c r="L155" s="26">
        <f t="shared" si="14"/>
        <v>454.38058025967416</v>
      </c>
      <c r="M155" s="26">
        <f t="shared" si="19"/>
        <v>10417.650867091519</v>
      </c>
      <c r="N155" s="26">
        <f>$L155*1/(1+'Условия + итог'!$D$8)^(($B155-$B$3)/365)</f>
        <v>428.68950651619434</v>
      </c>
      <c r="O155" s="26">
        <f t="shared" si="20"/>
        <v>8109.9666347529919</v>
      </c>
    </row>
    <row r="156" spans="1:15" x14ac:dyDescent="0.2">
      <c r="A156" s="19"/>
      <c r="B156" s="14">
        <f t="shared" si="15"/>
        <v>154</v>
      </c>
      <c r="C156" s="25">
        <f>$C155*(1+(1-EXP(LN(1-'Условия + итог'!$D$4)/365)))</f>
        <v>7.1017456617333288</v>
      </c>
      <c r="D156" s="25">
        <f t="shared" si="16"/>
        <v>1069.877540460039</v>
      </c>
      <c r="E156" s="26">
        <f>'Условия + итог'!$D$5*$C156</f>
        <v>1562.3840455813324</v>
      </c>
      <c r="F156" s="26">
        <f t="shared" si="17"/>
        <v>235373.05890120834</v>
      </c>
      <c r="G156" s="26"/>
      <c r="H156" s="26">
        <f>'Условия + итог'!$D$7*$C156</f>
        <v>2130.5236985199986</v>
      </c>
      <c r="I156" s="26">
        <f>$H156-$E156-$G156</f>
        <v>568.13965293866613</v>
      </c>
      <c r="J156" s="26">
        <f t="shared" si="18"/>
        <v>2718.0406473606045</v>
      </c>
      <c r="K156" s="26">
        <f>IF(SUM($K$3:$K155)&gt;$J156,0,$J156-SUM($K$3:$K155))</f>
        <v>113.62793058773332</v>
      </c>
      <c r="L156" s="26">
        <f t="shared" si="14"/>
        <v>454.51172235093281</v>
      </c>
      <c r="M156" s="26">
        <f t="shared" si="19"/>
        <v>10872.162589442452</v>
      </c>
      <c r="N156" s="26">
        <f>$L156*1/(1+'Условия + итог'!$D$8)^(($B156-$B$3)/365)</f>
        <v>428.64906852020499</v>
      </c>
      <c r="O156" s="26">
        <f t="shared" si="20"/>
        <v>8538.6157032731971</v>
      </c>
    </row>
    <row r="157" spans="1:15" x14ac:dyDescent="0.2">
      <c r="A157" s="19"/>
      <c r="B157" s="14">
        <f t="shared" si="15"/>
        <v>155</v>
      </c>
      <c r="C157" s="25">
        <f>$C156*(1+(1-EXP(LN(1-'Условия + итог'!$D$4)/365)))</f>
        <v>7.103795348313545</v>
      </c>
      <c r="D157" s="25">
        <f t="shared" si="16"/>
        <v>1076.9813358083525</v>
      </c>
      <c r="E157" s="26">
        <f>'Условия + итог'!$D$5*$C157</f>
        <v>1562.8349766289798</v>
      </c>
      <c r="F157" s="26">
        <f t="shared" si="17"/>
        <v>236935.89387783731</v>
      </c>
      <c r="G157" s="26"/>
      <c r="H157" s="26">
        <f>'Условия + итог'!$D$7*$C157</f>
        <v>2131.1386044940637</v>
      </c>
      <c r="I157" s="26">
        <f>$H157-$E157-$G157</f>
        <v>568.30362786508385</v>
      </c>
      <c r="J157" s="26">
        <f t="shared" si="18"/>
        <v>2831.7013729336213</v>
      </c>
      <c r="K157" s="26">
        <f>IF(SUM($K$3:$K156)&gt;$J157,0,$J157-SUM($K$3:$K156))</f>
        <v>113.66072557301686</v>
      </c>
      <c r="L157" s="26">
        <f t="shared" si="14"/>
        <v>454.64290229206699</v>
      </c>
      <c r="M157" s="26">
        <f t="shared" si="19"/>
        <v>11326.80549173452</v>
      </c>
      <c r="N157" s="26">
        <f>$L157*1/(1+'Условия + итог'!$D$8)^(($B157-$B$3)/365)</f>
        <v>428.6086343387056</v>
      </c>
      <c r="O157" s="26">
        <f t="shared" si="20"/>
        <v>8967.2243376119022</v>
      </c>
    </row>
    <row r="158" spans="1:15" x14ac:dyDescent="0.2">
      <c r="A158" s="19"/>
      <c r="B158" s="14">
        <f t="shared" si="15"/>
        <v>156</v>
      </c>
      <c r="C158" s="25">
        <f>$C157*(1+(1-EXP(LN(1-'Условия + итог'!$D$4)/365)))</f>
        <v>7.1058456264687448</v>
      </c>
      <c r="D158" s="25">
        <f t="shared" si="16"/>
        <v>1084.0871814348211</v>
      </c>
      <c r="E158" s="26">
        <f>'Условия + итог'!$D$5*$C158</f>
        <v>1563.2860378231239</v>
      </c>
      <c r="F158" s="26">
        <f t="shared" si="17"/>
        <v>238499.17991566044</v>
      </c>
      <c r="G158" s="26"/>
      <c r="H158" s="26">
        <f>'Условия + итог'!$D$7*$C158</f>
        <v>2131.7536879406234</v>
      </c>
      <c r="I158" s="26">
        <f>$H158-$E158-$G158</f>
        <v>568.46765011749949</v>
      </c>
      <c r="J158" s="26">
        <f t="shared" si="18"/>
        <v>2945.3949029571213</v>
      </c>
      <c r="K158" s="26">
        <f>IF(SUM($K$3:$K157)&gt;$J158,0,$J158-SUM($K$3:$K157))</f>
        <v>113.69353002349999</v>
      </c>
      <c r="L158" s="26">
        <f t="shared" si="14"/>
        <v>454.7741200939995</v>
      </c>
      <c r="M158" s="26">
        <f t="shared" si="19"/>
        <v>11781.57961182852</v>
      </c>
      <c r="N158" s="26">
        <f>$L158*1/(1+'Условия + итог'!$D$8)^(($B158-$B$3)/365)</f>
        <v>428.56820397133492</v>
      </c>
      <c r="O158" s="26">
        <f t="shared" si="20"/>
        <v>9395.7925415832378</v>
      </c>
    </row>
    <row r="159" spans="1:15" x14ac:dyDescent="0.2">
      <c r="A159" s="19"/>
      <c r="B159" s="14">
        <f t="shared" si="15"/>
        <v>157</v>
      </c>
      <c r="C159" s="25">
        <f>$C158*(1+(1-EXP(LN(1-'Условия + итог'!$D$4)/365)))</f>
        <v>7.1078964963696682</v>
      </c>
      <c r="D159" s="25">
        <f t="shared" si="16"/>
        <v>1091.1950779311908</v>
      </c>
      <c r="E159" s="26">
        <f>'Условия + итог'!$D$5*$C159</f>
        <v>1563.737229201327</v>
      </c>
      <c r="F159" s="26">
        <f t="shared" si="17"/>
        <v>240062.91714486177</v>
      </c>
      <c r="G159" s="26"/>
      <c r="H159" s="26">
        <f>'Условия + итог'!$D$7*$C159</f>
        <v>2132.3689489109006</v>
      </c>
      <c r="I159" s="26">
        <f>$H159-$E159-$G159</f>
        <v>568.63171970957364</v>
      </c>
      <c r="J159" s="26">
        <f t="shared" si="18"/>
        <v>3059.1212468990361</v>
      </c>
      <c r="K159" s="26">
        <f>IF(SUM($K$3:$K158)&gt;$J159,0,$J159-SUM($K$3:$K158))</f>
        <v>113.72634394191482</v>
      </c>
      <c r="L159" s="26">
        <f t="shared" si="14"/>
        <v>454.90537576765882</v>
      </c>
      <c r="M159" s="26">
        <f t="shared" si="19"/>
        <v>12236.484987596179</v>
      </c>
      <c r="N159" s="26">
        <f>$L159*1/(1+'Условия + итог'!$D$8)^(($B159-$B$3)/365)</f>
        <v>428.52777741773446</v>
      </c>
      <c r="O159" s="26">
        <f t="shared" si="20"/>
        <v>9824.3203190009717</v>
      </c>
    </row>
    <row r="160" spans="1:15" x14ac:dyDescent="0.2">
      <c r="A160" s="19"/>
      <c r="B160" s="14">
        <f t="shared" si="15"/>
        <v>158</v>
      </c>
      <c r="C160" s="25">
        <f>$C159*(1+(1-EXP(LN(1-'Условия + итог'!$D$4)/365)))</f>
        <v>7.1099479581871021</v>
      </c>
      <c r="D160" s="25">
        <f t="shared" si="16"/>
        <v>1098.3050258893779</v>
      </c>
      <c r="E160" s="26">
        <f>'Условия + итог'!$D$5*$C160</f>
        <v>1564.1885508011624</v>
      </c>
      <c r="F160" s="26">
        <f t="shared" si="17"/>
        <v>241627.10569566293</v>
      </c>
      <c r="G160" s="26"/>
      <c r="H160" s="26">
        <f>'Условия + итог'!$D$7*$C160</f>
        <v>2132.9843874561307</v>
      </c>
      <c r="I160" s="26">
        <f>$H160-$E160-$G160</f>
        <v>568.7958366549683</v>
      </c>
      <c r="J160" s="26">
        <f t="shared" si="18"/>
        <v>3172.8804142300296</v>
      </c>
      <c r="K160" s="26">
        <f>IF(SUM($K$3:$K159)&gt;$J160,0,$J160-SUM($K$3:$K159))</f>
        <v>113.75916733099348</v>
      </c>
      <c r="L160" s="26">
        <f t="shared" si="14"/>
        <v>455.03666932397482</v>
      </c>
      <c r="M160" s="26">
        <f t="shared" si="19"/>
        <v>12691.521656920155</v>
      </c>
      <c r="N160" s="26">
        <f>$L160*1/(1+'Условия + итог'!$D$8)^(($B160-$B$3)/365)</f>
        <v>428.48735467754392</v>
      </c>
      <c r="O160" s="26">
        <f t="shared" si="20"/>
        <v>10252.807673678515</v>
      </c>
    </row>
    <row r="161" spans="1:15" x14ac:dyDescent="0.2">
      <c r="A161" s="19"/>
      <c r="B161" s="14">
        <f t="shared" si="15"/>
        <v>159</v>
      </c>
      <c r="C161" s="25">
        <f>$C160*(1+(1-EXP(LN(1-'Условия + итог'!$D$4)/365)))</f>
        <v>7.1120000120918849</v>
      </c>
      <c r="D161" s="25">
        <f t="shared" si="16"/>
        <v>1105.4170259014697</v>
      </c>
      <c r="E161" s="26">
        <f>'Условия + итог'!$D$5*$C161</f>
        <v>1564.6400026602146</v>
      </c>
      <c r="F161" s="26">
        <f t="shared" si="17"/>
        <v>243191.74569832315</v>
      </c>
      <c r="G161" s="26"/>
      <c r="H161" s="26">
        <f>'Условия + итог'!$D$7*$C161</f>
        <v>2133.6000036275655</v>
      </c>
      <c r="I161" s="26">
        <f>$H161-$E161-$G161</f>
        <v>568.96000096735088</v>
      </c>
      <c r="J161" s="26">
        <f t="shared" si="18"/>
        <v>3286.6724144235</v>
      </c>
      <c r="K161" s="26">
        <f>IF(SUM($K$3:$K160)&gt;$J161,0,$J161-SUM($K$3:$K160))</f>
        <v>113.79200019347036</v>
      </c>
      <c r="L161" s="26">
        <f t="shared" si="14"/>
        <v>455.16800077388052</v>
      </c>
      <c r="M161" s="26">
        <f t="shared" si="19"/>
        <v>13146.689657694034</v>
      </c>
      <c r="N161" s="26">
        <f>$L161*1/(1+'Условия + итог'!$D$8)^(($B161-$B$3)/365)</f>
        <v>428.44693575040299</v>
      </c>
      <c r="O161" s="26">
        <f t="shared" si="20"/>
        <v>10681.254609428917</v>
      </c>
    </row>
    <row r="162" spans="1:15" x14ac:dyDescent="0.2">
      <c r="A162" s="19"/>
      <c r="B162" s="14">
        <f t="shared" si="15"/>
        <v>160</v>
      </c>
      <c r="C162" s="25">
        <f>$C161*(1+(1-EXP(LN(1-'Условия + итог'!$D$4)/365)))</f>
        <v>7.1140526582549022</v>
      </c>
      <c r="D162" s="25">
        <f t="shared" si="16"/>
        <v>1112.5310785597246</v>
      </c>
      <c r="E162" s="26">
        <f>'Условия + итог'!$D$5*$C162</f>
        <v>1565.0915848160785</v>
      </c>
      <c r="F162" s="26">
        <f t="shared" si="17"/>
        <v>244756.83728313923</v>
      </c>
      <c r="G162" s="26"/>
      <c r="H162" s="26">
        <f>'Условия + итог'!$D$7*$C162</f>
        <v>2134.2157974764705</v>
      </c>
      <c r="I162" s="26">
        <f>$H162-$E162-$G162</f>
        <v>569.124212660392</v>
      </c>
      <c r="J162" s="26">
        <f t="shared" si="18"/>
        <v>3400.4972569555785</v>
      </c>
      <c r="K162" s="26">
        <f>IF(SUM($K$3:$K161)&gt;$J162,0,$J162-SUM($K$3:$K161))</f>
        <v>113.82484253207849</v>
      </c>
      <c r="L162" s="26">
        <f t="shared" si="14"/>
        <v>455.29937012831351</v>
      </c>
      <c r="M162" s="26">
        <f t="shared" si="19"/>
        <v>13601.989027822348</v>
      </c>
      <c r="N162" s="26">
        <f>$L162*1/(1+'Условия + итог'!$D$8)^(($B162-$B$3)/365)</f>
        <v>428.40652063595275</v>
      </c>
      <c r="O162" s="26">
        <f t="shared" si="20"/>
        <v>11109.661130064869</v>
      </c>
    </row>
    <row r="163" spans="1:15" x14ac:dyDescent="0.2">
      <c r="A163" s="19"/>
      <c r="B163" s="14">
        <f t="shared" si="15"/>
        <v>161</v>
      </c>
      <c r="C163" s="25">
        <f>$C162*(1+(1-EXP(LN(1-'Условия + итог'!$D$4)/365)))</f>
        <v>7.1161058968470901</v>
      </c>
      <c r="D163" s="25">
        <f t="shared" si="16"/>
        <v>1119.6471844565717</v>
      </c>
      <c r="E163" s="26">
        <f>'Условия + итог'!$D$5*$C163</f>
        <v>1565.5432973063598</v>
      </c>
      <c r="F163" s="26">
        <f t="shared" si="17"/>
        <v>246322.38058044561</v>
      </c>
      <c r="G163" s="26"/>
      <c r="H163" s="26">
        <f>'Условия + итог'!$D$7*$C163</f>
        <v>2134.8317690541271</v>
      </c>
      <c r="I163" s="26">
        <f>$H163-$E163-$G163</f>
        <v>569.28847174776729</v>
      </c>
      <c r="J163" s="26">
        <f t="shared" si="18"/>
        <v>3514.3549513051321</v>
      </c>
      <c r="K163" s="26">
        <f>IF(SUM($K$3:$K162)&gt;$J163,0,$J163-SUM($K$3:$K162))</f>
        <v>113.85769434955364</v>
      </c>
      <c r="L163" s="26">
        <f t="shared" si="14"/>
        <v>455.43077739821365</v>
      </c>
      <c r="M163" s="26">
        <f t="shared" si="19"/>
        <v>14057.419805220561</v>
      </c>
      <c r="N163" s="26">
        <f>$L163*1/(1+'Условия + итог'!$D$8)^(($B163-$B$3)/365)</f>
        <v>428.36610933383372</v>
      </c>
      <c r="O163" s="26">
        <f t="shared" si="20"/>
        <v>11538.027239398703</v>
      </c>
    </row>
    <row r="164" spans="1:15" x14ac:dyDescent="0.2">
      <c r="A164" s="19"/>
      <c r="B164" s="14">
        <f t="shared" si="15"/>
        <v>162</v>
      </c>
      <c r="C164" s="25">
        <f>$C163*(1+(1-EXP(LN(1-'Условия + итог'!$D$4)/365)))</f>
        <v>7.1181597280394344</v>
      </c>
      <c r="D164" s="25">
        <f t="shared" si="16"/>
        <v>1126.7653441846112</v>
      </c>
      <c r="E164" s="26">
        <f>'Условия + итог'!$D$5*$C164</f>
        <v>1565.9951401686756</v>
      </c>
      <c r="F164" s="26">
        <f t="shared" si="17"/>
        <v>247888.37572061428</v>
      </c>
      <c r="G164" s="26"/>
      <c r="H164" s="26">
        <f>'Условия + итог'!$D$7*$C164</f>
        <v>2135.4479184118304</v>
      </c>
      <c r="I164" s="26">
        <f>$H164-$E164-$G164</f>
        <v>569.45277824315485</v>
      </c>
      <c r="J164" s="26">
        <f t="shared" si="18"/>
        <v>3628.2455069537632</v>
      </c>
      <c r="K164" s="26">
        <f>IF(SUM($K$3:$K163)&gt;$J164,0,$J164-SUM($K$3:$K163))</f>
        <v>113.89055564863111</v>
      </c>
      <c r="L164" s="26">
        <f t="shared" si="14"/>
        <v>455.56222259452375</v>
      </c>
      <c r="M164" s="26">
        <f t="shared" si="19"/>
        <v>14512.982027815086</v>
      </c>
      <c r="N164" s="26">
        <f>$L164*1/(1+'Условия + итог'!$D$8)^(($B164-$B$3)/365)</f>
        <v>428.32570184368581</v>
      </c>
      <c r="O164" s="26">
        <f t="shared" si="20"/>
        <v>11966.352941242389</v>
      </c>
    </row>
    <row r="165" spans="1:15" x14ac:dyDescent="0.2">
      <c r="A165" s="19"/>
      <c r="B165" s="14">
        <f t="shared" si="15"/>
        <v>163</v>
      </c>
      <c r="C165" s="25">
        <f>$C164*(1+(1-EXP(LN(1-'Условия + итог'!$D$4)/365)))</f>
        <v>7.12021415200297</v>
      </c>
      <c r="D165" s="25">
        <f t="shared" si="16"/>
        <v>1133.8855583366142</v>
      </c>
      <c r="E165" s="26">
        <f>'Условия + итог'!$D$5*$C165</f>
        <v>1566.4471134406533</v>
      </c>
      <c r="F165" s="26">
        <f t="shared" si="17"/>
        <v>249454.82283405494</v>
      </c>
      <c r="G165" s="26"/>
      <c r="H165" s="26">
        <f>'Условия + итог'!$D$7*$C165</f>
        <v>2136.0642456008909</v>
      </c>
      <c r="I165" s="26">
        <f>$H165-$E165-$G165</f>
        <v>569.61713216023759</v>
      </c>
      <c r="J165" s="26">
        <f t="shared" si="18"/>
        <v>3742.1689333858108</v>
      </c>
      <c r="K165" s="26">
        <f>IF(SUM($K$3:$K164)&gt;$J165,0,$J165-SUM($K$3:$K164))</f>
        <v>113.92342643204756</v>
      </c>
      <c r="L165" s="26">
        <f t="shared" si="14"/>
        <v>455.69370572819003</v>
      </c>
      <c r="M165" s="26">
        <f t="shared" si="19"/>
        <v>14968.675733543276</v>
      </c>
      <c r="N165" s="26">
        <f>$L165*1/(1+'Условия + итог'!$D$8)^(($B165-$B$3)/365)</f>
        <v>428.28529816514958</v>
      </c>
      <c r="O165" s="26">
        <f t="shared" si="20"/>
        <v>12394.638239407539</v>
      </c>
    </row>
    <row r="166" spans="1:15" x14ac:dyDescent="0.2">
      <c r="A166" s="19"/>
      <c r="B166" s="14">
        <f t="shared" si="15"/>
        <v>164</v>
      </c>
      <c r="C166" s="25">
        <f>$C165*(1+(1-EXP(LN(1-'Условия + итог'!$D$4)/365)))</f>
        <v>7.1222691689087805</v>
      </c>
      <c r="D166" s="25">
        <f t="shared" si="16"/>
        <v>1141.007827505523</v>
      </c>
      <c r="E166" s="26">
        <f>'Условия + итог'!$D$5*$C166</f>
        <v>1566.8992171599316</v>
      </c>
      <c r="F166" s="26">
        <f t="shared" si="17"/>
        <v>251021.72205121486</v>
      </c>
      <c r="G166" s="26"/>
      <c r="H166" s="26">
        <f>'Условия + итог'!$D$7*$C166</f>
        <v>2136.6807506726341</v>
      </c>
      <c r="I166" s="26">
        <f>$H166-$E166-$G166</f>
        <v>569.78153351270248</v>
      </c>
      <c r="J166" s="26">
        <f t="shared" si="18"/>
        <v>3856.1252400883513</v>
      </c>
      <c r="K166" s="26">
        <f>IF(SUM($K$3:$K165)&gt;$J166,0,$J166-SUM($K$3:$K165))</f>
        <v>113.95630670254059</v>
      </c>
      <c r="L166" s="26">
        <f t="shared" si="14"/>
        <v>455.82522681016189</v>
      </c>
      <c r="M166" s="26">
        <f t="shared" si="19"/>
        <v>15424.500960353438</v>
      </c>
      <c r="N166" s="26">
        <f>$L166*1/(1+'Условия + итог'!$D$8)^(($B166-$B$3)/365)</f>
        <v>428.24489829786535</v>
      </c>
      <c r="O166" s="26">
        <f t="shared" si="20"/>
        <v>12822.883137705405</v>
      </c>
    </row>
    <row r="167" spans="1:15" x14ac:dyDescent="0.2">
      <c r="A167" s="19"/>
      <c r="B167" s="14">
        <f t="shared" si="15"/>
        <v>165</v>
      </c>
      <c r="C167" s="25">
        <f>$C166*(1+(1-EXP(LN(1-'Условия + итог'!$D$4)/365)))</f>
        <v>7.1243247789279991</v>
      </c>
      <c r="D167" s="25">
        <f t="shared" si="16"/>
        <v>1148.132152284451</v>
      </c>
      <c r="E167" s="26">
        <f>'Условия + итог'!$D$5*$C167</f>
        <v>1567.3514513641599</v>
      </c>
      <c r="F167" s="26">
        <f t="shared" si="17"/>
        <v>252589.07350257903</v>
      </c>
      <c r="G167" s="26"/>
      <c r="H167" s="26">
        <f>'Условия + итог'!$D$7*$C167</f>
        <v>2137.2974336783996</v>
      </c>
      <c r="I167" s="26">
        <f>$H167-$E167-$G167</f>
        <v>569.9459823142397</v>
      </c>
      <c r="J167" s="26">
        <f t="shared" si="18"/>
        <v>3970.1144365511991</v>
      </c>
      <c r="K167" s="26">
        <f>IF(SUM($K$3:$K166)&gt;$J167,0,$J167-SUM($K$3:$K166))</f>
        <v>113.98919646284776</v>
      </c>
      <c r="L167" s="26">
        <f t="shared" si="14"/>
        <v>455.95678585139194</v>
      </c>
      <c r="M167" s="26">
        <f t="shared" si="19"/>
        <v>15880.457746204829</v>
      </c>
      <c r="N167" s="26">
        <f>$L167*1/(1+'Условия + итог'!$D$8)^(($B167-$B$3)/365)</f>
        <v>428.20450224147396</v>
      </c>
      <c r="O167" s="26">
        <f t="shared" si="20"/>
        <v>13251.087639946878</v>
      </c>
    </row>
    <row r="168" spans="1:15" x14ac:dyDescent="0.2">
      <c r="A168" s="19"/>
      <c r="B168" s="14">
        <f t="shared" si="15"/>
        <v>166</v>
      </c>
      <c r="C168" s="25">
        <f>$C167*(1+(1-EXP(LN(1-'Условия + итог'!$D$4)/365)))</f>
        <v>7.126380982231808</v>
      </c>
      <c r="D168" s="25">
        <f t="shared" si="16"/>
        <v>1155.2585332666827</v>
      </c>
      <c r="E168" s="26">
        <f>'Условия + итог'!$D$5*$C168</f>
        <v>1567.8038160909978</v>
      </c>
      <c r="F168" s="26">
        <f t="shared" si="17"/>
        <v>254156.87731867004</v>
      </c>
      <c r="G168" s="26"/>
      <c r="H168" s="26">
        <f>'Условия + итог'!$D$7*$C168</f>
        <v>2137.9142946695424</v>
      </c>
      <c r="I168" s="26">
        <f>$H168-$E168-$G168</f>
        <v>570.11047857854464</v>
      </c>
      <c r="J168" s="26">
        <f t="shared" si="18"/>
        <v>4084.136532266908</v>
      </c>
      <c r="K168" s="26">
        <f>IF(SUM($K$3:$K167)&gt;$J168,0,$J168-SUM($K$3:$K167))</f>
        <v>114.02209571570893</v>
      </c>
      <c r="L168" s="26">
        <f t="shared" si="14"/>
        <v>456.08838286283572</v>
      </c>
      <c r="M168" s="26">
        <f t="shared" si="19"/>
        <v>16336.546129067665</v>
      </c>
      <c r="N168" s="26">
        <f>$L168*1/(1+'Условия + итог'!$D$8)^(($B168-$B$3)/365)</f>
        <v>428.16410999561549</v>
      </c>
      <c r="O168" s="26">
        <f t="shared" si="20"/>
        <v>13679.251749942494</v>
      </c>
    </row>
    <row r="169" spans="1:15" x14ac:dyDescent="0.2">
      <c r="A169" s="19"/>
      <c r="B169" s="14">
        <f t="shared" si="15"/>
        <v>167</v>
      </c>
      <c r="C169" s="25">
        <f>$C168*(1+(1-EXP(LN(1-'Условия + итог'!$D$4)/365)))</f>
        <v>7.128437778991441</v>
      </c>
      <c r="D169" s="25">
        <f t="shared" si="16"/>
        <v>1162.386971045674</v>
      </c>
      <c r="E169" s="26">
        <f>'Условия + итог'!$D$5*$C169</f>
        <v>1568.2563113781171</v>
      </c>
      <c r="F169" s="26">
        <f t="shared" si="17"/>
        <v>255725.13363004816</v>
      </c>
      <c r="G169" s="26"/>
      <c r="H169" s="26">
        <f>'Условия + итог'!$D$7*$C169</f>
        <v>2138.5313336974323</v>
      </c>
      <c r="I169" s="26">
        <f>$H169-$E169-$G169</f>
        <v>570.27502231931521</v>
      </c>
      <c r="J169" s="26">
        <f t="shared" si="18"/>
        <v>4198.1915367307711</v>
      </c>
      <c r="K169" s="26">
        <f>IF(SUM($K$3:$K168)&gt;$J169,0,$J169-SUM($K$3:$K168))</f>
        <v>114.05500446386304</v>
      </c>
      <c r="L169" s="26">
        <f t="shared" si="14"/>
        <v>456.22001785545217</v>
      </c>
      <c r="M169" s="26">
        <f t="shared" si="19"/>
        <v>16792.766146923117</v>
      </c>
      <c r="N169" s="26">
        <f>$L169*1/(1+'Условия + итог'!$D$8)^(($B169-$B$3)/365)</f>
        <v>428.12372155993063</v>
      </c>
      <c r="O169" s="26">
        <f t="shared" si="20"/>
        <v>14107.375471502424</v>
      </c>
    </row>
    <row r="170" spans="1:15" x14ac:dyDescent="0.2">
      <c r="A170" s="19"/>
      <c r="B170" s="14">
        <f t="shared" si="15"/>
        <v>168</v>
      </c>
      <c r="C170" s="25">
        <f>$C169*(1+(1-EXP(LN(1-'Условия + итог'!$D$4)/365)))</f>
        <v>7.1304951693781788</v>
      </c>
      <c r="D170" s="25">
        <f t="shared" si="16"/>
        <v>1169.5174662150523</v>
      </c>
      <c r="E170" s="26">
        <f>'Условия + итог'!$D$5*$C170</f>
        <v>1568.7089372631995</v>
      </c>
      <c r="F170" s="26">
        <f t="shared" si="17"/>
        <v>257293.84256731137</v>
      </c>
      <c r="G170" s="26"/>
      <c r="H170" s="26">
        <f>'Условия + итог'!$D$7*$C170</f>
        <v>2139.1485508134538</v>
      </c>
      <c r="I170" s="26">
        <f>$H170-$E170-$G170</f>
        <v>570.43961355025431</v>
      </c>
      <c r="J170" s="26">
        <f t="shared" si="18"/>
        <v>4312.2794594408224</v>
      </c>
      <c r="K170" s="26">
        <f>IF(SUM($K$3:$K169)&gt;$J170,0,$J170-SUM($K$3:$K169))</f>
        <v>114.08792271005132</v>
      </c>
      <c r="L170" s="26">
        <f t="shared" si="14"/>
        <v>456.35169084020299</v>
      </c>
      <c r="M170" s="26">
        <f t="shared" si="19"/>
        <v>17249.117837763319</v>
      </c>
      <c r="N170" s="26">
        <f>$L170*1/(1+'Условия + итог'!$D$8)^(($B170-$B$3)/365)</f>
        <v>428.08333693405984</v>
      </c>
      <c r="O170" s="26">
        <f t="shared" si="20"/>
        <v>14535.458808436484</v>
      </c>
    </row>
    <row r="171" spans="1:15" x14ac:dyDescent="0.2">
      <c r="A171" s="19"/>
      <c r="B171" s="14">
        <f t="shared" si="15"/>
        <v>169</v>
      </c>
      <c r="C171" s="25">
        <f>$C170*(1+(1-EXP(LN(1-'Условия + итог'!$D$4)/365)))</f>
        <v>7.132553153563352</v>
      </c>
      <c r="D171" s="25">
        <f t="shared" si="16"/>
        <v>1176.6500193686156</v>
      </c>
      <c r="E171" s="26">
        <f>'Условия + итог'!$D$5*$C171</f>
        <v>1569.1616937839374</v>
      </c>
      <c r="F171" s="26">
        <f t="shared" si="17"/>
        <v>258863.00426109531</v>
      </c>
      <c r="G171" s="26"/>
      <c r="H171" s="26">
        <f>'Условия + итог'!$D$7*$C171</f>
        <v>2139.7659460690056</v>
      </c>
      <c r="I171" s="26">
        <f>$H171-$E171-$G171</f>
        <v>570.60425228506824</v>
      </c>
      <c r="J171" s="26">
        <f t="shared" si="18"/>
        <v>4426.4003098978365</v>
      </c>
      <c r="K171" s="26">
        <f>IF(SUM($K$3:$K170)&gt;$J171,0,$J171-SUM($K$3:$K170))</f>
        <v>114.12085045701406</v>
      </c>
      <c r="L171" s="26">
        <f t="shared" si="14"/>
        <v>456.48340182805418</v>
      </c>
      <c r="M171" s="26">
        <f t="shared" si="19"/>
        <v>17705.601239591371</v>
      </c>
      <c r="N171" s="26">
        <f>$L171*1/(1+'Условия + итог'!$D$8)^(($B171-$B$3)/365)</f>
        <v>428.04295611764439</v>
      </c>
      <c r="O171" s="26">
        <f t="shared" si="20"/>
        <v>14963.501764554128</v>
      </c>
    </row>
    <row r="172" spans="1:15" x14ac:dyDescent="0.2">
      <c r="A172" s="19"/>
      <c r="B172" s="14">
        <f t="shared" si="15"/>
        <v>170</v>
      </c>
      <c r="C172" s="25">
        <f>$C171*(1+(1-EXP(LN(1-'Условия + итог'!$D$4)/365)))</f>
        <v>7.1346117317183415</v>
      </c>
      <c r="D172" s="25">
        <f t="shared" si="16"/>
        <v>1183.7846311003341</v>
      </c>
      <c r="E172" s="26">
        <f>'Условия + итог'!$D$5*$C172</f>
        <v>1569.6145809780351</v>
      </c>
      <c r="F172" s="26">
        <f t="shared" si="17"/>
        <v>260432.61884207334</v>
      </c>
      <c r="G172" s="26"/>
      <c r="H172" s="26">
        <f>'Условия + итог'!$D$7*$C172</f>
        <v>2140.3835195155025</v>
      </c>
      <c r="I172" s="26">
        <f>$H172-$E172-$G172</f>
        <v>570.76893853746742</v>
      </c>
      <c r="J172" s="26">
        <f t="shared" si="18"/>
        <v>4540.5540976053298</v>
      </c>
      <c r="K172" s="26">
        <f>IF(SUM($K$3:$K171)&gt;$J172,0,$J172-SUM($K$3:$K171))</f>
        <v>114.15378770749339</v>
      </c>
      <c r="L172" s="26">
        <f t="shared" si="14"/>
        <v>456.61515082997403</v>
      </c>
      <c r="M172" s="26">
        <f t="shared" si="19"/>
        <v>18162.216390421345</v>
      </c>
      <c r="N172" s="26">
        <f>$L172*1/(1+'Условия + итог'!$D$8)^(($B172-$B$3)/365)</f>
        <v>428.0025791103248</v>
      </c>
      <c r="O172" s="26">
        <f t="shared" si="20"/>
        <v>15391.504343664454</v>
      </c>
    </row>
    <row r="173" spans="1:15" x14ac:dyDescent="0.2">
      <c r="A173" s="19"/>
      <c r="B173" s="14">
        <f t="shared" si="15"/>
        <v>171</v>
      </c>
      <c r="C173" s="25">
        <f>$C172*(1+(1-EXP(LN(1-'Условия + итог'!$D$4)/365)))</f>
        <v>7.1366709040145775</v>
      </c>
      <c r="D173" s="25">
        <f t="shared" si="16"/>
        <v>1190.9213020043487</v>
      </c>
      <c r="E173" s="26">
        <f>'Условия + итог'!$D$5*$C173</f>
        <v>1570.067598883207</v>
      </c>
      <c r="F173" s="26">
        <f t="shared" si="17"/>
        <v>262002.68644095655</v>
      </c>
      <c r="G173" s="26"/>
      <c r="H173" s="26">
        <f>'Условия + итог'!$D$7*$C173</f>
        <v>2141.0012712043731</v>
      </c>
      <c r="I173" s="26">
        <f>$H173-$E173-$G173</f>
        <v>570.93367232116611</v>
      </c>
      <c r="J173" s="26">
        <f t="shared" si="18"/>
        <v>4654.7408320695631</v>
      </c>
      <c r="K173" s="26">
        <f>IF(SUM($K$3:$K172)&gt;$J173,0,$J173-SUM($K$3:$K172))</f>
        <v>114.18673446423327</v>
      </c>
      <c r="L173" s="26">
        <f t="shared" si="14"/>
        <v>456.74693785693285</v>
      </c>
      <c r="M173" s="26">
        <f t="shared" si="19"/>
        <v>18618.963328278278</v>
      </c>
      <c r="N173" s="26">
        <f>$L173*1/(1+'Условия + итог'!$D$8)^(($B173-$B$3)/365)</f>
        <v>427.9622059117408</v>
      </c>
      <c r="O173" s="26">
        <f t="shared" si="20"/>
        <v>15819.466549576195</v>
      </c>
    </row>
    <row r="174" spans="1:15" x14ac:dyDescent="0.2">
      <c r="A174" s="19"/>
      <c r="B174" s="14">
        <f t="shared" si="15"/>
        <v>172</v>
      </c>
      <c r="C174" s="25">
        <f>$C173*(1+(1-EXP(LN(1-'Условия + итог'!$D$4)/365)))</f>
        <v>7.1387306706235396</v>
      </c>
      <c r="D174" s="25">
        <f t="shared" si="16"/>
        <v>1198.0600326749723</v>
      </c>
      <c r="E174" s="26">
        <f>'Условия + итог'!$D$5*$C174</f>
        <v>1570.5207475371787</v>
      </c>
      <c r="F174" s="26">
        <f t="shared" si="17"/>
        <v>263573.20718849375</v>
      </c>
      <c r="G174" s="26"/>
      <c r="H174" s="26">
        <f>'Условия + итог'!$D$7*$C174</f>
        <v>2141.6192011870617</v>
      </c>
      <c r="I174" s="26">
        <f>$H174-$E174-$G174</f>
        <v>571.09845364988291</v>
      </c>
      <c r="J174" s="26">
        <f t="shared" si="18"/>
        <v>4768.9605227995398</v>
      </c>
      <c r="K174" s="26">
        <f>IF(SUM($K$3:$K173)&gt;$J174,0,$J174-SUM($K$3:$K173))</f>
        <v>114.21969072997672</v>
      </c>
      <c r="L174" s="26">
        <f t="shared" si="14"/>
        <v>456.87876291990619</v>
      </c>
      <c r="M174" s="26">
        <f t="shared" si="19"/>
        <v>19075.842091198185</v>
      </c>
      <c r="N174" s="26">
        <f>$L174*1/(1+'Условия + итог'!$D$8)^(($B174-$B$3)/365)</f>
        <v>427.92183652153375</v>
      </c>
      <c r="O174" s="26">
        <f t="shared" si="20"/>
        <v>16247.388386097728</v>
      </c>
    </row>
    <row r="175" spans="1:15" x14ac:dyDescent="0.2">
      <c r="A175" s="19"/>
      <c r="B175" s="14">
        <f t="shared" si="15"/>
        <v>173</v>
      </c>
      <c r="C175" s="25">
        <f>$C174*(1+(1-EXP(LN(1-'Условия + итог'!$D$4)/365)))</f>
        <v>7.1407910317167564</v>
      </c>
      <c r="D175" s="25">
        <f t="shared" si="16"/>
        <v>1205.2008237066891</v>
      </c>
      <c r="E175" s="26">
        <f>'Условия + итог'!$D$5*$C175</f>
        <v>1570.9740269776864</v>
      </c>
      <c r="F175" s="26">
        <f t="shared" si="17"/>
        <v>265144.18121547141</v>
      </c>
      <c r="G175" s="26"/>
      <c r="H175" s="26">
        <f>'Условия + итог'!$D$7*$C175</f>
        <v>2142.2373095150269</v>
      </c>
      <c r="I175" s="26">
        <f>$H175-$E175-$G175</f>
        <v>571.2632825373405</v>
      </c>
      <c r="J175" s="26">
        <f t="shared" si="18"/>
        <v>4883.2131793070075</v>
      </c>
      <c r="K175" s="26">
        <f>IF(SUM($K$3:$K174)&gt;$J175,0,$J175-SUM($K$3:$K174))</f>
        <v>114.25265650746769</v>
      </c>
      <c r="L175" s="26">
        <f t="shared" si="14"/>
        <v>457.01062602987281</v>
      </c>
      <c r="M175" s="26">
        <f t="shared" si="19"/>
        <v>19532.852717228059</v>
      </c>
      <c r="N175" s="26">
        <f>$L175*1/(1+'Условия + итог'!$D$8)^(($B175-$B$3)/365)</f>
        <v>427.88147093934538</v>
      </c>
      <c r="O175" s="26">
        <f t="shared" si="20"/>
        <v>16675.269857037074</v>
      </c>
    </row>
    <row r="176" spans="1:15" x14ac:dyDescent="0.2">
      <c r="A176" s="19"/>
      <c r="B176" s="14">
        <f t="shared" si="15"/>
        <v>174</v>
      </c>
      <c r="C176" s="25">
        <f>$C175*(1+(1-EXP(LN(1-'Условия + итог'!$D$4)/365)))</f>
        <v>7.1428519874658063</v>
      </c>
      <c r="D176" s="25">
        <f t="shared" si="16"/>
        <v>1212.3436756941549</v>
      </c>
      <c r="E176" s="26">
        <f>'Условия + итог'!$D$5*$C176</f>
        <v>1571.4274372424775</v>
      </c>
      <c r="F176" s="26">
        <f t="shared" si="17"/>
        <v>266715.60865271388</v>
      </c>
      <c r="G176" s="26"/>
      <c r="H176" s="26">
        <f>'Условия + итог'!$D$7*$C176</f>
        <v>2142.8555962397418</v>
      </c>
      <c r="I176" s="26">
        <f>$H176-$E176-$G176</f>
        <v>571.42815899726429</v>
      </c>
      <c r="J176" s="26">
        <f t="shared" si="18"/>
        <v>4997.4988111064604</v>
      </c>
      <c r="K176" s="26">
        <f>IF(SUM($K$3:$K175)&gt;$J176,0,$J176-SUM($K$3:$K175))</f>
        <v>114.28563179945286</v>
      </c>
      <c r="L176" s="26">
        <f t="shared" si="14"/>
        <v>457.14252719781143</v>
      </c>
      <c r="M176" s="26">
        <f t="shared" si="19"/>
        <v>19989.995244425871</v>
      </c>
      <c r="N176" s="26">
        <f>$L176*1/(1+'Условия + итог'!$D$8)^(($B176-$B$3)/365)</f>
        <v>427.84110916481427</v>
      </c>
      <c r="O176" s="26">
        <f t="shared" si="20"/>
        <v>17103.11096620189</v>
      </c>
    </row>
    <row r="177" spans="1:15" x14ac:dyDescent="0.2">
      <c r="A177" s="19"/>
      <c r="B177" s="14">
        <f t="shared" si="15"/>
        <v>175</v>
      </c>
      <c r="C177" s="25">
        <f>$C176*(1+(1-EXP(LN(1-'Условия + итог'!$D$4)/365)))</f>
        <v>7.1449135380423172</v>
      </c>
      <c r="D177" s="25">
        <f t="shared" si="16"/>
        <v>1219.4885892321972</v>
      </c>
      <c r="E177" s="26">
        <f>'Условия + итог'!$D$5*$C177</f>
        <v>1571.8809783693098</v>
      </c>
      <c r="F177" s="26">
        <f t="shared" si="17"/>
        <v>268287.48963108321</v>
      </c>
      <c r="G177" s="26"/>
      <c r="H177" s="26">
        <f>'Условия + итог'!$D$7*$C177</f>
        <v>2143.4740614126949</v>
      </c>
      <c r="I177" s="26">
        <f>$H177-$E177-$G177</f>
        <v>571.59308304338515</v>
      </c>
      <c r="J177" s="26">
        <f t="shared" si="18"/>
        <v>5111.8174277151375</v>
      </c>
      <c r="K177" s="26">
        <f>IF(SUM($K$3:$K176)&gt;$J177,0,$J177-SUM($K$3:$K176))</f>
        <v>114.31861660867708</v>
      </c>
      <c r="L177" s="26">
        <f t="shared" si="14"/>
        <v>457.27446643470807</v>
      </c>
      <c r="M177" s="26">
        <f t="shared" si="19"/>
        <v>20447.269710860579</v>
      </c>
      <c r="N177" s="26">
        <f>$L177*1/(1+'Условия + итог'!$D$8)^(($B177-$B$3)/365)</f>
        <v>427.80075119758294</v>
      </c>
      <c r="O177" s="26">
        <f t="shared" si="20"/>
        <v>17530.911717399475</v>
      </c>
    </row>
    <row r="178" spans="1:15" x14ac:dyDescent="0.2">
      <c r="A178" s="19"/>
      <c r="B178" s="14">
        <f t="shared" si="15"/>
        <v>176</v>
      </c>
      <c r="C178" s="25">
        <f>$C177*(1+(1-EXP(LN(1-'Условия + итог'!$D$4)/365)))</f>
        <v>7.1469756836179661</v>
      </c>
      <c r="D178" s="25">
        <f t="shared" si="16"/>
        <v>1226.6355649158152</v>
      </c>
      <c r="E178" s="26">
        <f>'Условия + итог'!$D$5*$C178</f>
        <v>1572.3346503959526</v>
      </c>
      <c r="F178" s="26">
        <f t="shared" si="17"/>
        <v>269859.82428147917</v>
      </c>
      <c r="G178" s="26"/>
      <c r="H178" s="26">
        <f>'Условия + итог'!$D$7*$C178</f>
        <v>2144.0927050853898</v>
      </c>
      <c r="I178" s="26">
        <f>$H178-$E178-$G178</f>
        <v>571.75805468943713</v>
      </c>
      <c r="J178" s="26">
        <f t="shared" si="18"/>
        <v>5226.1690386530245</v>
      </c>
      <c r="K178" s="26">
        <f>IF(SUM($K$3:$K177)&gt;$J178,0,$J178-SUM($K$3:$K177))</f>
        <v>114.35161093788702</v>
      </c>
      <c r="L178" s="26">
        <f t="shared" si="14"/>
        <v>457.40644375155011</v>
      </c>
      <c r="M178" s="26">
        <f t="shared" si="19"/>
        <v>20904.676154612131</v>
      </c>
      <c r="N178" s="26">
        <f>$L178*1/(1+'Условия + итог'!$D$8)^(($B178-$B$3)/365)</f>
        <v>427.76039703729242</v>
      </c>
      <c r="O178" s="26">
        <f t="shared" si="20"/>
        <v>17958.672114436766</v>
      </c>
    </row>
    <row r="179" spans="1:15" x14ac:dyDescent="0.2">
      <c r="A179" s="19"/>
      <c r="B179" s="14">
        <f t="shared" si="15"/>
        <v>177</v>
      </c>
      <c r="C179" s="25">
        <f>$C178*(1+(1-EXP(LN(1-'Условия + итог'!$D$4)/365)))</f>
        <v>7.1490384243644813</v>
      </c>
      <c r="D179" s="25">
        <f t="shared" si="16"/>
        <v>1233.7846033401797</v>
      </c>
      <c r="E179" s="26">
        <f>'Условия + итог'!$D$5*$C179</f>
        <v>1572.7884533601859</v>
      </c>
      <c r="F179" s="26">
        <f t="shared" si="17"/>
        <v>271432.61273483938</v>
      </c>
      <c r="G179" s="26"/>
      <c r="H179" s="26">
        <f>'Условия + итог'!$D$7*$C179</f>
        <v>2144.7115273093445</v>
      </c>
      <c r="I179" s="26">
        <f>$H179-$E179-$G179</f>
        <v>571.92307394915861</v>
      </c>
      <c r="J179" s="26">
        <f t="shared" si="18"/>
        <v>5340.5536534428566</v>
      </c>
      <c r="K179" s="26">
        <f>IF(SUM($K$3:$K178)&gt;$J179,0,$J179-SUM($K$3:$K178))</f>
        <v>114.38461478983209</v>
      </c>
      <c r="L179" s="26">
        <f t="shared" si="14"/>
        <v>457.53845915932652</v>
      </c>
      <c r="M179" s="26">
        <f t="shared" si="19"/>
        <v>21362.214613771459</v>
      </c>
      <c r="N179" s="26">
        <f>$L179*1/(1+'Условия + итог'!$D$8)^(($B179-$B$3)/365)</f>
        <v>427.72004668358198</v>
      </c>
      <c r="O179" s="26">
        <f t="shared" si="20"/>
        <v>18386.392161120348</v>
      </c>
    </row>
    <row r="180" spans="1:15" x14ac:dyDescent="0.2">
      <c r="A180" s="19"/>
      <c r="B180" s="14">
        <f t="shared" si="15"/>
        <v>178</v>
      </c>
      <c r="C180" s="25">
        <f>$C179*(1+(1-EXP(LN(1-'Условия + итог'!$D$4)/365)))</f>
        <v>7.1511017604536384</v>
      </c>
      <c r="D180" s="25">
        <f t="shared" si="16"/>
        <v>1240.9357051006334</v>
      </c>
      <c r="E180" s="26">
        <f>'Условия + итог'!$D$5*$C180</f>
        <v>1573.2423872998004</v>
      </c>
      <c r="F180" s="26">
        <f t="shared" si="17"/>
        <v>273005.85512213915</v>
      </c>
      <c r="G180" s="26"/>
      <c r="H180" s="26">
        <f>'Условия + итог'!$D$7*$C180</f>
        <v>2145.3305281360917</v>
      </c>
      <c r="I180" s="26">
        <f>$H180-$E180-$G180</f>
        <v>572.08814083629136</v>
      </c>
      <c r="J180" s="26">
        <f t="shared" si="18"/>
        <v>5454.9712816101146</v>
      </c>
      <c r="K180" s="26">
        <f>IF(SUM($K$3:$K179)&gt;$J180,0,$J180-SUM($K$3:$K179))</f>
        <v>114.41762816725804</v>
      </c>
      <c r="L180" s="26">
        <f t="shared" si="14"/>
        <v>457.67051266903331</v>
      </c>
      <c r="M180" s="26">
        <f t="shared" si="19"/>
        <v>21819.885126440491</v>
      </c>
      <c r="N180" s="26">
        <f>$L180*1/(1+'Условия + итог'!$D$8)^(($B180-$B$3)/365)</f>
        <v>427.67970013609477</v>
      </c>
      <c r="O180" s="26">
        <f t="shared" si="20"/>
        <v>18814.071861256441</v>
      </c>
    </row>
    <row r="181" spans="1:15" x14ac:dyDescent="0.2">
      <c r="A181" s="19"/>
      <c r="B181" s="14">
        <f t="shared" si="15"/>
        <v>179</v>
      </c>
      <c r="C181" s="25">
        <f>$C180*(1+(1-EXP(LN(1-'Условия + итог'!$D$4)/365)))</f>
        <v>7.1531656920572635</v>
      </c>
      <c r="D181" s="25">
        <f t="shared" si="16"/>
        <v>1248.0888707926906</v>
      </c>
      <c r="E181" s="26">
        <f>'Условия + итог'!$D$5*$C181</f>
        <v>1573.696452252598</v>
      </c>
      <c r="F181" s="26">
        <f t="shared" si="17"/>
        <v>274579.55157439178</v>
      </c>
      <c r="G181" s="26"/>
      <c r="H181" s="26">
        <f>'Условия + итог'!$D$7*$C181</f>
        <v>2145.9497076171792</v>
      </c>
      <c r="I181" s="26">
        <f>$H181-$E181-$G181</f>
        <v>572.25325536458126</v>
      </c>
      <c r="J181" s="26">
        <f t="shared" si="18"/>
        <v>5569.4219326830307</v>
      </c>
      <c r="K181" s="26">
        <f>IF(SUM($K$3:$K180)&gt;$J181,0,$J181-SUM($K$3:$K180))</f>
        <v>114.45065107291612</v>
      </c>
      <c r="L181" s="26">
        <f t="shared" si="14"/>
        <v>457.80260429166515</v>
      </c>
      <c r="M181" s="26">
        <f t="shared" si="19"/>
        <v>22277.687730732156</v>
      </c>
      <c r="N181" s="26">
        <f>$L181*1/(1+'Условия + итог'!$D$8)^(($B181-$B$3)/365)</f>
        <v>427.63935739446964</v>
      </c>
      <c r="O181" s="26">
        <f t="shared" si="20"/>
        <v>19241.711218650911</v>
      </c>
    </row>
    <row r="182" spans="1:15" x14ac:dyDescent="0.2">
      <c r="A182" s="19"/>
      <c r="B182" s="14">
        <f t="shared" si="15"/>
        <v>180</v>
      </c>
      <c r="C182" s="25">
        <f>$C181*(1+(1-EXP(LN(1-'Условия + итог'!$D$4)/365)))</f>
        <v>7.1552302193472332</v>
      </c>
      <c r="D182" s="25">
        <f t="shared" si="16"/>
        <v>1255.2441010120378</v>
      </c>
      <c r="E182" s="26">
        <f>'Условия + итог'!$D$5*$C182</f>
        <v>1574.1506482563914</v>
      </c>
      <c r="F182" s="26">
        <f t="shared" si="17"/>
        <v>276153.70222264819</v>
      </c>
      <c r="G182" s="26"/>
      <c r="H182" s="26">
        <f>'Условия + итог'!$D$7*$C182</f>
        <v>2146.5690658041699</v>
      </c>
      <c r="I182" s="26">
        <f>$H182-$E182-$G182</f>
        <v>572.41841754777852</v>
      </c>
      <c r="J182" s="26">
        <f t="shared" si="18"/>
        <v>5683.9056161925864</v>
      </c>
      <c r="K182" s="26">
        <f>IF(SUM($K$3:$K181)&gt;$J182,0,$J182-SUM($K$3:$K181))</f>
        <v>114.4836835095557</v>
      </c>
      <c r="L182" s="26">
        <f t="shared" si="14"/>
        <v>457.93473403822281</v>
      </c>
      <c r="M182" s="26">
        <f t="shared" si="19"/>
        <v>22735.622464770378</v>
      </c>
      <c r="N182" s="26">
        <f>$L182*1/(1+'Условия + итог'!$D$8)^(($B182-$B$3)/365)</f>
        <v>427.59901845834833</v>
      </c>
      <c r="O182" s="26">
        <f t="shared" si="20"/>
        <v>19669.310237109261</v>
      </c>
    </row>
    <row r="183" spans="1:15" x14ac:dyDescent="0.2">
      <c r="A183" s="20"/>
      <c r="B183" s="16">
        <f t="shared" si="15"/>
        <v>181</v>
      </c>
      <c r="C183" s="27">
        <f>$C182*(1+(1-EXP(LN(1-'Условия + итог'!$D$4)/365)))</f>
        <v>7.1572953424954724</v>
      </c>
      <c r="D183" s="27">
        <f t="shared" si="16"/>
        <v>1262.4013963545333</v>
      </c>
      <c r="E183" s="28">
        <f>'Условия + итог'!$D$5*$C183</f>
        <v>1574.604975349004</v>
      </c>
      <c r="F183" s="28">
        <f t="shared" si="17"/>
        <v>277728.30719799717</v>
      </c>
      <c r="G183" s="28"/>
      <c r="H183" s="28">
        <f>'Условия + итог'!$D$7*$C183</f>
        <v>2147.1886027486416</v>
      </c>
      <c r="I183" s="28">
        <f>$H183-$E183-$G183</f>
        <v>572.58362739963763</v>
      </c>
      <c r="J183" s="28">
        <f t="shared" si="18"/>
        <v>5798.4223416725135</v>
      </c>
      <c r="K183" s="28">
        <f>IF(SUM($K$3:$K182)&gt;$J183,0,$J183-SUM($K$3:$K182))</f>
        <v>114.51672547992712</v>
      </c>
      <c r="L183" s="28">
        <f t="shared" si="14"/>
        <v>458.06690191971052</v>
      </c>
      <c r="M183" s="28">
        <f t="shared" si="19"/>
        <v>23193.689366690091</v>
      </c>
      <c r="N183" s="28">
        <f>$L183*1/(1+'Условия + итог'!$D$8)^(($B183-$B$3)/365)</f>
        <v>427.55868332737282</v>
      </c>
      <c r="O183" s="28">
        <f t="shared" si="20"/>
        <v>20096.868920436635</v>
      </c>
    </row>
    <row r="184" spans="1:15" x14ac:dyDescent="0.2">
      <c r="A184" s="13" t="s">
        <v>23</v>
      </c>
      <c r="B184" s="14">
        <f t="shared" si="15"/>
        <v>182</v>
      </c>
    </row>
    <row r="185" spans="1:15" x14ac:dyDescent="0.2">
      <c r="A185" s="13"/>
      <c r="B185" s="14">
        <f t="shared" si="15"/>
        <v>183</v>
      </c>
    </row>
    <row r="186" spans="1:15" x14ac:dyDescent="0.2">
      <c r="A186" s="13"/>
      <c r="B186" s="14">
        <f t="shared" si="15"/>
        <v>184</v>
      </c>
    </row>
    <row r="187" spans="1:15" x14ac:dyDescent="0.2">
      <c r="A187" s="13"/>
      <c r="B187" s="14">
        <f t="shared" si="15"/>
        <v>185</v>
      </c>
    </row>
    <row r="188" spans="1:15" x14ac:dyDescent="0.2">
      <c r="A188" s="13"/>
      <c r="B188" s="14">
        <f t="shared" si="15"/>
        <v>186</v>
      </c>
    </row>
    <row r="189" spans="1:15" x14ac:dyDescent="0.2">
      <c r="A189" s="13"/>
      <c r="B189" s="14">
        <f t="shared" si="15"/>
        <v>187</v>
      </c>
    </row>
    <row r="190" spans="1:15" x14ac:dyDescent="0.2">
      <c r="A190" s="13"/>
      <c r="B190" s="14">
        <f t="shared" si="15"/>
        <v>188</v>
      </c>
    </row>
    <row r="191" spans="1:15" x14ac:dyDescent="0.2">
      <c r="A191" s="13"/>
      <c r="B191" s="14">
        <f t="shared" si="15"/>
        <v>189</v>
      </c>
    </row>
    <row r="192" spans="1:15" x14ac:dyDescent="0.2">
      <c r="A192" s="13"/>
      <c r="B192" s="14">
        <f t="shared" si="15"/>
        <v>190</v>
      </c>
    </row>
    <row r="193" spans="1:2" x14ac:dyDescent="0.2">
      <c r="A193" s="13"/>
      <c r="B193" s="14">
        <f t="shared" si="15"/>
        <v>191</v>
      </c>
    </row>
    <row r="194" spans="1:2" x14ac:dyDescent="0.2">
      <c r="A194" s="13"/>
      <c r="B194" s="14">
        <f t="shared" si="15"/>
        <v>192</v>
      </c>
    </row>
    <row r="195" spans="1:2" x14ac:dyDescent="0.2">
      <c r="A195" s="13"/>
      <c r="B195" s="14">
        <f t="shared" si="15"/>
        <v>193</v>
      </c>
    </row>
    <row r="196" spans="1:2" x14ac:dyDescent="0.2">
      <c r="A196" s="13"/>
      <c r="B196" s="14">
        <f t="shared" si="15"/>
        <v>194</v>
      </c>
    </row>
    <row r="197" spans="1:2" x14ac:dyDescent="0.2">
      <c r="A197" s="13"/>
      <c r="B197" s="14">
        <f t="shared" ref="B197:B260" si="21">$B196+1</f>
        <v>195</v>
      </c>
    </row>
    <row r="198" spans="1:2" x14ac:dyDescent="0.2">
      <c r="A198" s="13"/>
      <c r="B198" s="14">
        <f t="shared" si="21"/>
        <v>196</v>
      </c>
    </row>
    <row r="199" spans="1:2" x14ac:dyDescent="0.2">
      <c r="A199" s="13"/>
      <c r="B199" s="14">
        <f t="shared" si="21"/>
        <v>197</v>
      </c>
    </row>
    <row r="200" spans="1:2" x14ac:dyDescent="0.2">
      <c r="A200" s="13"/>
      <c r="B200" s="14">
        <f t="shared" si="21"/>
        <v>198</v>
      </c>
    </row>
    <row r="201" spans="1:2" x14ac:dyDescent="0.2">
      <c r="A201" s="13"/>
      <c r="B201" s="14">
        <f t="shared" si="21"/>
        <v>199</v>
      </c>
    </row>
    <row r="202" spans="1:2" x14ac:dyDescent="0.2">
      <c r="A202" s="13"/>
      <c r="B202" s="14">
        <f t="shared" si="21"/>
        <v>200</v>
      </c>
    </row>
    <row r="203" spans="1:2" x14ac:dyDescent="0.2">
      <c r="A203" s="13"/>
      <c r="B203" s="14">
        <f t="shared" si="21"/>
        <v>201</v>
      </c>
    </row>
    <row r="204" spans="1:2" x14ac:dyDescent="0.2">
      <c r="A204" s="13"/>
      <c r="B204" s="14">
        <f t="shared" si="21"/>
        <v>202</v>
      </c>
    </row>
    <row r="205" spans="1:2" x14ac:dyDescent="0.2">
      <c r="A205" s="13"/>
      <c r="B205" s="14">
        <f t="shared" si="21"/>
        <v>203</v>
      </c>
    </row>
    <row r="206" spans="1:2" x14ac:dyDescent="0.2">
      <c r="A206" s="13"/>
      <c r="B206" s="14">
        <f t="shared" si="21"/>
        <v>204</v>
      </c>
    </row>
    <row r="207" spans="1:2" x14ac:dyDescent="0.2">
      <c r="A207" s="13"/>
      <c r="B207" s="14">
        <f t="shared" si="21"/>
        <v>205</v>
      </c>
    </row>
    <row r="208" spans="1:2" x14ac:dyDescent="0.2">
      <c r="A208" s="13"/>
      <c r="B208" s="14">
        <f t="shared" si="21"/>
        <v>206</v>
      </c>
    </row>
    <row r="209" spans="1:2" x14ac:dyDescent="0.2">
      <c r="A209" s="13"/>
      <c r="B209" s="14">
        <f t="shared" si="21"/>
        <v>207</v>
      </c>
    </row>
    <row r="210" spans="1:2" x14ac:dyDescent="0.2">
      <c r="A210" s="13"/>
      <c r="B210" s="14">
        <f t="shared" si="21"/>
        <v>208</v>
      </c>
    </row>
    <row r="211" spans="1:2" x14ac:dyDescent="0.2">
      <c r="A211" s="13"/>
      <c r="B211" s="14">
        <f t="shared" si="21"/>
        <v>209</v>
      </c>
    </row>
    <row r="212" spans="1:2" x14ac:dyDescent="0.2">
      <c r="A212" s="13"/>
      <c r="B212" s="14">
        <f t="shared" si="21"/>
        <v>210</v>
      </c>
    </row>
    <row r="213" spans="1:2" x14ac:dyDescent="0.2">
      <c r="A213" s="13"/>
      <c r="B213" s="14">
        <f t="shared" si="21"/>
        <v>211</v>
      </c>
    </row>
    <row r="214" spans="1:2" x14ac:dyDescent="0.2">
      <c r="A214" s="15"/>
      <c r="B214" s="16">
        <f t="shared" si="21"/>
        <v>212</v>
      </c>
    </row>
    <row r="215" spans="1:2" x14ac:dyDescent="0.2">
      <c r="A215" s="11" t="s">
        <v>24</v>
      </c>
      <c r="B215" s="12">
        <f t="shared" si="21"/>
        <v>213</v>
      </c>
    </row>
    <row r="216" spans="1:2" x14ac:dyDescent="0.2">
      <c r="A216" s="13"/>
      <c r="B216" s="14">
        <f t="shared" si="21"/>
        <v>214</v>
      </c>
    </row>
    <row r="217" spans="1:2" x14ac:dyDescent="0.2">
      <c r="A217" s="13"/>
      <c r="B217" s="14">
        <f t="shared" si="21"/>
        <v>215</v>
      </c>
    </row>
    <row r="218" spans="1:2" x14ac:dyDescent="0.2">
      <c r="A218" s="13"/>
      <c r="B218" s="14">
        <f t="shared" si="21"/>
        <v>216</v>
      </c>
    </row>
    <row r="219" spans="1:2" x14ac:dyDescent="0.2">
      <c r="A219" s="13"/>
      <c r="B219" s="14">
        <f t="shared" si="21"/>
        <v>217</v>
      </c>
    </row>
    <row r="220" spans="1:2" x14ac:dyDescent="0.2">
      <c r="A220" s="13"/>
      <c r="B220" s="14">
        <f t="shared" si="21"/>
        <v>218</v>
      </c>
    </row>
    <row r="221" spans="1:2" x14ac:dyDescent="0.2">
      <c r="A221" s="13"/>
      <c r="B221" s="14">
        <f t="shared" si="21"/>
        <v>219</v>
      </c>
    </row>
    <row r="222" spans="1:2" x14ac:dyDescent="0.2">
      <c r="A222" s="13"/>
      <c r="B222" s="14">
        <f t="shared" si="21"/>
        <v>220</v>
      </c>
    </row>
    <row r="223" spans="1:2" x14ac:dyDescent="0.2">
      <c r="A223" s="13"/>
      <c r="B223" s="14">
        <f t="shared" si="21"/>
        <v>221</v>
      </c>
    </row>
    <row r="224" spans="1:2" x14ac:dyDescent="0.2">
      <c r="A224" s="13"/>
      <c r="B224" s="14">
        <f t="shared" si="21"/>
        <v>222</v>
      </c>
    </row>
    <row r="225" spans="1:2" x14ac:dyDescent="0.2">
      <c r="A225" s="13"/>
      <c r="B225" s="14">
        <f t="shared" si="21"/>
        <v>223</v>
      </c>
    </row>
    <row r="226" spans="1:2" x14ac:dyDescent="0.2">
      <c r="A226" s="13"/>
      <c r="B226" s="14">
        <f t="shared" si="21"/>
        <v>224</v>
      </c>
    </row>
    <row r="227" spans="1:2" x14ac:dyDescent="0.2">
      <c r="A227" s="13"/>
      <c r="B227" s="14">
        <f t="shared" si="21"/>
        <v>225</v>
      </c>
    </row>
    <row r="228" spans="1:2" x14ac:dyDescent="0.2">
      <c r="A228" s="13"/>
      <c r="B228" s="14">
        <f t="shared" si="21"/>
        <v>226</v>
      </c>
    </row>
    <row r="229" spans="1:2" x14ac:dyDescent="0.2">
      <c r="A229" s="13"/>
      <c r="B229" s="14">
        <f t="shared" si="21"/>
        <v>227</v>
      </c>
    </row>
    <row r="230" spans="1:2" x14ac:dyDescent="0.2">
      <c r="A230" s="13"/>
      <c r="B230" s="14">
        <f t="shared" si="21"/>
        <v>228</v>
      </c>
    </row>
    <row r="231" spans="1:2" x14ac:dyDescent="0.2">
      <c r="A231" s="13"/>
      <c r="B231" s="14">
        <f t="shared" si="21"/>
        <v>229</v>
      </c>
    </row>
    <row r="232" spans="1:2" x14ac:dyDescent="0.2">
      <c r="A232" s="13"/>
      <c r="B232" s="14">
        <f t="shared" si="21"/>
        <v>230</v>
      </c>
    </row>
    <row r="233" spans="1:2" x14ac:dyDescent="0.2">
      <c r="A233" s="13"/>
      <c r="B233" s="14">
        <f t="shared" si="21"/>
        <v>231</v>
      </c>
    </row>
    <row r="234" spans="1:2" x14ac:dyDescent="0.2">
      <c r="A234" s="13"/>
      <c r="B234" s="14">
        <f t="shared" si="21"/>
        <v>232</v>
      </c>
    </row>
    <row r="235" spans="1:2" x14ac:dyDescent="0.2">
      <c r="A235" s="13"/>
      <c r="B235" s="14">
        <f t="shared" si="21"/>
        <v>233</v>
      </c>
    </row>
    <row r="236" spans="1:2" x14ac:dyDescent="0.2">
      <c r="A236" s="13"/>
      <c r="B236" s="14">
        <f t="shared" si="21"/>
        <v>234</v>
      </c>
    </row>
    <row r="237" spans="1:2" x14ac:dyDescent="0.2">
      <c r="A237" s="13"/>
      <c r="B237" s="14">
        <f t="shared" si="21"/>
        <v>235</v>
      </c>
    </row>
    <row r="238" spans="1:2" x14ac:dyDescent="0.2">
      <c r="A238" s="13"/>
      <c r="B238" s="14">
        <f t="shared" si="21"/>
        <v>236</v>
      </c>
    </row>
    <row r="239" spans="1:2" x14ac:dyDescent="0.2">
      <c r="A239" s="13"/>
      <c r="B239" s="14">
        <f t="shared" si="21"/>
        <v>237</v>
      </c>
    </row>
    <row r="240" spans="1:2" x14ac:dyDescent="0.2">
      <c r="A240" s="13"/>
      <c r="B240" s="14">
        <f t="shared" si="21"/>
        <v>238</v>
      </c>
    </row>
    <row r="241" spans="1:2" x14ac:dyDescent="0.2">
      <c r="A241" s="13"/>
      <c r="B241" s="14">
        <f t="shared" si="21"/>
        <v>239</v>
      </c>
    </row>
    <row r="242" spans="1:2" x14ac:dyDescent="0.2">
      <c r="A242" s="13"/>
      <c r="B242" s="14">
        <f t="shared" si="21"/>
        <v>240</v>
      </c>
    </row>
    <row r="243" spans="1:2" x14ac:dyDescent="0.2">
      <c r="A243" s="13"/>
      <c r="B243" s="14">
        <f t="shared" si="21"/>
        <v>241</v>
      </c>
    </row>
    <row r="244" spans="1:2" x14ac:dyDescent="0.2">
      <c r="A244" s="13"/>
      <c r="B244" s="14">
        <f t="shared" si="21"/>
        <v>242</v>
      </c>
    </row>
    <row r="245" spans="1:2" x14ac:dyDescent="0.2">
      <c r="A245" s="15"/>
      <c r="B245" s="16">
        <f t="shared" si="21"/>
        <v>243</v>
      </c>
    </row>
    <row r="246" spans="1:2" x14ac:dyDescent="0.2">
      <c r="A246" s="11" t="s">
        <v>25</v>
      </c>
      <c r="B246" s="12">
        <f t="shared" si="21"/>
        <v>244</v>
      </c>
    </row>
    <row r="247" spans="1:2" x14ac:dyDescent="0.2">
      <c r="A247" s="13"/>
      <c r="B247" s="14">
        <f t="shared" si="21"/>
        <v>245</v>
      </c>
    </row>
    <row r="248" spans="1:2" x14ac:dyDescent="0.2">
      <c r="A248" s="13"/>
      <c r="B248" s="14">
        <f t="shared" si="21"/>
        <v>246</v>
      </c>
    </row>
    <row r="249" spans="1:2" x14ac:dyDescent="0.2">
      <c r="A249" s="13"/>
      <c r="B249" s="14">
        <f t="shared" si="21"/>
        <v>247</v>
      </c>
    </row>
    <row r="250" spans="1:2" x14ac:dyDescent="0.2">
      <c r="A250" s="13"/>
      <c r="B250" s="14">
        <f t="shared" si="21"/>
        <v>248</v>
      </c>
    </row>
    <row r="251" spans="1:2" x14ac:dyDescent="0.2">
      <c r="A251" s="13"/>
      <c r="B251" s="14">
        <f t="shared" si="21"/>
        <v>249</v>
      </c>
    </row>
    <row r="252" spans="1:2" x14ac:dyDescent="0.2">
      <c r="A252" s="13"/>
      <c r="B252" s="14">
        <f t="shared" si="21"/>
        <v>250</v>
      </c>
    </row>
    <row r="253" spans="1:2" x14ac:dyDescent="0.2">
      <c r="A253" s="13"/>
      <c r="B253" s="14">
        <f t="shared" si="21"/>
        <v>251</v>
      </c>
    </row>
    <row r="254" spans="1:2" x14ac:dyDescent="0.2">
      <c r="A254" s="13"/>
      <c r="B254" s="14">
        <f t="shared" si="21"/>
        <v>252</v>
      </c>
    </row>
    <row r="255" spans="1:2" x14ac:dyDescent="0.2">
      <c r="A255" s="13"/>
      <c r="B255" s="14">
        <f t="shared" si="21"/>
        <v>253</v>
      </c>
    </row>
    <row r="256" spans="1:2" x14ac:dyDescent="0.2">
      <c r="A256" s="13"/>
      <c r="B256" s="14">
        <f t="shared" si="21"/>
        <v>254</v>
      </c>
    </row>
    <row r="257" spans="1:2" x14ac:dyDescent="0.2">
      <c r="A257" s="13"/>
      <c r="B257" s="14">
        <f t="shared" si="21"/>
        <v>255</v>
      </c>
    </row>
    <row r="258" spans="1:2" x14ac:dyDescent="0.2">
      <c r="A258" s="13"/>
      <c r="B258" s="14">
        <f t="shared" si="21"/>
        <v>256</v>
      </c>
    </row>
    <row r="259" spans="1:2" x14ac:dyDescent="0.2">
      <c r="A259" s="13"/>
      <c r="B259" s="14">
        <f t="shared" si="21"/>
        <v>257</v>
      </c>
    </row>
    <row r="260" spans="1:2" x14ac:dyDescent="0.2">
      <c r="A260" s="13"/>
      <c r="B260" s="14">
        <f t="shared" si="21"/>
        <v>258</v>
      </c>
    </row>
    <row r="261" spans="1:2" x14ac:dyDescent="0.2">
      <c r="A261" s="13"/>
      <c r="B261" s="14">
        <f t="shared" ref="B261:B324" si="22">$B260+1</f>
        <v>259</v>
      </c>
    </row>
    <row r="262" spans="1:2" x14ac:dyDescent="0.2">
      <c r="A262" s="13"/>
      <c r="B262" s="14">
        <f t="shared" si="22"/>
        <v>260</v>
      </c>
    </row>
    <row r="263" spans="1:2" x14ac:dyDescent="0.2">
      <c r="A263" s="13"/>
      <c r="B263" s="14">
        <f t="shared" si="22"/>
        <v>261</v>
      </c>
    </row>
    <row r="264" spans="1:2" x14ac:dyDescent="0.2">
      <c r="A264" s="13"/>
      <c r="B264" s="14">
        <f t="shared" si="22"/>
        <v>262</v>
      </c>
    </row>
    <row r="265" spans="1:2" x14ac:dyDescent="0.2">
      <c r="A265" s="13"/>
      <c r="B265" s="14">
        <f t="shared" si="22"/>
        <v>263</v>
      </c>
    </row>
    <row r="266" spans="1:2" x14ac:dyDescent="0.2">
      <c r="A266" s="13"/>
      <c r="B266" s="14">
        <f t="shared" si="22"/>
        <v>264</v>
      </c>
    </row>
    <row r="267" spans="1:2" x14ac:dyDescent="0.2">
      <c r="A267" s="13"/>
      <c r="B267" s="14">
        <f t="shared" si="22"/>
        <v>265</v>
      </c>
    </row>
    <row r="268" spans="1:2" x14ac:dyDescent="0.2">
      <c r="A268" s="13"/>
      <c r="B268" s="14">
        <f t="shared" si="22"/>
        <v>266</v>
      </c>
    </row>
    <row r="269" spans="1:2" x14ac:dyDescent="0.2">
      <c r="A269" s="13"/>
      <c r="B269" s="14">
        <f t="shared" si="22"/>
        <v>267</v>
      </c>
    </row>
    <row r="270" spans="1:2" x14ac:dyDescent="0.2">
      <c r="A270" s="13"/>
      <c r="B270" s="14">
        <f t="shared" si="22"/>
        <v>268</v>
      </c>
    </row>
    <row r="271" spans="1:2" x14ac:dyDescent="0.2">
      <c r="A271" s="13"/>
      <c r="B271" s="14">
        <f t="shared" si="22"/>
        <v>269</v>
      </c>
    </row>
    <row r="272" spans="1:2" x14ac:dyDescent="0.2">
      <c r="A272" s="13"/>
      <c r="B272" s="14">
        <f t="shared" si="22"/>
        <v>270</v>
      </c>
    </row>
    <row r="273" spans="1:2" x14ac:dyDescent="0.2">
      <c r="A273" s="13"/>
      <c r="B273" s="14">
        <f t="shared" si="22"/>
        <v>271</v>
      </c>
    </row>
    <row r="274" spans="1:2" x14ac:dyDescent="0.2">
      <c r="A274" s="13"/>
      <c r="B274" s="14">
        <f t="shared" si="22"/>
        <v>272</v>
      </c>
    </row>
    <row r="275" spans="1:2" x14ac:dyDescent="0.2">
      <c r="A275" s="15"/>
      <c r="B275" s="16">
        <f t="shared" si="22"/>
        <v>273</v>
      </c>
    </row>
    <row r="276" spans="1:2" x14ac:dyDescent="0.2">
      <c r="A276" s="11" t="s">
        <v>26</v>
      </c>
      <c r="B276" s="12">
        <f t="shared" si="22"/>
        <v>274</v>
      </c>
    </row>
    <row r="277" spans="1:2" x14ac:dyDescent="0.2">
      <c r="A277" s="13"/>
      <c r="B277" s="14">
        <f t="shared" si="22"/>
        <v>275</v>
      </c>
    </row>
    <row r="278" spans="1:2" x14ac:dyDescent="0.2">
      <c r="A278" s="13"/>
      <c r="B278" s="14">
        <f t="shared" si="22"/>
        <v>276</v>
      </c>
    </row>
    <row r="279" spans="1:2" x14ac:dyDescent="0.2">
      <c r="A279" s="13"/>
      <c r="B279" s="14">
        <f t="shared" si="22"/>
        <v>277</v>
      </c>
    </row>
    <row r="280" spans="1:2" x14ac:dyDescent="0.2">
      <c r="A280" s="13"/>
      <c r="B280" s="14">
        <f t="shared" si="22"/>
        <v>278</v>
      </c>
    </row>
    <row r="281" spans="1:2" x14ac:dyDescent="0.2">
      <c r="A281" s="13"/>
      <c r="B281" s="14">
        <f t="shared" si="22"/>
        <v>279</v>
      </c>
    </row>
    <row r="282" spans="1:2" x14ac:dyDescent="0.2">
      <c r="A282" s="13"/>
      <c r="B282" s="14">
        <f t="shared" si="22"/>
        <v>280</v>
      </c>
    </row>
    <row r="283" spans="1:2" x14ac:dyDescent="0.2">
      <c r="A283" s="13"/>
      <c r="B283" s="14">
        <f t="shared" si="22"/>
        <v>281</v>
      </c>
    </row>
    <row r="284" spans="1:2" x14ac:dyDescent="0.2">
      <c r="A284" s="13"/>
      <c r="B284" s="14">
        <f t="shared" si="22"/>
        <v>282</v>
      </c>
    </row>
    <row r="285" spans="1:2" x14ac:dyDescent="0.2">
      <c r="A285" s="13"/>
      <c r="B285" s="14">
        <f t="shared" si="22"/>
        <v>283</v>
      </c>
    </row>
    <row r="286" spans="1:2" x14ac:dyDescent="0.2">
      <c r="A286" s="13"/>
      <c r="B286" s="14">
        <f t="shared" si="22"/>
        <v>284</v>
      </c>
    </row>
    <row r="287" spans="1:2" x14ac:dyDescent="0.2">
      <c r="A287" s="13"/>
      <c r="B287" s="14">
        <f t="shared" si="22"/>
        <v>285</v>
      </c>
    </row>
    <row r="288" spans="1:2" x14ac:dyDescent="0.2">
      <c r="A288" s="13"/>
      <c r="B288" s="14">
        <f t="shared" si="22"/>
        <v>286</v>
      </c>
    </row>
    <row r="289" spans="1:2" x14ac:dyDescent="0.2">
      <c r="A289" s="13"/>
      <c r="B289" s="14">
        <f t="shared" si="22"/>
        <v>287</v>
      </c>
    </row>
    <row r="290" spans="1:2" x14ac:dyDescent="0.2">
      <c r="A290" s="13"/>
      <c r="B290" s="14">
        <f t="shared" si="22"/>
        <v>288</v>
      </c>
    </row>
    <row r="291" spans="1:2" x14ac:dyDescent="0.2">
      <c r="A291" s="13"/>
      <c r="B291" s="14">
        <f t="shared" si="22"/>
        <v>289</v>
      </c>
    </row>
    <row r="292" spans="1:2" x14ac:dyDescent="0.2">
      <c r="A292" s="13"/>
      <c r="B292" s="14">
        <f t="shared" si="22"/>
        <v>290</v>
      </c>
    </row>
    <row r="293" spans="1:2" x14ac:dyDescent="0.2">
      <c r="A293" s="13"/>
      <c r="B293" s="14">
        <f t="shared" si="22"/>
        <v>291</v>
      </c>
    </row>
    <row r="294" spans="1:2" x14ac:dyDescent="0.2">
      <c r="A294" s="13"/>
      <c r="B294" s="14">
        <f t="shared" si="22"/>
        <v>292</v>
      </c>
    </row>
    <row r="295" spans="1:2" x14ac:dyDescent="0.2">
      <c r="A295" s="13"/>
      <c r="B295" s="14">
        <f t="shared" si="22"/>
        <v>293</v>
      </c>
    </row>
    <row r="296" spans="1:2" x14ac:dyDescent="0.2">
      <c r="A296" s="13"/>
      <c r="B296" s="14">
        <f t="shared" si="22"/>
        <v>294</v>
      </c>
    </row>
    <row r="297" spans="1:2" x14ac:dyDescent="0.2">
      <c r="A297" s="13"/>
      <c r="B297" s="14">
        <f t="shared" si="22"/>
        <v>295</v>
      </c>
    </row>
    <row r="298" spans="1:2" x14ac:dyDescent="0.2">
      <c r="A298" s="13"/>
      <c r="B298" s="14">
        <f t="shared" si="22"/>
        <v>296</v>
      </c>
    </row>
    <row r="299" spans="1:2" x14ac:dyDescent="0.2">
      <c r="A299" s="13"/>
      <c r="B299" s="14">
        <f t="shared" si="22"/>
        <v>297</v>
      </c>
    </row>
    <row r="300" spans="1:2" x14ac:dyDescent="0.2">
      <c r="A300" s="13"/>
      <c r="B300" s="14">
        <f t="shared" si="22"/>
        <v>298</v>
      </c>
    </row>
    <row r="301" spans="1:2" x14ac:dyDescent="0.2">
      <c r="A301" s="13"/>
      <c r="B301" s="14">
        <f t="shared" si="22"/>
        <v>299</v>
      </c>
    </row>
    <row r="302" spans="1:2" x14ac:dyDescent="0.2">
      <c r="A302" s="13"/>
      <c r="B302" s="14">
        <f t="shared" si="22"/>
        <v>300</v>
      </c>
    </row>
    <row r="303" spans="1:2" x14ac:dyDescent="0.2">
      <c r="A303" s="13"/>
      <c r="B303" s="14">
        <f t="shared" si="22"/>
        <v>301</v>
      </c>
    </row>
    <row r="304" spans="1:2" x14ac:dyDescent="0.2">
      <c r="A304" s="13"/>
      <c r="B304" s="14">
        <f t="shared" si="22"/>
        <v>302</v>
      </c>
    </row>
    <row r="305" spans="1:2" x14ac:dyDescent="0.2">
      <c r="A305" s="13"/>
      <c r="B305" s="14">
        <f t="shared" si="22"/>
        <v>303</v>
      </c>
    </row>
    <row r="306" spans="1:2" x14ac:dyDescent="0.2">
      <c r="A306" s="15"/>
      <c r="B306" s="16">
        <f t="shared" si="22"/>
        <v>304</v>
      </c>
    </row>
    <row r="307" spans="1:2" x14ac:dyDescent="0.2">
      <c r="A307" s="11" t="s">
        <v>27</v>
      </c>
      <c r="B307" s="12">
        <f t="shared" si="22"/>
        <v>305</v>
      </c>
    </row>
    <row r="308" spans="1:2" x14ac:dyDescent="0.2">
      <c r="A308" s="13"/>
      <c r="B308" s="14">
        <f t="shared" si="22"/>
        <v>306</v>
      </c>
    </row>
    <row r="309" spans="1:2" x14ac:dyDescent="0.2">
      <c r="A309" s="13"/>
      <c r="B309" s="14">
        <f t="shared" si="22"/>
        <v>307</v>
      </c>
    </row>
    <row r="310" spans="1:2" x14ac:dyDescent="0.2">
      <c r="A310" s="13"/>
      <c r="B310" s="14">
        <f t="shared" si="22"/>
        <v>308</v>
      </c>
    </row>
    <row r="311" spans="1:2" x14ac:dyDescent="0.2">
      <c r="A311" s="13"/>
      <c r="B311" s="14">
        <f t="shared" si="22"/>
        <v>309</v>
      </c>
    </row>
    <row r="312" spans="1:2" x14ac:dyDescent="0.2">
      <c r="A312" s="13"/>
      <c r="B312" s="14">
        <f t="shared" si="22"/>
        <v>310</v>
      </c>
    </row>
    <row r="313" spans="1:2" x14ac:dyDescent="0.2">
      <c r="A313" s="13"/>
      <c r="B313" s="14">
        <f t="shared" si="22"/>
        <v>311</v>
      </c>
    </row>
    <row r="314" spans="1:2" x14ac:dyDescent="0.2">
      <c r="A314" s="13"/>
      <c r="B314" s="14">
        <f t="shared" si="22"/>
        <v>312</v>
      </c>
    </row>
    <row r="315" spans="1:2" x14ac:dyDescent="0.2">
      <c r="A315" s="13"/>
      <c r="B315" s="14">
        <f t="shared" si="22"/>
        <v>313</v>
      </c>
    </row>
    <row r="316" spans="1:2" x14ac:dyDescent="0.2">
      <c r="A316" s="13"/>
      <c r="B316" s="14">
        <f t="shared" si="22"/>
        <v>314</v>
      </c>
    </row>
    <row r="317" spans="1:2" x14ac:dyDescent="0.2">
      <c r="A317" s="13"/>
      <c r="B317" s="14">
        <f t="shared" si="22"/>
        <v>315</v>
      </c>
    </row>
    <row r="318" spans="1:2" x14ac:dyDescent="0.2">
      <c r="A318" s="13"/>
      <c r="B318" s="14">
        <f t="shared" si="22"/>
        <v>316</v>
      </c>
    </row>
    <row r="319" spans="1:2" x14ac:dyDescent="0.2">
      <c r="A319" s="13"/>
      <c r="B319" s="14">
        <f t="shared" si="22"/>
        <v>317</v>
      </c>
    </row>
    <row r="320" spans="1:2" x14ac:dyDescent="0.2">
      <c r="A320" s="13"/>
      <c r="B320" s="14">
        <f t="shared" si="22"/>
        <v>318</v>
      </c>
    </row>
    <row r="321" spans="1:2" x14ac:dyDescent="0.2">
      <c r="A321" s="13"/>
      <c r="B321" s="14">
        <f t="shared" si="22"/>
        <v>319</v>
      </c>
    </row>
    <row r="322" spans="1:2" x14ac:dyDescent="0.2">
      <c r="A322" s="13"/>
      <c r="B322" s="14">
        <f t="shared" si="22"/>
        <v>320</v>
      </c>
    </row>
    <row r="323" spans="1:2" x14ac:dyDescent="0.2">
      <c r="A323" s="13"/>
      <c r="B323" s="14">
        <f t="shared" si="22"/>
        <v>321</v>
      </c>
    </row>
    <row r="324" spans="1:2" x14ac:dyDescent="0.2">
      <c r="A324" s="13"/>
      <c r="B324" s="14">
        <f t="shared" si="22"/>
        <v>322</v>
      </c>
    </row>
    <row r="325" spans="1:2" x14ac:dyDescent="0.2">
      <c r="A325" s="13"/>
      <c r="B325" s="14">
        <f t="shared" ref="B325:B367" si="23">$B324+1</f>
        <v>323</v>
      </c>
    </row>
    <row r="326" spans="1:2" x14ac:dyDescent="0.2">
      <c r="A326" s="13"/>
      <c r="B326" s="14">
        <f t="shared" si="23"/>
        <v>324</v>
      </c>
    </row>
    <row r="327" spans="1:2" x14ac:dyDescent="0.2">
      <c r="A327" s="13"/>
      <c r="B327" s="14">
        <f t="shared" si="23"/>
        <v>325</v>
      </c>
    </row>
    <row r="328" spans="1:2" x14ac:dyDescent="0.2">
      <c r="A328" s="13"/>
      <c r="B328" s="14">
        <f t="shared" si="23"/>
        <v>326</v>
      </c>
    </row>
    <row r="329" spans="1:2" x14ac:dyDescent="0.2">
      <c r="A329" s="13"/>
      <c r="B329" s="14">
        <f t="shared" si="23"/>
        <v>327</v>
      </c>
    </row>
    <row r="330" spans="1:2" x14ac:dyDescent="0.2">
      <c r="A330" s="13"/>
      <c r="B330" s="14">
        <f t="shared" si="23"/>
        <v>328</v>
      </c>
    </row>
    <row r="331" spans="1:2" x14ac:dyDescent="0.2">
      <c r="A331" s="13"/>
      <c r="B331" s="14">
        <f t="shared" si="23"/>
        <v>329</v>
      </c>
    </row>
    <row r="332" spans="1:2" x14ac:dyDescent="0.2">
      <c r="A332" s="13"/>
      <c r="B332" s="14">
        <f t="shared" si="23"/>
        <v>330</v>
      </c>
    </row>
    <row r="333" spans="1:2" x14ac:dyDescent="0.2">
      <c r="A333" s="13"/>
      <c r="B333" s="14">
        <f t="shared" si="23"/>
        <v>331</v>
      </c>
    </row>
    <row r="334" spans="1:2" x14ac:dyDescent="0.2">
      <c r="A334" s="13"/>
      <c r="B334" s="14">
        <f t="shared" si="23"/>
        <v>332</v>
      </c>
    </row>
    <row r="335" spans="1:2" x14ac:dyDescent="0.2">
      <c r="A335" s="13"/>
      <c r="B335" s="14">
        <f t="shared" si="23"/>
        <v>333</v>
      </c>
    </row>
    <row r="336" spans="1:2" x14ac:dyDescent="0.2">
      <c r="A336" s="15"/>
      <c r="B336" s="16">
        <f t="shared" si="23"/>
        <v>334</v>
      </c>
    </row>
    <row r="337" spans="1:2" x14ac:dyDescent="0.2">
      <c r="A337" s="11" t="s">
        <v>28</v>
      </c>
      <c r="B337" s="12">
        <f t="shared" si="23"/>
        <v>335</v>
      </c>
    </row>
    <row r="338" spans="1:2" x14ac:dyDescent="0.2">
      <c r="A338" s="13"/>
      <c r="B338" s="14">
        <f t="shared" si="23"/>
        <v>336</v>
      </c>
    </row>
    <row r="339" spans="1:2" x14ac:dyDescent="0.2">
      <c r="A339" s="13"/>
      <c r="B339" s="14">
        <f t="shared" si="23"/>
        <v>337</v>
      </c>
    </row>
    <row r="340" spans="1:2" x14ac:dyDescent="0.2">
      <c r="A340" s="13"/>
      <c r="B340" s="14">
        <f t="shared" si="23"/>
        <v>338</v>
      </c>
    </row>
    <row r="341" spans="1:2" x14ac:dyDescent="0.2">
      <c r="A341" s="13"/>
      <c r="B341" s="14">
        <f t="shared" si="23"/>
        <v>339</v>
      </c>
    </row>
    <row r="342" spans="1:2" x14ac:dyDescent="0.2">
      <c r="A342" s="13"/>
      <c r="B342" s="14">
        <f t="shared" si="23"/>
        <v>340</v>
      </c>
    </row>
    <row r="343" spans="1:2" x14ac:dyDescent="0.2">
      <c r="A343" s="13"/>
      <c r="B343" s="14">
        <f t="shared" si="23"/>
        <v>341</v>
      </c>
    </row>
    <row r="344" spans="1:2" x14ac:dyDescent="0.2">
      <c r="A344" s="13"/>
      <c r="B344" s="14">
        <f t="shared" si="23"/>
        <v>342</v>
      </c>
    </row>
    <row r="345" spans="1:2" x14ac:dyDescent="0.2">
      <c r="A345" s="13"/>
      <c r="B345" s="14">
        <f t="shared" si="23"/>
        <v>343</v>
      </c>
    </row>
    <row r="346" spans="1:2" x14ac:dyDescent="0.2">
      <c r="A346" s="13"/>
      <c r="B346" s="14">
        <f t="shared" si="23"/>
        <v>344</v>
      </c>
    </row>
    <row r="347" spans="1:2" x14ac:dyDescent="0.2">
      <c r="A347" s="13"/>
      <c r="B347" s="14">
        <f t="shared" si="23"/>
        <v>345</v>
      </c>
    </row>
    <row r="348" spans="1:2" x14ac:dyDescent="0.2">
      <c r="A348" s="13"/>
      <c r="B348" s="14">
        <f t="shared" si="23"/>
        <v>346</v>
      </c>
    </row>
    <row r="349" spans="1:2" x14ac:dyDescent="0.2">
      <c r="A349" s="13"/>
      <c r="B349" s="14">
        <f t="shared" si="23"/>
        <v>347</v>
      </c>
    </row>
    <row r="350" spans="1:2" x14ac:dyDescent="0.2">
      <c r="A350" s="13"/>
      <c r="B350" s="14">
        <f t="shared" si="23"/>
        <v>348</v>
      </c>
    </row>
    <row r="351" spans="1:2" x14ac:dyDescent="0.2">
      <c r="A351" s="13"/>
      <c r="B351" s="14">
        <f t="shared" si="23"/>
        <v>349</v>
      </c>
    </row>
    <row r="352" spans="1:2" x14ac:dyDescent="0.2">
      <c r="A352" s="13"/>
      <c r="B352" s="14">
        <f t="shared" si="23"/>
        <v>350</v>
      </c>
    </row>
    <row r="353" spans="1:2" x14ac:dyDescent="0.2">
      <c r="A353" s="13"/>
      <c r="B353" s="14">
        <f t="shared" si="23"/>
        <v>351</v>
      </c>
    </row>
    <row r="354" spans="1:2" x14ac:dyDescent="0.2">
      <c r="A354" s="13"/>
      <c r="B354" s="14">
        <f t="shared" si="23"/>
        <v>352</v>
      </c>
    </row>
    <row r="355" spans="1:2" x14ac:dyDescent="0.2">
      <c r="A355" s="13"/>
      <c r="B355" s="14">
        <f t="shared" si="23"/>
        <v>353</v>
      </c>
    </row>
    <row r="356" spans="1:2" x14ac:dyDescent="0.2">
      <c r="A356" s="13"/>
      <c r="B356" s="14">
        <f t="shared" si="23"/>
        <v>354</v>
      </c>
    </row>
    <row r="357" spans="1:2" x14ac:dyDescent="0.2">
      <c r="A357" s="13"/>
      <c r="B357" s="14">
        <f t="shared" si="23"/>
        <v>355</v>
      </c>
    </row>
    <row r="358" spans="1:2" x14ac:dyDescent="0.2">
      <c r="A358" s="13"/>
      <c r="B358" s="14">
        <f t="shared" si="23"/>
        <v>356</v>
      </c>
    </row>
    <row r="359" spans="1:2" x14ac:dyDescent="0.2">
      <c r="A359" s="13"/>
      <c r="B359" s="14">
        <f t="shared" si="23"/>
        <v>357</v>
      </c>
    </row>
    <row r="360" spans="1:2" x14ac:dyDescent="0.2">
      <c r="A360" s="13"/>
      <c r="B360" s="14">
        <f t="shared" si="23"/>
        <v>358</v>
      </c>
    </row>
    <row r="361" spans="1:2" x14ac:dyDescent="0.2">
      <c r="A361" s="13"/>
      <c r="B361" s="14">
        <f t="shared" si="23"/>
        <v>359</v>
      </c>
    </row>
    <row r="362" spans="1:2" x14ac:dyDescent="0.2">
      <c r="A362" s="13"/>
      <c r="B362" s="14">
        <f t="shared" si="23"/>
        <v>360</v>
      </c>
    </row>
    <row r="363" spans="1:2" x14ac:dyDescent="0.2">
      <c r="A363" s="13"/>
      <c r="B363" s="14">
        <f t="shared" si="23"/>
        <v>361</v>
      </c>
    </row>
    <row r="364" spans="1:2" x14ac:dyDescent="0.2">
      <c r="A364" s="13"/>
      <c r="B364" s="14">
        <f t="shared" si="23"/>
        <v>362</v>
      </c>
    </row>
    <row r="365" spans="1:2" x14ac:dyDescent="0.2">
      <c r="A365" s="13"/>
      <c r="B365" s="14">
        <f t="shared" si="23"/>
        <v>363</v>
      </c>
    </row>
    <row r="366" spans="1:2" x14ac:dyDescent="0.2">
      <c r="A366" s="13"/>
      <c r="B366" s="14">
        <f t="shared" si="23"/>
        <v>364</v>
      </c>
    </row>
    <row r="367" spans="1:2" x14ac:dyDescent="0.2">
      <c r="A367" s="15"/>
      <c r="B367" s="16">
        <f t="shared" si="23"/>
        <v>365</v>
      </c>
    </row>
  </sheetData>
  <mergeCells count="21">
    <mergeCell ref="A276:A306"/>
    <mergeCell ref="A307:A336"/>
    <mergeCell ref="A337:A367"/>
    <mergeCell ref="C1:D1"/>
    <mergeCell ref="E1:F1"/>
    <mergeCell ref="A93:A122"/>
    <mergeCell ref="A123:A153"/>
    <mergeCell ref="A154:A183"/>
    <mergeCell ref="A184:A214"/>
    <mergeCell ref="A215:A245"/>
    <mergeCell ref="A246:A275"/>
    <mergeCell ref="L1:M1"/>
    <mergeCell ref="N1:O1"/>
    <mergeCell ref="A1:B1"/>
    <mergeCell ref="A3:A33"/>
    <mergeCell ref="A34:A61"/>
    <mergeCell ref="A62:A92"/>
    <mergeCell ref="G1:G2"/>
    <mergeCell ref="J1:K1"/>
    <mergeCell ref="H1:H2"/>
    <mergeCell ref="I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+ итог</vt:lpstr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A. Krugliy</dc:creator>
  <cp:lastModifiedBy>Evgeniy A. Krugliy</cp:lastModifiedBy>
  <dcterms:created xsi:type="dcterms:W3CDTF">2017-02-23T08:59:57Z</dcterms:created>
  <dcterms:modified xsi:type="dcterms:W3CDTF">2017-02-23T09:41:02Z</dcterms:modified>
</cp:coreProperties>
</file>