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E312" i="1"/>
  <c r="I306" i="1"/>
  <c r="I305" i="1"/>
  <c r="I304" i="1"/>
  <c r="E304" i="1"/>
  <c r="I303" i="1"/>
  <c r="E303" i="1"/>
  <c r="E301" i="1"/>
  <c r="E298" i="1"/>
  <c r="E297" i="1"/>
  <c r="I295" i="1"/>
  <c r="I294" i="1"/>
  <c r="I293" i="1"/>
  <c r="I292" i="1"/>
  <c r="I291" i="1"/>
  <c r="I290" i="1"/>
  <c r="H284" i="1"/>
  <c r="E284" i="1"/>
  <c r="H283" i="1"/>
  <c r="E283" i="1"/>
  <c r="I282" i="1"/>
  <c r="I281" i="1"/>
  <c r="I280" i="1"/>
  <c r="I279" i="1"/>
  <c r="I278" i="1"/>
  <c r="I268" i="1"/>
  <c r="I267" i="1"/>
  <c r="I266" i="1"/>
  <c r="I265" i="1"/>
  <c r="I264" i="1"/>
  <c r="I263" i="1"/>
  <c r="I262" i="1"/>
  <c r="H253" i="1"/>
  <c r="I252" i="1"/>
  <c r="H252" i="1"/>
  <c r="I251" i="1"/>
  <c r="I250" i="1"/>
  <c r="I249" i="1"/>
  <c r="I248" i="1"/>
  <c r="H243" i="1"/>
  <c r="E243" i="1"/>
  <c r="H241" i="1"/>
  <c r="E241" i="1"/>
  <c r="I240" i="1"/>
  <c r="I239" i="1"/>
  <c r="I238" i="1"/>
  <c r="I237" i="1"/>
  <c r="I236" i="1"/>
  <c r="H236" i="1"/>
  <c r="E236" i="1"/>
  <c r="H233" i="1"/>
  <c r="H232" i="1"/>
  <c r="E232" i="1"/>
  <c r="I231" i="1"/>
  <c r="H231" i="1"/>
  <c r="E231" i="1"/>
  <c r="I230" i="1"/>
  <c r="H230" i="1"/>
  <c r="E230" i="1"/>
  <c r="I229" i="1"/>
  <c r="H229" i="1"/>
  <c r="E229" i="1"/>
  <c r="H228" i="1"/>
  <c r="E228" i="1"/>
  <c r="H226" i="1"/>
  <c r="E226" i="1"/>
  <c r="I225" i="1"/>
  <c r="H225" i="1"/>
  <c r="E225" i="1"/>
  <c r="I224" i="1"/>
  <c r="H224" i="1"/>
  <c r="E224" i="1"/>
  <c r="I223" i="1"/>
  <c r="H223" i="1"/>
  <c r="E223" i="1"/>
  <c r="H221" i="1"/>
  <c r="I217" i="1"/>
  <c r="I216" i="1"/>
  <c r="H216" i="1"/>
  <c r="E216" i="1"/>
  <c r="I215" i="1"/>
  <c r="I214" i="1"/>
  <c r="H214" i="1"/>
  <c r="E214" i="1"/>
  <c r="H213" i="1"/>
  <c r="E213" i="1"/>
  <c r="I207" i="1"/>
  <c r="I206" i="1"/>
  <c r="I205" i="1"/>
  <c r="I204" i="1"/>
  <c r="I203" i="1"/>
  <c r="H203" i="1"/>
  <c r="E203" i="1"/>
  <c r="I202" i="1"/>
  <c r="H202" i="1"/>
  <c r="H198" i="1"/>
  <c r="H197" i="1"/>
  <c r="E197" i="1"/>
  <c r="I196" i="1"/>
  <c r="H196" i="1"/>
  <c r="E196" i="1"/>
  <c r="I195" i="1"/>
  <c r="I194" i="1"/>
  <c r="H194" i="1"/>
  <c r="E194" i="1"/>
  <c r="H191" i="1"/>
  <c r="E191" i="1"/>
  <c r="H190" i="1"/>
  <c r="I188" i="1"/>
  <c r="I187" i="1"/>
  <c r="H187" i="1"/>
  <c r="E187" i="1"/>
  <c r="I186" i="1"/>
  <c r="H186" i="1"/>
  <c r="I185" i="1"/>
  <c r="H185" i="1"/>
  <c r="E185" i="1"/>
  <c r="H183" i="1"/>
  <c r="E183" i="1"/>
  <c r="I179" i="1"/>
  <c r="H179" i="1"/>
  <c r="E179" i="1"/>
  <c r="I178" i="1"/>
  <c r="H178" i="1"/>
  <c r="E178" i="1"/>
  <c r="I177" i="1"/>
  <c r="I176" i="1"/>
  <c r="I167" i="1"/>
  <c r="I166" i="1"/>
  <c r="I165" i="1"/>
  <c r="I164" i="1"/>
  <c r="I163" i="1"/>
  <c r="I162" i="1"/>
  <c r="H162" i="1"/>
  <c r="I161" i="1"/>
  <c r="H161" i="1"/>
  <c r="E161" i="1"/>
  <c r="H160" i="1"/>
  <c r="E160" i="1"/>
  <c r="H159" i="1"/>
  <c r="H158" i="1"/>
  <c r="E158" i="1"/>
  <c r="I157" i="1"/>
  <c r="H157" i="1"/>
  <c r="E157" i="1"/>
  <c r="I156" i="1"/>
  <c r="I155" i="1"/>
  <c r="I154" i="1"/>
  <c r="H146" i="1"/>
  <c r="I145" i="1"/>
  <c r="I144" i="1"/>
  <c r="H144" i="1"/>
  <c r="I143" i="1"/>
  <c r="I142" i="1"/>
  <c r="H142" i="1"/>
  <c r="E142" i="1"/>
  <c r="H140" i="1"/>
  <c r="H139" i="1"/>
  <c r="H138" i="1"/>
  <c r="E138" i="1"/>
  <c r="I137" i="1"/>
  <c r="H137" i="1"/>
  <c r="I136" i="1"/>
  <c r="H136" i="1"/>
  <c r="E136" i="1"/>
  <c r="I135" i="1"/>
  <c r="H135" i="1"/>
  <c r="E135" i="1"/>
  <c r="H133" i="1"/>
  <c r="E133" i="1"/>
  <c r="H130" i="1"/>
  <c r="E130" i="1"/>
  <c r="I129" i="1"/>
  <c r="I128" i="1"/>
  <c r="H128" i="1"/>
  <c r="E128" i="1"/>
  <c r="I127" i="1"/>
  <c r="H127" i="1"/>
  <c r="E127" i="1"/>
  <c r="H125" i="1"/>
  <c r="E125" i="1"/>
  <c r="H123" i="1"/>
  <c r="E123" i="1"/>
  <c r="I122" i="1"/>
  <c r="H122" i="1"/>
  <c r="I121" i="1"/>
  <c r="I120" i="1"/>
  <c r="I119" i="1"/>
  <c r="I118" i="1"/>
  <c r="H118" i="1"/>
  <c r="E118" i="1"/>
  <c r="H117" i="1"/>
  <c r="E117" i="1"/>
  <c r="H116" i="1"/>
  <c r="H114" i="1"/>
  <c r="E114" i="1"/>
  <c r="I113" i="1"/>
  <c r="H113" i="1"/>
  <c r="E113" i="1"/>
  <c r="I112" i="1"/>
  <c r="H112" i="1"/>
  <c r="E112" i="1"/>
  <c r="I111" i="1"/>
  <c r="H111" i="1"/>
  <c r="E111" i="1"/>
  <c r="H110" i="1"/>
  <c r="E110" i="1"/>
  <c r="H109" i="1"/>
  <c r="E109" i="1"/>
  <c r="I108" i="1"/>
  <c r="I107" i="1"/>
  <c r="H107" i="1"/>
  <c r="I106" i="1"/>
  <c r="H106" i="1"/>
  <c r="E106" i="1"/>
  <c r="I105" i="1"/>
  <c r="I104" i="1"/>
  <c r="H102" i="1"/>
  <c r="H98" i="1"/>
  <c r="I97" i="1"/>
  <c r="H97" i="1"/>
  <c r="I96" i="1"/>
  <c r="H96" i="1"/>
  <c r="I95" i="1"/>
  <c r="I94" i="1"/>
  <c r="I93" i="1"/>
  <c r="I92" i="1"/>
  <c r="H85" i="1"/>
  <c r="I84" i="1"/>
  <c r="I83" i="1"/>
  <c r="I82" i="1"/>
  <c r="H82" i="1"/>
  <c r="I81" i="1"/>
  <c r="H81" i="1"/>
  <c r="I80" i="1"/>
  <c r="H80" i="1"/>
  <c r="E80" i="1"/>
  <c r="H79" i="1"/>
  <c r="E79" i="1"/>
  <c r="H76" i="1"/>
  <c r="E76" i="1"/>
  <c r="I75" i="1"/>
  <c r="H75" i="1"/>
  <c r="I74" i="1"/>
  <c r="H74" i="1"/>
  <c r="E74" i="1"/>
  <c r="I73" i="1"/>
  <c r="H73" i="1"/>
  <c r="H72" i="1"/>
  <c r="E72" i="1"/>
  <c r="H71" i="1"/>
  <c r="E71" i="1"/>
  <c r="H70" i="1"/>
  <c r="E70" i="1"/>
  <c r="I69" i="1"/>
  <c r="H69" i="1"/>
  <c r="I68" i="1"/>
  <c r="H68" i="1"/>
  <c r="E68" i="1"/>
  <c r="I67" i="1"/>
  <c r="H67" i="1"/>
  <c r="G67" i="1"/>
  <c r="G66" i="1"/>
  <c r="H65" i="1"/>
  <c r="G65" i="1"/>
  <c r="H64" i="1"/>
  <c r="G64" i="1"/>
  <c r="E64" i="1"/>
  <c r="I63" i="1"/>
  <c r="I62" i="1"/>
  <c r="H62" i="1"/>
  <c r="I61" i="1"/>
  <c r="H61" i="1"/>
  <c r="E61" i="1"/>
  <c r="H59" i="1"/>
  <c r="H56" i="1"/>
  <c r="H55" i="1"/>
  <c r="I54" i="1"/>
  <c r="H54" i="1"/>
  <c r="I53" i="1"/>
  <c r="H53" i="1"/>
  <c r="E53" i="1"/>
  <c r="I52" i="1"/>
  <c r="H52" i="1"/>
  <c r="G52" i="1"/>
  <c r="H51" i="1"/>
  <c r="G51" i="1"/>
  <c r="E51" i="1"/>
  <c r="G50" i="1"/>
  <c r="H49" i="1"/>
  <c r="G49" i="1"/>
  <c r="I49" i="1" s="1"/>
  <c r="H48" i="1"/>
  <c r="G48" i="1"/>
  <c r="I48" i="1" s="1"/>
  <c r="G47" i="1"/>
  <c r="I47" i="1" s="1"/>
  <c r="I46" i="1"/>
  <c r="H46" i="1"/>
  <c r="G46" i="1"/>
  <c r="H45" i="1"/>
  <c r="G45" i="1"/>
  <c r="H44" i="1"/>
  <c r="G44" i="1"/>
  <c r="G43" i="1"/>
  <c r="I43" i="1" s="1"/>
  <c r="H42" i="1"/>
  <c r="G42" i="1"/>
  <c r="I42" i="1" s="1"/>
  <c r="H41" i="1"/>
  <c r="G41" i="1"/>
  <c r="I41" i="1" s="1"/>
  <c r="H40" i="1"/>
  <c r="G40" i="1"/>
  <c r="E40" i="1"/>
  <c r="I39" i="1"/>
  <c r="H38" i="1"/>
  <c r="E38" i="1"/>
  <c r="I37" i="1"/>
  <c r="I36" i="1"/>
  <c r="I35" i="1"/>
  <c r="I34" i="1"/>
  <c r="I33" i="1"/>
  <c r="I32" i="1"/>
  <c r="I31" i="1"/>
  <c r="H31" i="1"/>
  <c r="I26" i="1"/>
  <c r="H26" i="1"/>
  <c r="I24" i="1"/>
  <c r="H24" i="1"/>
  <c r="I23" i="1"/>
  <c r="I22" i="1"/>
  <c r="I21" i="1"/>
  <c r="I20" i="1"/>
  <c r="I19" i="1"/>
  <c r="H19" i="1"/>
  <c r="I18" i="1"/>
  <c r="H16" i="1"/>
  <c r="I14" i="1"/>
  <c r="I11" i="1"/>
  <c r="I10" i="1"/>
  <c r="I9" i="1"/>
  <c r="H9" i="1"/>
  <c r="I8" i="1"/>
  <c r="I7" i="1"/>
  <c r="I6" i="1"/>
  <c r="H6" i="1"/>
  <c r="I5" i="1"/>
  <c r="H5" i="1"/>
  <c r="I315" i="1"/>
  <c r="I296" i="1" l="1"/>
  <c r="I307" i="1"/>
  <c r="I241" i="1"/>
  <c r="I253" i="1"/>
  <c r="I269" i="1"/>
  <c r="I283" i="1"/>
  <c r="I308" i="1"/>
  <c r="I55" i="1"/>
  <c r="I146" i="1"/>
  <c r="I158" i="1"/>
  <c r="I168" i="1"/>
  <c r="I180" i="1"/>
  <c r="I189" i="1"/>
  <c r="I208" i="1"/>
  <c r="I218" i="1"/>
  <c r="I242" i="1"/>
  <c r="I254" i="1"/>
  <c r="I270" i="1"/>
  <c r="I297" i="1"/>
  <c r="I309" i="1"/>
  <c r="I64" i="1"/>
  <c r="I85" i="1"/>
  <c r="I98" i="1"/>
  <c r="I114" i="1"/>
  <c r="I130" i="1"/>
  <c r="I147" i="1"/>
  <c r="I169" i="1"/>
  <c r="I181" i="1"/>
  <c r="I197" i="1"/>
  <c r="I209" i="1"/>
  <c r="I219" i="1"/>
  <c r="I226" i="1"/>
  <c r="I232" i="1"/>
  <c r="I255" i="1"/>
  <c r="I271" i="1"/>
  <c r="I310" i="1"/>
  <c r="I12" i="1"/>
  <c r="I25" i="1"/>
  <c r="I70" i="1"/>
  <c r="I76" i="1"/>
  <c r="I13" i="1"/>
  <c r="I38" i="1"/>
  <c r="I44" i="1"/>
  <c r="I50" i="1"/>
  <c r="I56" i="1"/>
  <c r="I77" i="1"/>
  <c r="I86" i="1"/>
  <c r="I99" i="1"/>
  <c r="I109" i="1"/>
  <c r="I115" i="1"/>
  <c r="I123" i="1"/>
  <c r="I131" i="1"/>
  <c r="I138" i="1"/>
  <c r="I148" i="1"/>
  <c r="I159" i="1"/>
  <c r="I170" i="1"/>
  <c r="I182" i="1"/>
  <c r="I190" i="1"/>
  <c r="I210" i="1"/>
  <c r="I220" i="1"/>
  <c r="I227" i="1"/>
  <c r="I256" i="1"/>
  <c r="I272" i="1"/>
  <c r="I284" i="1"/>
  <c r="I298" i="1"/>
  <c r="I311" i="1"/>
  <c r="I57" i="1"/>
  <c r="I78" i="1"/>
  <c r="I87" i="1"/>
  <c r="I100" i="1"/>
  <c r="I124" i="1"/>
  <c r="I132" i="1"/>
  <c r="I149" i="1"/>
  <c r="I171" i="1"/>
  <c r="I198" i="1"/>
  <c r="I211" i="1"/>
  <c r="I233" i="1"/>
  <c r="I243" i="1"/>
  <c r="I257" i="1"/>
  <c r="I273" i="1"/>
  <c r="I285" i="1"/>
  <c r="I299" i="1"/>
  <c r="I15" i="1"/>
  <c r="I27" i="1"/>
  <c r="I58" i="1"/>
  <c r="I65" i="1"/>
  <c r="I71" i="1"/>
  <c r="I88" i="1"/>
  <c r="I101" i="1"/>
  <c r="I116" i="1"/>
  <c r="I139" i="1"/>
  <c r="I150" i="1"/>
  <c r="I172" i="1"/>
  <c r="I199" i="1"/>
  <c r="I212" i="1"/>
  <c r="I221" i="1"/>
  <c r="I234" i="1"/>
  <c r="I244" i="1"/>
  <c r="I258" i="1"/>
  <c r="I274" i="1"/>
  <c r="I286" i="1"/>
  <c r="I300" i="1"/>
  <c r="I312" i="1"/>
  <c r="I3" i="1"/>
  <c r="I28" i="1"/>
  <c r="I45" i="1"/>
  <c r="I89" i="1"/>
  <c r="I110" i="1"/>
  <c r="I151" i="1"/>
  <c r="I160" i="1"/>
  <c r="I173" i="1"/>
  <c r="I183" i="1"/>
  <c r="I191" i="1"/>
  <c r="I200" i="1"/>
  <c r="I222" i="1"/>
  <c r="I228" i="1"/>
  <c r="I235" i="1"/>
  <c r="I245" i="1"/>
  <c r="I259" i="1"/>
  <c r="I275" i="1"/>
  <c r="I287" i="1"/>
  <c r="I313" i="1"/>
  <c r="I4" i="1"/>
  <c r="I16" i="1"/>
  <c r="I29" i="1"/>
  <c r="I51" i="1"/>
  <c r="I59" i="1"/>
  <c r="I66" i="1"/>
  <c r="I79" i="1"/>
  <c r="I90" i="1"/>
  <c r="I102" i="1"/>
  <c r="I125" i="1"/>
  <c r="I133" i="1"/>
  <c r="I140" i="1"/>
  <c r="I152" i="1"/>
  <c r="I174" i="1"/>
  <c r="I184" i="1"/>
  <c r="I192" i="1"/>
  <c r="I201" i="1"/>
  <c r="I246" i="1"/>
  <c r="I260" i="1"/>
  <c r="I276" i="1"/>
  <c r="I288" i="1"/>
  <c r="I301" i="1"/>
  <c r="I314" i="1"/>
  <c r="I17" i="1"/>
  <c r="I30" i="1"/>
  <c r="I40" i="1"/>
  <c r="I60" i="1"/>
  <c r="I72" i="1"/>
  <c r="I91" i="1"/>
  <c r="I103" i="1"/>
  <c r="I117" i="1"/>
  <c r="I126" i="1"/>
  <c r="I134" i="1"/>
  <c r="I141" i="1"/>
  <c r="I153" i="1"/>
  <c r="I175" i="1"/>
  <c r="I193" i="1"/>
  <c r="I213" i="1"/>
  <c r="I247" i="1"/>
  <c r="I261" i="1"/>
  <c r="I277" i="1"/>
  <c r="I289" i="1"/>
  <c r="I302" i="1"/>
</calcChain>
</file>

<file path=xl/comments1.xml><?xml version="1.0" encoding="utf-8"?>
<comments xmlns="http://schemas.openxmlformats.org/spreadsheetml/2006/main">
  <authors>
    <author>Автор</author>
  </authors>
  <commentList>
    <comment ref="H1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<sst xmlns="http://schemas.openxmlformats.org/spreadsheetml/2006/main" count="97" uniqueCount="74">
  <si>
    <t>№</t>
  </si>
  <si>
    <t>Дата поступления</t>
  </si>
  <si>
    <t>Контрагент</t>
  </si>
  <si>
    <t>ДокументРасчетовСКонтрагентом</t>
  </si>
  <si>
    <t>СуммаВзаиморасчетов</t>
  </si>
  <si>
    <t>Дата отгрузки</t>
  </si>
  <si>
    <t>Срок</t>
  </si>
  <si>
    <t>Просрочено всего</t>
  </si>
  <si>
    <t>Дней Просрочки</t>
  </si>
  <si>
    <t>28.12.2015</t>
  </si>
  <si>
    <t>11.02.2016</t>
  </si>
  <si>
    <t>07.12.2015</t>
  </si>
  <si>
    <t>05.02.2016</t>
  </si>
  <si>
    <t>18.12.2015</t>
  </si>
  <si>
    <t>16.02.2016</t>
  </si>
  <si>
    <t>13.11.2015</t>
  </si>
  <si>
    <t>10.07.2015</t>
  </si>
  <si>
    <t>24.08.2015</t>
  </si>
  <si>
    <t>25.09.2015</t>
  </si>
  <si>
    <t>09.11.2015</t>
  </si>
  <si>
    <t>29.01.2016</t>
  </si>
  <si>
    <t>29.03.2016</t>
  </si>
  <si>
    <t>03.02.2016</t>
  </si>
  <si>
    <t>03.04.2016</t>
  </si>
  <si>
    <t>04.02.2016</t>
  </si>
  <si>
    <t>04.04.2016</t>
  </si>
  <si>
    <t>05.04.2016</t>
  </si>
  <si>
    <t>09.02.2016</t>
  </si>
  <si>
    <t>09.04.2016</t>
  </si>
  <si>
    <t>08.05.2015</t>
  </si>
  <si>
    <t>22.06.2015</t>
  </si>
  <si>
    <t>08.12.2015</t>
  </si>
  <si>
    <t>22.01.2016</t>
  </si>
  <si>
    <t>28.09.2015</t>
  </si>
  <si>
    <t>12.12.2015</t>
  </si>
  <si>
    <t>21.12.2015</t>
  </si>
  <si>
    <t>07.09.2015</t>
  </si>
  <si>
    <t>22.10.2015</t>
  </si>
  <si>
    <t>24.12.2015</t>
  </si>
  <si>
    <t>22.02.2016</t>
  </si>
  <si>
    <t>28.01.2016</t>
  </si>
  <si>
    <t>13.03.2016</t>
  </si>
  <si>
    <t>25.01.2016</t>
  </si>
  <si>
    <t>10.03.2016</t>
  </si>
  <si>
    <t>15.12.2015</t>
  </si>
  <si>
    <t>06.11.2015</t>
  </si>
  <si>
    <t>19.02.2016</t>
  </si>
  <si>
    <t>22.12.2015</t>
  </si>
  <si>
    <t>20.02.2016</t>
  </si>
  <si>
    <t>16.11.2015</t>
  </si>
  <si>
    <t>23.11.2015</t>
  </si>
  <si>
    <t>21.09.2015</t>
  </si>
  <si>
    <t>05.11.2015</t>
  </si>
  <si>
    <t>21.01.2014</t>
  </si>
  <si>
    <t>20.02.2014</t>
  </si>
  <si>
    <t>21.03.2014</t>
  </si>
  <si>
    <t>20.04.2014</t>
  </si>
  <si>
    <t>23.03.2016</t>
  </si>
  <si>
    <t>28.03.2016</t>
  </si>
  <si>
    <t>26.02.2016</t>
  </si>
  <si>
    <t>04.03.2016</t>
  </si>
  <si>
    <t>11.03.2016</t>
  </si>
  <si>
    <t>01.04.2016</t>
  </si>
  <si>
    <t>18.04.2016</t>
  </si>
  <si>
    <t>19.04.2016</t>
  </si>
  <si>
    <t>21.04.2016</t>
  </si>
  <si>
    <t>05.05.2016</t>
  </si>
  <si>
    <t>23.05.2016</t>
  </si>
  <si>
    <t>01.06.2016</t>
  </si>
  <si>
    <t>16.06.2016</t>
  </si>
  <si>
    <t>06.06.2016</t>
  </si>
  <si>
    <t>20.06.2016</t>
  </si>
  <si>
    <t>10.01.2017</t>
  </si>
  <si>
    <t>12.01.2017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</si>
</sst>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43" fontId="4" fillId="4" borderId="1" xfId="1" applyFont="1" applyFill="1" applyBorder="1" applyAlignment="1">
      <alignment horizontal="right" vertical="top" wrapText="1"/>
    </xf>
    <xf numFmtId="14" fontId="4" fillId="3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4" fontId="5" fillId="4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5"/>
  <sheetViews>
    <sheetView tabSelected="1" topLeftCell="A313" workbookViewId="0">
      <selection activeCell="N111" sqref="N111"/>
    </sheetView>
  </sheetViews>
  <sheetFormatPr defaultRowHeight="15" x14ac:dyDescent="0.25"/>
  <cols>
    <col min="2" max="2" width="22.140625" customWidth="1"/>
    <col min="5" max="5" width="15.42578125" customWidth="1"/>
    <col min="7" max="7" width="20.5703125" customWidth="1"/>
    <col min="8" max="8" width="18.85546875" customWidth="1"/>
  </cols>
  <sheetData>
    <row r="1" spans="1:9" x14ac:dyDescent="0.25">
      <c r="B1" s="1">
        <f>B3</f>
        <v>42814</v>
      </c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</row>
    <row r="2" spans="1:9" ht="45" x14ac:dyDescent="0.25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8</v>
      </c>
    </row>
    <row r="3" spans="1:9" x14ac:dyDescent="0.25">
      <c r="A3">
        <v>1</v>
      </c>
      <c r="B3" s="1">
        <v>42814</v>
      </c>
      <c r="C3" s="9"/>
      <c r="D3" s="9"/>
      <c r="E3" s="10">
        <v>1170</v>
      </c>
      <c r="F3" s="11" t="s">
        <v>9</v>
      </c>
      <c r="G3" s="11" t="s">
        <v>10</v>
      </c>
      <c r="H3" s="10">
        <v>1170</v>
      </c>
      <c r="I3" s="12">
        <f t="shared" ref="I3:I66" si="0">$B$1-G3</f>
        <v>403</v>
      </c>
    </row>
    <row r="4" spans="1:9" x14ac:dyDescent="0.25">
      <c r="A4">
        <v>2</v>
      </c>
      <c r="B4" s="1">
        <v>42814</v>
      </c>
      <c r="C4" s="9"/>
      <c r="D4" s="9"/>
      <c r="E4" s="13">
        <v>910</v>
      </c>
      <c r="F4" s="11" t="s">
        <v>11</v>
      </c>
      <c r="G4" s="11" t="s">
        <v>12</v>
      </c>
      <c r="H4" s="13">
        <v>910</v>
      </c>
      <c r="I4" s="12">
        <f t="shared" si="0"/>
        <v>409</v>
      </c>
    </row>
    <row r="5" spans="1:9" x14ac:dyDescent="0.25">
      <c r="A5">
        <v>3</v>
      </c>
      <c r="B5" s="1">
        <v>42814</v>
      </c>
      <c r="C5" s="9"/>
      <c r="D5" s="9"/>
      <c r="E5" s="10">
        <v>3573264</v>
      </c>
      <c r="F5" s="11" t="s">
        <v>13</v>
      </c>
      <c r="G5" s="11" t="s">
        <v>14</v>
      </c>
      <c r="H5" s="10">
        <f>3573264-3524209.6</f>
        <v>49054.399999999907</v>
      </c>
      <c r="I5" s="11">
        <f t="shared" si="0"/>
        <v>398</v>
      </c>
    </row>
    <row r="6" spans="1:9" x14ac:dyDescent="0.25">
      <c r="A6">
        <v>4</v>
      </c>
      <c r="B6" s="1">
        <v>42814</v>
      </c>
      <c r="C6" s="9"/>
      <c r="D6" s="9"/>
      <c r="E6" s="10">
        <v>3536000</v>
      </c>
      <c r="F6" s="11" t="s">
        <v>15</v>
      </c>
      <c r="G6" s="11" t="s">
        <v>10</v>
      </c>
      <c r="H6" s="14">
        <f>3536000-2113004.4-1000000</f>
        <v>422995.60000000009</v>
      </c>
      <c r="I6" s="12">
        <f t="shared" si="0"/>
        <v>403</v>
      </c>
    </row>
    <row r="7" spans="1:9" x14ac:dyDescent="0.25">
      <c r="A7">
        <v>5</v>
      </c>
      <c r="B7" s="1">
        <v>42814</v>
      </c>
      <c r="C7" s="9"/>
      <c r="D7" s="9"/>
      <c r="E7" s="10">
        <v>743747.12</v>
      </c>
      <c r="F7" s="11" t="s">
        <v>16</v>
      </c>
      <c r="G7" s="11" t="s">
        <v>17</v>
      </c>
      <c r="H7" s="10">
        <v>743747.12</v>
      </c>
      <c r="I7" s="12">
        <f t="shared" si="0"/>
        <v>574</v>
      </c>
    </row>
    <row r="8" spans="1:9" x14ac:dyDescent="0.25">
      <c r="A8">
        <v>6</v>
      </c>
      <c r="B8" s="1">
        <v>42814</v>
      </c>
      <c r="C8" s="9"/>
      <c r="D8" s="9"/>
      <c r="E8" s="10">
        <v>1430</v>
      </c>
      <c r="F8" s="11" t="s">
        <v>18</v>
      </c>
      <c r="G8" s="11" t="s">
        <v>19</v>
      </c>
      <c r="H8" s="10">
        <v>1430</v>
      </c>
      <c r="I8" s="12">
        <f t="shared" si="0"/>
        <v>497</v>
      </c>
    </row>
    <row r="9" spans="1:9" x14ac:dyDescent="0.25">
      <c r="A9">
        <v>7</v>
      </c>
      <c r="B9" s="1">
        <v>42814</v>
      </c>
      <c r="C9" s="9"/>
      <c r="D9" s="9"/>
      <c r="E9" s="10">
        <v>2856000</v>
      </c>
      <c r="F9" s="11" t="s">
        <v>20</v>
      </c>
      <c r="G9" s="11" t="s">
        <v>21</v>
      </c>
      <c r="H9" s="15">
        <f>2856000-1265500-800000</f>
        <v>790500</v>
      </c>
      <c r="I9" s="11">
        <f t="shared" si="0"/>
        <v>356</v>
      </c>
    </row>
    <row r="10" spans="1:9" x14ac:dyDescent="0.25">
      <c r="A10">
        <v>8</v>
      </c>
      <c r="B10" s="1">
        <v>42814</v>
      </c>
      <c r="C10" s="9"/>
      <c r="D10" s="9"/>
      <c r="E10" s="10">
        <v>2856000</v>
      </c>
      <c r="F10" s="11" t="s">
        <v>22</v>
      </c>
      <c r="G10" s="11" t="s">
        <v>23</v>
      </c>
      <c r="H10" s="10">
        <v>2856000</v>
      </c>
      <c r="I10" s="11">
        <f t="shared" si="0"/>
        <v>351</v>
      </c>
    </row>
    <row r="11" spans="1:9" x14ac:dyDescent="0.25">
      <c r="A11">
        <v>9</v>
      </c>
      <c r="B11" s="1">
        <v>42814</v>
      </c>
      <c r="C11" s="9"/>
      <c r="D11" s="9"/>
      <c r="E11" s="10">
        <v>2692800</v>
      </c>
      <c r="F11" s="11" t="s">
        <v>22</v>
      </c>
      <c r="G11" s="11" t="s">
        <v>23</v>
      </c>
      <c r="H11" s="10">
        <v>2692800</v>
      </c>
      <c r="I11" s="11">
        <f t="shared" si="0"/>
        <v>351</v>
      </c>
    </row>
    <row r="12" spans="1:9" x14ac:dyDescent="0.25">
      <c r="A12">
        <v>10</v>
      </c>
      <c r="B12" s="1">
        <v>42814</v>
      </c>
      <c r="C12" s="9"/>
      <c r="D12" s="9"/>
      <c r="E12" s="10">
        <v>2692800</v>
      </c>
      <c r="F12" s="11" t="s">
        <v>24</v>
      </c>
      <c r="G12" s="11" t="s">
        <v>25</v>
      </c>
      <c r="H12" s="10">
        <v>2692800</v>
      </c>
      <c r="I12" s="11">
        <f t="shared" si="0"/>
        <v>350</v>
      </c>
    </row>
    <row r="13" spans="1:9" x14ac:dyDescent="0.25">
      <c r="A13">
        <v>11</v>
      </c>
      <c r="B13" s="1">
        <v>42814</v>
      </c>
      <c r="C13" s="9"/>
      <c r="D13" s="9"/>
      <c r="E13" s="10">
        <v>2692800</v>
      </c>
      <c r="F13" s="11" t="s">
        <v>24</v>
      </c>
      <c r="G13" s="11" t="s">
        <v>25</v>
      </c>
      <c r="H13" s="10">
        <v>2692800</v>
      </c>
      <c r="I13" s="11">
        <f t="shared" si="0"/>
        <v>350</v>
      </c>
    </row>
    <row r="14" spans="1:9" x14ac:dyDescent="0.25">
      <c r="A14">
        <v>12</v>
      </c>
      <c r="B14" s="1">
        <v>42814</v>
      </c>
      <c r="C14" s="9"/>
      <c r="D14" s="9"/>
      <c r="E14" s="10">
        <v>3029400</v>
      </c>
      <c r="F14" s="11" t="s">
        <v>12</v>
      </c>
      <c r="G14" s="11" t="s">
        <v>26</v>
      </c>
      <c r="H14" s="10">
        <v>3029400</v>
      </c>
      <c r="I14" s="11">
        <f t="shared" si="0"/>
        <v>349</v>
      </c>
    </row>
    <row r="15" spans="1:9" x14ac:dyDescent="0.25">
      <c r="A15">
        <v>13</v>
      </c>
      <c r="B15" s="1">
        <v>42814</v>
      </c>
      <c r="C15" s="9"/>
      <c r="D15" s="9"/>
      <c r="E15" s="10">
        <v>2040000</v>
      </c>
      <c r="F15" s="11" t="s">
        <v>27</v>
      </c>
      <c r="G15" s="11" t="s">
        <v>28</v>
      </c>
      <c r="H15" s="10">
        <v>2040000</v>
      </c>
      <c r="I15" s="11">
        <f t="shared" si="0"/>
        <v>345</v>
      </c>
    </row>
    <row r="16" spans="1:9" x14ac:dyDescent="0.25">
      <c r="A16">
        <v>15</v>
      </c>
      <c r="B16" s="1">
        <v>42814</v>
      </c>
      <c r="C16" s="9"/>
      <c r="D16" s="9"/>
      <c r="E16" s="10">
        <v>2618000</v>
      </c>
      <c r="F16" s="11" t="s">
        <v>15</v>
      </c>
      <c r="G16" s="11" t="s">
        <v>10</v>
      </c>
      <c r="H16" s="14">
        <f>2618000-143600-125000-360000-500000-348000-300000-202000-189400-5.38</f>
        <v>449994.62</v>
      </c>
      <c r="I16" s="12">
        <f t="shared" si="0"/>
        <v>403</v>
      </c>
    </row>
    <row r="17" spans="1:9" x14ac:dyDescent="0.25">
      <c r="A17">
        <v>16</v>
      </c>
      <c r="B17" s="1">
        <v>42814</v>
      </c>
      <c r="C17" s="9"/>
      <c r="D17" s="9"/>
      <c r="E17" s="10">
        <v>72912</v>
      </c>
      <c r="F17" s="11" t="s">
        <v>29</v>
      </c>
      <c r="G17" s="11" t="s">
        <v>30</v>
      </c>
      <c r="H17" s="10">
        <v>72912</v>
      </c>
      <c r="I17" s="12">
        <f t="shared" si="0"/>
        <v>637</v>
      </c>
    </row>
    <row r="18" spans="1:9" x14ac:dyDescent="0.25">
      <c r="A18">
        <v>17</v>
      </c>
      <c r="B18" s="1">
        <v>42814</v>
      </c>
      <c r="C18" s="9"/>
      <c r="D18" s="9"/>
      <c r="E18" s="10">
        <v>3464600</v>
      </c>
      <c r="F18" s="11" t="s">
        <v>31</v>
      </c>
      <c r="G18" s="11" t="s">
        <v>32</v>
      </c>
      <c r="H18" s="10">
        <v>3464600</v>
      </c>
      <c r="I18" s="12">
        <f t="shared" si="0"/>
        <v>423</v>
      </c>
    </row>
    <row r="19" spans="1:9" x14ac:dyDescent="0.25">
      <c r="A19">
        <v>18</v>
      </c>
      <c r="B19" s="1">
        <v>42814</v>
      </c>
      <c r="C19" s="9"/>
      <c r="D19" s="9"/>
      <c r="E19" s="10">
        <v>2967200</v>
      </c>
      <c r="F19" s="11" t="s">
        <v>33</v>
      </c>
      <c r="G19" s="11" t="s">
        <v>34</v>
      </c>
      <c r="H19" s="14">
        <f>2967200-1366724-1119657-437619</f>
        <v>43200</v>
      </c>
      <c r="I19" s="12">
        <f t="shared" si="0"/>
        <v>464</v>
      </c>
    </row>
    <row r="20" spans="1:9" x14ac:dyDescent="0.25">
      <c r="A20">
        <v>19</v>
      </c>
      <c r="B20" s="1">
        <v>42814</v>
      </c>
      <c r="C20" s="9"/>
      <c r="D20" s="9"/>
      <c r="E20" s="10">
        <v>2470</v>
      </c>
      <c r="F20" s="11" t="s">
        <v>35</v>
      </c>
      <c r="G20" s="11" t="s">
        <v>24</v>
      </c>
      <c r="H20" s="10">
        <v>2470</v>
      </c>
      <c r="I20" s="12">
        <f t="shared" si="0"/>
        <v>410</v>
      </c>
    </row>
    <row r="21" spans="1:9" x14ac:dyDescent="0.25">
      <c r="A21">
        <v>20</v>
      </c>
      <c r="B21" s="1">
        <v>42814</v>
      </c>
      <c r="C21" s="9"/>
      <c r="D21" s="9"/>
      <c r="E21" s="10">
        <v>853440</v>
      </c>
      <c r="F21" s="11" t="s">
        <v>36</v>
      </c>
      <c r="G21" s="11" t="s">
        <v>37</v>
      </c>
      <c r="H21" s="10">
        <v>853440</v>
      </c>
      <c r="I21" s="12">
        <f t="shared" si="0"/>
        <v>515</v>
      </c>
    </row>
    <row r="22" spans="1:9" x14ac:dyDescent="0.25">
      <c r="A22">
        <v>21</v>
      </c>
      <c r="B22" s="1">
        <v>42814</v>
      </c>
      <c r="C22" s="9"/>
      <c r="D22" s="9"/>
      <c r="E22" s="10">
        <v>1560</v>
      </c>
      <c r="F22" s="11" t="s">
        <v>36</v>
      </c>
      <c r="G22" s="11" t="s">
        <v>37</v>
      </c>
      <c r="H22" s="10">
        <v>1560</v>
      </c>
      <c r="I22" s="12">
        <f t="shared" si="0"/>
        <v>515</v>
      </c>
    </row>
    <row r="23" spans="1:9" x14ac:dyDescent="0.25">
      <c r="A23">
        <v>22</v>
      </c>
      <c r="B23" s="1">
        <v>42814</v>
      </c>
      <c r="C23" s="9"/>
      <c r="D23" s="9"/>
      <c r="E23" s="10">
        <v>7590</v>
      </c>
      <c r="F23" s="11" t="s">
        <v>38</v>
      </c>
      <c r="G23" s="11" t="s">
        <v>39</v>
      </c>
      <c r="H23" s="10">
        <v>7590</v>
      </c>
      <c r="I23" s="11">
        <f t="shared" si="0"/>
        <v>392</v>
      </c>
    </row>
    <row r="24" spans="1:9" x14ac:dyDescent="0.25">
      <c r="A24">
        <v>23</v>
      </c>
      <c r="B24" s="1">
        <v>42814</v>
      </c>
      <c r="C24" s="9"/>
      <c r="D24" s="9"/>
      <c r="E24" s="10">
        <v>1020000</v>
      </c>
      <c r="F24" s="11" t="s">
        <v>40</v>
      </c>
      <c r="G24" s="11" t="s">
        <v>41</v>
      </c>
      <c r="H24" s="14">
        <f>1020000-257793-106709-142519-450000</f>
        <v>62979</v>
      </c>
      <c r="I24" s="11">
        <f t="shared" si="0"/>
        <v>372</v>
      </c>
    </row>
    <row r="25" spans="1:9" x14ac:dyDescent="0.25">
      <c r="A25">
        <v>24</v>
      </c>
      <c r="B25" s="1">
        <v>42814</v>
      </c>
      <c r="C25" s="9"/>
      <c r="D25" s="9"/>
      <c r="E25" s="10">
        <v>884000</v>
      </c>
      <c r="F25" s="11" t="s">
        <v>42</v>
      </c>
      <c r="G25" s="11" t="s">
        <v>43</v>
      </c>
      <c r="H25" s="10">
        <v>884000</v>
      </c>
      <c r="I25" s="11">
        <f t="shared" si="0"/>
        <v>375</v>
      </c>
    </row>
    <row r="26" spans="1:9" x14ac:dyDescent="0.25">
      <c r="A26">
        <v>25</v>
      </c>
      <c r="B26" s="1">
        <v>42814</v>
      </c>
      <c r="C26" s="9"/>
      <c r="D26" s="9"/>
      <c r="E26" s="10">
        <v>340000</v>
      </c>
      <c r="F26" s="11" t="s">
        <v>44</v>
      </c>
      <c r="G26" s="11" t="s">
        <v>20</v>
      </c>
      <c r="H26" s="14">
        <f>340000-128000</f>
        <v>212000</v>
      </c>
      <c r="I26" s="12">
        <f t="shared" si="0"/>
        <v>416</v>
      </c>
    </row>
    <row r="27" spans="1:9" x14ac:dyDescent="0.25">
      <c r="A27">
        <v>26</v>
      </c>
      <c r="B27" s="1">
        <v>42814</v>
      </c>
      <c r="C27" s="9"/>
      <c r="D27" s="9"/>
      <c r="E27" s="10">
        <v>341042.4</v>
      </c>
      <c r="F27" s="11" t="s">
        <v>40</v>
      </c>
      <c r="G27" s="11" t="s">
        <v>40</v>
      </c>
      <c r="H27" s="10">
        <v>341042.4</v>
      </c>
      <c r="I27" s="12">
        <f t="shared" si="0"/>
        <v>417</v>
      </c>
    </row>
    <row r="28" spans="1:9" x14ac:dyDescent="0.25">
      <c r="A28">
        <v>27</v>
      </c>
      <c r="B28" s="1">
        <v>42814</v>
      </c>
      <c r="C28" s="9"/>
      <c r="D28" s="9"/>
      <c r="E28" s="10">
        <v>1319030</v>
      </c>
      <c r="F28" s="11" t="s">
        <v>45</v>
      </c>
      <c r="G28" s="11" t="s">
        <v>45</v>
      </c>
      <c r="H28" s="10">
        <v>1319030</v>
      </c>
      <c r="I28" s="12">
        <f t="shared" si="0"/>
        <v>500</v>
      </c>
    </row>
    <row r="29" spans="1:9" x14ac:dyDescent="0.25">
      <c r="A29">
        <v>28</v>
      </c>
      <c r="B29" s="1">
        <v>42814</v>
      </c>
      <c r="C29" s="9"/>
      <c r="D29" s="9"/>
      <c r="E29" s="10">
        <v>3250</v>
      </c>
      <c r="F29" s="11" t="s">
        <v>35</v>
      </c>
      <c r="G29" s="11" t="s">
        <v>46</v>
      </c>
      <c r="H29" s="10">
        <v>3250</v>
      </c>
      <c r="I29" s="11">
        <f t="shared" si="0"/>
        <v>395</v>
      </c>
    </row>
    <row r="30" spans="1:9" x14ac:dyDescent="0.25">
      <c r="A30">
        <v>29</v>
      </c>
      <c r="B30" s="1">
        <v>42814</v>
      </c>
      <c r="C30" s="9"/>
      <c r="D30" s="9"/>
      <c r="E30" s="10">
        <v>3380</v>
      </c>
      <c r="F30" s="11" t="s">
        <v>47</v>
      </c>
      <c r="G30" s="11" t="s">
        <v>48</v>
      </c>
      <c r="H30" s="10">
        <v>3380</v>
      </c>
      <c r="I30" s="11">
        <f t="shared" si="0"/>
        <v>394</v>
      </c>
    </row>
    <row r="31" spans="1:9" x14ac:dyDescent="0.25">
      <c r="A31">
        <v>30</v>
      </c>
      <c r="B31" s="1">
        <v>42814</v>
      </c>
      <c r="C31" s="9"/>
      <c r="D31" s="9"/>
      <c r="E31" s="10">
        <v>3638000</v>
      </c>
      <c r="F31" s="11" t="s">
        <v>49</v>
      </c>
      <c r="G31" s="16">
        <v>42414</v>
      </c>
      <c r="H31" s="14">
        <f>3638000-1161240-118860</f>
        <v>2357900</v>
      </c>
      <c r="I31" s="11">
        <f t="shared" si="0"/>
        <v>400</v>
      </c>
    </row>
    <row r="32" spans="1:9" x14ac:dyDescent="0.25">
      <c r="A32">
        <v>31</v>
      </c>
      <c r="B32" s="1">
        <v>42814</v>
      </c>
      <c r="C32" s="9"/>
      <c r="D32" s="9"/>
      <c r="E32" s="10">
        <v>340000</v>
      </c>
      <c r="F32" s="11" t="s">
        <v>50</v>
      </c>
      <c r="G32" s="11" t="s">
        <v>32</v>
      </c>
      <c r="H32" s="10">
        <v>340000</v>
      </c>
      <c r="I32" s="12">
        <f t="shared" si="0"/>
        <v>423</v>
      </c>
    </row>
    <row r="33" spans="1:9" x14ac:dyDescent="0.25">
      <c r="A33">
        <v>32</v>
      </c>
      <c r="B33" s="1">
        <v>42814</v>
      </c>
      <c r="C33" s="9"/>
      <c r="D33" s="9"/>
      <c r="E33" s="10">
        <v>1361360</v>
      </c>
      <c r="F33" s="11" t="s">
        <v>51</v>
      </c>
      <c r="G33" s="11" t="s">
        <v>52</v>
      </c>
      <c r="H33" s="10">
        <v>1361360</v>
      </c>
      <c r="I33" s="12">
        <f t="shared" si="0"/>
        <v>501</v>
      </c>
    </row>
    <row r="34" spans="1:9" x14ac:dyDescent="0.25">
      <c r="A34">
        <v>33</v>
      </c>
      <c r="B34" s="1">
        <v>42814</v>
      </c>
      <c r="C34" s="9"/>
      <c r="D34" s="9"/>
      <c r="E34" s="13">
        <v>750</v>
      </c>
      <c r="F34" s="11" t="s">
        <v>53</v>
      </c>
      <c r="G34" s="11" t="s">
        <v>54</v>
      </c>
      <c r="H34" s="13">
        <v>750</v>
      </c>
      <c r="I34" s="12">
        <f t="shared" si="0"/>
        <v>1124</v>
      </c>
    </row>
    <row r="35" spans="1:9" x14ac:dyDescent="0.25">
      <c r="A35">
        <v>34</v>
      </c>
      <c r="B35" s="1">
        <v>42814</v>
      </c>
      <c r="C35" s="9"/>
      <c r="D35" s="9"/>
      <c r="E35" s="10">
        <v>1000</v>
      </c>
      <c r="F35" s="11" t="s">
        <v>55</v>
      </c>
      <c r="G35" s="11" t="s">
        <v>56</v>
      </c>
      <c r="H35" s="10">
        <v>1000</v>
      </c>
      <c r="I35" s="12">
        <f t="shared" si="0"/>
        <v>1065</v>
      </c>
    </row>
    <row r="36" spans="1:9" x14ac:dyDescent="0.25">
      <c r="A36">
        <v>35</v>
      </c>
      <c r="B36" s="1">
        <v>42814</v>
      </c>
      <c r="C36" s="9"/>
      <c r="D36" s="9"/>
      <c r="E36" s="13">
        <v>650</v>
      </c>
      <c r="F36" s="11" t="s">
        <v>18</v>
      </c>
      <c r="G36" s="11" t="s">
        <v>19</v>
      </c>
      <c r="H36" s="13">
        <v>650</v>
      </c>
      <c r="I36" s="12">
        <f t="shared" si="0"/>
        <v>497</v>
      </c>
    </row>
    <row r="37" spans="1:9" x14ac:dyDescent="0.25">
      <c r="A37">
        <v>36</v>
      </c>
      <c r="B37" s="1">
        <v>42814</v>
      </c>
      <c r="C37" s="9"/>
      <c r="D37" s="9"/>
      <c r="E37" s="13">
        <v>520</v>
      </c>
      <c r="F37" s="11" t="s">
        <v>18</v>
      </c>
      <c r="G37" s="11" t="s">
        <v>19</v>
      </c>
      <c r="H37" s="13">
        <v>520</v>
      </c>
      <c r="I37" s="12">
        <f t="shared" si="0"/>
        <v>497</v>
      </c>
    </row>
    <row r="38" spans="1:9" x14ac:dyDescent="0.25">
      <c r="A38">
        <v>37</v>
      </c>
      <c r="B38" s="1">
        <v>42814</v>
      </c>
      <c r="C38" s="9"/>
      <c r="D38" s="9"/>
      <c r="E38" s="17">
        <f>1800640</f>
        <v>1800640</v>
      </c>
      <c r="F38" s="11" t="s">
        <v>57</v>
      </c>
      <c r="G38" s="16">
        <v>42482</v>
      </c>
      <c r="H38" s="14">
        <f>1800640-1642961</f>
        <v>157679</v>
      </c>
      <c r="I38" s="12">
        <f t="shared" si="0"/>
        <v>332</v>
      </c>
    </row>
    <row r="39" spans="1:9" x14ac:dyDescent="0.25">
      <c r="A39">
        <v>38</v>
      </c>
      <c r="B39" s="1">
        <v>42814</v>
      </c>
      <c r="C39" s="9"/>
      <c r="D39" s="9"/>
      <c r="E39" s="10">
        <v>1560</v>
      </c>
      <c r="F39" s="11" t="s">
        <v>57</v>
      </c>
      <c r="G39" s="16">
        <v>42482</v>
      </c>
      <c r="H39" s="10">
        <v>1560</v>
      </c>
      <c r="I39" s="12">
        <f t="shared" si="0"/>
        <v>332</v>
      </c>
    </row>
    <row r="40" spans="1:9" x14ac:dyDescent="0.25">
      <c r="A40">
        <v>39</v>
      </c>
      <c r="B40" s="1">
        <v>42814</v>
      </c>
      <c r="C40" s="9"/>
      <c r="D40" s="9"/>
      <c r="E40" s="17">
        <f>291820</f>
        <v>291820</v>
      </c>
      <c r="F40" s="11" t="s">
        <v>58</v>
      </c>
      <c r="G40" s="16">
        <f t="shared" ref="G40:G49" si="1">F40+45</f>
        <v>42502</v>
      </c>
      <c r="H40" s="14">
        <f>291820-253981</f>
        <v>37839</v>
      </c>
      <c r="I40" s="12">
        <f t="shared" si="0"/>
        <v>312</v>
      </c>
    </row>
    <row r="41" spans="1:9" x14ac:dyDescent="0.25">
      <c r="A41">
        <v>40</v>
      </c>
      <c r="B41" s="1">
        <v>42814</v>
      </c>
      <c r="C41" s="9"/>
      <c r="D41" s="9"/>
      <c r="E41" s="10">
        <v>816000</v>
      </c>
      <c r="F41" s="11" t="s">
        <v>59</v>
      </c>
      <c r="G41" s="16">
        <f t="shared" si="1"/>
        <v>42471</v>
      </c>
      <c r="H41" s="14">
        <f>816000-206023.84-74759.96-500000</f>
        <v>35216.20000000007</v>
      </c>
      <c r="I41" s="12">
        <f t="shared" si="0"/>
        <v>343</v>
      </c>
    </row>
    <row r="42" spans="1:9" x14ac:dyDescent="0.25">
      <c r="A42">
        <v>41</v>
      </c>
      <c r="B42" s="1">
        <v>42814</v>
      </c>
      <c r="C42" s="9"/>
      <c r="D42" s="9"/>
      <c r="E42" s="10">
        <v>926000</v>
      </c>
      <c r="F42" s="11" t="s">
        <v>60</v>
      </c>
      <c r="G42" s="16">
        <f t="shared" si="1"/>
        <v>42478</v>
      </c>
      <c r="H42" s="14">
        <f>926000-836106.84</f>
        <v>89893.160000000033</v>
      </c>
      <c r="I42" s="12">
        <f t="shared" si="0"/>
        <v>336</v>
      </c>
    </row>
    <row r="43" spans="1:9" x14ac:dyDescent="0.25">
      <c r="A43">
        <v>42</v>
      </c>
      <c r="B43" s="1">
        <v>42814</v>
      </c>
      <c r="C43" s="9"/>
      <c r="D43" s="9"/>
      <c r="E43" s="10">
        <v>907800</v>
      </c>
      <c r="F43" s="11" t="s">
        <v>61</v>
      </c>
      <c r="G43" s="16">
        <f t="shared" si="1"/>
        <v>42485</v>
      </c>
      <c r="H43" s="10">
        <v>907800</v>
      </c>
      <c r="I43" s="12">
        <f t="shared" si="0"/>
        <v>329</v>
      </c>
    </row>
    <row r="44" spans="1:9" x14ac:dyDescent="0.25">
      <c r="A44">
        <v>44</v>
      </c>
      <c r="B44" s="1">
        <v>42814</v>
      </c>
      <c r="C44" s="9"/>
      <c r="D44" s="9"/>
      <c r="E44" s="10">
        <v>4021660</v>
      </c>
      <c r="F44" s="11" t="s">
        <v>62</v>
      </c>
      <c r="G44" s="16">
        <f t="shared" si="1"/>
        <v>42506</v>
      </c>
      <c r="H44" s="14">
        <f>4021660-480960</f>
        <v>3540700</v>
      </c>
      <c r="I44" s="12">
        <f t="shared" si="0"/>
        <v>308</v>
      </c>
    </row>
    <row r="45" spans="1:9" x14ac:dyDescent="0.25">
      <c r="A45">
        <v>45</v>
      </c>
      <c r="B45" s="1">
        <v>42814</v>
      </c>
      <c r="C45" s="9"/>
      <c r="D45" s="9"/>
      <c r="E45" s="10">
        <v>3308760</v>
      </c>
      <c r="F45" s="16" t="s">
        <v>63</v>
      </c>
      <c r="G45" s="16">
        <f t="shared" si="1"/>
        <v>42523</v>
      </c>
      <c r="H45" s="14">
        <f>3308760-798707</f>
        <v>2510053</v>
      </c>
      <c r="I45" s="12">
        <f t="shared" si="0"/>
        <v>291</v>
      </c>
    </row>
    <row r="46" spans="1:9" x14ac:dyDescent="0.25">
      <c r="A46">
        <v>46</v>
      </c>
      <c r="B46" s="1">
        <v>42814</v>
      </c>
      <c r="C46" s="9"/>
      <c r="D46" s="9"/>
      <c r="E46" s="10">
        <v>1760000</v>
      </c>
      <c r="F46" s="16" t="s">
        <v>64</v>
      </c>
      <c r="G46" s="16">
        <f t="shared" si="1"/>
        <v>42524</v>
      </c>
      <c r="H46" s="14">
        <f>1760000-114292.52-797784-45010.17</f>
        <v>802913.30999999994</v>
      </c>
      <c r="I46" s="12">
        <f t="shared" si="0"/>
        <v>290</v>
      </c>
    </row>
    <row r="47" spans="1:9" x14ac:dyDescent="0.25">
      <c r="A47">
        <v>48</v>
      </c>
      <c r="B47" s="1">
        <v>42814</v>
      </c>
      <c r="C47" s="9"/>
      <c r="D47" s="9"/>
      <c r="E47" s="17">
        <v>3804320</v>
      </c>
      <c r="F47" s="16" t="s">
        <v>65</v>
      </c>
      <c r="G47" s="16">
        <f t="shared" si="1"/>
        <v>42526</v>
      </c>
      <c r="H47" s="10">
        <v>3804320</v>
      </c>
      <c r="I47" s="12">
        <f t="shared" si="0"/>
        <v>288</v>
      </c>
    </row>
    <row r="48" spans="1:9" x14ac:dyDescent="0.25">
      <c r="A48">
        <v>50</v>
      </c>
      <c r="B48" s="1">
        <v>42814</v>
      </c>
      <c r="C48" s="9"/>
      <c r="D48" s="9"/>
      <c r="E48" s="17">
        <v>2555656</v>
      </c>
      <c r="F48" s="16">
        <v>42486</v>
      </c>
      <c r="G48" s="16">
        <f t="shared" si="1"/>
        <v>42531</v>
      </c>
      <c r="H48" s="14">
        <f>2555656-122320.38-300000-200000-400000-15600-400000-200000-200000-200000-286400-117735.62</f>
        <v>113600.00000000012</v>
      </c>
      <c r="I48" s="12">
        <f t="shared" si="0"/>
        <v>283</v>
      </c>
    </row>
    <row r="49" spans="1:9" x14ac:dyDescent="0.25">
      <c r="A49">
        <v>51</v>
      </c>
      <c r="B49" s="1">
        <v>42814</v>
      </c>
      <c r="C49" s="9"/>
      <c r="D49" s="9"/>
      <c r="E49" s="10">
        <v>3638820</v>
      </c>
      <c r="F49" s="16" t="s">
        <v>66</v>
      </c>
      <c r="G49" s="16">
        <f t="shared" si="1"/>
        <v>42540</v>
      </c>
      <c r="H49" s="14">
        <f>3638820-938820-100000-100000-500000-250000-1500000-106006.27</f>
        <v>143993.72999999998</v>
      </c>
      <c r="I49" s="12">
        <f t="shared" si="0"/>
        <v>274</v>
      </c>
    </row>
    <row r="50" spans="1:9" x14ac:dyDescent="0.25">
      <c r="A50">
        <v>54</v>
      </c>
      <c r="B50" s="1">
        <v>42814</v>
      </c>
      <c r="C50" s="9"/>
      <c r="D50" s="9"/>
      <c r="E50" s="10">
        <v>343728</v>
      </c>
      <c r="F50" s="16" t="s">
        <v>67</v>
      </c>
      <c r="G50" s="16">
        <f>F50+45</f>
        <v>42558</v>
      </c>
      <c r="H50" s="10">
        <v>343728</v>
      </c>
      <c r="I50" s="12">
        <f t="shared" si="0"/>
        <v>256</v>
      </c>
    </row>
    <row r="51" spans="1:9" x14ac:dyDescent="0.25">
      <c r="A51">
        <v>55</v>
      </c>
      <c r="B51" s="1">
        <v>42814</v>
      </c>
      <c r="C51" s="9"/>
      <c r="D51" s="9"/>
      <c r="E51" s="17">
        <f>1161000</f>
        <v>1161000</v>
      </c>
      <c r="F51" s="16" t="s">
        <v>67</v>
      </c>
      <c r="G51" s="16">
        <f>F51+45</f>
        <v>42558</v>
      </c>
      <c r="H51" s="14">
        <f>1161000-246200-300000-394200-93045</f>
        <v>127555</v>
      </c>
      <c r="I51" s="12">
        <f t="shared" si="0"/>
        <v>256</v>
      </c>
    </row>
    <row r="52" spans="1:9" x14ac:dyDescent="0.25">
      <c r="A52">
        <v>56</v>
      </c>
      <c r="B52" s="1">
        <v>42814</v>
      </c>
      <c r="C52" s="9"/>
      <c r="D52" s="9"/>
      <c r="E52" s="10">
        <v>69888</v>
      </c>
      <c r="F52" s="16" t="s">
        <v>68</v>
      </c>
      <c r="G52" s="16">
        <f>F52+45</f>
        <v>42567</v>
      </c>
      <c r="H52" s="14">
        <f>69888-47888</f>
        <v>22000</v>
      </c>
      <c r="I52" s="12">
        <f t="shared" si="0"/>
        <v>247</v>
      </c>
    </row>
    <row r="53" spans="1:9" x14ac:dyDescent="0.25">
      <c r="A53">
        <v>57</v>
      </c>
      <c r="B53" s="1">
        <v>42814</v>
      </c>
      <c r="C53" s="9"/>
      <c r="D53" s="9"/>
      <c r="E53" s="17">
        <f>784400</f>
        <v>784400</v>
      </c>
      <c r="F53" s="16" t="s">
        <v>69</v>
      </c>
      <c r="G53" s="16">
        <v>42597</v>
      </c>
      <c r="H53" s="14">
        <f>784400-124400-150000-150000-100000-90000-87600</f>
        <v>82400</v>
      </c>
      <c r="I53" s="12">
        <f t="shared" si="0"/>
        <v>217</v>
      </c>
    </row>
    <row r="54" spans="1:9" x14ac:dyDescent="0.25">
      <c r="A54">
        <v>58</v>
      </c>
      <c r="B54" s="1">
        <v>42814</v>
      </c>
      <c r="C54" s="9"/>
      <c r="D54" s="9"/>
      <c r="E54" s="10">
        <v>680400</v>
      </c>
      <c r="F54" s="16" t="s">
        <v>70</v>
      </c>
      <c r="G54" s="16">
        <v>42557</v>
      </c>
      <c r="H54" s="14">
        <f>680400-615200</f>
        <v>65200</v>
      </c>
      <c r="I54" s="12">
        <f t="shared" si="0"/>
        <v>257</v>
      </c>
    </row>
    <row r="55" spans="1:9" x14ac:dyDescent="0.25">
      <c r="A55">
        <v>59</v>
      </c>
      <c r="B55" s="1">
        <v>42814</v>
      </c>
      <c r="C55" s="9"/>
      <c r="D55" s="9"/>
      <c r="E55" s="10">
        <v>351884.66</v>
      </c>
      <c r="F55" s="16" t="s">
        <v>71</v>
      </c>
      <c r="G55" s="16">
        <v>42571</v>
      </c>
      <c r="H55" s="14">
        <f>351884.56-100000-120000-130000</f>
        <v>1884.5599999999977</v>
      </c>
      <c r="I55" s="12">
        <f t="shared" si="0"/>
        <v>243</v>
      </c>
    </row>
    <row r="56" spans="1:9" x14ac:dyDescent="0.25">
      <c r="A56">
        <v>62</v>
      </c>
      <c r="B56" s="1">
        <v>42814</v>
      </c>
      <c r="C56" s="9"/>
      <c r="D56" s="9"/>
      <c r="E56" s="10">
        <v>1017500</v>
      </c>
      <c r="F56" s="16">
        <v>42551</v>
      </c>
      <c r="G56" s="16">
        <v>42581</v>
      </c>
      <c r="H56" s="14">
        <f>1017500-270136.34-740000</f>
        <v>7363.6599999999162</v>
      </c>
      <c r="I56" s="12">
        <f t="shared" si="0"/>
        <v>233</v>
      </c>
    </row>
    <row r="57" spans="1:9" x14ac:dyDescent="0.25">
      <c r="A57">
        <v>63</v>
      </c>
      <c r="B57" s="1">
        <v>42814</v>
      </c>
      <c r="C57" s="9"/>
      <c r="D57" s="9"/>
      <c r="E57" s="10">
        <v>740000</v>
      </c>
      <c r="F57" s="16">
        <v>42557</v>
      </c>
      <c r="G57" s="16">
        <v>42587</v>
      </c>
      <c r="H57" s="10">
        <v>740000</v>
      </c>
      <c r="I57" s="12">
        <f t="shared" si="0"/>
        <v>227</v>
      </c>
    </row>
    <row r="58" spans="1:9" x14ac:dyDescent="0.25">
      <c r="A58">
        <v>66</v>
      </c>
      <c r="B58" s="1">
        <v>42814</v>
      </c>
      <c r="C58" s="9"/>
      <c r="D58" s="9"/>
      <c r="E58" s="10">
        <v>95460</v>
      </c>
      <c r="F58" s="16">
        <v>42559</v>
      </c>
      <c r="G58" s="16">
        <v>42589</v>
      </c>
      <c r="H58" s="10">
        <v>95460</v>
      </c>
      <c r="I58" s="12">
        <f t="shared" si="0"/>
        <v>225</v>
      </c>
    </row>
    <row r="59" spans="1:9" x14ac:dyDescent="0.25">
      <c r="A59">
        <v>67</v>
      </c>
      <c r="B59" s="1">
        <v>42814</v>
      </c>
      <c r="C59" s="9"/>
      <c r="D59" s="9"/>
      <c r="E59" s="10">
        <v>185000</v>
      </c>
      <c r="F59" s="16">
        <v>42559</v>
      </c>
      <c r="G59" s="16">
        <v>42589</v>
      </c>
      <c r="H59" s="14">
        <f>185000-166285</f>
        <v>18715</v>
      </c>
      <c r="I59" s="12">
        <f t="shared" si="0"/>
        <v>225</v>
      </c>
    </row>
    <row r="60" spans="1:9" x14ac:dyDescent="0.25">
      <c r="A60">
        <v>69</v>
      </c>
      <c r="B60" s="1">
        <v>42814</v>
      </c>
      <c r="C60" s="9"/>
      <c r="D60" s="9"/>
      <c r="E60" s="10">
        <v>720600</v>
      </c>
      <c r="F60" s="16">
        <v>42563</v>
      </c>
      <c r="G60" s="16">
        <v>42593</v>
      </c>
      <c r="H60" s="10">
        <v>720600</v>
      </c>
      <c r="I60" s="12">
        <f t="shared" si="0"/>
        <v>221</v>
      </c>
    </row>
    <row r="61" spans="1:9" x14ac:dyDescent="0.25">
      <c r="A61">
        <v>70</v>
      </c>
      <c r="B61" s="1">
        <v>42814</v>
      </c>
      <c r="C61" s="9"/>
      <c r="D61" s="9"/>
      <c r="E61" s="17">
        <f>1850000</f>
        <v>1850000</v>
      </c>
      <c r="F61" s="16">
        <v>42569</v>
      </c>
      <c r="G61" s="16">
        <v>42599</v>
      </c>
      <c r="H61" s="14">
        <f>1850000-1735250-100</f>
        <v>114650</v>
      </c>
      <c r="I61" s="12">
        <f t="shared" si="0"/>
        <v>215</v>
      </c>
    </row>
    <row r="62" spans="1:9" x14ac:dyDescent="0.25">
      <c r="A62">
        <v>71</v>
      </c>
      <c r="B62" s="1">
        <v>42814</v>
      </c>
      <c r="C62" s="9"/>
      <c r="D62" s="9"/>
      <c r="E62" s="10">
        <v>3158396</v>
      </c>
      <c r="F62" s="16">
        <v>42571</v>
      </c>
      <c r="G62" s="16">
        <v>42631</v>
      </c>
      <c r="H62" s="14">
        <f>3158396-1797212.53</f>
        <v>1361183.47</v>
      </c>
      <c r="I62" s="12">
        <f t="shared" si="0"/>
        <v>183</v>
      </c>
    </row>
    <row r="63" spans="1:9" x14ac:dyDescent="0.25">
      <c r="A63">
        <v>74</v>
      </c>
      <c r="B63" s="1">
        <v>42814</v>
      </c>
      <c r="C63" s="9"/>
      <c r="D63" s="9"/>
      <c r="E63" s="10">
        <v>3139285.44</v>
      </c>
      <c r="F63" s="16">
        <v>42599</v>
      </c>
      <c r="G63" s="16">
        <v>42659</v>
      </c>
      <c r="H63" s="10">
        <v>3139285.44</v>
      </c>
      <c r="I63" s="12">
        <f t="shared" si="0"/>
        <v>155</v>
      </c>
    </row>
    <row r="64" spans="1:9" x14ac:dyDescent="0.25">
      <c r="A64">
        <v>77</v>
      </c>
      <c r="B64" s="1">
        <v>42814</v>
      </c>
      <c r="C64" s="9"/>
      <c r="D64" s="9"/>
      <c r="E64" s="17">
        <f>2304000</f>
        <v>2304000</v>
      </c>
      <c r="F64" s="16">
        <v>42612</v>
      </c>
      <c r="G64" s="16">
        <f>F64+45</f>
        <v>42657</v>
      </c>
      <c r="H64" s="14">
        <f>2304000-2193408-199860</f>
        <v>-89268</v>
      </c>
      <c r="I64" s="12">
        <f t="shared" si="0"/>
        <v>157</v>
      </c>
    </row>
    <row r="65" spans="1:9" x14ac:dyDescent="0.25">
      <c r="A65">
        <v>78</v>
      </c>
      <c r="B65" s="1">
        <v>42814</v>
      </c>
      <c r="C65" s="9"/>
      <c r="D65" s="9"/>
      <c r="E65" s="17">
        <v>2035000</v>
      </c>
      <c r="F65" s="16">
        <v>42612</v>
      </c>
      <c r="G65" s="16">
        <f>F65+45</f>
        <v>42657</v>
      </c>
      <c r="H65" s="14">
        <f>2035000-4000-500000-350000-300000-100000-500000</f>
        <v>281000</v>
      </c>
      <c r="I65" s="12">
        <f t="shared" si="0"/>
        <v>157</v>
      </c>
    </row>
    <row r="66" spans="1:9" x14ac:dyDescent="0.25">
      <c r="A66">
        <v>79</v>
      </c>
      <c r="B66" s="1">
        <v>42814</v>
      </c>
      <c r="C66" s="9"/>
      <c r="D66" s="9"/>
      <c r="E66" s="17">
        <v>1925000</v>
      </c>
      <c r="F66" s="16">
        <v>42612</v>
      </c>
      <c r="G66" s="16">
        <f>F66+45</f>
        <v>42657</v>
      </c>
      <c r="H66" s="10">
        <v>1925000</v>
      </c>
      <c r="I66" s="12">
        <f t="shared" si="0"/>
        <v>157</v>
      </c>
    </row>
    <row r="67" spans="1:9" x14ac:dyDescent="0.25">
      <c r="A67">
        <v>80</v>
      </c>
      <c r="B67" s="1">
        <v>42814</v>
      </c>
      <c r="C67" s="9"/>
      <c r="D67" s="9"/>
      <c r="E67" s="17">
        <v>795500</v>
      </c>
      <c r="F67" s="16">
        <v>42613</v>
      </c>
      <c r="G67" s="16">
        <f>F67+45</f>
        <v>42658</v>
      </c>
      <c r="H67" s="14">
        <f>795500-557500-100000-40064</f>
        <v>97936</v>
      </c>
      <c r="I67" s="12">
        <f t="shared" ref="I67:I130" si="2">$B$1-G67</f>
        <v>156</v>
      </c>
    </row>
    <row r="68" spans="1:9" x14ac:dyDescent="0.25">
      <c r="A68">
        <v>84</v>
      </c>
      <c r="B68" s="1">
        <v>42814</v>
      </c>
      <c r="C68" s="9"/>
      <c r="D68" s="9"/>
      <c r="E68" s="17">
        <f>555000</f>
        <v>555000</v>
      </c>
      <c r="F68" s="16">
        <v>42621</v>
      </c>
      <c r="G68" s="16">
        <v>42666</v>
      </c>
      <c r="H68" s="14">
        <f>555000-55000-483560</f>
        <v>16440</v>
      </c>
      <c r="I68" s="12">
        <f t="shared" si="2"/>
        <v>148</v>
      </c>
    </row>
    <row r="69" spans="1:9" x14ac:dyDescent="0.25">
      <c r="A69">
        <v>88</v>
      </c>
      <c r="B69" s="1">
        <v>42814</v>
      </c>
      <c r="C69" s="9"/>
      <c r="D69" s="9"/>
      <c r="E69" s="10">
        <v>787500</v>
      </c>
      <c r="F69" s="16">
        <v>42632</v>
      </c>
      <c r="G69" s="16">
        <v>42677</v>
      </c>
      <c r="H69" s="14">
        <f>787500-80230-100000-100000-233500-200000</f>
        <v>73770</v>
      </c>
      <c r="I69" s="12">
        <f t="shared" si="2"/>
        <v>137</v>
      </c>
    </row>
    <row r="70" spans="1:9" x14ac:dyDescent="0.25">
      <c r="A70">
        <v>89</v>
      </c>
      <c r="B70" s="1">
        <v>42814</v>
      </c>
      <c r="C70" s="9"/>
      <c r="D70" s="9"/>
      <c r="E70" s="17">
        <f>3897600</f>
        <v>3897600</v>
      </c>
      <c r="F70" s="16">
        <v>42634</v>
      </c>
      <c r="G70" s="16">
        <v>42679</v>
      </c>
      <c r="H70" s="14">
        <f>3897600-3517610</f>
        <v>379990</v>
      </c>
      <c r="I70" s="12">
        <f t="shared" si="2"/>
        <v>135</v>
      </c>
    </row>
    <row r="71" spans="1:9" x14ac:dyDescent="0.25">
      <c r="A71">
        <v>91</v>
      </c>
      <c r="B71" s="1">
        <v>42814</v>
      </c>
      <c r="C71" s="9"/>
      <c r="D71" s="9"/>
      <c r="E71" s="17">
        <f>3752000</f>
        <v>3752000</v>
      </c>
      <c r="F71" s="16">
        <v>42636</v>
      </c>
      <c r="G71" s="16">
        <v>42681</v>
      </c>
      <c r="H71" s="14">
        <f>3752000-100000-200000-70000</f>
        <v>3382000</v>
      </c>
      <c r="I71" s="12">
        <f t="shared" si="2"/>
        <v>133</v>
      </c>
    </row>
    <row r="72" spans="1:9" x14ac:dyDescent="0.25">
      <c r="A72">
        <v>94</v>
      </c>
      <c r="B72" s="1">
        <v>42814</v>
      </c>
      <c r="C72" s="9"/>
      <c r="D72" s="9"/>
      <c r="E72" s="17">
        <f>3432499.2</f>
        <v>3432499.2000000002</v>
      </c>
      <c r="F72" s="16">
        <v>42640</v>
      </c>
      <c r="G72" s="16">
        <v>42685</v>
      </c>
      <c r="H72" s="14">
        <f>3432499.2-1194939.05-1230041.1-347844.57</f>
        <v>659674.48000000021</v>
      </c>
      <c r="I72" s="12">
        <f t="shared" si="2"/>
        <v>129</v>
      </c>
    </row>
    <row r="73" spans="1:9" x14ac:dyDescent="0.25">
      <c r="A73">
        <v>97</v>
      </c>
      <c r="B73" s="1">
        <v>42814</v>
      </c>
      <c r="C73" s="9"/>
      <c r="D73" s="9"/>
      <c r="E73" s="17">
        <v>3825000</v>
      </c>
      <c r="F73" s="16">
        <v>42641</v>
      </c>
      <c r="G73" s="16">
        <v>42686</v>
      </c>
      <c r="H73" s="14">
        <f>3825000-2000000-300000-500000-300000-226467.2</f>
        <v>498532.8</v>
      </c>
      <c r="I73" s="12">
        <f t="shared" si="2"/>
        <v>128</v>
      </c>
    </row>
    <row r="74" spans="1:9" x14ac:dyDescent="0.25">
      <c r="A74">
        <v>98</v>
      </c>
      <c r="B74" s="1">
        <v>42814</v>
      </c>
      <c r="C74" s="9"/>
      <c r="D74" s="9"/>
      <c r="E74" s="17">
        <f>3880756</f>
        <v>3880756</v>
      </c>
      <c r="F74" s="16">
        <v>42642</v>
      </c>
      <c r="G74" s="16">
        <v>42687</v>
      </c>
      <c r="H74" s="14">
        <f>3880756-20000-385960-200000-250000-660000-300000-200000-200000-100000-177192-300000-600000-429243.85-30360.15</f>
        <v>28000.000000000022</v>
      </c>
      <c r="I74" s="12">
        <f t="shared" si="2"/>
        <v>127</v>
      </c>
    </row>
    <row r="75" spans="1:9" x14ac:dyDescent="0.25">
      <c r="A75">
        <v>101</v>
      </c>
      <c r="B75" s="1">
        <v>42814</v>
      </c>
      <c r="C75" s="9"/>
      <c r="D75" s="9"/>
      <c r="E75" s="10">
        <v>812920</v>
      </c>
      <c r="F75" s="16">
        <v>42643</v>
      </c>
      <c r="G75" s="16">
        <v>42688</v>
      </c>
      <c r="H75" s="14">
        <f>812920-100000-483360-200000</f>
        <v>29560</v>
      </c>
      <c r="I75" s="12">
        <f t="shared" si="2"/>
        <v>126</v>
      </c>
    </row>
    <row r="76" spans="1:9" x14ac:dyDescent="0.25">
      <c r="A76">
        <v>105</v>
      </c>
      <c r="B76" s="1">
        <v>42814</v>
      </c>
      <c r="C76" s="9"/>
      <c r="D76" s="9"/>
      <c r="E76" s="17">
        <f>296000</f>
        <v>296000</v>
      </c>
      <c r="F76" s="16">
        <v>42643</v>
      </c>
      <c r="G76" s="16">
        <v>42688</v>
      </c>
      <c r="H76" s="14">
        <f>296000-50000-50000-177300</f>
        <v>18700</v>
      </c>
      <c r="I76" s="12">
        <f t="shared" si="2"/>
        <v>126</v>
      </c>
    </row>
    <row r="77" spans="1:9" x14ac:dyDescent="0.25">
      <c r="A77">
        <v>109</v>
      </c>
      <c r="B77" s="1">
        <v>42814</v>
      </c>
      <c r="C77" s="9"/>
      <c r="D77" s="9"/>
      <c r="E77" s="10">
        <v>3881000</v>
      </c>
      <c r="F77" s="16">
        <v>42646</v>
      </c>
      <c r="G77" s="16">
        <v>42691</v>
      </c>
      <c r="H77" s="10">
        <v>3881000</v>
      </c>
      <c r="I77" s="12">
        <f t="shared" si="2"/>
        <v>123</v>
      </c>
    </row>
    <row r="78" spans="1:9" x14ac:dyDescent="0.25">
      <c r="A78">
        <v>110</v>
      </c>
      <c r="B78" s="1">
        <v>42814</v>
      </c>
      <c r="C78" s="9"/>
      <c r="D78" s="9"/>
      <c r="E78" s="10">
        <v>334080</v>
      </c>
      <c r="F78" s="16">
        <v>42647</v>
      </c>
      <c r="G78" s="16">
        <v>42692</v>
      </c>
      <c r="H78" s="10">
        <v>334080</v>
      </c>
      <c r="I78" s="12">
        <f t="shared" si="2"/>
        <v>122</v>
      </c>
    </row>
    <row r="79" spans="1:9" x14ac:dyDescent="0.25">
      <c r="A79">
        <v>112</v>
      </c>
      <c r="B79" s="1">
        <v>42814</v>
      </c>
      <c r="C79" s="9"/>
      <c r="D79" s="9"/>
      <c r="E79" s="17">
        <f>1169120</f>
        <v>1169120</v>
      </c>
      <c r="F79" s="16">
        <v>42648</v>
      </c>
      <c r="G79" s="16">
        <v>42693</v>
      </c>
      <c r="H79" s="14">
        <f>271126.38-100000-79894.84-40265</f>
        <v>50966.540000000008</v>
      </c>
      <c r="I79" s="12">
        <f t="shared" si="2"/>
        <v>121</v>
      </c>
    </row>
    <row r="80" spans="1:9" x14ac:dyDescent="0.25">
      <c r="A80">
        <v>116</v>
      </c>
      <c r="B80" s="1">
        <v>42814</v>
      </c>
      <c r="C80" s="9"/>
      <c r="D80" s="9"/>
      <c r="E80" s="17">
        <f>296000</f>
        <v>296000</v>
      </c>
      <c r="F80" s="16">
        <v>42649</v>
      </c>
      <c r="G80" s="16">
        <v>42694</v>
      </c>
      <c r="H80" s="14">
        <f>296000-117577.6-2600-3380</f>
        <v>172442.4</v>
      </c>
      <c r="I80" s="12">
        <f t="shared" si="2"/>
        <v>120</v>
      </c>
    </row>
    <row r="81" spans="1:9" x14ac:dyDescent="0.25">
      <c r="A81">
        <v>121</v>
      </c>
      <c r="B81" s="1">
        <v>42814</v>
      </c>
      <c r="C81" s="9"/>
      <c r="D81" s="9"/>
      <c r="E81" s="10">
        <v>3823540</v>
      </c>
      <c r="F81" s="16">
        <v>42650</v>
      </c>
      <c r="G81" s="16">
        <v>42695</v>
      </c>
      <c r="H81" s="14">
        <f>3823540-520000-220000-1195196.8-357000-1200000-150000</f>
        <v>181343.19999999995</v>
      </c>
      <c r="I81" s="12">
        <f t="shared" si="2"/>
        <v>119</v>
      </c>
    </row>
    <row r="82" spans="1:9" x14ac:dyDescent="0.25">
      <c r="A82">
        <v>123</v>
      </c>
      <c r="B82" s="1">
        <v>42814</v>
      </c>
      <c r="C82" s="9"/>
      <c r="D82" s="9"/>
      <c r="E82" s="10">
        <v>3669120</v>
      </c>
      <c r="F82" s="16">
        <v>42650</v>
      </c>
      <c r="G82" s="18">
        <v>42690</v>
      </c>
      <c r="H82" s="14">
        <f>3669120-890702-191568</f>
        <v>2586850</v>
      </c>
      <c r="I82" s="12">
        <f t="shared" si="2"/>
        <v>124</v>
      </c>
    </row>
    <row r="83" spans="1:9" x14ac:dyDescent="0.25">
      <c r="A83">
        <v>124</v>
      </c>
      <c r="B83" s="1">
        <v>42814</v>
      </c>
      <c r="C83" s="9"/>
      <c r="D83" s="9"/>
      <c r="E83" s="10">
        <v>3850000</v>
      </c>
      <c r="F83" s="16">
        <v>42650</v>
      </c>
      <c r="G83" s="18">
        <v>42690</v>
      </c>
      <c r="H83" s="10">
        <v>3850000</v>
      </c>
      <c r="I83" s="12">
        <f t="shared" si="2"/>
        <v>124</v>
      </c>
    </row>
    <row r="84" spans="1:9" x14ac:dyDescent="0.25">
      <c r="A84">
        <v>130</v>
      </c>
      <c r="B84" s="1">
        <v>42814</v>
      </c>
      <c r="C84" s="9"/>
      <c r="D84" s="9"/>
      <c r="E84" s="10">
        <v>2405000</v>
      </c>
      <c r="F84" s="16">
        <v>42654</v>
      </c>
      <c r="G84" s="18">
        <v>42694</v>
      </c>
      <c r="H84" s="10">
        <v>2405000</v>
      </c>
      <c r="I84" s="12">
        <f t="shared" si="2"/>
        <v>120</v>
      </c>
    </row>
    <row r="85" spans="1:9" x14ac:dyDescent="0.25">
      <c r="A85">
        <v>131</v>
      </c>
      <c r="B85" s="1">
        <v>42814</v>
      </c>
      <c r="C85" s="9"/>
      <c r="D85" s="9"/>
      <c r="E85" s="10">
        <v>3337208</v>
      </c>
      <c r="F85" s="16">
        <v>42654</v>
      </c>
      <c r="G85" s="18">
        <v>42694</v>
      </c>
      <c r="H85" s="14">
        <f>3337208-1019070-200000</f>
        <v>2118138</v>
      </c>
      <c r="I85" s="12">
        <f t="shared" si="2"/>
        <v>120</v>
      </c>
    </row>
    <row r="86" spans="1:9" x14ac:dyDescent="0.25">
      <c r="A86">
        <v>132</v>
      </c>
      <c r="B86" s="1">
        <v>42814</v>
      </c>
      <c r="C86" s="9"/>
      <c r="D86" s="9"/>
      <c r="E86" s="10">
        <v>2452600</v>
      </c>
      <c r="F86" s="16">
        <v>42654</v>
      </c>
      <c r="G86" s="18">
        <v>42694</v>
      </c>
      <c r="H86" s="10">
        <v>2452600</v>
      </c>
      <c r="I86" s="12">
        <f t="shared" si="2"/>
        <v>120</v>
      </c>
    </row>
    <row r="87" spans="1:9" x14ac:dyDescent="0.25">
      <c r="A87">
        <v>133</v>
      </c>
      <c r="B87" s="1">
        <v>42814</v>
      </c>
      <c r="C87" s="9"/>
      <c r="D87" s="9"/>
      <c r="E87" s="10">
        <v>736080</v>
      </c>
      <c r="F87" s="16">
        <v>42654</v>
      </c>
      <c r="G87" s="18">
        <v>42694</v>
      </c>
      <c r="H87" s="10">
        <v>736080</v>
      </c>
      <c r="I87" s="12">
        <f t="shared" si="2"/>
        <v>120</v>
      </c>
    </row>
    <row r="88" spans="1:9" x14ac:dyDescent="0.25">
      <c r="A88">
        <v>134</v>
      </c>
      <c r="B88" s="1">
        <v>42814</v>
      </c>
      <c r="C88" s="9"/>
      <c r="D88" s="9"/>
      <c r="E88" s="10">
        <v>1635000</v>
      </c>
      <c r="F88" s="16">
        <v>42654</v>
      </c>
      <c r="G88" s="18">
        <v>42694</v>
      </c>
      <c r="H88" s="10">
        <v>1635000</v>
      </c>
      <c r="I88" s="12">
        <f t="shared" si="2"/>
        <v>120</v>
      </c>
    </row>
    <row r="89" spans="1:9" x14ac:dyDescent="0.25">
      <c r="A89">
        <v>135</v>
      </c>
      <c r="B89" s="1">
        <v>42814</v>
      </c>
      <c r="C89" s="9"/>
      <c r="D89" s="9"/>
      <c r="E89" s="10">
        <v>2601400</v>
      </c>
      <c r="F89" s="16">
        <v>42654</v>
      </c>
      <c r="G89" s="18">
        <v>42694</v>
      </c>
      <c r="H89" s="10">
        <v>2601400</v>
      </c>
      <c r="I89" s="12">
        <f t="shared" si="2"/>
        <v>120</v>
      </c>
    </row>
    <row r="90" spans="1:9" x14ac:dyDescent="0.25">
      <c r="A90">
        <v>137</v>
      </c>
      <c r="B90" s="1">
        <v>42814</v>
      </c>
      <c r="C90" s="9"/>
      <c r="D90" s="9"/>
      <c r="E90" s="10">
        <v>592992</v>
      </c>
      <c r="F90" s="16">
        <v>42654</v>
      </c>
      <c r="G90" s="18">
        <v>42694</v>
      </c>
      <c r="H90" s="10">
        <v>592992</v>
      </c>
      <c r="I90" s="12">
        <f t="shared" si="2"/>
        <v>120</v>
      </c>
    </row>
    <row r="91" spans="1:9" x14ac:dyDescent="0.25">
      <c r="A91">
        <v>138</v>
      </c>
      <c r="B91" s="1">
        <v>42814</v>
      </c>
      <c r="C91" s="9"/>
      <c r="D91" s="9"/>
      <c r="E91" s="10">
        <v>3726680</v>
      </c>
      <c r="F91" s="16">
        <v>42654</v>
      </c>
      <c r="G91" s="18">
        <v>42694</v>
      </c>
      <c r="H91" s="10">
        <v>3726680</v>
      </c>
      <c r="I91" s="12">
        <f t="shared" si="2"/>
        <v>120</v>
      </c>
    </row>
    <row r="92" spans="1:9" x14ac:dyDescent="0.25">
      <c r="A92">
        <v>139</v>
      </c>
      <c r="B92" s="1">
        <v>42814</v>
      </c>
      <c r="C92" s="9"/>
      <c r="D92" s="9"/>
      <c r="E92" s="10">
        <v>-9720</v>
      </c>
      <c r="F92" s="16">
        <v>42655</v>
      </c>
      <c r="G92" s="16">
        <v>42700</v>
      </c>
      <c r="H92" s="10">
        <v>-9720</v>
      </c>
      <c r="I92" s="12">
        <f t="shared" si="2"/>
        <v>114</v>
      </c>
    </row>
    <row r="93" spans="1:9" x14ac:dyDescent="0.25">
      <c r="A93">
        <v>140</v>
      </c>
      <c r="B93" s="1">
        <v>42814</v>
      </c>
      <c r="C93" s="9"/>
      <c r="D93" s="9"/>
      <c r="E93" s="10">
        <v>-17204</v>
      </c>
      <c r="F93" s="16">
        <v>42655</v>
      </c>
      <c r="G93" s="16">
        <v>42700</v>
      </c>
      <c r="H93" s="10">
        <v>-17204</v>
      </c>
      <c r="I93" s="12">
        <f t="shared" si="2"/>
        <v>114</v>
      </c>
    </row>
    <row r="94" spans="1:9" x14ac:dyDescent="0.25">
      <c r="A94">
        <v>141</v>
      </c>
      <c r="B94" s="1">
        <v>42814</v>
      </c>
      <c r="C94" s="9"/>
      <c r="D94" s="9"/>
      <c r="E94" s="10">
        <v>-24000</v>
      </c>
      <c r="F94" s="16">
        <v>42655</v>
      </c>
      <c r="G94" s="16">
        <v>42700</v>
      </c>
      <c r="H94" s="10">
        <v>-24000</v>
      </c>
      <c r="I94" s="12">
        <f t="shared" si="2"/>
        <v>114</v>
      </c>
    </row>
    <row r="95" spans="1:9" x14ac:dyDescent="0.25">
      <c r="A95">
        <v>142</v>
      </c>
      <c r="B95" s="1">
        <v>42814</v>
      </c>
      <c r="C95" s="9"/>
      <c r="D95" s="9"/>
      <c r="E95" s="10">
        <v>-90000</v>
      </c>
      <c r="F95" s="16">
        <v>42655</v>
      </c>
      <c r="G95" s="16">
        <v>42700</v>
      </c>
      <c r="H95" s="10">
        <v>-90000</v>
      </c>
      <c r="I95" s="12">
        <f t="shared" si="2"/>
        <v>114</v>
      </c>
    </row>
    <row r="96" spans="1:9" x14ac:dyDescent="0.25">
      <c r="A96">
        <v>145</v>
      </c>
      <c r="B96" s="1">
        <v>42814</v>
      </c>
      <c r="C96" s="9"/>
      <c r="D96" s="9"/>
      <c r="E96" s="10">
        <v>1868500</v>
      </c>
      <c r="F96" s="16">
        <v>42655</v>
      </c>
      <c r="G96" s="16">
        <v>42700</v>
      </c>
      <c r="H96" s="14">
        <f>1868500-200000-300000-150000-200000-150000-180000-200000-200000-186748.34</f>
        <v>101751.66</v>
      </c>
      <c r="I96" s="12">
        <f t="shared" si="2"/>
        <v>114</v>
      </c>
    </row>
    <row r="97" spans="1:9" x14ac:dyDescent="0.25">
      <c r="A97">
        <v>146</v>
      </c>
      <c r="B97" s="1">
        <v>42814</v>
      </c>
      <c r="C97" s="9"/>
      <c r="D97" s="9"/>
      <c r="E97" s="10">
        <v>997120</v>
      </c>
      <c r="F97" s="16">
        <v>42656</v>
      </c>
      <c r="G97" s="16">
        <v>42701</v>
      </c>
      <c r="H97" s="14">
        <f>997120-70000-800000-90000</f>
        <v>37120</v>
      </c>
      <c r="I97" s="12">
        <f t="shared" si="2"/>
        <v>113</v>
      </c>
    </row>
    <row r="98" spans="1:9" x14ac:dyDescent="0.25">
      <c r="A98">
        <v>148</v>
      </c>
      <c r="B98" s="1">
        <v>42814</v>
      </c>
      <c r="C98" s="9"/>
      <c r="D98" s="9"/>
      <c r="E98" s="10">
        <v>3132820</v>
      </c>
      <c r="F98" s="16">
        <v>42656</v>
      </c>
      <c r="G98" s="18">
        <v>42696</v>
      </c>
      <c r="H98" s="14">
        <f>3132820-2136330</f>
        <v>996490</v>
      </c>
      <c r="I98" s="12">
        <f t="shared" si="2"/>
        <v>118</v>
      </c>
    </row>
    <row r="99" spans="1:9" x14ac:dyDescent="0.25">
      <c r="A99">
        <v>149</v>
      </c>
      <c r="B99" s="1">
        <v>42814</v>
      </c>
      <c r="C99" s="9"/>
      <c r="D99" s="9"/>
      <c r="E99" s="10">
        <v>1850000</v>
      </c>
      <c r="F99" s="16">
        <v>42657</v>
      </c>
      <c r="G99" s="18">
        <v>42697</v>
      </c>
      <c r="H99" s="10">
        <v>1850000</v>
      </c>
      <c r="I99" s="12">
        <f t="shared" si="2"/>
        <v>117</v>
      </c>
    </row>
    <row r="100" spans="1:9" x14ac:dyDescent="0.25">
      <c r="A100">
        <v>150</v>
      </c>
      <c r="B100" s="1">
        <v>42814</v>
      </c>
      <c r="C100" s="9"/>
      <c r="D100" s="9"/>
      <c r="E100" s="10">
        <v>-14400</v>
      </c>
      <c r="F100" s="16">
        <v>42657</v>
      </c>
      <c r="G100" s="16">
        <v>42702</v>
      </c>
      <c r="H100" s="10">
        <v>-14400</v>
      </c>
      <c r="I100" s="12">
        <f t="shared" si="2"/>
        <v>112</v>
      </c>
    </row>
    <row r="101" spans="1:9" x14ac:dyDescent="0.25">
      <c r="A101">
        <v>155</v>
      </c>
      <c r="B101" s="1">
        <v>42814</v>
      </c>
      <c r="C101" s="9"/>
      <c r="D101" s="9"/>
      <c r="E101" s="10">
        <v>318505.59999999998</v>
      </c>
      <c r="F101" s="16">
        <v>42662</v>
      </c>
      <c r="G101" s="16">
        <v>42707</v>
      </c>
      <c r="H101" s="10">
        <v>318505.59999999998</v>
      </c>
      <c r="I101" s="12">
        <f t="shared" si="2"/>
        <v>107</v>
      </c>
    </row>
    <row r="102" spans="1:9" x14ac:dyDescent="0.25">
      <c r="A102">
        <v>156</v>
      </c>
      <c r="B102" s="1">
        <v>42814</v>
      </c>
      <c r="C102" s="9"/>
      <c r="D102" s="9"/>
      <c r="E102" s="10">
        <v>3748400</v>
      </c>
      <c r="F102" s="16">
        <v>42662</v>
      </c>
      <c r="G102" s="18">
        <v>42692</v>
      </c>
      <c r="H102" s="14">
        <f>3748400-169700</f>
        <v>3578700</v>
      </c>
      <c r="I102" s="12">
        <f t="shared" si="2"/>
        <v>122</v>
      </c>
    </row>
    <row r="103" spans="1:9" x14ac:dyDescent="0.25">
      <c r="A103">
        <v>158</v>
      </c>
      <c r="B103" s="1">
        <v>42814</v>
      </c>
      <c r="C103" s="9"/>
      <c r="D103" s="9"/>
      <c r="E103" s="10">
        <v>2860000</v>
      </c>
      <c r="F103" s="16">
        <v>42663</v>
      </c>
      <c r="G103" s="16">
        <v>42708</v>
      </c>
      <c r="H103" s="10">
        <v>2860000</v>
      </c>
      <c r="I103" s="12">
        <f t="shared" si="2"/>
        <v>106</v>
      </c>
    </row>
    <row r="104" spans="1:9" x14ac:dyDescent="0.25">
      <c r="A104">
        <v>160</v>
      </c>
      <c r="B104" s="1">
        <v>42814</v>
      </c>
      <c r="C104" s="9"/>
      <c r="D104" s="9"/>
      <c r="E104" s="10">
        <v>1720560</v>
      </c>
      <c r="F104" s="16">
        <v>42663</v>
      </c>
      <c r="G104" s="18">
        <v>42693</v>
      </c>
      <c r="H104" s="10">
        <v>1720560</v>
      </c>
      <c r="I104" s="12">
        <f t="shared" si="2"/>
        <v>121</v>
      </c>
    </row>
    <row r="105" spans="1:9" x14ac:dyDescent="0.25">
      <c r="A105">
        <v>161</v>
      </c>
      <c r="B105" s="1">
        <v>42814</v>
      </c>
      <c r="C105" s="9"/>
      <c r="D105" s="9"/>
      <c r="E105" s="10">
        <v>-28000</v>
      </c>
      <c r="F105" s="16">
        <v>42663</v>
      </c>
      <c r="G105" s="16">
        <v>42708</v>
      </c>
      <c r="H105" s="10">
        <v>-28000</v>
      </c>
      <c r="I105" s="12">
        <f t="shared" si="2"/>
        <v>106</v>
      </c>
    </row>
    <row r="106" spans="1:9" x14ac:dyDescent="0.25">
      <c r="A106">
        <v>166</v>
      </c>
      <c r="B106" s="1">
        <v>42814</v>
      </c>
      <c r="C106" s="9"/>
      <c r="D106" s="9"/>
      <c r="E106" s="17">
        <f>3500000</f>
        <v>3500000</v>
      </c>
      <c r="F106" s="16">
        <v>42667</v>
      </c>
      <c r="G106" s="18">
        <v>42697</v>
      </c>
      <c r="H106" s="14">
        <f>3500000-2827524</f>
        <v>672476</v>
      </c>
      <c r="I106" s="12">
        <f t="shared" si="2"/>
        <v>117</v>
      </c>
    </row>
    <row r="107" spans="1:9" x14ac:dyDescent="0.25">
      <c r="A107">
        <v>170</v>
      </c>
      <c r="B107" s="1">
        <v>42814</v>
      </c>
      <c r="C107" s="9"/>
      <c r="D107" s="9"/>
      <c r="E107" s="10">
        <v>3360000</v>
      </c>
      <c r="F107" s="16">
        <v>42667</v>
      </c>
      <c r="G107" s="18">
        <v>42697</v>
      </c>
      <c r="H107" s="14">
        <f>3360000-1241517-500000-1043340-550000</f>
        <v>25143</v>
      </c>
      <c r="I107" s="12">
        <f t="shared" si="2"/>
        <v>117</v>
      </c>
    </row>
    <row r="108" spans="1:9" x14ac:dyDescent="0.25">
      <c r="A108">
        <v>175</v>
      </c>
      <c r="B108" s="1">
        <v>42814</v>
      </c>
      <c r="C108" s="9"/>
      <c r="D108" s="9"/>
      <c r="E108" s="10">
        <v>887200</v>
      </c>
      <c r="F108" s="16">
        <v>42668</v>
      </c>
      <c r="G108" s="16">
        <v>42713</v>
      </c>
      <c r="H108" s="10">
        <v>887200</v>
      </c>
      <c r="I108" s="12">
        <f t="shared" si="2"/>
        <v>101</v>
      </c>
    </row>
    <row r="109" spans="1:9" x14ac:dyDescent="0.25">
      <c r="A109">
        <v>176</v>
      </c>
      <c r="B109" s="1">
        <v>42814</v>
      </c>
      <c r="C109" s="9"/>
      <c r="D109" s="9"/>
      <c r="E109" s="17">
        <f>3853120</f>
        <v>3853120</v>
      </c>
      <c r="F109" s="16">
        <v>42668</v>
      </c>
      <c r="G109" s="16">
        <v>42713</v>
      </c>
      <c r="H109" s="14">
        <f>3853120-3580452-192656</f>
        <v>80012</v>
      </c>
      <c r="I109" s="12">
        <f t="shared" si="2"/>
        <v>101</v>
      </c>
    </row>
    <row r="110" spans="1:9" x14ac:dyDescent="0.25">
      <c r="A110">
        <v>181</v>
      </c>
      <c r="B110" s="1">
        <v>42814</v>
      </c>
      <c r="C110" s="9"/>
      <c r="D110" s="9"/>
      <c r="E110" s="17">
        <f>165118</f>
        <v>165118</v>
      </c>
      <c r="F110" s="16">
        <v>42670</v>
      </c>
      <c r="G110" s="16">
        <v>42715</v>
      </c>
      <c r="H110" s="14">
        <f>165118-154640.88</f>
        <v>10477.119999999995</v>
      </c>
      <c r="I110" s="12">
        <f t="shared" si="2"/>
        <v>99</v>
      </c>
    </row>
    <row r="111" spans="1:9" x14ac:dyDescent="0.25">
      <c r="A111">
        <v>182</v>
      </c>
      <c r="B111" s="1">
        <v>42814</v>
      </c>
      <c r="C111" s="9"/>
      <c r="D111" s="9"/>
      <c r="E111" s="17">
        <f>1740000</f>
        <v>1740000</v>
      </c>
      <c r="F111" s="16">
        <v>42670</v>
      </c>
      <c r="G111" s="16">
        <v>42715</v>
      </c>
      <c r="H111" s="14">
        <f>1740000-1568000</f>
        <v>172000</v>
      </c>
      <c r="I111" s="12">
        <f t="shared" si="2"/>
        <v>99</v>
      </c>
    </row>
    <row r="112" spans="1:9" x14ac:dyDescent="0.25">
      <c r="A112">
        <v>184</v>
      </c>
      <c r="B112" s="1">
        <v>42814</v>
      </c>
      <c r="C112" s="9"/>
      <c r="D112" s="9"/>
      <c r="E112" s="17">
        <f>531000</f>
        <v>531000</v>
      </c>
      <c r="F112" s="16">
        <v>42671</v>
      </c>
      <c r="G112" s="16">
        <v>42716</v>
      </c>
      <c r="H112" s="14">
        <f>531000-405600-650</f>
        <v>124750</v>
      </c>
      <c r="I112" s="12">
        <f t="shared" si="2"/>
        <v>98</v>
      </c>
    </row>
    <row r="113" spans="1:9" x14ac:dyDescent="0.25">
      <c r="A113">
        <v>185</v>
      </c>
      <c r="B113" s="1">
        <v>42814</v>
      </c>
      <c r="C113" s="9"/>
      <c r="D113" s="9"/>
      <c r="E113" s="17">
        <f>941400</f>
        <v>941400</v>
      </c>
      <c r="F113" s="16">
        <v>42671</v>
      </c>
      <c r="G113" s="16">
        <v>42716</v>
      </c>
      <c r="H113" s="14">
        <f>941400-834840-100000</f>
        <v>6560</v>
      </c>
      <c r="I113" s="12">
        <f t="shared" si="2"/>
        <v>98</v>
      </c>
    </row>
    <row r="114" spans="1:9" x14ac:dyDescent="0.25">
      <c r="A114">
        <v>186</v>
      </c>
      <c r="B114" s="1">
        <v>42814</v>
      </c>
      <c r="C114" s="9"/>
      <c r="D114" s="9"/>
      <c r="E114" s="17">
        <f>3896820</f>
        <v>3896820</v>
      </c>
      <c r="F114" s="16">
        <v>42671</v>
      </c>
      <c r="G114" s="16">
        <v>42716</v>
      </c>
      <c r="H114" s="14">
        <f>3896820-1895387.52-1000000-300000-700000</f>
        <v>1432.4799999999814</v>
      </c>
      <c r="I114" s="12">
        <f t="shared" si="2"/>
        <v>98</v>
      </c>
    </row>
    <row r="115" spans="1:9" x14ac:dyDescent="0.25">
      <c r="A115">
        <v>187</v>
      </c>
      <c r="B115" s="1">
        <v>42814</v>
      </c>
      <c r="C115" s="9"/>
      <c r="D115" s="9"/>
      <c r="E115" s="17">
        <v>195592.32000000001</v>
      </c>
      <c r="F115" s="16">
        <v>42671</v>
      </c>
      <c r="G115" s="16">
        <v>42716</v>
      </c>
      <c r="H115" s="10">
        <v>195592.32000000001</v>
      </c>
      <c r="I115" s="12">
        <f t="shared" si="2"/>
        <v>98</v>
      </c>
    </row>
    <row r="116" spans="1:9" x14ac:dyDescent="0.25">
      <c r="A116">
        <v>189</v>
      </c>
      <c r="B116" s="1">
        <v>42814</v>
      </c>
      <c r="C116" s="9"/>
      <c r="D116" s="9"/>
      <c r="E116" s="17">
        <v>1921760</v>
      </c>
      <c r="F116" s="16">
        <v>42671</v>
      </c>
      <c r="G116" s="16">
        <v>42716</v>
      </c>
      <c r="H116" s="14">
        <f>1921760-36240-408464-1400000</f>
        <v>77056</v>
      </c>
      <c r="I116" s="12">
        <f t="shared" si="2"/>
        <v>98</v>
      </c>
    </row>
    <row r="117" spans="1:9" x14ac:dyDescent="0.25">
      <c r="A117">
        <v>191</v>
      </c>
      <c r="B117" s="1">
        <v>42814</v>
      </c>
      <c r="C117" s="9"/>
      <c r="D117" s="9"/>
      <c r="E117" s="17">
        <f>1986080</f>
        <v>1986080</v>
      </c>
      <c r="F117" s="16">
        <v>42671</v>
      </c>
      <c r="G117" s="16">
        <v>42716</v>
      </c>
      <c r="H117" s="14">
        <f>1986080-1826380</f>
        <v>159700</v>
      </c>
      <c r="I117" s="12">
        <f t="shared" si="2"/>
        <v>98</v>
      </c>
    </row>
    <row r="118" spans="1:9" x14ac:dyDescent="0.25">
      <c r="A118">
        <v>192</v>
      </c>
      <c r="B118" s="1">
        <v>42814</v>
      </c>
      <c r="C118" s="9"/>
      <c r="D118" s="9"/>
      <c r="E118" s="17">
        <f>3862040</f>
        <v>3862040</v>
      </c>
      <c r="F118" s="16">
        <v>42674</v>
      </c>
      <c r="G118" s="16">
        <v>42719</v>
      </c>
      <c r="H118" s="14">
        <f>3862040-100000-200000-124400-100000-200000-200000-100000-500000-500000-500000-79000-100000-100000-50000-81000-50000-100000-40000-500000-73190</f>
        <v>164450</v>
      </c>
      <c r="I118" s="12">
        <f t="shared" si="2"/>
        <v>95</v>
      </c>
    </row>
    <row r="119" spans="1:9" x14ac:dyDescent="0.25">
      <c r="A119">
        <v>198</v>
      </c>
      <c r="B119" s="1">
        <v>42814</v>
      </c>
      <c r="C119" s="9"/>
      <c r="D119" s="9"/>
      <c r="E119" s="10">
        <v>195592.32000000001</v>
      </c>
      <c r="F119" s="16">
        <v>42674</v>
      </c>
      <c r="G119" s="16">
        <v>42719</v>
      </c>
      <c r="H119" s="10">
        <v>195592.32000000001</v>
      </c>
      <c r="I119" s="12">
        <f t="shared" si="2"/>
        <v>95</v>
      </c>
    </row>
    <row r="120" spans="1:9" x14ac:dyDescent="0.25">
      <c r="A120">
        <v>199</v>
      </c>
      <c r="B120" s="1">
        <v>42814</v>
      </c>
      <c r="C120" s="9"/>
      <c r="D120" s="9"/>
      <c r="E120" s="10">
        <v>201519.35999999999</v>
      </c>
      <c r="F120" s="16">
        <v>42674</v>
      </c>
      <c r="G120" s="16">
        <v>42719</v>
      </c>
      <c r="H120" s="10">
        <v>201519.35999999999</v>
      </c>
      <c r="I120" s="12">
        <f t="shared" si="2"/>
        <v>95</v>
      </c>
    </row>
    <row r="121" spans="1:9" x14ac:dyDescent="0.25">
      <c r="A121">
        <v>200</v>
      </c>
      <c r="B121" s="1">
        <v>42814</v>
      </c>
      <c r="C121" s="9"/>
      <c r="D121" s="9"/>
      <c r="E121" s="10">
        <v>16704</v>
      </c>
      <c r="F121" s="16">
        <v>42675</v>
      </c>
      <c r="G121" s="16">
        <v>42720</v>
      </c>
      <c r="H121" s="10">
        <v>16704</v>
      </c>
      <c r="I121" s="12">
        <f t="shared" si="2"/>
        <v>94</v>
      </c>
    </row>
    <row r="122" spans="1:9" x14ac:dyDescent="0.25">
      <c r="A122">
        <v>203</v>
      </c>
      <c r="B122" s="1">
        <v>42814</v>
      </c>
      <c r="C122" s="9"/>
      <c r="D122" s="9"/>
      <c r="E122" s="10">
        <v>675500</v>
      </c>
      <c r="F122" s="16">
        <v>42677</v>
      </c>
      <c r="G122" s="16">
        <v>42722</v>
      </c>
      <c r="H122" s="14">
        <f>675500-375500</f>
        <v>300000</v>
      </c>
      <c r="I122" s="12">
        <f t="shared" si="2"/>
        <v>92</v>
      </c>
    </row>
    <row r="123" spans="1:9" x14ac:dyDescent="0.25">
      <c r="A123">
        <v>205</v>
      </c>
      <c r="B123" s="1">
        <v>42814</v>
      </c>
      <c r="C123" s="9"/>
      <c r="D123" s="9"/>
      <c r="E123" s="17">
        <f>276520</f>
        <v>276520</v>
      </c>
      <c r="F123" s="16">
        <v>42681</v>
      </c>
      <c r="G123" s="16">
        <v>42726</v>
      </c>
      <c r="H123" s="14">
        <f>276520-254344</f>
        <v>22176</v>
      </c>
      <c r="I123" s="12">
        <f t="shared" si="2"/>
        <v>88</v>
      </c>
    </row>
    <row r="124" spans="1:9" x14ac:dyDescent="0.25">
      <c r="A124">
        <v>206</v>
      </c>
      <c r="B124" s="1">
        <v>42814</v>
      </c>
      <c r="C124" s="9"/>
      <c r="D124" s="9"/>
      <c r="E124" s="10">
        <v>421200</v>
      </c>
      <c r="F124" s="16">
        <v>42682</v>
      </c>
      <c r="G124" s="16">
        <v>42727</v>
      </c>
      <c r="H124" s="10">
        <v>421200</v>
      </c>
      <c r="I124" s="12">
        <f t="shared" si="2"/>
        <v>87</v>
      </c>
    </row>
    <row r="125" spans="1:9" x14ac:dyDescent="0.25">
      <c r="A125">
        <v>213</v>
      </c>
      <c r="B125" s="1">
        <v>42814</v>
      </c>
      <c r="C125" s="9"/>
      <c r="D125" s="9"/>
      <c r="E125" s="17">
        <f>761968</f>
        <v>761968</v>
      </c>
      <c r="F125" s="16">
        <v>42684</v>
      </c>
      <c r="G125" s="16">
        <v>42729</v>
      </c>
      <c r="H125" s="14">
        <f>761968-714844</f>
        <v>47124</v>
      </c>
      <c r="I125" s="12">
        <f t="shared" si="2"/>
        <v>85</v>
      </c>
    </row>
    <row r="126" spans="1:9" x14ac:dyDescent="0.25">
      <c r="A126">
        <v>214</v>
      </c>
      <c r="B126" s="1">
        <v>42814</v>
      </c>
      <c r="C126" s="9"/>
      <c r="D126" s="9"/>
      <c r="E126" s="17">
        <v>880000</v>
      </c>
      <c r="F126" s="16">
        <v>42684</v>
      </c>
      <c r="G126" s="16">
        <v>42729</v>
      </c>
      <c r="H126" s="10">
        <v>880000</v>
      </c>
      <c r="I126" s="12">
        <f t="shared" si="2"/>
        <v>85</v>
      </c>
    </row>
    <row r="127" spans="1:9" x14ac:dyDescent="0.25">
      <c r="A127">
        <v>219</v>
      </c>
      <c r="B127" s="1">
        <v>42814</v>
      </c>
      <c r="C127" s="9"/>
      <c r="D127" s="9"/>
      <c r="E127" s="17">
        <f>498800</f>
        <v>498800</v>
      </c>
      <c r="F127" s="16">
        <v>42689</v>
      </c>
      <c r="G127" s="16">
        <v>42734</v>
      </c>
      <c r="H127" s="14">
        <f>498800-447806</f>
        <v>50994</v>
      </c>
      <c r="I127" s="12">
        <f t="shared" si="2"/>
        <v>80</v>
      </c>
    </row>
    <row r="128" spans="1:9" x14ac:dyDescent="0.25">
      <c r="A128">
        <v>220</v>
      </c>
      <c r="B128" s="1">
        <v>42814</v>
      </c>
      <c r="C128" s="9"/>
      <c r="D128" s="9"/>
      <c r="E128" s="17">
        <f>1911800</f>
        <v>1911800</v>
      </c>
      <c r="F128" s="16">
        <v>42689</v>
      </c>
      <c r="G128" s="16">
        <v>42734</v>
      </c>
      <c r="H128" s="14">
        <f>1911800-1140425.76-679000</f>
        <v>92374.239999999991</v>
      </c>
      <c r="I128" s="12">
        <f t="shared" si="2"/>
        <v>80</v>
      </c>
    </row>
    <row r="129" spans="1:9" x14ac:dyDescent="0.25">
      <c r="A129">
        <v>221</v>
      </c>
      <c r="B129" s="1">
        <v>42814</v>
      </c>
      <c r="C129" s="9"/>
      <c r="D129" s="9"/>
      <c r="E129" s="17">
        <v>1265500</v>
      </c>
      <c r="F129" s="16">
        <v>42689</v>
      </c>
      <c r="G129" s="16">
        <v>42734</v>
      </c>
      <c r="H129" s="10">
        <v>1265500</v>
      </c>
      <c r="I129" s="12">
        <f t="shared" si="2"/>
        <v>80</v>
      </c>
    </row>
    <row r="130" spans="1:9" x14ac:dyDescent="0.25">
      <c r="A130">
        <v>222</v>
      </c>
      <c r="B130" s="1">
        <v>42814</v>
      </c>
      <c r="C130" s="9"/>
      <c r="D130" s="9"/>
      <c r="E130" s="17">
        <f>400320</f>
        <v>400320</v>
      </c>
      <c r="F130" s="16">
        <v>42689</v>
      </c>
      <c r="G130" s="16">
        <v>42734</v>
      </c>
      <c r="H130" s="14">
        <f>400320-381806</f>
        <v>18514</v>
      </c>
      <c r="I130" s="12">
        <f t="shared" si="2"/>
        <v>80</v>
      </c>
    </row>
    <row r="131" spans="1:9" x14ac:dyDescent="0.25">
      <c r="A131">
        <v>228</v>
      </c>
      <c r="B131" s="1">
        <v>42814</v>
      </c>
      <c r="C131" s="9"/>
      <c r="D131" s="9"/>
      <c r="E131" s="17">
        <v>-6300</v>
      </c>
      <c r="F131" s="16">
        <v>42690</v>
      </c>
      <c r="G131" s="16">
        <v>42735</v>
      </c>
      <c r="H131" s="10">
        <v>-6300</v>
      </c>
      <c r="I131" s="12">
        <f t="shared" ref="I131:I194" si="3">$B$1-G131</f>
        <v>79</v>
      </c>
    </row>
    <row r="132" spans="1:9" x14ac:dyDescent="0.25">
      <c r="A132">
        <v>230</v>
      </c>
      <c r="B132" s="1">
        <v>42814</v>
      </c>
      <c r="C132" s="9"/>
      <c r="D132" s="9"/>
      <c r="E132" s="17">
        <v>-125548</v>
      </c>
      <c r="F132" s="16">
        <v>42690</v>
      </c>
      <c r="G132" s="16">
        <v>42735</v>
      </c>
      <c r="H132" s="10">
        <v>-125548</v>
      </c>
      <c r="I132" s="12">
        <f t="shared" si="3"/>
        <v>79</v>
      </c>
    </row>
    <row r="133" spans="1:9" x14ac:dyDescent="0.25">
      <c r="A133">
        <v>236</v>
      </c>
      <c r="B133" s="1">
        <v>42814</v>
      </c>
      <c r="C133" s="9"/>
      <c r="D133" s="9"/>
      <c r="E133" s="17">
        <f>296000</f>
        <v>296000</v>
      </c>
      <c r="F133" s="16">
        <v>42691</v>
      </c>
      <c r="G133" s="16">
        <v>42736</v>
      </c>
      <c r="H133" s="14">
        <f>296000-270104</f>
        <v>25896</v>
      </c>
      <c r="I133" s="12">
        <f t="shared" si="3"/>
        <v>78</v>
      </c>
    </row>
    <row r="134" spans="1:9" x14ac:dyDescent="0.25">
      <c r="A134">
        <v>243</v>
      </c>
      <c r="B134" s="1">
        <v>42814</v>
      </c>
      <c r="C134" s="9"/>
      <c r="D134" s="9"/>
      <c r="E134" s="17">
        <v>-12300</v>
      </c>
      <c r="F134" s="16">
        <v>42692</v>
      </c>
      <c r="G134" s="16">
        <v>42737</v>
      </c>
      <c r="H134" s="10">
        <v>-12300</v>
      </c>
      <c r="I134" s="12">
        <f t="shared" si="3"/>
        <v>77</v>
      </c>
    </row>
    <row r="135" spans="1:9" x14ac:dyDescent="0.25">
      <c r="A135">
        <v>247</v>
      </c>
      <c r="B135" s="1">
        <v>42814</v>
      </c>
      <c r="C135" s="9"/>
      <c r="D135" s="9"/>
      <c r="E135" s="17">
        <f>1446840</f>
        <v>1446840</v>
      </c>
      <c r="F135" s="16">
        <v>42695</v>
      </c>
      <c r="G135" s="16">
        <v>42740</v>
      </c>
      <c r="H135" s="14">
        <f>1446840-200696-500000-500000</f>
        <v>246144</v>
      </c>
      <c r="I135" s="12">
        <f t="shared" si="3"/>
        <v>74</v>
      </c>
    </row>
    <row r="136" spans="1:9" x14ac:dyDescent="0.25">
      <c r="A136">
        <v>253</v>
      </c>
      <c r="B136" s="1">
        <v>42814</v>
      </c>
      <c r="C136" s="9"/>
      <c r="D136" s="9"/>
      <c r="E136" s="17">
        <f>2082840</f>
        <v>2082840</v>
      </c>
      <c r="F136" s="16">
        <v>42696</v>
      </c>
      <c r="G136" s="16">
        <v>42741</v>
      </c>
      <c r="H136" s="14">
        <f>2082840-1982040</f>
        <v>100800</v>
      </c>
      <c r="I136" s="12">
        <f t="shared" si="3"/>
        <v>73</v>
      </c>
    </row>
    <row r="137" spans="1:9" x14ac:dyDescent="0.25">
      <c r="A137">
        <v>281</v>
      </c>
      <c r="B137" s="1">
        <v>42814</v>
      </c>
      <c r="C137" s="9"/>
      <c r="D137" s="9"/>
      <c r="E137" s="17">
        <v>3975400</v>
      </c>
      <c r="F137" s="16">
        <v>42699</v>
      </c>
      <c r="G137" s="16">
        <v>42744</v>
      </c>
      <c r="H137" s="14">
        <f>3975400-736787.9-200000-200000-1500000-200000</f>
        <v>1138612.1000000001</v>
      </c>
      <c r="I137" s="12">
        <f t="shared" si="3"/>
        <v>70</v>
      </c>
    </row>
    <row r="138" spans="1:9" x14ac:dyDescent="0.25">
      <c r="A138">
        <v>284</v>
      </c>
      <c r="B138" s="1">
        <v>42814</v>
      </c>
      <c r="C138" s="9"/>
      <c r="D138" s="9"/>
      <c r="E138" s="17">
        <f>3913220</f>
        <v>3913220</v>
      </c>
      <c r="F138" s="16">
        <v>42699</v>
      </c>
      <c r="G138" s="16">
        <v>42744</v>
      </c>
      <c r="H138" s="14">
        <f>3913220-232892-2991640-69968-6500</f>
        <v>612220</v>
      </c>
      <c r="I138" s="12">
        <f t="shared" si="3"/>
        <v>70</v>
      </c>
    </row>
    <row r="139" spans="1:9" x14ac:dyDescent="0.25">
      <c r="A139">
        <v>287</v>
      </c>
      <c r="B139" s="1">
        <v>42814</v>
      </c>
      <c r="C139" s="9"/>
      <c r="D139" s="9"/>
      <c r="E139" s="17">
        <v>932020</v>
      </c>
      <c r="F139" s="16">
        <v>42699</v>
      </c>
      <c r="G139" s="16">
        <v>42744</v>
      </c>
      <c r="H139" s="14">
        <f>932020-753660.56-16573</f>
        <v>161786.43999999994</v>
      </c>
      <c r="I139" s="12">
        <f t="shared" si="3"/>
        <v>70</v>
      </c>
    </row>
    <row r="140" spans="1:9" x14ac:dyDescent="0.25">
      <c r="A140">
        <v>290</v>
      </c>
      <c r="B140" s="1">
        <v>42814</v>
      </c>
      <c r="C140" s="9"/>
      <c r="D140" s="9"/>
      <c r="E140" s="17">
        <v>3471960</v>
      </c>
      <c r="F140" s="16">
        <v>42699</v>
      </c>
      <c r="G140" s="16">
        <v>42744</v>
      </c>
      <c r="H140" s="14">
        <f>3471960-500000-500000-400000-1000000-500000-464700</f>
        <v>107260</v>
      </c>
      <c r="I140" s="12">
        <f t="shared" si="3"/>
        <v>70</v>
      </c>
    </row>
    <row r="141" spans="1:9" x14ac:dyDescent="0.25">
      <c r="A141">
        <v>292</v>
      </c>
      <c r="B141" s="1">
        <v>42814</v>
      </c>
      <c r="C141" s="9"/>
      <c r="D141" s="9"/>
      <c r="E141" s="17">
        <v>786500</v>
      </c>
      <c r="F141" s="16">
        <v>42702</v>
      </c>
      <c r="G141" s="16">
        <v>42747</v>
      </c>
      <c r="H141" s="10">
        <v>786500</v>
      </c>
      <c r="I141" s="12">
        <f t="shared" si="3"/>
        <v>67</v>
      </c>
    </row>
    <row r="142" spans="1:9" x14ac:dyDescent="0.25">
      <c r="A142">
        <v>295</v>
      </c>
      <c r="B142" s="1">
        <v>42814</v>
      </c>
      <c r="C142" s="9"/>
      <c r="D142" s="9"/>
      <c r="E142" s="17">
        <f>3600000</f>
        <v>3600000</v>
      </c>
      <c r="F142" s="16">
        <v>42702</v>
      </c>
      <c r="G142" s="16">
        <v>42747</v>
      </c>
      <c r="H142" s="14">
        <f>3600000-200000-300000-300000-200000-300000-300000-500000-1400000-2990-107153.07</f>
        <v>-10143.070000000007</v>
      </c>
      <c r="I142" s="12">
        <f t="shared" si="3"/>
        <v>67</v>
      </c>
    </row>
    <row r="143" spans="1:9" x14ac:dyDescent="0.25">
      <c r="A143">
        <v>296</v>
      </c>
      <c r="B143" s="1">
        <v>42814</v>
      </c>
      <c r="C143" s="9"/>
      <c r="D143" s="9"/>
      <c r="E143" s="17">
        <v>-131400</v>
      </c>
      <c r="F143" s="16">
        <v>42702</v>
      </c>
      <c r="G143" s="16">
        <v>42747</v>
      </c>
      <c r="H143" s="10">
        <v>-131400</v>
      </c>
      <c r="I143" s="12">
        <f t="shared" si="3"/>
        <v>67</v>
      </c>
    </row>
    <row r="144" spans="1:9" x14ac:dyDescent="0.25">
      <c r="A144">
        <v>300</v>
      </c>
      <c r="B144" s="1">
        <v>42814</v>
      </c>
      <c r="C144" s="9"/>
      <c r="D144" s="9"/>
      <c r="E144" s="17">
        <v>4001712</v>
      </c>
      <c r="F144" s="16">
        <v>42703</v>
      </c>
      <c r="G144" s="16">
        <v>42748</v>
      </c>
      <c r="H144" s="14">
        <f>4001712-1317892-705480-1698744</f>
        <v>279596</v>
      </c>
      <c r="I144" s="12">
        <f t="shared" si="3"/>
        <v>66</v>
      </c>
    </row>
    <row r="145" spans="1:9" x14ac:dyDescent="0.25">
      <c r="A145">
        <v>307</v>
      </c>
      <c r="B145" s="1">
        <v>42814</v>
      </c>
      <c r="C145" s="9"/>
      <c r="D145" s="9"/>
      <c r="E145" s="17">
        <v>513552</v>
      </c>
      <c r="F145" s="16">
        <v>42703</v>
      </c>
      <c r="G145" s="16">
        <v>42748</v>
      </c>
      <c r="H145" s="10">
        <v>513552</v>
      </c>
      <c r="I145" s="12">
        <f t="shared" si="3"/>
        <v>66</v>
      </c>
    </row>
    <row r="146" spans="1:9" x14ac:dyDescent="0.25">
      <c r="A146">
        <v>309</v>
      </c>
      <c r="B146" s="1">
        <v>42814</v>
      </c>
      <c r="C146" s="9"/>
      <c r="D146" s="9"/>
      <c r="E146" s="17">
        <v>1155000</v>
      </c>
      <c r="F146" s="16">
        <v>42703</v>
      </c>
      <c r="G146" s="16">
        <v>42748</v>
      </c>
      <c r="H146" s="14">
        <f>1155000-240100-417200</f>
        <v>497700</v>
      </c>
      <c r="I146" s="12">
        <f t="shared" si="3"/>
        <v>66</v>
      </c>
    </row>
    <row r="147" spans="1:9" x14ac:dyDescent="0.25">
      <c r="A147">
        <v>310</v>
      </c>
      <c r="B147" s="1">
        <v>42814</v>
      </c>
      <c r="C147" s="9"/>
      <c r="D147" s="9"/>
      <c r="E147" s="17">
        <v>-21440</v>
      </c>
      <c r="F147" s="16">
        <v>42703</v>
      </c>
      <c r="G147" s="16">
        <v>42748</v>
      </c>
      <c r="H147" s="10">
        <v>-21440</v>
      </c>
      <c r="I147" s="12">
        <f t="shared" si="3"/>
        <v>66</v>
      </c>
    </row>
    <row r="148" spans="1:9" x14ac:dyDescent="0.25">
      <c r="A148">
        <v>311</v>
      </c>
      <c r="B148" s="1">
        <v>42814</v>
      </c>
      <c r="C148" s="9"/>
      <c r="D148" s="9"/>
      <c r="E148" s="10">
        <v>-144220</v>
      </c>
      <c r="F148" s="16">
        <v>42703</v>
      </c>
      <c r="G148" s="16">
        <v>42748</v>
      </c>
      <c r="H148" s="10">
        <v>-144220</v>
      </c>
      <c r="I148" s="12">
        <f t="shared" si="3"/>
        <v>66</v>
      </c>
    </row>
    <row r="149" spans="1:9" x14ac:dyDescent="0.25">
      <c r="A149">
        <v>312</v>
      </c>
      <c r="B149" s="1">
        <v>42814</v>
      </c>
      <c r="C149" s="9"/>
      <c r="D149" s="9"/>
      <c r="E149" s="10">
        <v>-170940</v>
      </c>
      <c r="F149" s="16">
        <v>42703</v>
      </c>
      <c r="G149" s="16">
        <v>42748</v>
      </c>
      <c r="H149" s="10">
        <v>-170940</v>
      </c>
      <c r="I149" s="12">
        <f t="shared" si="3"/>
        <v>66</v>
      </c>
    </row>
    <row r="150" spans="1:9" x14ac:dyDescent="0.25">
      <c r="A150">
        <v>313</v>
      </c>
      <c r="B150" s="1">
        <v>42814</v>
      </c>
      <c r="C150" s="9"/>
      <c r="D150" s="9"/>
      <c r="E150" s="10">
        <v>-170940</v>
      </c>
      <c r="F150" s="16">
        <v>42703</v>
      </c>
      <c r="G150" s="16">
        <v>42748</v>
      </c>
      <c r="H150" s="10">
        <v>-170940</v>
      </c>
      <c r="I150" s="12">
        <f t="shared" si="3"/>
        <v>66</v>
      </c>
    </row>
    <row r="151" spans="1:9" x14ac:dyDescent="0.25">
      <c r="A151">
        <v>314</v>
      </c>
      <c r="B151" s="1">
        <v>42814</v>
      </c>
      <c r="C151" s="9"/>
      <c r="D151" s="9"/>
      <c r="E151" s="10">
        <v>-149200</v>
      </c>
      <c r="F151" s="16">
        <v>42703</v>
      </c>
      <c r="G151" s="16">
        <v>42748</v>
      </c>
      <c r="H151" s="10">
        <v>-149200</v>
      </c>
      <c r="I151" s="12">
        <f t="shared" si="3"/>
        <v>66</v>
      </c>
    </row>
    <row r="152" spans="1:9" x14ac:dyDescent="0.25">
      <c r="A152">
        <v>315</v>
      </c>
      <c r="B152" s="1">
        <v>42814</v>
      </c>
      <c r="C152" s="9"/>
      <c r="D152" s="9"/>
      <c r="E152" s="10">
        <v>-21440</v>
      </c>
      <c r="F152" s="16">
        <v>42703</v>
      </c>
      <c r="G152" s="16">
        <v>42748</v>
      </c>
      <c r="H152" s="10">
        <v>-21440</v>
      </c>
      <c r="I152" s="12">
        <f t="shared" si="3"/>
        <v>66</v>
      </c>
    </row>
    <row r="153" spans="1:9" x14ac:dyDescent="0.25">
      <c r="A153">
        <v>316</v>
      </c>
      <c r="B153" s="1">
        <v>42814</v>
      </c>
      <c r="C153" s="9"/>
      <c r="D153" s="9"/>
      <c r="E153" s="10">
        <v>-53952</v>
      </c>
      <c r="F153" s="16">
        <v>42703</v>
      </c>
      <c r="G153" s="16">
        <v>42748</v>
      </c>
      <c r="H153" s="10">
        <v>-53952</v>
      </c>
      <c r="I153" s="12">
        <f t="shared" si="3"/>
        <v>66</v>
      </c>
    </row>
    <row r="154" spans="1:9" x14ac:dyDescent="0.25">
      <c r="A154">
        <v>317</v>
      </c>
      <c r="B154" s="1">
        <v>42814</v>
      </c>
      <c r="C154" s="9"/>
      <c r="D154" s="9"/>
      <c r="E154" s="10">
        <v>-44200</v>
      </c>
      <c r="F154" s="16">
        <v>42703</v>
      </c>
      <c r="G154" s="16">
        <v>42748</v>
      </c>
      <c r="H154" s="10">
        <v>-44200</v>
      </c>
      <c r="I154" s="12">
        <f t="shared" si="3"/>
        <v>66</v>
      </c>
    </row>
    <row r="155" spans="1:9" x14ac:dyDescent="0.25">
      <c r="A155">
        <v>318</v>
      </c>
      <c r="B155" s="1">
        <v>42814</v>
      </c>
      <c r="C155" s="9"/>
      <c r="D155" s="9"/>
      <c r="E155" s="10">
        <v>-42200</v>
      </c>
      <c r="F155" s="16">
        <v>42703</v>
      </c>
      <c r="G155" s="16">
        <v>42748</v>
      </c>
      <c r="H155" s="10">
        <v>-42200</v>
      </c>
      <c r="I155" s="12">
        <f t="shared" si="3"/>
        <v>66</v>
      </c>
    </row>
    <row r="156" spans="1:9" x14ac:dyDescent="0.25">
      <c r="A156">
        <v>321</v>
      </c>
      <c r="B156" s="1">
        <v>42814</v>
      </c>
      <c r="C156" s="9"/>
      <c r="D156" s="9"/>
      <c r="E156" s="10">
        <v>-35200</v>
      </c>
      <c r="F156" s="16">
        <v>42703</v>
      </c>
      <c r="G156" s="16">
        <v>42748</v>
      </c>
      <c r="H156" s="10">
        <v>-35200</v>
      </c>
      <c r="I156" s="12">
        <f t="shared" si="3"/>
        <v>66</v>
      </c>
    </row>
    <row r="157" spans="1:9" x14ac:dyDescent="0.25">
      <c r="A157">
        <v>328</v>
      </c>
      <c r="B157" s="1">
        <v>42814</v>
      </c>
      <c r="C157" s="9"/>
      <c r="D157" s="9"/>
      <c r="E157" s="17">
        <f>3994000</f>
        <v>3994000</v>
      </c>
      <c r="F157" s="16">
        <v>42704</v>
      </c>
      <c r="G157" s="16">
        <v>42749</v>
      </c>
      <c r="H157" s="14">
        <f>3994000-3546304</f>
        <v>447696</v>
      </c>
      <c r="I157" s="12">
        <f t="shared" si="3"/>
        <v>65</v>
      </c>
    </row>
    <row r="158" spans="1:9" x14ac:dyDescent="0.25">
      <c r="A158">
        <v>329</v>
      </c>
      <c r="B158" s="1">
        <v>42814</v>
      </c>
      <c r="C158" s="9"/>
      <c r="D158" s="9"/>
      <c r="E158" s="17">
        <f>668160</f>
        <v>668160</v>
      </c>
      <c r="F158" s="16">
        <v>42704</v>
      </c>
      <c r="G158" s="16">
        <v>42749</v>
      </c>
      <c r="H158" s="14">
        <f>668160-291360</f>
        <v>376800</v>
      </c>
      <c r="I158" s="12">
        <f t="shared" si="3"/>
        <v>65</v>
      </c>
    </row>
    <row r="159" spans="1:9" x14ac:dyDescent="0.25">
      <c r="A159">
        <v>331</v>
      </c>
      <c r="B159" s="1">
        <v>42814</v>
      </c>
      <c r="C159" s="9"/>
      <c r="D159" s="9"/>
      <c r="E159" s="17">
        <v>3877100</v>
      </c>
      <c r="F159" s="16">
        <v>42704</v>
      </c>
      <c r="G159" s="16">
        <v>42749</v>
      </c>
      <c r="H159" s="14">
        <f>3877100-3793756</f>
        <v>83344</v>
      </c>
      <c r="I159" s="12">
        <f t="shared" si="3"/>
        <v>65</v>
      </c>
    </row>
    <row r="160" spans="1:9" x14ac:dyDescent="0.25">
      <c r="A160">
        <v>335</v>
      </c>
      <c r="B160" s="1">
        <v>42814</v>
      </c>
      <c r="C160" s="9"/>
      <c r="D160" s="9"/>
      <c r="E160" s="17">
        <f>3547660</f>
        <v>3547660</v>
      </c>
      <c r="F160" s="16">
        <v>42704</v>
      </c>
      <c r="G160" s="16">
        <v>42749</v>
      </c>
      <c r="H160" s="14">
        <f>3547660-536000-1000000-1110815</f>
        <v>900845</v>
      </c>
      <c r="I160" s="12">
        <f t="shared" si="3"/>
        <v>65</v>
      </c>
    </row>
    <row r="161" spans="1:9" x14ac:dyDescent="0.25">
      <c r="A161">
        <v>337</v>
      </c>
      <c r="B161" s="1">
        <v>42814</v>
      </c>
      <c r="C161" s="9"/>
      <c r="D161" s="9"/>
      <c r="E161" s="17">
        <f>3536440</f>
        <v>3536440</v>
      </c>
      <c r="F161" s="16">
        <v>42704</v>
      </c>
      <c r="G161" s="16">
        <v>42749</v>
      </c>
      <c r="H161" s="14">
        <f>3536440-6884.57-3200000</f>
        <v>329555.43000000017</v>
      </c>
      <c r="I161" s="12">
        <f t="shared" si="3"/>
        <v>65</v>
      </c>
    </row>
    <row r="162" spans="1:9" x14ac:dyDescent="0.25">
      <c r="A162">
        <v>339</v>
      </c>
      <c r="B162" s="1">
        <v>42814</v>
      </c>
      <c r="C162" s="9"/>
      <c r="D162" s="9"/>
      <c r="E162" s="17">
        <v>2753556</v>
      </c>
      <c r="F162" s="16">
        <v>42704</v>
      </c>
      <c r="G162" s="16">
        <v>42749</v>
      </c>
      <c r="H162" s="14">
        <f>2753556-1021449.92</f>
        <v>1732106.08</v>
      </c>
      <c r="I162" s="12">
        <f t="shared" si="3"/>
        <v>65</v>
      </c>
    </row>
    <row r="163" spans="1:9" x14ac:dyDescent="0.25">
      <c r="A163">
        <v>340</v>
      </c>
      <c r="B163" s="1">
        <v>42814</v>
      </c>
      <c r="C163" s="9"/>
      <c r="D163" s="9"/>
      <c r="E163" s="17">
        <v>-170940</v>
      </c>
      <c r="F163" s="16">
        <v>42704</v>
      </c>
      <c r="G163" s="16">
        <v>42749</v>
      </c>
      <c r="H163" s="10">
        <v>-170940</v>
      </c>
      <c r="I163" s="12">
        <f t="shared" si="3"/>
        <v>65</v>
      </c>
    </row>
    <row r="164" spans="1:9" x14ac:dyDescent="0.25">
      <c r="A164">
        <v>341</v>
      </c>
      <c r="B164" s="1">
        <v>42814</v>
      </c>
      <c r="C164" s="9"/>
      <c r="D164" s="9"/>
      <c r="E164" s="10">
        <v>-42860</v>
      </c>
      <c r="F164" s="16">
        <v>42704</v>
      </c>
      <c r="G164" s="16">
        <v>42749</v>
      </c>
      <c r="H164" s="10">
        <v>-42860</v>
      </c>
      <c r="I164" s="12">
        <f t="shared" si="3"/>
        <v>65</v>
      </c>
    </row>
    <row r="165" spans="1:9" x14ac:dyDescent="0.25">
      <c r="A165">
        <v>342</v>
      </c>
      <c r="B165" s="1">
        <v>42814</v>
      </c>
      <c r="C165" s="9"/>
      <c r="D165" s="9"/>
      <c r="E165" s="10">
        <v>-79860</v>
      </c>
      <c r="F165" s="16">
        <v>42704</v>
      </c>
      <c r="G165" s="16">
        <v>42749</v>
      </c>
      <c r="H165" s="10">
        <v>-79860</v>
      </c>
      <c r="I165" s="12">
        <f t="shared" si="3"/>
        <v>65</v>
      </c>
    </row>
    <row r="166" spans="1:9" x14ac:dyDescent="0.25">
      <c r="A166">
        <v>346</v>
      </c>
      <c r="B166" s="1">
        <v>42814</v>
      </c>
      <c r="C166" s="9"/>
      <c r="D166" s="9"/>
      <c r="E166" s="10">
        <v>3789000</v>
      </c>
      <c r="F166" s="16">
        <v>42705</v>
      </c>
      <c r="G166" s="16">
        <v>42750</v>
      </c>
      <c r="H166" s="10">
        <v>3789000</v>
      </c>
      <c r="I166" s="12">
        <f t="shared" si="3"/>
        <v>64</v>
      </c>
    </row>
    <row r="167" spans="1:9" x14ac:dyDescent="0.25">
      <c r="A167">
        <v>348</v>
      </c>
      <c r="B167" s="1">
        <v>42814</v>
      </c>
      <c r="C167" s="9"/>
      <c r="D167" s="9"/>
      <c r="E167" s="10">
        <v>765084</v>
      </c>
      <c r="F167" s="16">
        <v>42705</v>
      </c>
      <c r="G167" s="16">
        <v>42750</v>
      </c>
      <c r="H167" s="10">
        <v>765084</v>
      </c>
      <c r="I167" s="12">
        <f t="shared" si="3"/>
        <v>64</v>
      </c>
    </row>
    <row r="168" spans="1:9" x14ac:dyDescent="0.25">
      <c r="A168">
        <v>349</v>
      </c>
      <c r="B168" s="1">
        <v>42814</v>
      </c>
      <c r="C168" s="9"/>
      <c r="D168" s="9"/>
      <c r="E168" s="10">
        <v>765084</v>
      </c>
      <c r="F168" s="16">
        <v>42705</v>
      </c>
      <c r="G168" s="16">
        <v>42750</v>
      </c>
      <c r="H168" s="10">
        <v>765084</v>
      </c>
      <c r="I168" s="12">
        <f t="shared" si="3"/>
        <v>64</v>
      </c>
    </row>
    <row r="169" spans="1:9" x14ac:dyDescent="0.25">
      <c r="A169">
        <v>350</v>
      </c>
      <c r="B169" s="1">
        <v>42814</v>
      </c>
      <c r="C169" s="9"/>
      <c r="D169" s="9"/>
      <c r="E169" s="10">
        <v>-21997</v>
      </c>
      <c r="F169" s="16">
        <v>42705</v>
      </c>
      <c r="G169" s="16">
        <v>42750</v>
      </c>
      <c r="H169" s="10">
        <v>-21997</v>
      </c>
      <c r="I169" s="12">
        <f t="shared" si="3"/>
        <v>64</v>
      </c>
    </row>
    <row r="170" spans="1:9" x14ac:dyDescent="0.25">
      <c r="A170">
        <v>351</v>
      </c>
      <c r="B170" s="1">
        <v>42814</v>
      </c>
      <c r="C170" s="9"/>
      <c r="D170" s="9"/>
      <c r="E170" s="10">
        <v>-230802</v>
      </c>
      <c r="F170" s="16">
        <v>42705</v>
      </c>
      <c r="G170" s="16">
        <v>42750</v>
      </c>
      <c r="H170" s="10">
        <v>-230802</v>
      </c>
      <c r="I170" s="12">
        <f t="shared" si="3"/>
        <v>64</v>
      </c>
    </row>
    <row r="171" spans="1:9" x14ac:dyDescent="0.25">
      <c r="A171">
        <v>352</v>
      </c>
      <c r="B171" s="1">
        <v>42814</v>
      </c>
      <c r="C171" s="9"/>
      <c r="D171" s="9"/>
      <c r="E171" s="10">
        <v>-308361</v>
      </c>
      <c r="F171" s="16">
        <v>42705</v>
      </c>
      <c r="G171" s="16">
        <v>42750</v>
      </c>
      <c r="H171" s="10">
        <v>-308361</v>
      </c>
      <c r="I171" s="12">
        <f t="shared" si="3"/>
        <v>64</v>
      </c>
    </row>
    <row r="172" spans="1:9" x14ac:dyDescent="0.25">
      <c r="A172">
        <v>353</v>
      </c>
      <c r="B172" s="1">
        <v>42814</v>
      </c>
      <c r="C172" s="9"/>
      <c r="D172" s="9"/>
      <c r="E172" s="10">
        <v>-224686</v>
      </c>
      <c r="F172" s="16">
        <v>42705</v>
      </c>
      <c r="G172" s="16">
        <v>42750</v>
      </c>
      <c r="H172" s="10">
        <v>-224686</v>
      </c>
      <c r="I172" s="12">
        <f t="shared" si="3"/>
        <v>64</v>
      </c>
    </row>
    <row r="173" spans="1:9" x14ac:dyDescent="0.25">
      <c r="A173">
        <v>354</v>
      </c>
      <c r="B173" s="1">
        <v>42814</v>
      </c>
      <c r="C173" s="9"/>
      <c r="D173" s="9"/>
      <c r="E173" s="10">
        <v>-227854</v>
      </c>
      <c r="F173" s="16">
        <v>42705</v>
      </c>
      <c r="G173" s="16">
        <v>42750</v>
      </c>
      <c r="H173" s="10">
        <v>-227854</v>
      </c>
      <c r="I173" s="12">
        <f t="shared" si="3"/>
        <v>64</v>
      </c>
    </row>
    <row r="174" spans="1:9" x14ac:dyDescent="0.25">
      <c r="A174">
        <v>355</v>
      </c>
      <c r="B174" s="1">
        <v>42814</v>
      </c>
      <c r="C174" s="9"/>
      <c r="D174" s="9"/>
      <c r="E174" s="10">
        <v>-217657</v>
      </c>
      <c r="F174" s="16">
        <v>42705</v>
      </c>
      <c r="G174" s="16">
        <v>42750</v>
      </c>
      <c r="H174" s="10">
        <v>-217657</v>
      </c>
      <c r="I174" s="12">
        <f t="shared" si="3"/>
        <v>64</v>
      </c>
    </row>
    <row r="175" spans="1:9" x14ac:dyDescent="0.25">
      <c r="A175">
        <v>356</v>
      </c>
      <c r="B175" s="1">
        <v>42814</v>
      </c>
      <c r="C175" s="9"/>
      <c r="D175" s="9"/>
      <c r="E175" s="10">
        <v>-160242</v>
      </c>
      <c r="F175" s="16">
        <v>42705</v>
      </c>
      <c r="G175" s="16">
        <v>42750</v>
      </c>
      <c r="H175" s="10">
        <v>-160242</v>
      </c>
      <c r="I175" s="12">
        <f t="shared" si="3"/>
        <v>64</v>
      </c>
    </row>
    <row r="176" spans="1:9" x14ac:dyDescent="0.25">
      <c r="A176">
        <v>357</v>
      </c>
      <c r="B176" s="1">
        <v>42814</v>
      </c>
      <c r="C176" s="9"/>
      <c r="D176" s="9"/>
      <c r="E176" s="10">
        <v>-20999</v>
      </c>
      <c r="F176" s="16">
        <v>42705</v>
      </c>
      <c r="G176" s="16">
        <v>42750</v>
      </c>
      <c r="H176" s="10">
        <v>-20999</v>
      </c>
      <c r="I176" s="12">
        <f t="shared" si="3"/>
        <v>64</v>
      </c>
    </row>
    <row r="177" spans="1:9" x14ac:dyDescent="0.25">
      <c r="A177">
        <v>358</v>
      </c>
      <c r="B177" s="1">
        <v>42814</v>
      </c>
      <c r="C177" s="9"/>
      <c r="D177" s="9"/>
      <c r="E177" s="10">
        <v>-115400</v>
      </c>
      <c r="F177" s="16">
        <v>42705</v>
      </c>
      <c r="G177" s="16">
        <v>42750</v>
      </c>
      <c r="H177" s="10">
        <v>-115400</v>
      </c>
      <c r="I177" s="12">
        <f t="shared" si="3"/>
        <v>64</v>
      </c>
    </row>
    <row r="178" spans="1:9" x14ac:dyDescent="0.25">
      <c r="A178">
        <v>360</v>
      </c>
      <c r="B178" s="1">
        <v>42814</v>
      </c>
      <c r="C178" s="9"/>
      <c r="D178" s="9"/>
      <c r="E178" s="17">
        <f>114572.96</f>
        <v>114572.96</v>
      </c>
      <c r="F178" s="16">
        <v>42710</v>
      </c>
      <c r="G178" s="16">
        <v>42755</v>
      </c>
      <c r="H178" s="14">
        <f>114572.96-110160.28</f>
        <v>4412.6800000000076</v>
      </c>
      <c r="I178" s="12">
        <f t="shared" si="3"/>
        <v>59</v>
      </c>
    </row>
    <row r="179" spans="1:9" x14ac:dyDescent="0.25">
      <c r="A179">
        <v>362</v>
      </c>
      <c r="B179" s="1">
        <v>42814</v>
      </c>
      <c r="C179" s="9"/>
      <c r="D179" s="9"/>
      <c r="E179" s="17">
        <f>928000</f>
        <v>928000</v>
      </c>
      <c r="F179" s="16">
        <v>42710</v>
      </c>
      <c r="G179" s="16">
        <v>42755</v>
      </c>
      <c r="H179" s="14">
        <f>928000-840000</f>
        <v>88000</v>
      </c>
      <c r="I179" s="12">
        <f t="shared" si="3"/>
        <v>59</v>
      </c>
    </row>
    <row r="180" spans="1:9" x14ac:dyDescent="0.25">
      <c r="A180">
        <v>364</v>
      </c>
      <c r="B180" s="1">
        <v>42814</v>
      </c>
      <c r="C180" s="9"/>
      <c r="D180" s="9"/>
      <c r="E180" s="17">
        <v>-224554</v>
      </c>
      <c r="F180" s="16">
        <v>42710</v>
      </c>
      <c r="G180" s="16">
        <v>42755</v>
      </c>
      <c r="H180" s="10">
        <v>-224554</v>
      </c>
      <c r="I180" s="12">
        <f t="shared" si="3"/>
        <v>59</v>
      </c>
    </row>
    <row r="181" spans="1:9" x14ac:dyDescent="0.25">
      <c r="A181">
        <v>365</v>
      </c>
      <c r="B181" s="1">
        <v>42814</v>
      </c>
      <c r="C181" s="9"/>
      <c r="D181" s="9"/>
      <c r="E181" s="17">
        <v>-21000</v>
      </c>
      <c r="F181" s="16">
        <v>42710</v>
      </c>
      <c r="G181" s="16">
        <v>42755</v>
      </c>
      <c r="H181" s="10">
        <v>-21000</v>
      </c>
      <c r="I181" s="12">
        <f t="shared" si="3"/>
        <v>59</v>
      </c>
    </row>
    <row r="182" spans="1:9" x14ac:dyDescent="0.25">
      <c r="A182">
        <v>366</v>
      </c>
      <c r="B182" s="1">
        <v>42814</v>
      </c>
      <c r="C182" s="9"/>
      <c r="D182" s="9"/>
      <c r="E182" s="17">
        <v>-11200</v>
      </c>
      <c r="F182" s="16">
        <v>42710</v>
      </c>
      <c r="G182" s="16">
        <v>42755</v>
      </c>
      <c r="H182" s="10">
        <v>-11200</v>
      </c>
      <c r="I182" s="12">
        <f t="shared" si="3"/>
        <v>59</v>
      </c>
    </row>
    <row r="183" spans="1:9" x14ac:dyDescent="0.25">
      <c r="A183">
        <v>367</v>
      </c>
      <c r="B183" s="1">
        <v>42814</v>
      </c>
      <c r="C183" s="9"/>
      <c r="D183" s="9"/>
      <c r="E183" s="17">
        <f>513760</f>
        <v>513760</v>
      </c>
      <c r="F183" s="16">
        <v>42710</v>
      </c>
      <c r="G183" s="16">
        <v>42755</v>
      </c>
      <c r="H183" s="14">
        <f>513760-100000-50000-50000-100000-50000-151176</f>
        <v>12584</v>
      </c>
      <c r="I183" s="12">
        <f t="shared" si="3"/>
        <v>59</v>
      </c>
    </row>
    <row r="184" spans="1:9" x14ac:dyDescent="0.25">
      <c r="A184">
        <v>368</v>
      </c>
      <c r="B184" s="1">
        <v>42814</v>
      </c>
      <c r="C184" s="9"/>
      <c r="D184" s="9"/>
      <c r="E184" s="17">
        <v>1843960</v>
      </c>
      <c r="F184" s="16">
        <v>42711</v>
      </c>
      <c r="G184" s="16">
        <v>42756</v>
      </c>
      <c r="H184" s="10">
        <v>1843960</v>
      </c>
      <c r="I184" s="12">
        <f t="shared" si="3"/>
        <v>58</v>
      </c>
    </row>
    <row r="185" spans="1:9" x14ac:dyDescent="0.25">
      <c r="A185">
        <v>371</v>
      </c>
      <c r="B185" s="1">
        <v>42814</v>
      </c>
      <c r="C185" s="9"/>
      <c r="D185" s="9"/>
      <c r="E185" s="17">
        <f>269766</f>
        <v>269766</v>
      </c>
      <c r="F185" s="16">
        <v>42711</v>
      </c>
      <c r="G185" s="16">
        <v>42756</v>
      </c>
      <c r="H185" s="14">
        <f>269766-255406</f>
        <v>14360</v>
      </c>
      <c r="I185" s="12">
        <f t="shared" si="3"/>
        <v>58</v>
      </c>
    </row>
    <row r="186" spans="1:9" x14ac:dyDescent="0.25">
      <c r="A186">
        <v>373</v>
      </c>
      <c r="B186" s="1">
        <v>42814</v>
      </c>
      <c r="C186" s="9"/>
      <c r="D186" s="9"/>
      <c r="E186" s="17">
        <v>3912800</v>
      </c>
      <c r="F186" s="16">
        <v>42712</v>
      </c>
      <c r="G186" s="16">
        <v>42757</v>
      </c>
      <c r="H186" s="14">
        <f>3912800-920783.51</f>
        <v>2992016.49</v>
      </c>
      <c r="I186" s="12">
        <f t="shared" si="3"/>
        <v>57</v>
      </c>
    </row>
    <row r="187" spans="1:9" x14ac:dyDescent="0.25">
      <c r="A187">
        <v>374</v>
      </c>
      <c r="B187" s="1">
        <v>42814</v>
      </c>
      <c r="C187" s="9"/>
      <c r="D187" s="9"/>
      <c r="E187" s="17">
        <f>1464040</f>
        <v>1464040</v>
      </c>
      <c r="F187" s="16">
        <v>42712</v>
      </c>
      <c r="G187" s="16">
        <v>42757</v>
      </c>
      <c r="H187" s="14">
        <f>1464040-1371720</f>
        <v>92320</v>
      </c>
      <c r="I187" s="12">
        <f t="shared" si="3"/>
        <v>57</v>
      </c>
    </row>
    <row r="188" spans="1:9" x14ac:dyDescent="0.25">
      <c r="A188">
        <v>376</v>
      </c>
      <c r="B188" s="1">
        <v>42814</v>
      </c>
      <c r="C188" s="9"/>
      <c r="D188" s="9"/>
      <c r="E188" s="17">
        <v>3850000</v>
      </c>
      <c r="F188" s="16">
        <v>42712</v>
      </c>
      <c r="G188" s="16">
        <v>42757</v>
      </c>
      <c r="H188" s="10">
        <v>3850000</v>
      </c>
      <c r="I188" s="12">
        <f t="shared" si="3"/>
        <v>57</v>
      </c>
    </row>
    <row r="189" spans="1:9" x14ac:dyDescent="0.25">
      <c r="A189">
        <v>379</v>
      </c>
      <c r="B189" s="1">
        <v>42814</v>
      </c>
      <c r="C189" s="9"/>
      <c r="D189" s="9"/>
      <c r="E189" s="10">
        <v>-54250</v>
      </c>
      <c r="F189" s="16">
        <v>42716</v>
      </c>
      <c r="G189" s="16">
        <v>42761</v>
      </c>
      <c r="H189" s="10">
        <v>-54250</v>
      </c>
      <c r="I189" s="12">
        <f t="shared" si="3"/>
        <v>53</v>
      </c>
    </row>
    <row r="190" spans="1:9" x14ac:dyDescent="0.25">
      <c r="A190">
        <v>381</v>
      </c>
      <c r="B190" s="1">
        <v>42814</v>
      </c>
      <c r="C190" s="9"/>
      <c r="D190" s="9"/>
      <c r="E190" s="10">
        <v>895883.04</v>
      </c>
      <c r="F190" s="16">
        <v>42717</v>
      </c>
      <c r="G190" s="16">
        <v>42762</v>
      </c>
      <c r="H190" s="14">
        <f>895883.04-593670.32</f>
        <v>302212.72000000009</v>
      </c>
      <c r="I190" s="12">
        <f t="shared" si="3"/>
        <v>52</v>
      </c>
    </row>
    <row r="191" spans="1:9" x14ac:dyDescent="0.25">
      <c r="A191">
        <v>382</v>
      </c>
      <c r="B191" s="1">
        <v>42814</v>
      </c>
      <c r="C191" s="9"/>
      <c r="D191" s="9"/>
      <c r="E191" s="17">
        <f>1707240</f>
        <v>1707240</v>
      </c>
      <c r="F191" s="16">
        <v>42717</v>
      </c>
      <c r="G191" s="16">
        <v>42762</v>
      </c>
      <c r="H191" s="14">
        <f>1707240-1574720-72340.68</f>
        <v>60179.320000000007</v>
      </c>
      <c r="I191" s="12">
        <f t="shared" si="3"/>
        <v>52</v>
      </c>
    </row>
    <row r="192" spans="1:9" x14ac:dyDescent="0.25">
      <c r="A192">
        <v>383</v>
      </c>
      <c r="B192" s="1">
        <v>42814</v>
      </c>
      <c r="C192" s="9"/>
      <c r="D192" s="9"/>
      <c r="E192" s="10">
        <v>-5400</v>
      </c>
      <c r="F192" s="16">
        <v>42717</v>
      </c>
      <c r="G192" s="16">
        <v>42762</v>
      </c>
      <c r="H192" s="10">
        <v>-5400</v>
      </c>
      <c r="I192" s="12">
        <f t="shared" si="3"/>
        <v>52</v>
      </c>
    </row>
    <row r="193" spans="1:9" x14ac:dyDescent="0.25">
      <c r="A193">
        <v>384</v>
      </c>
      <c r="B193" s="1">
        <v>42814</v>
      </c>
      <c r="C193" s="9"/>
      <c r="D193" s="9"/>
      <c r="E193" s="17">
        <v>684440</v>
      </c>
      <c r="F193" s="16">
        <v>42718</v>
      </c>
      <c r="G193" s="16">
        <v>42763</v>
      </c>
      <c r="H193" s="10">
        <v>684440</v>
      </c>
      <c r="I193" s="12">
        <f t="shared" si="3"/>
        <v>51</v>
      </c>
    </row>
    <row r="194" spans="1:9" x14ac:dyDescent="0.25">
      <c r="A194">
        <v>385</v>
      </c>
      <c r="B194" s="1">
        <v>42814</v>
      </c>
      <c r="C194" s="9"/>
      <c r="D194" s="9"/>
      <c r="E194" s="17">
        <f>843416</f>
        <v>843416</v>
      </c>
      <c r="F194" s="16">
        <v>42718</v>
      </c>
      <c r="G194" s="16">
        <v>42763</v>
      </c>
      <c r="H194" s="14">
        <f>843416-778362.64-49989.66</f>
        <v>15063.699999999983</v>
      </c>
      <c r="I194" s="12">
        <f t="shared" si="3"/>
        <v>51</v>
      </c>
    </row>
    <row r="195" spans="1:9" x14ac:dyDescent="0.25">
      <c r="A195">
        <v>386</v>
      </c>
      <c r="B195" s="1">
        <v>42814</v>
      </c>
      <c r="C195" s="9"/>
      <c r="D195" s="9"/>
      <c r="E195" s="17">
        <v>413400</v>
      </c>
      <c r="F195" s="16">
        <v>42718</v>
      </c>
      <c r="G195" s="16">
        <v>42763</v>
      </c>
      <c r="H195" s="10">
        <v>413400</v>
      </c>
      <c r="I195" s="12">
        <f t="shared" ref="I195:I258" si="4">$B$1-G195</f>
        <v>51</v>
      </c>
    </row>
    <row r="196" spans="1:9" x14ac:dyDescent="0.25">
      <c r="A196">
        <v>388</v>
      </c>
      <c r="B196" s="1">
        <v>42814</v>
      </c>
      <c r="C196" s="9"/>
      <c r="D196" s="9"/>
      <c r="E196" s="17">
        <f>602700</f>
        <v>602700</v>
      </c>
      <c r="F196" s="16">
        <v>42719</v>
      </c>
      <c r="G196" s="16">
        <v>42764</v>
      </c>
      <c r="H196" s="14">
        <f>602700-68760-451640-6908.68</f>
        <v>75391.320000000007</v>
      </c>
      <c r="I196" s="12">
        <f t="shared" si="4"/>
        <v>50</v>
      </c>
    </row>
    <row r="197" spans="1:9" x14ac:dyDescent="0.25">
      <c r="A197">
        <v>389</v>
      </c>
      <c r="B197" s="1">
        <v>42814</v>
      </c>
      <c r="C197" s="9"/>
      <c r="D197" s="9"/>
      <c r="E197" s="17">
        <f>2492800</f>
        <v>2492800</v>
      </c>
      <c r="F197" s="16">
        <v>42719</v>
      </c>
      <c r="G197" s="16">
        <v>42764</v>
      </c>
      <c r="H197" s="14">
        <f>2492800-1434510-197600-417800</f>
        <v>442890</v>
      </c>
      <c r="I197" s="12">
        <f t="shared" si="4"/>
        <v>50</v>
      </c>
    </row>
    <row r="198" spans="1:9" x14ac:dyDescent="0.25">
      <c r="A198">
        <v>390</v>
      </c>
      <c r="B198" s="1">
        <v>42814</v>
      </c>
      <c r="C198" s="9"/>
      <c r="D198" s="9"/>
      <c r="E198" s="17">
        <v>3693700</v>
      </c>
      <c r="F198" s="16">
        <v>42720</v>
      </c>
      <c r="G198" s="16">
        <v>42765</v>
      </c>
      <c r="H198" s="14">
        <f>3693700-677500-3000000</f>
        <v>16200</v>
      </c>
      <c r="I198" s="12">
        <f t="shared" si="4"/>
        <v>49</v>
      </c>
    </row>
    <row r="199" spans="1:9" x14ac:dyDescent="0.25">
      <c r="A199">
        <v>391</v>
      </c>
      <c r="B199" s="1">
        <v>42814</v>
      </c>
      <c r="C199" s="9"/>
      <c r="D199" s="9"/>
      <c r="E199" s="17">
        <v>2041000</v>
      </c>
      <c r="F199" s="16">
        <v>42720</v>
      </c>
      <c r="G199" s="16">
        <v>42765</v>
      </c>
      <c r="H199" s="10">
        <v>2041000</v>
      </c>
      <c r="I199" s="12">
        <f t="shared" si="4"/>
        <v>49</v>
      </c>
    </row>
    <row r="200" spans="1:9" x14ac:dyDescent="0.25">
      <c r="A200">
        <v>393</v>
      </c>
      <c r="B200" s="1">
        <v>42814</v>
      </c>
      <c r="C200" s="9"/>
      <c r="D200" s="9"/>
      <c r="E200" s="17">
        <v>-220000</v>
      </c>
      <c r="F200" s="16">
        <v>42720</v>
      </c>
      <c r="G200" s="16">
        <v>42765</v>
      </c>
      <c r="H200" s="10">
        <v>-220000</v>
      </c>
      <c r="I200" s="12">
        <f t="shared" si="4"/>
        <v>49</v>
      </c>
    </row>
    <row r="201" spans="1:9" x14ac:dyDescent="0.25">
      <c r="A201">
        <v>394</v>
      </c>
      <c r="B201" s="1">
        <v>42814</v>
      </c>
      <c r="C201" s="9"/>
      <c r="D201" s="9"/>
      <c r="E201" s="17">
        <v>-220000</v>
      </c>
      <c r="F201" s="16">
        <v>42720</v>
      </c>
      <c r="G201" s="16">
        <v>42765</v>
      </c>
      <c r="H201" s="10">
        <v>-220000</v>
      </c>
      <c r="I201" s="12">
        <f t="shared" si="4"/>
        <v>49</v>
      </c>
    </row>
    <row r="202" spans="1:9" x14ac:dyDescent="0.25">
      <c r="A202">
        <v>404</v>
      </c>
      <c r="B202" s="1">
        <v>42814</v>
      </c>
      <c r="C202" s="9"/>
      <c r="D202" s="9"/>
      <c r="E202" s="10">
        <v>115746</v>
      </c>
      <c r="F202" s="16">
        <v>42724</v>
      </c>
      <c r="G202" s="16">
        <v>42769</v>
      </c>
      <c r="H202" s="14">
        <f>115746-80706.4</f>
        <v>35039.600000000006</v>
      </c>
      <c r="I202" s="12">
        <f t="shared" si="4"/>
        <v>45</v>
      </c>
    </row>
    <row r="203" spans="1:9" x14ac:dyDescent="0.25">
      <c r="A203">
        <v>405</v>
      </c>
      <c r="B203" s="1">
        <v>42814</v>
      </c>
      <c r="C203" s="9"/>
      <c r="D203" s="9"/>
      <c r="E203" s="17">
        <f>870000</f>
        <v>870000</v>
      </c>
      <c r="F203" s="16">
        <v>42724</v>
      </c>
      <c r="G203" s="16">
        <v>42769</v>
      </c>
      <c r="H203" s="14">
        <f>870000-784650</f>
        <v>85350</v>
      </c>
      <c r="I203" s="12">
        <f t="shared" si="4"/>
        <v>45</v>
      </c>
    </row>
    <row r="204" spans="1:9" x14ac:dyDescent="0.25">
      <c r="A204">
        <v>406</v>
      </c>
      <c r="B204" s="1">
        <v>42814</v>
      </c>
      <c r="C204" s="9"/>
      <c r="D204" s="9"/>
      <c r="E204" s="10">
        <v>-6200</v>
      </c>
      <c r="F204" s="16">
        <v>42724</v>
      </c>
      <c r="G204" s="16">
        <v>42769</v>
      </c>
      <c r="H204" s="10">
        <v>-6200</v>
      </c>
      <c r="I204" s="12">
        <f t="shared" si="4"/>
        <v>45</v>
      </c>
    </row>
    <row r="205" spans="1:9" x14ac:dyDescent="0.25">
      <c r="A205">
        <v>407</v>
      </c>
      <c r="B205" s="1">
        <v>42814</v>
      </c>
      <c r="C205" s="9"/>
      <c r="D205" s="9"/>
      <c r="E205" s="10">
        <v>-6200</v>
      </c>
      <c r="F205" s="16">
        <v>42724</v>
      </c>
      <c r="G205" s="16">
        <v>42769</v>
      </c>
      <c r="H205" s="10">
        <v>-6200</v>
      </c>
      <c r="I205" s="12">
        <f t="shared" si="4"/>
        <v>45</v>
      </c>
    </row>
    <row r="206" spans="1:9" x14ac:dyDescent="0.25">
      <c r="A206">
        <v>408</v>
      </c>
      <c r="B206" s="1">
        <v>42814</v>
      </c>
      <c r="C206" s="9"/>
      <c r="D206" s="9"/>
      <c r="E206" s="10">
        <v>-22200</v>
      </c>
      <c r="F206" s="16">
        <v>42724</v>
      </c>
      <c r="G206" s="16">
        <v>42769</v>
      </c>
      <c r="H206" s="10">
        <v>-22200</v>
      </c>
      <c r="I206" s="12">
        <f t="shared" si="4"/>
        <v>45</v>
      </c>
    </row>
    <row r="207" spans="1:9" x14ac:dyDescent="0.25">
      <c r="A207">
        <v>409</v>
      </c>
      <c r="B207" s="1">
        <v>42814</v>
      </c>
      <c r="C207" s="9"/>
      <c r="D207" s="9"/>
      <c r="E207" s="10">
        <v>-22200</v>
      </c>
      <c r="F207" s="16">
        <v>42724</v>
      </c>
      <c r="G207" s="16">
        <v>42769</v>
      </c>
      <c r="H207" s="10">
        <v>-22200</v>
      </c>
      <c r="I207" s="12">
        <f t="shared" si="4"/>
        <v>45</v>
      </c>
    </row>
    <row r="208" spans="1:9" x14ac:dyDescent="0.25">
      <c r="A208">
        <v>410</v>
      </c>
      <c r="B208" s="1">
        <v>42814</v>
      </c>
      <c r="C208" s="9"/>
      <c r="D208" s="9"/>
      <c r="E208" s="10">
        <v>-6200</v>
      </c>
      <c r="F208" s="16">
        <v>42724</v>
      </c>
      <c r="G208" s="16">
        <v>42769</v>
      </c>
      <c r="H208" s="10">
        <v>-6200</v>
      </c>
      <c r="I208" s="12">
        <f t="shared" si="4"/>
        <v>45</v>
      </c>
    </row>
    <row r="209" spans="1:9" x14ac:dyDescent="0.25">
      <c r="A209">
        <v>411</v>
      </c>
      <c r="B209" s="1">
        <v>42814</v>
      </c>
      <c r="C209" s="9"/>
      <c r="D209" s="9"/>
      <c r="E209" s="10">
        <v>-6200</v>
      </c>
      <c r="F209" s="16">
        <v>42724</v>
      </c>
      <c r="G209" s="16">
        <v>42769</v>
      </c>
      <c r="H209" s="10">
        <v>-6200</v>
      </c>
      <c r="I209" s="12">
        <f t="shared" si="4"/>
        <v>45</v>
      </c>
    </row>
    <row r="210" spans="1:9" x14ac:dyDescent="0.25">
      <c r="A210">
        <v>412</v>
      </c>
      <c r="B210" s="1">
        <v>42814</v>
      </c>
      <c r="C210" s="9"/>
      <c r="D210" s="9"/>
      <c r="E210" s="10">
        <v>-6400</v>
      </c>
      <c r="F210" s="16">
        <v>42724</v>
      </c>
      <c r="G210" s="16">
        <v>42769</v>
      </c>
      <c r="H210" s="10">
        <v>-6400</v>
      </c>
      <c r="I210" s="12">
        <f t="shared" si="4"/>
        <v>45</v>
      </c>
    </row>
    <row r="211" spans="1:9" x14ac:dyDescent="0.25">
      <c r="A211">
        <v>413</v>
      </c>
      <c r="B211" s="1">
        <v>42814</v>
      </c>
      <c r="C211" s="9"/>
      <c r="D211" s="9"/>
      <c r="E211" s="10">
        <v>-34400</v>
      </c>
      <c r="F211" s="16">
        <v>42724</v>
      </c>
      <c r="G211" s="16">
        <v>42769</v>
      </c>
      <c r="H211" s="10">
        <v>-34400</v>
      </c>
      <c r="I211" s="12">
        <f t="shared" si="4"/>
        <v>45</v>
      </c>
    </row>
    <row r="212" spans="1:9" x14ac:dyDescent="0.25">
      <c r="A212">
        <v>415</v>
      </c>
      <c r="B212" s="1">
        <v>42814</v>
      </c>
      <c r="C212" s="9"/>
      <c r="D212" s="9"/>
      <c r="E212" s="10">
        <v>1305704</v>
      </c>
      <c r="F212" s="16">
        <v>42725</v>
      </c>
      <c r="G212" s="16">
        <v>42770</v>
      </c>
      <c r="H212" s="10">
        <v>1305704</v>
      </c>
      <c r="I212" s="12">
        <f t="shared" si="4"/>
        <v>44</v>
      </c>
    </row>
    <row r="213" spans="1:9" x14ac:dyDescent="0.25">
      <c r="A213">
        <v>416</v>
      </c>
      <c r="B213" s="1">
        <v>42814</v>
      </c>
      <c r="C213" s="9"/>
      <c r="D213" s="9"/>
      <c r="E213" s="17">
        <f>1850000</f>
        <v>1850000</v>
      </c>
      <c r="F213" s="16">
        <v>42725</v>
      </c>
      <c r="G213" s="16">
        <v>42770</v>
      </c>
      <c r="H213" s="14">
        <f>1850000-1705200</f>
        <v>144800</v>
      </c>
      <c r="I213" s="12">
        <f t="shared" si="4"/>
        <v>44</v>
      </c>
    </row>
    <row r="214" spans="1:9" x14ac:dyDescent="0.25">
      <c r="A214">
        <v>417</v>
      </c>
      <c r="B214" s="1">
        <v>42814</v>
      </c>
      <c r="C214" s="9"/>
      <c r="D214" s="9"/>
      <c r="E214" s="17">
        <f>3883000</f>
        <v>3883000</v>
      </c>
      <c r="F214" s="16">
        <v>42725</v>
      </c>
      <c r="G214" s="16">
        <v>42770</v>
      </c>
      <c r="H214" s="14">
        <f>3883000-329452-500000-2596800</f>
        <v>456748</v>
      </c>
      <c r="I214" s="12">
        <f t="shared" si="4"/>
        <v>44</v>
      </c>
    </row>
    <row r="215" spans="1:9" x14ac:dyDescent="0.25">
      <c r="A215">
        <v>418</v>
      </c>
      <c r="B215" s="1">
        <v>42814</v>
      </c>
      <c r="C215" s="9"/>
      <c r="D215" s="9"/>
      <c r="E215" s="10">
        <v>702080</v>
      </c>
      <c r="F215" s="16">
        <v>42726</v>
      </c>
      <c r="G215" s="16">
        <v>42771</v>
      </c>
      <c r="H215" s="10">
        <v>702080</v>
      </c>
      <c r="I215" s="12">
        <f t="shared" si="4"/>
        <v>43</v>
      </c>
    </row>
    <row r="216" spans="1:9" x14ac:dyDescent="0.25">
      <c r="A216">
        <v>421</v>
      </c>
      <c r="B216" s="1">
        <v>42814</v>
      </c>
      <c r="C216" s="9"/>
      <c r="D216" s="9"/>
      <c r="E216" s="17">
        <f>992460</f>
        <v>992460</v>
      </c>
      <c r="F216" s="16">
        <v>42726</v>
      </c>
      <c r="G216" s="16">
        <v>42771</v>
      </c>
      <c r="H216" s="14">
        <f>992460-916200</f>
        <v>76260</v>
      </c>
      <c r="I216" s="12">
        <f t="shared" si="4"/>
        <v>43</v>
      </c>
    </row>
    <row r="217" spans="1:9" x14ac:dyDescent="0.25">
      <c r="A217">
        <v>424</v>
      </c>
      <c r="B217" s="1">
        <v>42814</v>
      </c>
      <c r="C217" s="9"/>
      <c r="D217" s="9"/>
      <c r="E217" s="10">
        <v>693780</v>
      </c>
      <c r="F217" s="16">
        <v>42726</v>
      </c>
      <c r="G217" s="16">
        <v>42771</v>
      </c>
      <c r="H217" s="10">
        <v>693780</v>
      </c>
      <c r="I217" s="12">
        <f t="shared" si="4"/>
        <v>43</v>
      </c>
    </row>
    <row r="218" spans="1:9" x14ac:dyDescent="0.25">
      <c r="A218">
        <v>426</v>
      </c>
      <c r="B218" s="1">
        <v>42814</v>
      </c>
      <c r="C218" s="9"/>
      <c r="D218" s="9"/>
      <c r="E218" s="10">
        <v>-27160</v>
      </c>
      <c r="F218" s="16">
        <v>42726</v>
      </c>
      <c r="G218" s="16">
        <v>42771</v>
      </c>
      <c r="H218" s="10">
        <v>-27160</v>
      </c>
      <c r="I218" s="12">
        <f t="shared" si="4"/>
        <v>43</v>
      </c>
    </row>
    <row r="219" spans="1:9" x14ac:dyDescent="0.25">
      <c r="A219">
        <v>428</v>
      </c>
      <c r="B219" s="1">
        <v>42814</v>
      </c>
      <c r="C219" s="9"/>
      <c r="D219" s="9"/>
      <c r="E219" s="10">
        <v>788440</v>
      </c>
      <c r="F219" s="16">
        <v>42727</v>
      </c>
      <c r="G219" s="16">
        <v>42772</v>
      </c>
      <c r="H219" s="10">
        <v>788440</v>
      </c>
      <c r="I219" s="12">
        <f t="shared" si="4"/>
        <v>42</v>
      </c>
    </row>
    <row r="220" spans="1:9" x14ac:dyDescent="0.25">
      <c r="A220">
        <v>429</v>
      </c>
      <c r="B220" s="1">
        <v>42814</v>
      </c>
      <c r="C220" s="9"/>
      <c r="D220" s="9"/>
      <c r="E220" s="10">
        <v>448980</v>
      </c>
      <c r="F220" s="16">
        <v>42727</v>
      </c>
      <c r="G220" s="16">
        <v>42772</v>
      </c>
      <c r="H220" s="10">
        <v>448980</v>
      </c>
      <c r="I220" s="12">
        <f t="shared" si="4"/>
        <v>42</v>
      </c>
    </row>
    <row r="221" spans="1:9" x14ac:dyDescent="0.25">
      <c r="A221">
        <v>430</v>
      </c>
      <c r="B221" s="1">
        <v>42814</v>
      </c>
      <c r="C221" s="9"/>
      <c r="D221" s="9"/>
      <c r="E221" s="10">
        <v>1701480</v>
      </c>
      <c r="F221" s="16">
        <v>42727</v>
      </c>
      <c r="G221" s="16">
        <v>42772</v>
      </c>
      <c r="H221" s="14">
        <f>1701480-28280-20000-50000-50000</f>
        <v>1553200</v>
      </c>
      <c r="I221" s="12">
        <f t="shared" si="4"/>
        <v>42</v>
      </c>
    </row>
    <row r="222" spans="1:9" x14ac:dyDescent="0.25">
      <c r="A222">
        <v>431</v>
      </c>
      <c r="B222" s="1">
        <v>42814</v>
      </c>
      <c r="C222" s="9"/>
      <c r="D222" s="9"/>
      <c r="E222" s="10">
        <v>2029200</v>
      </c>
      <c r="F222" s="16">
        <v>42727</v>
      </c>
      <c r="G222" s="16">
        <v>42772</v>
      </c>
      <c r="H222" s="10">
        <v>2029200</v>
      </c>
      <c r="I222" s="12">
        <f t="shared" si="4"/>
        <v>42</v>
      </c>
    </row>
    <row r="223" spans="1:9" x14ac:dyDescent="0.25">
      <c r="A223">
        <v>433</v>
      </c>
      <c r="B223" s="1">
        <v>42814</v>
      </c>
      <c r="C223" s="9"/>
      <c r="D223" s="9"/>
      <c r="E223" s="17">
        <f>775500</f>
        <v>775500</v>
      </c>
      <c r="F223" s="16">
        <v>42727</v>
      </c>
      <c r="G223" s="16">
        <v>42772</v>
      </c>
      <c r="H223" s="14">
        <f>775500-708980</f>
        <v>66520</v>
      </c>
      <c r="I223" s="12">
        <f t="shared" si="4"/>
        <v>42</v>
      </c>
    </row>
    <row r="224" spans="1:9" x14ac:dyDescent="0.25">
      <c r="A224">
        <v>435</v>
      </c>
      <c r="B224" s="1">
        <v>42814</v>
      </c>
      <c r="C224" s="9"/>
      <c r="D224" s="9"/>
      <c r="E224" s="17">
        <f>2001980</f>
        <v>2001980</v>
      </c>
      <c r="F224" s="16">
        <v>42727</v>
      </c>
      <c r="G224" s="16">
        <v>42772</v>
      </c>
      <c r="H224" s="14">
        <f>2001980-1500000-236060</f>
        <v>265920</v>
      </c>
      <c r="I224" s="12">
        <f t="shared" si="4"/>
        <v>42</v>
      </c>
    </row>
    <row r="225" spans="1:9" x14ac:dyDescent="0.25">
      <c r="A225">
        <v>436</v>
      </c>
      <c r="B225" s="1">
        <v>42814</v>
      </c>
      <c r="C225" s="9"/>
      <c r="D225" s="9"/>
      <c r="E225" s="17">
        <f>3924520</f>
        <v>3924520</v>
      </c>
      <c r="F225" s="16">
        <v>42727</v>
      </c>
      <c r="G225" s="16">
        <v>42772</v>
      </c>
      <c r="H225" s="14">
        <f>3924520-3744360</f>
        <v>180160</v>
      </c>
      <c r="I225" s="12">
        <f t="shared" si="4"/>
        <v>42</v>
      </c>
    </row>
    <row r="226" spans="1:9" x14ac:dyDescent="0.25">
      <c r="A226">
        <v>437</v>
      </c>
      <c r="B226" s="1">
        <v>42814</v>
      </c>
      <c r="C226" s="9"/>
      <c r="D226" s="9"/>
      <c r="E226" s="17">
        <f>4004400</f>
        <v>4004400</v>
      </c>
      <c r="F226" s="16">
        <v>42727</v>
      </c>
      <c r="G226" s="16">
        <v>42772</v>
      </c>
      <c r="H226" s="14">
        <f>4004400-299308-1000000-700000-300000-300000-300000-39830</f>
        <v>1065262</v>
      </c>
      <c r="I226" s="12">
        <f t="shared" si="4"/>
        <v>42</v>
      </c>
    </row>
    <row r="227" spans="1:9" x14ac:dyDescent="0.25">
      <c r="A227">
        <v>438</v>
      </c>
      <c r="B227" s="1">
        <v>42814</v>
      </c>
      <c r="C227" s="9"/>
      <c r="D227" s="9"/>
      <c r="E227" s="17">
        <v>1751900</v>
      </c>
      <c r="F227" s="16">
        <v>42730</v>
      </c>
      <c r="G227" s="16">
        <v>42775</v>
      </c>
      <c r="H227" s="10">
        <v>1751900</v>
      </c>
      <c r="I227" s="12">
        <f t="shared" si="4"/>
        <v>39</v>
      </c>
    </row>
    <row r="228" spans="1:9" x14ac:dyDescent="0.25">
      <c r="A228">
        <v>439</v>
      </c>
      <c r="B228" s="1">
        <v>42814</v>
      </c>
      <c r="C228" s="9"/>
      <c r="D228" s="9"/>
      <c r="E228" s="17">
        <f>3900680</f>
        <v>3900680</v>
      </c>
      <c r="F228" s="16">
        <v>42730</v>
      </c>
      <c r="G228" s="16">
        <v>42775</v>
      </c>
      <c r="H228" s="14">
        <f>3900680-3600000</f>
        <v>300680</v>
      </c>
      <c r="I228" s="12">
        <f t="shared" si="4"/>
        <v>39</v>
      </c>
    </row>
    <row r="229" spans="1:9" x14ac:dyDescent="0.25">
      <c r="A229">
        <v>440</v>
      </c>
      <c r="B229" s="1">
        <v>42814</v>
      </c>
      <c r="C229" s="9"/>
      <c r="D229" s="9"/>
      <c r="E229" s="17">
        <f>3500000</f>
        <v>3500000</v>
      </c>
      <c r="F229" s="16">
        <v>42730</v>
      </c>
      <c r="G229" s="16">
        <v>42775</v>
      </c>
      <c r="H229" s="14">
        <f>3500000-486681.94</f>
        <v>3013318.06</v>
      </c>
      <c r="I229" s="12">
        <f t="shared" si="4"/>
        <v>39</v>
      </c>
    </row>
    <row r="230" spans="1:9" x14ac:dyDescent="0.25">
      <c r="A230">
        <v>442</v>
      </c>
      <c r="B230" s="1">
        <v>42814</v>
      </c>
      <c r="C230" s="9"/>
      <c r="D230" s="9"/>
      <c r="E230" s="17">
        <f>2140640</f>
        <v>2140640</v>
      </c>
      <c r="F230" s="16">
        <v>42730</v>
      </c>
      <c r="G230" s="16">
        <v>42775</v>
      </c>
      <c r="H230" s="14">
        <f>2140640-959726.8-500000-515320-40273</f>
        <v>125320.19999999995</v>
      </c>
      <c r="I230" s="12">
        <f t="shared" si="4"/>
        <v>39</v>
      </c>
    </row>
    <row r="231" spans="1:9" x14ac:dyDescent="0.25">
      <c r="A231">
        <v>443</v>
      </c>
      <c r="B231" s="1">
        <v>42814</v>
      </c>
      <c r="C231" s="9"/>
      <c r="D231" s="9"/>
      <c r="E231" s="17">
        <f>3268920</f>
        <v>3268920</v>
      </c>
      <c r="F231" s="16">
        <v>42730</v>
      </c>
      <c r="G231" s="16">
        <v>42775</v>
      </c>
      <c r="H231" s="14">
        <f>3268920-2100000-879204</f>
        <v>289716</v>
      </c>
      <c r="I231" s="12">
        <f t="shared" si="4"/>
        <v>39</v>
      </c>
    </row>
    <row r="232" spans="1:9" x14ac:dyDescent="0.25">
      <c r="A232">
        <v>444</v>
      </c>
      <c r="B232" s="1">
        <v>42814</v>
      </c>
      <c r="C232" s="9"/>
      <c r="D232" s="9"/>
      <c r="E232" s="17">
        <f>649180</f>
        <v>649180</v>
      </c>
      <c r="F232" s="16">
        <v>42730</v>
      </c>
      <c r="G232" s="16">
        <v>42775</v>
      </c>
      <c r="H232" s="14">
        <f>649180-182760-307360</f>
        <v>159060</v>
      </c>
      <c r="I232" s="12">
        <f t="shared" si="4"/>
        <v>39</v>
      </c>
    </row>
    <row r="233" spans="1:9" x14ac:dyDescent="0.25">
      <c r="A233">
        <v>446</v>
      </c>
      <c r="B233" s="1">
        <v>42814</v>
      </c>
      <c r="C233" s="9"/>
      <c r="D233" s="9"/>
      <c r="E233" s="10">
        <v>548600</v>
      </c>
      <c r="F233" s="16">
        <v>42731</v>
      </c>
      <c r="G233" s="16">
        <v>42776</v>
      </c>
      <c r="H233" s="19">
        <f>548600-100000-100000-100000-106638.16-49546-83460</f>
        <v>8955.8399999999965</v>
      </c>
      <c r="I233" s="12">
        <f t="shared" si="4"/>
        <v>38</v>
      </c>
    </row>
    <row r="234" spans="1:9" x14ac:dyDescent="0.25">
      <c r="A234">
        <v>447</v>
      </c>
      <c r="B234" s="1">
        <v>42814</v>
      </c>
      <c r="C234" s="9"/>
      <c r="D234" s="9"/>
      <c r="E234" s="10">
        <v>3663000</v>
      </c>
      <c r="F234" s="16">
        <v>42732</v>
      </c>
      <c r="G234" s="16">
        <v>42777</v>
      </c>
      <c r="H234" s="10">
        <v>3663000</v>
      </c>
      <c r="I234" s="12">
        <f t="shared" si="4"/>
        <v>37</v>
      </c>
    </row>
    <row r="235" spans="1:9" x14ac:dyDescent="0.25">
      <c r="A235">
        <v>448</v>
      </c>
      <c r="B235" s="1">
        <v>42814</v>
      </c>
      <c r="C235" s="9"/>
      <c r="D235" s="9"/>
      <c r="E235" s="17">
        <v>391920</v>
      </c>
      <c r="F235" s="16">
        <v>42732</v>
      </c>
      <c r="G235" s="16">
        <v>42777</v>
      </c>
      <c r="H235" s="10">
        <v>391920</v>
      </c>
      <c r="I235" s="12">
        <f t="shared" si="4"/>
        <v>37</v>
      </c>
    </row>
    <row r="236" spans="1:9" x14ac:dyDescent="0.25">
      <c r="A236">
        <v>449</v>
      </c>
      <c r="B236" s="1">
        <v>42814</v>
      </c>
      <c r="C236" s="9"/>
      <c r="D236" s="9"/>
      <c r="E236" s="17">
        <f>444000</f>
        <v>444000</v>
      </c>
      <c r="F236" s="16">
        <v>42732</v>
      </c>
      <c r="G236" s="16">
        <v>42777</v>
      </c>
      <c r="H236" s="14">
        <f>444000-159520</f>
        <v>284480</v>
      </c>
      <c r="I236" s="12">
        <f t="shared" si="4"/>
        <v>37</v>
      </c>
    </row>
    <row r="237" spans="1:9" x14ac:dyDescent="0.25">
      <c r="A237">
        <v>450</v>
      </c>
      <c r="B237" s="1">
        <v>42814</v>
      </c>
      <c r="C237" s="9"/>
      <c r="D237" s="9"/>
      <c r="E237" s="17">
        <v>3629500</v>
      </c>
      <c r="F237" s="16">
        <v>42732</v>
      </c>
      <c r="G237" s="16">
        <v>42777</v>
      </c>
      <c r="H237" s="10">
        <v>3629500</v>
      </c>
      <c r="I237" s="12">
        <f t="shared" si="4"/>
        <v>37</v>
      </c>
    </row>
    <row r="238" spans="1:9" x14ac:dyDescent="0.25">
      <c r="A238">
        <v>451</v>
      </c>
      <c r="B238" s="1">
        <v>42814</v>
      </c>
      <c r="C238" s="9"/>
      <c r="D238" s="9"/>
      <c r="E238" s="17">
        <v>3528430</v>
      </c>
      <c r="F238" s="16">
        <v>42732</v>
      </c>
      <c r="G238" s="16">
        <v>42777</v>
      </c>
      <c r="H238" s="10">
        <v>3528430</v>
      </c>
      <c r="I238" s="12">
        <f t="shared" si="4"/>
        <v>37</v>
      </c>
    </row>
    <row r="239" spans="1:9" x14ac:dyDescent="0.25">
      <c r="A239">
        <v>452</v>
      </c>
      <c r="B239" s="1">
        <v>42814</v>
      </c>
      <c r="C239" s="9"/>
      <c r="D239" s="9"/>
      <c r="E239" s="17">
        <v>3528430</v>
      </c>
      <c r="F239" s="16">
        <v>42732</v>
      </c>
      <c r="G239" s="16">
        <v>42777</v>
      </c>
      <c r="H239" s="10">
        <v>3528430</v>
      </c>
      <c r="I239" s="12">
        <f t="shared" si="4"/>
        <v>37</v>
      </c>
    </row>
    <row r="240" spans="1:9" x14ac:dyDescent="0.25">
      <c r="A240">
        <v>453</v>
      </c>
      <c r="B240" s="1">
        <v>42814</v>
      </c>
      <c r="C240" s="9"/>
      <c r="D240" s="9"/>
      <c r="E240" s="17">
        <v>388800</v>
      </c>
      <c r="F240" s="16">
        <v>42732</v>
      </c>
      <c r="G240" s="16">
        <v>42777</v>
      </c>
      <c r="H240" s="10">
        <v>388800</v>
      </c>
      <c r="I240" s="12">
        <f t="shared" si="4"/>
        <v>37</v>
      </c>
    </row>
    <row r="241" spans="1:9" x14ac:dyDescent="0.25">
      <c r="A241">
        <v>454</v>
      </c>
      <c r="B241" s="1">
        <v>42814</v>
      </c>
      <c r="C241" s="9"/>
      <c r="D241" s="9"/>
      <c r="E241" s="17">
        <f>3678520</f>
        <v>3678520</v>
      </c>
      <c r="F241" s="16">
        <v>42732</v>
      </c>
      <c r="G241" s="16">
        <v>42777</v>
      </c>
      <c r="H241" s="14">
        <f>3678520-200000-150000-150000-92787.6-100000-95000-50000-50000-50000-15000-20000</f>
        <v>2705732.4</v>
      </c>
      <c r="I241" s="12">
        <f t="shared" si="4"/>
        <v>37</v>
      </c>
    </row>
    <row r="242" spans="1:9" x14ac:dyDescent="0.25">
      <c r="A242">
        <v>455</v>
      </c>
      <c r="B242" s="1">
        <v>42814</v>
      </c>
      <c r="C242" s="9"/>
      <c r="D242" s="9"/>
      <c r="E242" s="17">
        <v>4090100</v>
      </c>
      <c r="F242" s="16">
        <v>42733</v>
      </c>
      <c r="G242" s="16">
        <v>42778</v>
      </c>
      <c r="H242" s="10">
        <v>4090100</v>
      </c>
      <c r="I242" s="12">
        <f t="shared" si="4"/>
        <v>36</v>
      </c>
    </row>
    <row r="243" spans="1:9" x14ac:dyDescent="0.25">
      <c r="A243">
        <v>456</v>
      </c>
      <c r="B243" s="1">
        <v>42814</v>
      </c>
      <c r="C243" s="9"/>
      <c r="D243" s="9"/>
      <c r="E243" s="17">
        <f>4068260</f>
        <v>4068260</v>
      </c>
      <c r="F243" s="16">
        <v>42733</v>
      </c>
      <c r="G243" s="16">
        <v>42778</v>
      </c>
      <c r="H243" s="14">
        <f>4068260-151020-150000-480000-255000-335000-1700000-428620-190000-25920</f>
        <v>352700</v>
      </c>
      <c r="I243" s="12">
        <f t="shared" si="4"/>
        <v>36</v>
      </c>
    </row>
    <row r="244" spans="1:9" x14ac:dyDescent="0.25">
      <c r="A244">
        <v>457</v>
      </c>
      <c r="B244" s="1">
        <v>42814</v>
      </c>
      <c r="C244" s="9"/>
      <c r="D244" s="9"/>
      <c r="E244" s="17">
        <v>3225048</v>
      </c>
      <c r="F244" s="16">
        <v>42733</v>
      </c>
      <c r="G244" s="16">
        <v>42778</v>
      </c>
      <c r="H244" s="10">
        <v>3225048</v>
      </c>
      <c r="I244" s="12">
        <f t="shared" si="4"/>
        <v>36</v>
      </c>
    </row>
    <row r="245" spans="1:9" x14ac:dyDescent="0.25">
      <c r="A245">
        <v>458</v>
      </c>
      <c r="B245" s="1">
        <v>42814</v>
      </c>
      <c r="C245" s="9"/>
      <c r="D245" s="9"/>
      <c r="E245" s="17">
        <v>-127676.8</v>
      </c>
      <c r="F245" s="16">
        <v>42733</v>
      </c>
      <c r="G245" s="16">
        <v>42778</v>
      </c>
      <c r="H245" s="10">
        <v>-127676.8</v>
      </c>
      <c r="I245" s="12">
        <f t="shared" si="4"/>
        <v>36</v>
      </c>
    </row>
    <row r="246" spans="1:9" x14ac:dyDescent="0.25">
      <c r="A246">
        <v>459</v>
      </c>
      <c r="B246" s="1">
        <v>42814</v>
      </c>
      <c r="C246" s="9"/>
      <c r="D246" s="9"/>
      <c r="E246" s="10">
        <v>-125976</v>
      </c>
      <c r="F246" s="16">
        <v>42733</v>
      </c>
      <c r="G246" s="16">
        <v>42778</v>
      </c>
      <c r="H246" s="10">
        <v>-125976</v>
      </c>
      <c r="I246" s="12">
        <f t="shared" si="4"/>
        <v>36</v>
      </c>
    </row>
    <row r="247" spans="1:9" x14ac:dyDescent="0.25">
      <c r="A247">
        <v>460</v>
      </c>
      <c r="B247" s="1">
        <v>42814</v>
      </c>
      <c r="C247" s="9"/>
      <c r="D247" s="9"/>
      <c r="E247" s="10">
        <v>-124800</v>
      </c>
      <c r="F247" s="16">
        <v>42733</v>
      </c>
      <c r="G247" s="16">
        <v>42778</v>
      </c>
      <c r="H247" s="10">
        <v>-124800</v>
      </c>
      <c r="I247" s="12">
        <f t="shared" si="4"/>
        <v>36</v>
      </c>
    </row>
    <row r="248" spans="1:9" x14ac:dyDescent="0.25">
      <c r="A248">
        <v>461</v>
      </c>
      <c r="B248" s="1">
        <v>42814</v>
      </c>
      <c r="C248" s="9"/>
      <c r="D248" s="9"/>
      <c r="E248" s="10">
        <v>-130008</v>
      </c>
      <c r="F248" s="16">
        <v>42733</v>
      </c>
      <c r="G248" s="16">
        <v>42778</v>
      </c>
      <c r="H248" s="10">
        <v>-130008</v>
      </c>
      <c r="I248" s="12">
        <f t="shared" si="4"/>
        <v>36</v>
      </c>
    </row>
    <row r="249" spans="1:9" x14ac:dyDescent="0.25">
      <c r="A249">
        <v>462</v>
      </c>
      <c r="B249" s="1">
        <v>42814</v>
      </c>
      <c r="C249" s="9"/>
      <c r="D249" s="9"/>
      <c r="E249" s="10">
        <v>-9648</v>
      </c>
      <c r="F249" s="16">
        <v>42733</v>
      </c>
      <c r="G249" s="16">
        <v>42778</v>
      </c>
      <c r="H249" s="10">
        <v>-9648</v>
      </c>
      <c r="I249" s="12">
        <f t="shared" si="4"/>
        <v>36</v>
      </c>
    </row>
    <row r="250" spans="1:9" x14ac:dyDescent="0.25">
      <c r="A250">
        <v>463</v>
      </c>
      <c r="B250" s="1">
        <v>42814</v>
      </c>
      <c r="C250" s="9"/>
      <c r="D250" s="9"/>
      <c r="E250" s="10">
        <v>-19939.2</v>
      </c>
      <c r="F250" s="16">
        <v>42733</v>
      </c>
      <c r="G250" s="16">
        <v>42778</v>
      </c>
      <c r="H250" s="10">
        <v>-19939.2</v>
      </c>
      <c r="I250" s="12">
        <f t="shared" si="4"/>
        <v>36</v>
      </c>
    </row>
    <row r="251" spans="1:9" x14ac:dyDescent="0.25">
      <c r="A251">
        <v>464</v>
      </c>
      <c r="B251" s="1">
        <v>42814</v>
      </c>
      <c r="C251" s="9"/>
      <c r="D251" s="9"/>
      <c r="E251" s="10">
        <v>641800</v>
      </c>
      <c r="F251" s="16">
        <v>42734</v>
      </c>
      <c r="G251" s="16">
        <v>42779</v>
      </c>
      <c r="H251" s="10">
        <v>641800</v>
      </c>
      <c r="I251" s="12">
        <f t="shared" si="4"/>
        <v>35</v>
      </c>
    </row>
    <row r="252" spans="1:9" x14ac:dyDescent="0.25">
      <c r="A252">
        <v>465</v>
      </c>
      <c r="B252" s="1">
        <v>42814</v>
      </c>
      <c r="C252" s="9"/>
      <c r="D252" s="9"/>
      <c r="E252" s="10">
        <v>4090900</v>
      </c>
      <c r="F252" s="16">
        <v>42734</v>
      </c>
      <c r="G252" s="16">
        <v>42779</v>
      </c>
      <c r="H252" s="14">
        <f>4090900-3913536-101502</f>
        <v>75862</v>
      </c>
      <c r="I252" s="12">
        <f t="shared" si="4"/>
        <v>35</v>
      </c>
    </row>
    <row r="253" spans="1:9" x14ac:dyDescent="0.25">
      <c r="A253">
        <v>466</v>
      </c>
      <c r="B253" s="1">
        <v>42814</v>
      </c>
      <c r="C253" s="9"/>
      <c r="D253" s="9"/>
      <c r="E253" s="10">
        <v>3656000</v>
      </c>
      <c r="F253" s="16">
        <v>42734</v>
      </c>
      <c r="G253" s="16">
        <v>42779</v>
      </c>
      <c r="H253" s="14">
        <f>3656000-14169.73-1100000-2000000</f>
        <v>541830.27</v>
      </c>
      <c r="I253" s="12">
        <f t="shared" si="4"/>
        <v>35</v>
      </c>
    </row>
    <row r="254" spans="1:9" x14ac:dyDescent="0.25">
      <c r="A254">
        <v>467</v>
      </c>
      <c r="B254" s="1">
        <v>42814</v>
      </c>
      <c r="C254" s="9"/>
      <c r="D254" s="9"/>
      <c r="E254" s="10">
        <v>-20800</v>
      </c>
      <c r="F254" s="16" t="s">
        <v>72</v>
      </c>
      <c r="G254" s="16">
        <v>42790</v>
      </c>
      <c r="H254" s="10">
        <v>-20800</v>
      </c>
      <c r="I254" s="12">
        <f t="shared" si="4"/>
        <v>24</v>
      </c>
    </row>
    <row r="255" spans="1:9" x14ac:dyDescent="0.25">
      <c r="A255">
        <v>468</v>
      </c>
      <c r="B255" s="1">
        <v>42814</v>
      </c>
      <c r="C255" s="9"/>
      <c r="D255" s="9"/>
      <c r="E255" s="10">
        <v>-54080</v>
      </c>
      <c r="F255" s="16" t="s">
        <v>73</v>
      </c>
      <c r="G255" s="16">
        <v>42792</v>
      </c>
      <c r="H255" s="10">
        <v>-54080</v>
      </c>
      <c r="I255" s="12">
        <f t="shared" si="4"/>
        <v>22</v>
      </c>
    </row>
    <row r="256" spans="1:9" x14ac:dyDescent="0.25">
      <c r="A256">
        <v>469</v>
      </c>
      <c r="B256" s="1">
        <v>42814</v>
      </c>
      <c r="C256" s="9"/>
      <c r="D256" s="9"/>
      <c r="E256" s="10">
        <v>-45000</v>
      </c>
      <c r="F256" s="16">
        <v>42753</v>
      </c>
      <c r="G256" s="16">
        <v>42797</v>
      </c>
      <c r="H256" s="10">
        <v>-45000</v>
      </c>
      <c r="I256" s="12">
        <f t="shared" si="4"/>
        <v>17</v>
      </c>
    </row>
    <row r="257" spans="1:9" x14ac:dyDescent="0.25">
      <c r="A257">
        <v>470</v>
      </c>
      <c r="B257" s="1">
        <v>42814</v>
      </c>
      <c r="C257" s="9"/>
      <c r="D257" s="9"/>
      <c r="E257" s="10">
        <v>-20991</v>
      </c>
      <c r="F257" s="16">
        <v>42753</v>
      </c>
      <c r="G257" s="16">
        <v>42798</v>
      </c>
      <c r="H257" s="10">
        <v>-20991</v>
      </c>
      <c r="I257" s="12">
        <f t="shared" si="4"/>
        <v>16</v>
      </c>
    </row>
    <row r="258" spans="1:9" x14ac:dyDescent="0.25">
      <c r="A258">
        <v>471</v>
      </c>
      <c r="B258" s="1">
        <v>42814</v>
      </c>
      <c r="C258" s="9"/>
      <c r="D258" s="9"/>
      <c r="E258" s="10">
        <v>-118797.5</v>
      </c>
      <c r="F258" s="16">
        <v>42753</v>
      </c>
      <c r="G258" s="16">
        <v>42798</v>
      </c>
      <c r="H258" s="10">
        <v>-118797.5</v>
      </c>
      <c r="I258" s="12">
        <f t="shared" si="4"/>
        <v>16</v>
      </c>
    </row>
    <row r="259" spans="1:9" x14ac:dyDescent="0.25">
      <c r="A259">
        <v>472</v>
      </c>
      <c r="B259" s="1">
        <v>42814</v>
      </c>
      <c r="C259" s="9"/>
      <c r="D259" s="9"/>
      <c r="E259" s="10">
        <v>-215369</v>
      </c>
      <c r="F259" s="16">
        <v>42753</v>
      </c>
      <c r="G259" s="16">
        <v>42798</v>
      </c>
      <c r="H259" s="10">
        <v>-215369</v>
      </c>
      <c r="I259" s="12">
        <f t="shared" ref="I259:I315" si="5">$B$1-G259</f>
        <v>16</v>
      </c>
    </row>
    <row r="260" spans="1:9" x14ac:dyDescent="0.25">
      <c r="A260">
        <v>473</v>
      </c>
      <c r="B260" s="1">
        <v>42814</v>
      </c>
      <c r="C260" s="9"/>
      <c r="D260" s="9"/>
      <c r="E260" s="10">
        <v>-20000</v>
      </c>
      <c r="F260" s="16">
        <v>42753</v>
      </c>
      <c r="G260" s="16">
        <v>42798</v>
      </c>
      <c r="H260" s="10">
        <v>-20000</v>
      </c>
      <c r="I260" s="12">
        <f t="shared" si="5"/>
        <v>16</v>
      </c>
    </row>
    <row r="261" spans="1:9" x14ac:dyDescent="0.25">
      <c r="A261">
        <v>474</v>
      </c>
      <c r="B261" s="1">
        <v>42814</v>
      </c>
      <c r="C261" s="9"/>
      <c r="D261" s="9"/>
      <c r="E261" s="10">
        <v>-219483</v>
      </c>
      <c r="F261" s="16">
        <v>42753</v>
      </c>
      <c r="G261" s="16">
        <v>42798</v>
      </c>
      <c r="H261" s="10">
        <v>-219483</v>
      </c>
      <c r="I261" s="12">
        <f t="shared" si="5"/>
        <v>16</v>
      </c>
    </row>
    <row r="262" spans="1:9" x14ac:dyDescent="0.25">
      <c r="A262">
        <v>475</v>
      </c>
      <c r="B262" s="1">
        <v>42814</v>
      </c>
      <c r="C262" s="9"/>
      <c r="D262" s="9"/>
      <c r="E262" s="10">
        <v>-78120</v>
      </c>
      <c r="F262" s="16">
        <v>42753</v>
      </c>
      <c r="G262" s="16">
        <v>42798</v>
      </c>
      <c r="H262" s="10">
        <v>-78120</v>
      </c>
      <c r="I262" s="12">
        <f t="shared" si="5"/>
        <v>16</v>
      </c>
    </row>
    <row r="263" spans="1:9" x14ac:dyDescent="0.25">
      <c r="A263">
        <v>476</v>
      </c>
      <c r="B263" s="1">
        <v>42814</v>
      </c>
      <c r="C263" s="9"/>
      <c r="D263" s="9"/>
      <c r="E263" s="10">
        <v>-47200</v>
      </c>
      <c r="F263" s="16">
        <v>42753</v>
      </c>
      <c r="G263" s="16">
        <v>42798</v>
      </c>
      <c r="H263" s="10">
        <v>-47200</v>
      </c>
      <c r="I263" s="12">
        <f t="shared" si="5"/>
        <v>16</v>
      </c>
    </row>
    <row r="264" spans="1:9" x14ac:dyDescent="0.25">
      <c r="A264">
        <v>478</v>
      </c>
      <c r="B264" s="1">
        <v>42814</v>
      </c>
      <c r="C264" s="9"/>
      <c r="D264" s="9"/>
      <c r="E264" s="10">
        <v>-19939.2</v>
      </c>
      <c r="F264" s="16">
        <v>42754</v>
      </c>
      <c r="G264" s="16">
        <v>42799</v>
      </c>
      <c r="H264" s="10">
        <v>-19939.2</v>
      </c>
      <c r="I264" s="12">
        <f t="shared" si="5"/>
        <v>15</v>
      </c>
    </row>
    <row r="265" spans="1:9" x14ac:dyDescent="0.25">
      <c r="A265">
        <v>479</v>
      </c>
      <c r="B265" s="1">
        <v>42814</v>
      </c>
      <c r="C265" s="9"/>
      <c r="D265" s="9"/>
      <c r="E265" s="10">
        <v>-20160</v>
      </c>
      <c r="F265" s="16">
        <v>42754</v>
      </c>
      <c r="G265" s="16">
        <v>42799</v>
      </c>
      <c r="H265" s="10">
        <v>-20160</v>
      </c>
      <c r="I265" s="12">
        <f t="shared" si="5"/>
        <v>15</v>
      </c>
    </row>
    <row r="266" spans="1:9" x14ac:dyDescent="0.25">
      <c r="A266">
        <v>480</v>
      </c>
      <c r="B266" s="1">
        <v>42814</v>
      </c>
      <c r="C266" s="9"/>
      <c r="D266" s="9"/>
      <c r="E266" s="10">
        <v>-20160</v>
      </c>
      <c r="F266" s="16">
        <v>42754</v>
      </c>
      <c r="G266" s="16">
        <v>42799</v>
      </c>
      <c r="H266" s="10">
        <v>-20160</v>
      </c>
      <c r="I266" s="12">
        <f t="shared" si="5"/>
        <v>15</v>
      </c>
    </row>
    <row r="267" spans="1:9" x14ac:dyDescent="0.25">
      <c r="A267">
        <v>481</v>
      </c>
      <c r="B267" s="1">
        <v>42814</v>
      </c>
      <c r="C267" s="9"/>
      <c r="D267" s="9"/>
      <c r="E267" s="10">
        <v>-15624</v>
      </c>
      <c r="F267" s="16">
        <v>42754</v>
      </c>
      <c r="G267" s="16">
        <v>42799</v>
      </c>
      <c r="H267" s="10">
        <v>-15624</v>
      </c>
      <c r="I267" s="12">
        <f t="shared" si="5"/>
        <v>15</v>
      </c>
    </row>
    <row r="268" spans="1:9" x14ac:dyDescent="0.25">
      <c r="A268">
        <v>482</v>
      </c>
      <c r="B268" s="1">
        <v>42814</v>
      </c>
      <c r="C268" s="9"/>
      <c r="D268" s="9"/>
      <c r="E268" s="10">
        <v>-37788</v>
      </c>
      <c r="F268" s="16">
        <v>42754</v>
      </c>
      <c r="G268" s="16">
        <v>42799</v>
      </c>
      <c r="H268" s="10">
        <v>-37788</v>
      </c>
      <c r="I268" s="12">
        <f t="shared" si="5"/>
        <v>15</v>
      </c>
    </row>
    <row r="269" spans="1:9" x14ac:dyDescent="0.25">
      <c r="A269">
        <v>483</v>
      </c>
      <c r="B269" s="1">
        <v>42814</v>
      </c>
      <c r="C269" s="9"/>
      <c r="D269" s="9"/>
      <c r="E269" s="10">
        <v>-37788</v>
      </c>
      <c r="F269" s="16">
        <v>42754</v>
      </c>
      <c r="G269" s="16">
        <v>42799</v>
      </c>
      <c r="H269" s="10">
        <v>-37788</v>
      </c>
      <c r="I269" s="12">
        <f t="shared" si="5"/>
        <v>15</v>
      </c>
    </row>
    <row r="270" spans="1:9" x14ac:dyDescent="0.25">
      <c r="A270">
        <v>484</v>
      </c>
      <c r="B270" s="1">
        <v>42814</v>
      </c>
      <c r="C270" s="9"/>
      <c r="D270" s="9"/>
      <c r="E270" s="10">
        <v>-25200</v>
      </c>
      <c r="F270" s="16">
        <v>42754</v>
      </c>
      <c r="G270" s="16">
        <v>42799</v>
      </c>
      <c r="H270" s="10">
        <v>-25200</v>
      </c>
      <c r="I270" s="12">
        <f t="shared" si="5"/>
        <v>15</v>
      </c>
    </row>
    <row r="271" spans="1:9" x14ac:dyDescent="0.25">
      <c r="A271">
        <v>485</v>
      </c>
      <c r="B271" s="1">
        <v>42814</v>
      </c>
      <c r="C271" s="9"/>
      <c r="D271" s="9"/>
      <c r="E271" s="10">
        <v>-25200</v>
      </c>
      <c r="F271" s="16">
        <v>42754</v>
      </c>
      <c r="G271" s="16">
        <v>42799</v>
      </c>
      <c r="H271" s="10">
        <v>-25200</v>
      </c>
      <c r="I271" s="12">
        <f t="shared" si="5"/>
        <v>15</v>
      </c>
    </row>
    <row r="272" spans="1:9" x14ac:dyDescent="0.25">
      <c r="A272">
        <v>486</v>
      </c>
      <c r="B272" s="1">
        <v>42814</v>
      </c>
      <c r="C272" s="9"/>
      <c r="D272" s="9"/>
      <c r="E272" s="10">
        <v>-28056</v>
      </c>
      <c r="F272" s="16">
        <v>42754</v>
      </c>
      <c r="G272" s="16">
        <v>42799</v>
      </c>
      <c r="H272" s="10">
        <v>-28056</v>
      </c>
      <c r="I272" s="12">
        <f t="shared" si="5"/>
        <v>15</v>
      </c>
    </row>
    <row r="273" spans="1:9" x14ac:dyDescent="0.25">
      <c r="A273">
        <v>487</v>
      </c>
      <c r="B273" s="1">
        <v>42814</v>
      </c>
      <c r="C273" s="9"/>
      <c r="D273" s="9"/>
      <c r="E273" s="10">
        <v>-22680</v>
      </c>
      <c r="F273" s="16">
        <v>42754</v>
      </c>
      <c r="G273" s="16">
        <v>42799</v>
      </c>
      <c r="H273" s="10">
        <v>-22680</v>
      </c>
      <c r="I273" s="12">
        <f t="shared" si="5"/>
        <v>15</v>
      </c>
    </row>
    <row r="274" spans="1:9" x14ac:dyDescent="0.25">
      <c r="A274">
        <v>488</v>
      </c>
      <c r="B274" s="1">
        <v>42814</v>
      </c>
      <c r="C274" s="9"/>
      <c r="D274" s="9"/>
      <c r="E274" s="10">
        <v>-88272</v>
      </c>
      <c r="F274" s="16">
        <v>42754</v>
      </c>
      <c r="G274" s="16">
        <v>42799</v>
      </c>
      <c r="H274" s="10">
        <v>-88272</v>
      </c>
      <c r="I274" s="12">
        <f t="shared" si="5"/>
        <v>15</v>
      </c>
    </row>
    <row r="275" spans="1:9" x14ac:dyDescent="0.25">
      <c r="A275">
        <v>489</v>
      </c>
      <c r="B275" s="1">
        <v>42814</v>
      </c>
      <c r="C275" s="9"/>
      <c r="D275" s="9"/>
      <c r="E275" s="10">
        <v>-33866.400000000001</v>
      </c>
      <c r="F275" s="16">
        <v>42754</v>
      </c>
      <c r="G275" s="16">
        <v>42799</v>
      </c>
      <c r="H275" s="10">
        <v>-33866.400000000001</v>
      </c>
      <c r="I275" s="12">
        <f t="shared" si="5"/>
        <v>15</v>
      </c>
    </row>
    <row r="276" spans="1:9" x14ac:dyDescent="0.25">
      <c r="A276">
        <v>490</v>
      </c>
      <c r="B276" s="1">
        <v>42814</v>
      </c>
      <c r="C276" s="9"/>
      <c r="D276" s="9"/>
      <c r="E276" s="10">
        <v>-12000</v>
      </c>
      <c r="F276" s="16">
        <v>42754</v>
      </c>
      <c r="G276" s="16">
        <v>42799</v>
      </c>
      <c r="H276" s="10">
        <v>-12000</v>
      </c>
      <c r="I276" s="12">
        <f t="shared" si="5"/>
        <v>15</v>
      </c>
    </row>
    <row r="277" spans="1:9" x14ac:dyDescent="0.25">
      <c r="A277">
        <v>491</v>
      </c>
      <c r="B277" s="1">
        <v>42814</v>
      </c>
      <c r="C277" s="9"/>
      <c r="D277" s="9"/>
      <c r="E277" s="10">
        <v>-36400</v>
      </c>
      <c r="F277" s="16">
        <v>42754</v>
      </c>
      <c r="G277" s="16">
        <v>42799</v>
      </c>
      <c r="H277" s="10">
        <v>-36400</v>
      </c>
      <c r="I277" s="12">
        <f t="shared" si="5"/>
        <v>15</v>
      </c>
    </row>
    <row r="278" spans="1:9" x14ac:dyDescent="0.25">
      <c r="A278">
        <v>492</v>
      </c>
      <c r="B278" s="1">
        <v>42814</v>
      </c>
      <c r="C278" s="9"/>
      <c r="D278" s="9"/>
      <c r="E278" s="10">
        <v>-20400</v>
      </c>
      <c r="F278" s="16">
        <v>42754</v>
      </c>
      <c r="G278" s="16">
        <v>42799</v>
      </c>
      <c r="H278" s="10">
        <v>-20400</v>
      </c>
      <c r="I278" s="12">
        <f t="shared" si="5"/>
        <v>15</v>
      </c>
    </row>
    <row r="279" spans="1:9" x14ac:dyDescent="0.25">
      <c r="A279">
        <v>493</v>
      </c>
      <c r="B279" s="1">
        <v>42814</v>
      </c>
      <c r="C279" s="9"/>
      <c r="D279" s="9"/>
      <c r="E279" s="10">
        <v>-18240</v>
      </c>
      <c r="F279" s="16">
        <v>42754</v>
      </c>
      <c r="G279" s="16">
        <v>42799</v>
      </c>
      <c r="H279" s="10">
        <v>-18240</v>
      </c>
      <c r="I279" s="12">
        <f t="shared" si="5"/>
        <v>15</v>
      </c>
    </row>
    <row r="280" spans="1:9" x14ac:dyDescent="0.25">
      <c r="A280">
        <v>494</v>
      </c>
      <c r="B280" s="1">
        <v>42814</v>
      </c>
      <c r="C280" s="9"/>
      <c r="D280" s="9"/>
      <c r="E280" s="10">
        <v>-41200</v>
      </c>
      <c r="F280" s="16">
        <v>42754</v>
      </c>
      <c r="G280" s="16">
        <v>42799</v>
      </c>
      <c r="H280" s="10">
        <v>-41200</v>
      </c>
      <c r="I280" s="12">
        <f t="shared" si="5"/>
        <v>15</v>
      </c>
    </row>
    <row r="281" spans="1:9" x14ac:dyDescent="0.25">
      <c r="A281">
        <v>495</v>
      </c>
      <c r="B281" s="1">
        <v>42814</v>
      </c>
      <c r="C281" s="9"/>
      <c r="D281" s="9"/>
      <c r="E281" s="10">
        <v>-52360</v>
      </c>
      <c r="F281" s="16">
        <v>42754</v>
      </c>
      <c r="G281" s="16">
        <v>42799</v>
      </c>
      <c r="H281" s="10">
        <v>-52360</v>
      </c>
      <c r="I281" s="12">
        <f t="shared" si="5"/>
        <v>15</v>
      </c>
    </row>
    <row r="282" spans="1:9" x14ac:dyDescent="0.25">
      <c r="A282">
        <v>496</v>
      </c>
      <c r="B282" s="1">
        <v>42814</v>
      </c>
      <c r="C282" s="9"/>
      <c r="D282" s="9"/>
      <c r="E282" s="10">
        <v>-47760</v>
      </c>
      <c r="F282" s="16">
        <v>42754</v>
      </c>
      <c r="G282" s="16">
        <v>42799</v>
      </c>
      <c r="H282" s="10">
        <v>-47760</v>
      </c>
      <c r="I282" s="12">
        <f t="shared" si="5"/>
        <v>15</v>
      </c>
    </row>
    <row r="283" spans="1:9" x14ac:dyDescent="0.25">
      <c r="A283">
        <v>497</v>
      </c>
      <c r="B283" s="1">
        <v>42814</v>
      </c>
      <c r="C283" s="9"/>
      <c r="D283" s="9"/>
      <c r="E283" s="17">
        <f>859800</f>
        <v>859800</v>
      </c>
      <c r="F283" s="16">
        <v>42755</v>
      </c>
      <c r="G283" s="16">
        <v>42800</v>
      </c>
      <c r="H283" s="14">
        <f>859800-857500</f>
        <v>2300</v>
      </c>
      <c r="I283" s="12">
        <f t="shared" si="5"/>
        <v>14</v>
      </c>
    </row>
    <row r="284" spans="1:9" x14ac:dyDescent="0.25">
      <c r="A284">
        <v>498</v>
      </c>
      <c r="B284" s="1">
        <v>42814</v>
      </c>
      <c r="C284" s="9"/>
      <c r="D284" s="9"/>
      <c r="E284" s="17">
        <f>380284</f>
        <v>380284</v>
      </c>
      <c r="F284" s="16">
        <v>42758</v>
      </c>
      <c r="G284" s="16">
        <v>42803</v>
      </c>
      <c r="H284" s="14">
        <f>380284-352944</f>
        <v>27340</v>
      </c>
      <c r="I284" s="12">
        <f t="shared" si="5"/>
        <v>11</v>
      </c>
    </row>
    <row r="285" spans="1:9" x14ac:dyDescent="0.25">
      <c r="A285">
        <v>500</v>
      </c>
      <c r="B285" s="1">
        <v>42814</v>
      </c>
      <c r="C285" s="9"/>
      <c r="D285" s="9"/>
      <c r="E285" s="10">
        <v>-13760</v>
      </c>
      <c r="F285" s="16">
        <v>42760</v>
      </c>
      <c r="G285" s="16">
        <v>42805</v>
      </c>
      <c r="H285" s="10">
        <v>-13760</v>
      </c>
      <c r="I285" s="12">
        <f t="shared" si="5"/>
        <v>9</v>
      </c>
    </row>
    <row r="286" spans="1:9" x14ac:dyDescent="0.25">
      <c r="A286">
        <v>501</v>
      </c>
      <c r="B286" s="1">
        <v>42814</v>
      </c>
      <c r="C286" s="9"/>
      <c r="D286" s="9"/>
      <c r="E286" s="10">
        <v>-100800</v>
      </c>
      <c r="F286" s="16">
        <v>42760</v>
      </c>
      <c r="G286" s="16">
        <v>42805</v>
      </c>
      <c r="H286" s="10">
        <v>-100800</v>
      </c>
      <c r="I286" s="12">
        <f t="shared" si="5"/>
        <v>9</v>
      </c>
    </row>
    <row r="287" spans="1:9" x14ac:dyDescent="0.25">
      <c r="A287">
        <v>502</v>
      </c>
      <c r="B287" s="1">
        <v>42814</v>
      </c>
      <c r="C287" s="9"/>
      <c r="D287" s="9"/>
      <c r="E287" s="10">
        <v>-10620</v>
      </c>
      <c r="F287" s="16">
        <v>42760</v>
      </c>
      <c r="G287" s="16">
        <v>42805</v>
      </c>
      <c r="H287" s="10">
        <v>-10620</v>
      </c>
      <c r="I287" s="12">
        <f t="shared" si="5"/>
        <v>9</v>
      </c>
    </row>
    <row r="288" spans="1:9" x14ac:dyDescent="0.25">
      <c r="A288">
        <v>503</v>
      </c>
      <c r="B288" s="1">
        <v>42814</v>
      </c>
      <c r="C288" s="9"/>
      <c r="D288" s="9"/>
      <c r="E288" s="10">
        <v>-5240</v>
      </c>
      <c r="F288" s="16">
        <v>42760</v>
      </c>
      <c r="G288" s="16">
        <v>42805</v>
      </c>
      <c r="H288" s="10">
        <v>-5240</v>
      </c>
      <c r="I288" s="12">
        <f t="shared" si="5"/>
        <v>9</v>
      </c>
    </row>
    <row r="289" spans="1:9" x14ac:dyDescent="0.25">
      <c r="A289">
        <v>504</v>
      </c>
      <c r="B289" s="1">
        <v>42814</v>
      </c>
      <c r="C289" s="9"/>
      <c r="D289" s="9"/>
      <c r="E289" s="10">
        <v>1815000</v>
      </c>
      <c r="F289" s="16">
        <v>42760</v>
      </c>
      <c r="G289" s="16">
        <v>42805</v>
      </c>
      <c r="H289" s="10">
        <v>1815000</v>
      </c>
      <c r="I289" s="12">
        <f t="shared" si="5"/>
        <v>9</v>
      </c>
    </row>
    <row r="290" spans="1:9" x14ac:dyDescent="0.25">
      <c r="A290">
        <v>506</v>
      </c>
      <c r="B290" s="1">
        <v>42814</v>
      </c>
      <c r="C290" s="9"/>
      <c r="D290" s="9"/>
      <c r="E290" s="10">
        <v>296000</v>
      </c>
      <c r="F290" s="16">
        <v>42760</v>
      </c>
      <c r="G290" s="16">
        <v>42805</v>
      </c>
      <c r="H290" s="10">
        <v>296000</v>
      </c>
      <c r="I290" s="12">
        <f t="shared" si="5"/>
        <v>9</v>
      </c>
    </row>
    <row r="291" spans="1:9" x14ac:dyDescent="0.25">
      <c r="A291">
        <v>507</v>
      </c>
      <c r="B291" s="1">
        <v>42814</v>
      </c>
      <c r="C291" s="9"/>
      <c r="D291" s="9"/>
      <c r="E291" s="10">
        <v>296000</v>
      </c>
      <c r="F291" s="16">
        <v>42760</v>
      </c>
      <c r="G291" s="16">
        <v>42805</v>
      </c>
      <c r="H291" s="10">
        <v>296000</v>
      </c>
      <c r="I291" s="12">
        <f t="shared" si="5"/>
        <v>9</v>
      </c>
    </row>
    <row r="292" spans="1:9" x14ac:dyDescent="0.25">
      <c r="A292">
        <v>508</v>
      </c>
      <c r="B292" s="1">
        <v>42814</v>
      </c>
      <c r="C292" s="9"/>
      <c r="D292" s="9"/>
      <c r="E292" s="10">
        <v>296000</v>
      </c>
      <c r="F292" s="16">
        <v>42760</v>
      </c>
      <c r="G292" s="16">
        <v>42805</v>
      </c>
      <c r="H292" s="10">
        <v>296000</v>
      </c>
      <c r="I292" s="12">
        <f t="shared" si="5"/>
        <v>9</v>
      </c>
    </row>
    <row r="293" spans="1:9" x14ac:dyDescent="0.25">
      <c r="A293">
        <v>509</v>
      </c>
      <c r="B293" s="1">
        <v>42814</v>
      </c>
      <c r="C293" s="9"/>
      <c r="D293" s="9"/>
      <c r="E293" s="10">
        <v>278400</v>
      </c>
      <c r="F293" s="16">
        <v>42761</v>
      </c>
      <c r="G293" s="16">
        <v>42806</v>
      </c>
      <c r="H293" s="10">
        <v>278400</v>
      </c>
      <c r="I293" s="12">
        <f t="shared" si="5"/>
        <v>8</v>
      </c>
    </row>
    <row r="294" spans="1:9" x14ac:dyDescent="0.25">
      <c r="A294">
        <v>510</v>
      </c>
      <c r="B294" s="1">
        <v>42814</v>
      </c>
      <c r="C294" s="9"/>
      <c r="D294" s="9"/>
      <c r="E294" s="10">
        <v>555000</v>
      </c>
      <c r="F294" s="16">
        <v>42761</v>
      </c>
      <c r="G294" s="16">
        <v>42807</v>
      </c>
      <c r="H294" s="10">
        <v>555000</v>
      </c>
      <c r="I294" s="12">
        <f t="shared" si="5"/>
        <v>7</v>
      </c>
    </row>
    <row r="295" spans="1:9" x14ac:dyDescent="0.25">
      <c r="A295">
        <v>511</v>
      </c>
      <c r="B295" s="1">
        <v>42814</v>
      </c>
      <c r="C295" s="9"/>
      <c r="D295" s="9"/>
      <c r="E295" s="10">
        <v>556400</v>
      </c>
      <c r="F295" s="16">
        <v>42762</v>
      </c>
      <c r="G295" s="16">
        <v>42807</v>
      </c>
      <c r="H295" s="10">
        <v>556400</v>
      </c>
      <c r="I295" s="12">
        <f t="shared" si="5"/>
        <v>7</v>
      </c>
    </row>
    <row r="296" spans="1:9" x14ac:dyDescent="0.25">
      <c r="A296">
        <v>512</v>
      </c>
      <c r="B296" s="1">
        <v>42814</v>
      </c>
      <c r="C296" s="9"/>
      <c r="D296" s="9"/>
      <c r="E296" s="10">
        <v>-8700</v>
      </c>
      <c r="F296" s="16">
        <v>42762</v>
      </c>
      <c r="G296" s="16">
        <v>42807</v>
      </c>
      <c r="H296" s="10">
        <v>-8700</v>
      </c>
      <c r="I296" s="12">
        <f t="shared" si="5"/>
        <v>7</v>
      </c>
    </row>
    <row r="297" spans="1:9" x14ac:dyDescent="0.25">
      <c r="A297">
        <v>513</v>
      </c>
      <c r="B297" s="1">
        <v>42814</v>
      </c>
      <c r="C297" s="9"/>
      <c r="D297" s="9"/>
      <c r="E297" s="14">
        <f>1310000-210000-380000-408000</f>
        <v>312000</v>
      </c>
      <c r="F297" s="16">
        <v>42765</v>
      </c>
      <c r="G297" s="16">
        <v>42810</v>
      </c>
      <c r="H297" s="10"/>
      <c r="I297" s="12">
        <f t="shared" si="5"/>
        <v>4</v>
      </c>
    </row>
    <row r="298" spans="1:9" x14ac:dyDescent="0.25">
      <c r="A298">
        <v>517</v>
      </c>
      <c r="B298" s="1">
        <v>42814</v>
      </c>
      <c r="C298" s="9"/>
      <c r="D298" s="9"/>
      <c r="E298" s="14">
        <f>3863812-3725740</f>
        <v>138072</v>
      </c>
      <c r="F298" s="16">
        <v>42765</v>
      </c>
      <c r="G298" s="16">
        <v>42810</v>
      </c>
      <c r="H298" s="10"/>
      <c r="I298" s="12">
        <f t="shared" si="5"/>
        <v>4</v>
      </c>
    </row>
    <row r="299" spans="1:9" x14ac:dyDescent="0.25">
      <c r="A299">
        <v>518</v>
      </c>
      <c r="B299" s="1">
        <v>42814</v>
      </c>
      <c r="C299" s="9"/>
      <c r="D299" s="9"/>
      <c r="E299" s="10">
        <v>487560</v>
      </c>
      <c r="F299" s="16">
        <v>42765</v>
      </c>
      <c r="G299" s="16">
        <v>42810</v>
      </c>
      <c r="H299" s="10"/>
      <c r="I299" s="12">
        <f t="shared" si="5"/>
        <v>4</v>
      </c>
    </row>
    <row r="300" spans="1:9" x14ac:dyDescent="0.25">
      <c r="A300">
        <v>519</v>
      </c>
      <c r="B300" s="1">
        <v>42814</v>
      </c>
      <c r="C300" s="9"/>
      <c r="D300" s="9"/>
      <c r="E300" s="10">
        <v>342220</v>
      </c>
      <c r="F300" s="16">
        <v>42766</v>
      </c>
      <c r="G300" s="16">
        <v>42811</v>
      </c>
      <c r="H300" s="10"/>
      <c r="I300" s="12">
        <f t="shared" si="5"/>
        <v>3</v>
      </c>
    </row>
    <row r="301" spans="1:9" x14ac:dyDescent="0.25">
      <c r="A301">
        <v>520</v>
      </c>
      <c r="B301" s="1">
        <v>42814</v>
      </c>
      <c r="C301" s="9"/>
      <c r="D301" s="9"/>
      <c r="E301" s="14">
        <f>2866800-1326000-1250800</f>
        <v>290000</v>
      </c>
      <c r="F301" s="16">
        <v>42766</v>
      </c>
      <c r="G301" s="16">
        <v>42811</v>
      </c>
      <c r="H301" s="10"/>
      <c r="I301" s="12">
        <f t="shared" si="5"/>
        <v>3</v>
      </c>
    </row>
    <row r="302" spans="1:9" x14ac:dyDescent="0.25">
      <c r="A302">
        <v>521</v>
      </c>
      <c r="B302" s="1">
        <v>42814</v>
      </c>
      <c r="C302" s="9"/>
      <c r="D302" s="9"/>
      <c r="E302" s="10">
        <v>690880</v>
      </c>
      <c r="F302" s="16">
        <v>42766</v>
      </c>
      <c r="G302" s="16">
        <v>42811</v>
      </c>
      <c r="H302" s="10"/>
      <c r="I302" s="12">
        <f t="shared" si="5"/>
        <v>3</v>
      </c>
    </row>
    <row r="303" spans="1:9" x14ac:dyDescent="0.25">
      <c r="A303">
        <v>522</v>
      </c>
      <c r="B303" s="1">
        <v>42814</v>
      </c>
      <c r="C303" s="9"/>
      <c r="D303" s="9"/>
      <c r="E303" s="14">
        <f>413500-40164</f>
        <v>373336</v>
      </c>
      <c r="F303" s="16">
        <v>42767</v>
      </c>
      <c r="G303" s="16">
        <v>42812</v>
      </c>
      <c r="H303" s="10"/>
      <c r="I303" s="12">
        <f t="shared" si="5"/>
        <v>2</v>
      </c>
    </row>
    <row r="304" spans="1:9" x14ac:dyDescent="0.25">
      <c r="A304">
        <v>523</v>
      </c>
      <c r="B304" s="1">
        <v>42814</v>
      </c>
      <c r="C304" s="9"/>
      <c r="D304" s="9"/>
      <c r="E304" s="14">
        <f>4035432-2000000-783845.35</f>
        <v>1251586.6499999999</v>
      </c>
      <c r="F304" s="16">
        <v>42767</v>
      </c>
      <c r="G304" s="16">
        <v>42812</v>
      </c>
      <c r="H304" s="10"/>
      <c r="I304" s="12">
        <f t="shared" si="5"/>
        <v>2</v>
      </c>
    </row>
    <row r="305" spans="1:9" x14ac:dyDescent="0.25">
      <c r="A305">
        <v>525</v>
      </c>
      <c r="B305" s="1">
        <v>42814</v>
      </c>
      <c r="C305" s="9"/>
      <c r="D305" s="9"/>
      <c r="E305" s="10">
        <v>2277460</v>
      </c>
      <c r="F305" s="16">
        <v>42767</v>
      </c>
      <c r="G305" s="16">
        <v>42812</v>
      </c>
      <c r="H305" s="10"/>
      <c r="I305" s="12">
        <f t="shared" si="5"/>
        <v>2</v>
      </c>
    </row>
    <row r="306" spans="1:9" x14ac:dyDescent="0.25">
      <c r="A306">
        <v>526</v>
      </c>
      <c r="B306" s="1">
        <v>42814</v>
      </c>
      <c r="C306" s="9"/>
      <c r="D306" s="9"/>
      <c r="E306" s="10">
        <v>2829840</v>
      </c>
      <c r="F306" s="16">
        <v>42768</v>
      </c>
      <c r="G306" s="16">
        <v>42813</v>
      </c>
      <c r="H306" s="10"/>
      <c r="I306" s="12">
        <f t="shared" si="5"/>
        <v>1</v>
      </c>
    </row>
    <row r="307" spans="1:9" x14ac:dyDescent="0.25">
      <c r="A307">
        <v>527</v>
      </c>
      <c r="B307" s="1">
        <v>42814</v>
      </c>
      <c r="C307" s="9"/>
      <c r="D307" s="9"/>
      <c r="E307" s="10">
        <v>2793300</v>
      </c>
      <c r="F307" s="16">
        <v>42768</v>
      </c>
      <c r="G307" s="16">
        <v>42813</v>
      </c>
      <c r="H307" s="10"/>
      <c r="I307" s="12">
        <f t="shared" si="5"/>
        <v>1</v>
      </c>
    </row>
    <row r="308" spans="1:9" x14ac:dyDescent="0.25">
      <c r="A308">
        <v>528</v>
      </c>
      <c r="B308" s="1">
        <v>42814</v>
      </c>
      <c r="C308" s="9"/>
      <c r="D308" s="9"/>
      <c r="E308" s="10">
        <v>783940</v>
      </c>
      <c r="F308" s="16">
        <v>42768</v>
      </c>
      <c r="G308" s="16">
        <v>42813</v>
      </c>
      <c r="H308" s="10"/>
      <c r="I308" s="12">
        <f t="shared" si="5"/>
        <v>1</v>
      </c>
    </row>
    <row r="309" spans="1:9" x14ac:dyDescent="0.25">
      <c r="A309">
        <v>530</v>
      </c>
      <c r="B309" s="1">
        <v>42814</v>
      </c>
      <c r="C309" s="9"/>
      <c r="D309" s="9"/>
      <c r="E309" s="10">
        <v>601600</v>
      </c>
      <c r="F309" s="16">
        <v>42769</v>
      </c>
      <c r="G309" s="16">
        <v>42814</v>
      </c>
      <c r="H309" s="10"/>
      <c r="I309" s="12">
        <f t="shared" si="5"/>
        <v>0</v>
      </c>
    </row>
    <row r="310" spans="1:9" x14ac:dyDescent="0.25">
      <c r="A310">
        <v>531</v>
      </c>
      <c r="B310" s="1">
        <v>42814</v>
      </c>
      <c r="C310" s="9"/>
      <c r="D310" s="9"/>
      <c r="E310" s="10">
        <v>-92300</v>
      </c>
      <c r="F310" s="16">
        <v>42772</v>
      </c>
      <c r="G310" s="16">
        <v>42817</v>
      </c>
      <c r="H310" s="10"/>
      <c r="I310" s="12">
        <f t="shared" si="5"/>
        <v>-3</v>
      </c>
    </row>
    <row r="311" spans="1:9" x14ac:dyDescent="0.25">
      <c r="A311">
        <v>532</v>
      </c>
      <c r="B311" s="1">
        <v>42814</v>
      </c>
      <c r="C311" s="9"/>
      <c r="D311" s="9"/>
      <c r="E311" s="10">
        <v>-102080</v>
      </c>
      <c r="F311" s="16">
        <v>42772</v>
      </c>
      <c r="G311" s="16">
        <v>42817</v>
      </c>
      <c r="H311" s="10"/>
      <c r="I311" s="12">
        <f t="shared" si="5"/>
        <v>-3</v>
      </c>
    </row>
    <row r="312" spans="1:9" x14ac:dyDescent="0.25">
      <c r="A312">
        <v>533</v>
      </c>
      <c r="B312" s="1">
        <v>42814</v>
      </c>
      <c r="C312" s="9"/>
      <c r="D312" s="9"/>
      <c r="E312" s="14">
        <f>741000-123135.64</f>
        <v>617864.36</v>
      </c>
      <c r="F312" s="16">
        <v>42772</v>
      </c>
      <c r="G312" s="16">
        <v>42817</v>
      </c>
      <c r="H312" s="10"/>
      <c r="I312" s="12">
        <f t="shared" si="5"/>
        <v>-3</v>
      </c>
    </row>
    <row r="313" spans="1:9" x14ac:dyDescent="0.25">
      <c r="A313">
        <v>534</v>
      </c>
      <c r="B313" s="1">
        <v>42814</v>
      </c>
      <c r="C313" s="9"/>
      <c r="D313" s="9"/>
      <c r="E313" s="10">
        <v>-72160</v>
      </c>
      <c r="F313" s="16">
        <v>42772</v>
      </c>
      <c r="G313" s="16">
        <v>42817</v>
      </c>
      <c r="H313" s="10"/>
      <c r="I313" s="12">
        <f t="shared" si="5"/>
        <v>-3</v>
      </c>
    </row>
    <row r="314" spans="1:9" x14ac:dyDescent="0.25">
      <c r="A314">
        <v>535</v>
      </c>
      <c r="B314" s="1">
        <v>42814</v>
      </c>
      <c r="C314" s="9"/>
      <c r="D314" s="9"/>
      <c r="E314" s="10">
        <v>-35920</v>
      </c>
      <c r="F314" s="16">
        <v>42772</v>
      </c>
      <c r="G314" s="16">
        <v>42817</v>
      </c>
      <c r="H314" s="10"/>
      <c r="I314" s="12">
        <f t="shared" si="5"/>
        <v>-3</v>
      </c>
    </row>
    <row r="315" spans="1:9" x14ac:dyDescent="0.25">
      <c r="A315">
        <v>536</v>
      </c>
      <c r="B315" s="1">
        <v>42814</v>
      </c>
      <c r="C315" s="9"/>
      <c r="D315" s="9"/>
      <c r="E315" s="10">
        <v>-37700</v>
      </c>
      <c r="F315" s="16">
        <v>42772</v>
      </c>
      <c r="G315" s="16">
        <v>42817</v>
      </c>
      <c r="H315" s="10"/>
      <c r="I315" s="12">
        <f t="shared" si="5"/>
        <v>-3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2017-03-27T08:54:24Z</dcterms:modified>
</cp:coreProperties>
</file>