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данные" sheetId="2" r:id="rId2"/>
    <sheet name="Лист2" sheetId="3" r:id="rId3"/>
  </sheets>
  <definedNames>
    <definedName name="_xlnm._FilterDatabase" localSheetId="0" hidden="1">Лист1!$A$1:$Q$52</definedName>
  </definedNames>
  <calcPr calcId="152511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3" i="1"/>
  <c r="N4" i="1"/>
  <c r="N5" i="1"/>
  <c r="N6" i="1"/>
  <c r="N7" i="1"/>
  <c r="N8" i="1"/>
  <c r="N9" i="1"/>
  <c r="N10" i="1"/>
  <c r="N11" i="1"/>
  <c r="N3" i="1"/>
  <c r="J4" i="3" l="1"/>
  <c r="D4" i="3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" i="1"/>
  <c r="J32" i="3" l="1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I32" i="3"/>
  <c r="E32" i="3" s="1"/>
  <c r="I31" i="3"/>
  <c r="E31" i="3" s="1"/>
  <c r="I30" i="3"/>
  <c r="E30" i="3" s="1"/>
  <c r="I29" i="3"/>
  <c r="E29" i="3" s="1"/>
  <c r="I28" i="3"/>
  <c r="E28" i="3" s="1"/>
  <c r="I27" i="3"/>
  <c r="E27" i="3" s="1"/>
  <c r="I26" i="3"/>
  <c r="E26" i="3" s="1"/>
  <c r="I25" i="3"/>
  <c r="E25" i="3" s="1"/>
  <c r="I24" i="3"/>
  <c r="E24" i="3" s="1"/>
  <c r="I23" i="3"/>
  <c r="E23" i="3" s="1"/>
  <c r="I22" i="3"/>
  <c r="E22" i="3" s="1"/>
  <c r="I21" i="3"/>
  <c r="E21" i="3" s="1"/>
  <c r="I20" i="3"/>
  <c r="E20" i="3" s="1"/>
  <c r="I19" i="3"/>
  <c r="E19" i="3" s="1"/>
  <c r="I18" i="3"/>
  <c r="E18" i="3" s="1"/>
  <c r="I17" i="3"/>
  <c r="E17" i="3" s="1"/>
  <c r="I16" i="3"/>
  <c r="E16" i="3" s="1"/>
  <c r="I15" i="3"/>
  <c r="E15" i="3" s="1"/>
  <c r="I14" i="3"/>
  <c r="E14" i="3" s="1"/>
  <c r="I13" i="3"/>
  <c r="E13" i="3" s="1"/>
  <c r="I12" i="3"/>
  <c r="E12" i="3" s="1"/>
  <c r="I11" i="3"/>
  <c r="E11" i="3" s="1"/>
  <c r="I10" i="3"/>
  <c r="E10" i="3" s="1"/>
  <c r="I9" i="3"/>
  <c r="E9" i="3" s="1"/>
  <c r="I8" i="3"/>
  <c r="E8" i="3" s="1"/>
  <c r="I7" i="3"/>
  <c r="E7" i="3" s="1"/>
  <c r="I6" i="3"/>
  <c r="E6" i="3" s="1"/>
  <c r="I5" i="3"/>
  <c r="E5" i="3" s="1"/>
  <c r="C36" i="3"/>
  <c r="I4" i="3"/>
  <c r="E4" i="3" s="1"/>
  <c r="G7" i="3"/>
  <c r="G6" i="3"/>
  <c r="G5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G4" i="3"/>
  <c r="F4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4" i="1" l="1"/>
  <c r="P4" i="1" s="1"/>
  <c r="O4" i="1" s="1"/>
  <c r="E5" i="1"/>
  <c r="P5" i="1" s="1"/>
  <c r="O5" i="1" s="1"/>
  <c r="E6" i="1"/>
  <c r="P6" i="1" s="1"/>
  <c r="O6" i="1" s="1"/>
  <c r="E7" i="1"/>
  <c r="P7" i="1" s="1"/>
  <c r="O7" i="1" s="1"/>
  <c r="E8" i="1"/>
  <c r="P8" i="1" s="1"/>
  <c r="O8" i="1" s="1"/>
  <c r="E9" i="1"/>
  <c r="P9" i="1" s="1"/>
  <c r="O9" i="1" s="1"/>
  <c r="E10" i="1"/>
  <c r="P10" i="1" s="1"/>
  <c r="O10" i="1" s="1"/>
  <c r="E11" i="1"/>
  <c r="P11" i="1" s="1"/>
  <c r="O11" i="1" s="1"/>
  <c r="E12" i="1"/>
  <c r="P12" i="1" s="1"/>
  <c r="O12" i="1" s="1"/>
  <c r="E13" i="1"/>
  <c r="P13" i="1" s="1"/>
  <c r="O13" i="1" s="1"/>
  <c r="E14" i="1"/>
  <c r="P14" i="1" s="1"/>
  <c r="O14" i="1" s="1"/>
  <c r="E15" i="1"/>
  <c r="P15" i="1" s="1"/>
  <c r="O15" i="1" s="1"/>
  <c r="E16" i="1"/>
  <c r="P16" i="1" s="1"/>
  <c r="O16" i="1" s="1"/>
  <c r="E17" i="1"/>
  <c r="P17" i="1" s="1"/>
  <c r="O17" i="1" s="1"/>
  <c r="E18" i="1"/>
  <c r="P18" i="1" s="1"/>
  <c r="O18" i="1" s="1"/>
  <c r="E19" i="1"/>
  <c r="P19" i="1" s="1"/>
  <c r="O19" i="1" s="1"/>
  <c r="E20" i="1"/>
  <c r="P20" i="1" s="1"/>
  <c r="O20" i="1" s="1"/>
  <c r="E21" i="1"/>
  <c r="P21" i="1" s="1"/>
  <c r="O21" i="1" s="1"/>
  <c r="E22" i="1"/>
  <c r="P22" i="1" s="1"/>
  <c r="O22" i="1" s="1"/>
  <c r="E23" i="1"/>
  <c r="P23" i="1" s="1"/>
  <c r="O23" i="1" s="1"/>
  <c r="E24" i="1"/>
  <c r="P24" i="1" s="1"/>
  <c r="O24" i="1" s="1"/>
  <c r="E25" i="1"/>
  <c r="P25" i="1" s="1"/>
  <c r="O25" i="1" s="1"/>
  <c r="E26" i="1"/>
  <c r="P26" i="1" s="1"/>
  <c r="O26" i="1" s="1"/>
  <c r="E27" i="1"/>
  <c r="P27" i="1" s="1"/>
  <c r="O27" i="1" s="1"/>
  <c r="E28" i="1"/>
  <c r="P28" i="1" s="1"/>
  <c r="O28" i="1" s="1"/>
  <c r="E29" i="1"/>
  <c r="P29" i="1" s="1"/>
  <c r="O29" i="1" s="1"/>
  <c r="E30" i="1"/>
  <c r="P30" i="1" s="1"/>
  <c r="O30" i="1" s="1"/>
  <c r="E31" i="1"/>
  <c r="P31" i="1" s="1"/>
  <c r="O31" i="1" s="1"/>
  <c r="E32" i="1"/>
  <c r="P32" i="1" s="1"/>
  <c r="O32" i="1" s="1"/>
  <c r="E33" i="1"/>
  <c r="P33" i="1" s="1"/>
  <c r="O33" i="1" s="1"/>
  <c r="E34" i="1"/>
  <c r="P34" i="1" s="1"/>
  <c r="O34" i="1" s="1"/>
  <c r="E35" i="1"/>
  <c r="P35" i="1" s="1"/>
  <c r="O35" i="1" s="1"/>
  <c r="E36" i="1"/>
  <c r="P36" i="1" s="1"/>
  <c r="O36" i="1" s="1"/>
  <c r="E37" i="1"/>
  <c r="P37" i="1" s="1"/>
  <c r="O37" i="1" s="1"/>
  <c r="E38" i="1"/>
  <c r="P38" i="1" s="1"/>
  <c r="O38" i="1" s="1"/>
  <c r="E39" i="1"/>
  <c r="P39" i="1" s="1"/>
  <c r="O39" i="1" s="1"/>
  <c r="E40" i="1"/>
  <c r="P40" i="1" s="1"/>
  <c r="O40" i="1" s="1"/>
  <c r="E41" i="1"/>
  <c r="P41" i="1" s="1"/>
  <c r="O41" i="1" s="1"/>
  <c r="E42" i="1"/>
  <c r="P42" i="1" s="1"/>
  <c r="O42" i="1" s="1"/>
  <c r="E43" i="1"/>
  <c r="P43" i="1" s="1"/>
  <c r="O43" i="1" s="1"/>
  <c r="E44" i="1"/>
  <c r="P44" i="1" s="1"/>
  <c r="O44" i="1" s="1"/>
  <c r="E45" i="1"/>
  <c r="P45" i="1" s="1"/>
  <c r="O45" i="1" s="1"/>
  <c r="E46" i="1"/>
  <c r="P46" i="1" s="1"/>
  <c r="O46" i="1" s="1"/>
  <c r="E47" i="1"/>
  <c r="P47" i="1" s="1"/>
  <c r="O47" i="1" s="1"/>
  <c r="E48" i="1"/>
  <c r="P48" i="1" s="1"/>
  <c r="O48" i="1" s="1"/>
  <c r="E49" i="1"/>
  <c r="P49" i="1" s="1"/>
  <c r="O49" i="1" s="1"/>
  <c r="E50" i="1"/>
  <c r="P50" i="1" s="1"/>
  <c r="O50" i="1" s="1"/>
  <c r="E51" i="1"/>
  <c r="P51" i="1" s="1"/>
  <c r="O51" i="1" s="1"/>
  <c r="E52" i="1"/>
  <c r="P52" i="1" s="1"/>
  <c r="O52" i="1" s="1"/>
  <c r="E3" i="1" l="1"/>
  <c r="P3" i="1" s="1"/>
  <c r="O3" i="1" s="1"/>
  <c r="C38" i="3" l="1"/>
  <c r="C39" i="3"/>
  <c r="C37" i="3"/>
</calcChain>
</file>

<file path=xl/sharedStrings.xml><?xml version="1.0" encoding="utf-8"?>
<sst xmlns="http://schemas.openxmlformats.org/spreadsheetml/2006/main" count="208" uniqueCount="88">
  <si>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</si>
  <si>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</si>
  <si>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</si>
  <si>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</si>
  <si>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</si>
  <si>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</si>
  <si>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</si>
  <si>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</si>
  <si>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</si>
  <si>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</si>
  <si>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</si>
  <si>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</si>
  <si>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</si>
  <si>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</si>
  <si>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</si>
  <si>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</si>
  <si>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</si>
  <si>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</si>
  <si>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</si>
  <si>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</si>
  <si>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</si>
  <si>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</si>
  <si>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</si>
  <si>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</si>
  <si>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</si>
  <si>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</si>
  <si>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</si>
  <si>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</si>
  <si>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</si>
  <si>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</si>
  <si>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</si>
  <si>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</si>
  <si>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</si>
  <si>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</si>
  <si>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</si>
  <si>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</si>
  <si>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</si>
  <si>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</si>
  <si>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</si>
  <si>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</si>
  <si>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</si>
  <si>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</si>
  <si>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</si>
  <si>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</si>
  <si>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</si>
  <si>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прибытие</t>
  </si>
  <si>
    <t>Водитель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</si>
  <si>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</si>
  <si>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</si>
  <si>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</si>
  <si>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</si>
  <si>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</si>
  <si>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</si>
  <si>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</si>
  <si>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приб.</t>
  </si>
  <si>
    <t>Сумма материалов (Факт цена)</t>
  </si>
  <si>
    <t>Сумма материалов (Соглас. цена)</t>
  </si>
  <si>
    <t>Разница (+/-)</t>
  </si>
  <si>
    <t>Прочие</t>
  </si>
  <si>
    <t>г. Орск</t>
  </si>
  <si>
    <t>Наименование материала</t>
  </si>
  <si>
    <t>Ед.изм.</t>
  </si>
  <si>
    <t>Количество</t>
  </si>
  <si>
    <t>№/№</t>
  </si>
  <si>
    <r>
      <t>м</t>
    </r>
    <r>
      <rPr>
        <vertAlign val="superscript"/>
        <sz val="12"/>
        <color theme="1"/>
        <rFont val="Arial"/>
        <family val="2"/>
        <charset val="204"/>
      </rPr>
      <t>3</t>
    </r>
  </si>
  <si>
    <t>Фольматкань</t>
  </si>
  <si>
    <t>Оцинкованная сталь 0,5 мм</t>
  </si>
  <si>
    <t>Оцинкованная сталь 0,8 мм</t>
  </si>
  <si>
    <t>Оцинкованная сталь 1,0 мм</t>
  </si>
  <si>
    <t>тн</t>
  </si>
  <si>
    <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</si>
  <si>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Количество завезенного материала 2017 г.</t>
  </si>
  <si>
    <t>г. Рязань</t>
  </si>
  <si>
    <t>г. Ярославль</t>
  </si>
  <si>
    <t>г. Тюмень</t>
  </si>
  <si>
    <t>Наименование</t>
  </si>
  <si>
    <t>Согласованные цены на материал  I квартал 2017 г.</t>
  </si>
  <si>
    <t>Wired Mat (105) 60 мм</t>
  </si>
  <si>
    <t>Wired Mat (105) 80 мм</t>
  </si>
  <si>
    <t>Wired Mat (105) 100 мм</t>
  </si>
  <si>
    <t>саранск</t>
  </si>
  <si>
    <t>жд</t>
  </si>
  <si>
    <t>Цена централизации</t>
  </si>
  <si>
    <t>из Ж/д</t>
  </si>
  <si>
    <t>из Саранска</t>
  </si>
  <si>
    <t>км</t>
  </si>
  <si>
    <t>Сумма ГСМ</t>
  </si>
  <si>
    <t>Другой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</si>
</sst>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7" fillId="4" borderId="5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microsoft.com/office/2006/relationships/xlExternalLinkPath/xlPathMissing" Target="2308611.xlsx" TargetMode="External"/><Relationship Id="rId1" Type="http://schemas.microsoft.com/office/2006/relationships/xlExternalLinkPath/xlPathMissing" Target="230861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Y57"/>
  <sheetViews>
    <sheetView tabSelected="1" zoomScale="85" zoomScaleNormal="85" workbookViewId="0">
      <pane ySplit="2" topLeftCell="A3" activePane="bottomLeft" state="frozen"/>
      <selection pane="bottomLeft" activeCell="N3" sqref="N3"/>
    </sheetView>
  </sheetViews>
  <sheetFormatPr defaultRowHeight="14.25" x14ac:dyDescent="0.2"/>
  <cols>
    <col min="1" max="1" width="12.28515625" style="23" customWidth="1"/>
    <col min="2" max="2" width="22.140625" style="23" customWidth="1"/>
    <col min="3" max="4" width="22.7109375" style="23" customWidth="1"/>
    <col min="5" max="5" width="15.85546875" style="23" customWidth="1"/>
    <col min="6" max="7" width="15" style="23" customWidth="1"/>
    <col min="8" max="9" width="31.85546875" style="23" customWidth="1"/>
    <col min="10" max="11" width="13.42578125" style="23" customWidth="1"/>
    <col min="12" max="12" width="17.5703125" style="23" customWidth="1"/>
    <col min="13" max="13" width="22.42578125" style="23" customWidth="1"/>
    <col min="14" max="14" width="22" style="23" customWidth="1"/>
    <col min="15" max="15" width="17.7109375" style="23" customWidth="1"/>
    <col min="16" max="16" width="15.140625" style="23" customWidth="1"/>
    <col min="17" max="17" width="15.7109375" style="23" customWidth="1"/>
    <col min="18" max="16384" width="9.140625" style="23"/>
  </cols>
  <sheetData>
    <row r="1" spans="1:25" ht="56.25" customHeight="1" thickBot="1" x14ac:dyDescent="0.25">
      <c r="A1" s="20" t="s">
        <v>13</v>
      </c>
      <c r="B1" s="20" t="s">
        <v>18</v>
      </c>
      <c r="C1" s="20" t="s">
        <v>19</v>
      </c>
      <c r="D1" s="20" t="s">
        <v>46</v>
      </c>
      <c r="E1" s="20" t="s">
        <v>47</v>
      </c>
      <c r="F1" s="20" t="s">
        <v>5</v>
      </c>
      <c r="G1" s="20" t="s">
        <v>20</v>
      </c>
      <c r="H1" s="20" t="s">
        <v>48</v>
      </c>
      <c r="I1" s="20" t="s">
        <v>49</v>
      </c>
      <c r="J1" s="20" t="s">
        <v>52</v>
      </c>
      <c r="K1" s="20" t="s">
        <v>53</v>
      </c>
      <c r="L1" s="20" t="s">
        <v>55</v>
      </c>
      <c r="M1" s="20" t="s">
        <v>56</v>
      </c>
      <c r="N1" s="20" t="s">
        <v>57</v>
      </c>
      <c r="O1" s="20" t="s">
        <v>41</v>
      </c>
      <c r="P1" s="20" t="s">
        <v>40</v>
      </c>
      <c r="Q1" s="21" t="s">
        <v>4</v>
      </c>
      <c r="R1" s="22"/>
      <c r="S1" s="22"/>
      <c r="T1" s="22"/>
      <c r="U1" s="22"/>
      <c r="V1" s="22"/>
      <c r="W1" s="22"/>
      <c r="X1" s="22"/>
      <c r="Y1" s="22"/>
    </row>
    <row r="2" spans="1:25" ht="16.5" customHeight="1" thickTop="1" x14ac:dyDescent="0.2">
      <c r="A2" s="44">
        <v>1</v>
      </c>
      <c r="B2" s="44">
        <v>2</v>
      </c>
      <c r="C2" s="44">
        <v>3</v>
      </c>
      <c r="D2" s="44">
        <v>4</v>
      </c>
      <c r="E2" s="44">
        <v>5</v>
      </c>
      <c r="F2" s="44">
        <v>6</v>
      </c>
      <c r="G2" s="44">
        <v>7</v>
      </c>
      <c r="H2" s="44">
        <v>8</v>
      </c>
      <c r="I2" s="44">
        <v>9</v>
      </c>
      <c r="J2" s="44">
        <v>10</v>
      </c>
      <c r="K2" s="44">
        <v>11</v>
      </c>
      <c r="L2" s="44">
        <v>12</v>
      </c>
      <c r="M2" s="44">
        <v>13</v>
      </c>
      <c r="N2" s="44">
        <v>14</v>
      </c>
      <c r="O2" s="44">
        <v>15</v>
      </c>
      <c r="P2" s="44">
        <v>16</v>
      </c>
      <c r="Q2" s="44">
        <v>17</v>
      </c>
      <c r="R2" s="22"/>
      <c r="S2" s="22"/>
      <c r="T2" s="22"/>
      <c r="U2" s="22"/>
      <c r="V2" s="22"/>
      <c r="W2" s="22"/>
      <c r="X2" s="22"/>
      <c r="Y2" s="22"/>
    </row>
    <row r="3" spans="1:25" x14ac:dyDescent="0.2">
      <c r="A3" s="24">
        <v>1</v>
      </c>
      <c r="B3" s="24" t="s">
        <v>6</v>
      </c>
      <c r="C3" s="24" t="s">
        <v>8</v>
      </c>
      <c r="D3" s="24" t="s">
        <v>1</v>
      </c>
      <c r="E3" s="24">
        <f>VLOOKUP($B3,данные!$A$3:$H$9,MATCH(C3,данные!$A$2:$H$2,),)</f>
        <v>790</v>
      </c>
      <c r="F3" s="25">
        <v>42740</v>
      </c>
      <c r="G3" s="25">
        <v>42743</v>
      </c>
      <c r="H3" s="24" t="s">
        <v>27</v>
      </c>
      <c r="I3" s="24" t="s">
        <v>29</v>
      </c>
      <c r="J3" s="24">
        <v>1</v>
      </c>
      <c r="K3" s="24">
        <v>1</v>
      </c>
      <c r="L3" s="26">
        <v>100</v>
      </c>
      <c r="M3" s="40">
        <f>SUMPRODUCT((C3=данные!K$2:M$2)*данные!K$3:M$27*((данные!J$3:J$27=H3)*J3+(данные!J$3:J$27=I3)*K3))</f>
        <v>620</v>
      </c>
      <c r="N3" s="24">
        <f>IFERROR(K3*VLOOKUP(I3,данные!J$3:N$27,MATCH(C3,данные!J$2:N$2,),),)+IFERROR(J3*VLOOKUP(H3,данные!J$3:N$27,MATCH(C3,данные!J$2:N$2,),),)</f>
        <v>620</v>
      </c>
      <c r="O3" s="40">
        <f>SUM(L3,P3:Q3)+((D3="Централизация")*(B3="Железнодорожный")*данные!$G$29)+((D3="Централизация")*(B3="Саранск")*данные!$G$30)</f>
        <v>11101.2</v>
      </c>
      <c r="P3" s="40">
        <f>IF(Лист1!$D3="Централизация",0,$E3*данные!$F$25*данные!$G$25)</f>
        <v>9859.2000000000007</v>
      </c>
      <c r="Q3" s="40">
        <f>IF($D3="Централизация",0,VLOOKUP($B3,данные!$A$14:$H$20,MATCH($C3,данные!$A$13:$H$13,),))</f>
        <v>1142</v>
      </c>
    </row>
    <row r="4" spans="1:25" x14ac:dyDescent="0.2">
      <c r="A4" s="27">
        <v>2</v>
      </c>
      <c r="B4" s="27" t="s">
        <v>11</v>
      </c>
      <c r="C4" s="27" t="s">
        <v>9</v>
      </c>
      <c r="D4" s="27" t="s">
        <v>0</v>
      </c>
      <c r="E4" s="27">
        <f>VLOOKUP($B4,данные!$A$3:$H$9,MATCH(C4,данные!$A$2:$H$2,),)</f>
        <v>1733</v>
      </c>
      <c r="F4" s="29">
        <v>42738</v>
      </c>
      <c r="G4" s="29">
        <v>42739</v>
      </c>
      <c r="H4" s="27" t="s">
        <v>29</v>
      </c>
      <c r="I4" s="27" t="s">
        <v>27</v>
      </c>
      <c r="J4" s="27">
        <v>1</v>
      </c>
      <c r="K4" s="27">
        <v>1</v>
      </c>
      <c r="L4" s="28">
        <v>100</v>
      </c>
      <c r="M4" s="40">
        <f>SUMPRODUCT((C4=данные!K$2:M$2)*данные!K$3:M$27*((данные!J$3:J$27=H4)*J4+(данные!J$3:J$27=I4)*K4))</f>
        <v>220</v>
      </c>
      <c r="N4" s="24">
        <f>IFERROR(K4*VLOOKUP(I4,данные!J$3:N$27,MATCH(C4,данные!J$2:N$2,),),)+IFERROR(J4*VLOOKUP(H4,данные!J$3:N$27,MATCH(C4,данные!J$2:N$2,),),)</f>
        <v>220</v>
      </c>
      <c r="O4" s="41">
        <f>SUM(L4,P4:Q4)+((D4="Централизация")*(B4="Железнодорожный")*данные!$G$29)+((D4="Централизация")*(B4="Саранск")*данные!$G$30)</f>
        <v>23850.840000000004</v>
      </c>
      <c r="P4" s="41">
        <f>IF(Лист1!$D4="Централизация",0,$E4*данные!$F$25*данные!$G$25)</f>
        <v>21627.840000000004</v>
      </c>
      <c r="Q4" s="41">
        <f>IF($D4="Централизация",0,VLOOKUP($B4,данные!$A$14:$H$20,MATCH($C4,данные!$A$13:$H$13,),))</f>
        <v>2123</v>
      </c>
    </row>
    <row r="5" spans="1:25" x14ac:dyDescent="0.2">
      <c r="A5" s="24">
        <v>3</v>
      </c>
      <c r="B5" s="24"/>
      <c r="C5" s="24"/>
      <c r="D5" s="24"/>
      <c r="E5" s="24" t="e">
        <f>VLOOKUP($B5,данные!$A$3:$H$9,MATCH(C5,данные!$A$2:$H$2,),)</f>
        <v>#N/A</v>
      </c>
      <c r="F5" s="25"/>
      <c r="G5" s="25"/>
      <c r="H5" s="24"/>
      <c r="I5" s="24"/>
      <c r="J5" s="24"/>
      <c r="K5" s="24"/>
      <c r="L5" s="26"/>
      <c r="M5" s="40">
        <f>SUMPRODUCT((C5=данные!K$2:M$2)*данные!K$3:M$27*((данные!J$3:J$27=H5)*J5+(данные!J$3:J$27=I5)*K5))</f>
        <v>0</v>
      </c>
      <c r="N5" s="24">
        <f>IFERROR(K5*VLOOKUP(I5,данные!J$3:N$27,MATCH(C5,данные!J$2:N$2,),),)+IFERROR(J5*VLOOKUP(H5,данные!J$3:N$27,MATCH(C5,данные!J$2:N$2,),),)</f>
        <v>0</v>
      </c>
      <c r="O5" s="40" t="e">
        <f>SUM(L5,P5:Q5)+((D5="Централизация")*(B5="Железнодорожный")*данные!$G$29)+((D5="Централизация")*(B5="Саранск")*данные!$G$30)</f>
        <v>#N/A</v>
      </c>
      <c r="P5" s="40" t="e">
        <f>IF(Лист1!$D5="Централизация",0,$E5*данные!$F$25*данные!$G$25)</f>
        <v>#N/A</v>
      </c>
      <c r="Q5" s="40" t="e">
        <f>IF($D5="Централизация",0,VLOOKUP($B5,данные!$A$14:$H$20,MATCH($C5,данные!$A$13:$H$13,),))</f>
        <v>#N/A</v>
      </c>
    </row>
    <row r="6" spans="1:25" x14ac:dyDescent="0.2">
      <c r="A6" s="27">
        <v>4</v>
      </c>
      <c r="B6" s="27"/>
      <c r="C6" s="27"/>
      <c r="D6" s="27"/>
      <c r="E6" s="27" t="e">
        <f>VLOOKUP($B6,данные!$A$3:$H$9,MATCH(C6,данные!$A$2:$H$2,),)</f>
        <v>#N/A</v>
      </c>
      <c r="F6" s="29"/>
      <c r="G6" s="29"/>
      <c r="H6" s="27"/>
      <c r="I6" s="27"/>
      <c r="J6" s="27"/>
      <c r="K6" s="27"/>
      <c r="L6" s="28"/>
      <c r="M6" s="40">
        <f>SUMPRODUCT((C6=данные!K$2:M$2)*данные!K$3:M$27*((данные!J$3:J$27=H6)*J6+(данные!J$3:J$27=I6)*K6))</f>
        <v>0</v>
      </c>
      <c r="N6" s="24">
        <f>IFERROR(K6*VLOOKUP(I6,данные!J$3:N$27,MATCH(C6,данные!J$2:N$2,),),)+IFERROR(J6*VLOOKUP(H6,данные!J$3:N$27,MATCH(C6,данные!J$2:N$2,),),)</f>
        <v>0</v>
      </c>
      <c r="O6" s="41" t="e">
        <f>SUM(L6,P6:Q6)+((D6="Централизация")*(B6="Железнодорожный")*данные!$G$29)+((D6="Централизация")*(B6="Саранск")*данные!$G$30)</f>
        <v>#N/A</v>
      </c>
      <c r="P6" s="41" t="e">
        <f>IF(Лист1!$D6="Централизация",0,$E6*данные!$F$25*данные!$G$25)</f>
        <v>#N/A</v>
      </c>
      <c r="Q6" s="41" t="e">
        <f>IF($D6="Централизация",0,VLOOKUP($B6,данные!$A$14:$H$20,MATCH($C6,данные!$A$13:$H$13,),))</f>
        <v>#N/A</v>
      </c>
    </row>
    <row r="7" spans="1:25" x14ac:dyDescent="0.2">
      <c r="A7" s="24">
        <v>5</v>
      </c>
      <c r="B7" s="30"/>
      <c r="C7" s="24"/>
      <c r="D7" s="30"/>
      <c r="E7" s="24" t="e">
        <f>VLOOKUP($B7,данные!$A$3:$H$9,MATCH(C7,данные!$A$2:$H$2,),)</f>
        <v>#N/A</v>
      </c>
      <c r="F7" s="25"/>
      <c r="G7" s="25"/>
      <c r="H7" s="30"/>
      <c r="I7" s="24"/>
      <c r="J7" s="24"/>
      <c r="K7" s="30"/>
      <c r="L7" s="26"/>
      <c r="M7" s="40">
        <f>SUMPRODUCT((C7=данные!K$2:M$2)*данные!K$3:M$27*((данные!J$3:J$27=H7)*J7+(данные!J$3:J$27=I7)*K7))</f>
        <v>0</v>
      </c>
      <c r="N7" s="24">
        <f>IFERROR(K7*VLOOKUP(I7,данные!J$3:N$27,MATCH(C7,данные!J$2:N$2,),),)+IFERROR(J7*VLOOKUP(H7,данные!J$3:N$27,MATCH(C7,данные!J$2:N$2,),),)</f>
        <v>0</v>
      </c>
      <c r="O7" s="40" t="e">
        <f>SUM(L7,P7:Q7)+((D7="Централизация")*(B7="Железнодорожный")*данные!$G$29)+((D7="Централизация")*(B7="Саранск")*данные!$G$30)</f>
        <v>#N/A</v>
      </c>
      <c r="P7" s="40" t="e">
        <f>IF(Лист1!$D7="Централизация",0,$E7*данные!$F$25*данные!$G$25)</f>
        <v>#N/A</v>
      </c>
      <c r="Q7" s="42" t="e">
        <f>IF($D7="Централизация",0,VLOOKUP($B7,данные!$A$14:$H$20,MATCH($C7,данные!$A$13:$H$13,),))</f>
        <v>#N/A</v>
      </c>
    </row>
    <row r="8" spans="1:25" x14ac:dyDescent="0.2">
      <c r="A8" s="27">
        <v>6</v>
      </c>
      <c r="B8" s="27"/>
      <c r="C8" s="27"/>
      <c r="D8" s="27"/>
      <c r="E8" s="27" t="e">
        <f>VLOOKUP($B8,данные!$A$3:$H$9,MATCH(C8,данные!$A$2:$H$2,),)</f>
        <v>#N/A</v>
      </c>
      <c r="F8" s="29"/>
      <c r="G8" s="29"/>
      <c r="H8" s="27"/>
      <c r="I8" s="27"/>
      <c r="J8" s="27"/>
      <c r="K8" s="27"/>
      <c r="L8" s="28"/>
      <c r="M8" s="40">
        <f>SUMPRODUCT((C8=данные!K$2:M$2)*данные!K$3:M$27*((данные!J$3:J$27=H8)*J8+(данные!J$3:J$27=I8)*K8))</f>
        <v>0</v>
      </c>
      <c r="N8" s="24">
        <f>IFERROR(K8*VLOOKUP(I8,данные!J$3:N$27,MATCH(C8,данные!J$2:N$2,),),)+IFERROR(J8*VLOOKUP(H8,данные!J$3:N$27,MATCH(C8,данные!J$2:N$2,),),)</f>
        <v>0</v>
      </c>
      <c r="O8" s="41" t="e">
        <f>SUM(L8,P8:Q8)+((D8="Централизация")*(B8="Железнодорожный")*данные!$G$29)+((D8="Централизация")*(B8="Саранск")*данные!$G$30)</f>
        <v>#N/A</v>
      </c>
      <c r="P8" s="41" t="e">
        <f>IF(Лист1!$D8="Централизация",0,$E8*данные!$F$25*данные!$G$25)</f>
        <v>#N/A</v>
      </c>
      <c r="Q8" s="41" t="e">
        <f>IF($D8="Централизация",0,VLOOKUP($B8,данные!$A$14:$H$20,MATCH($C8,данные!$A$13:$H$13,),))</f>
        <v>#N/A</v>
      </c>
    </row>
    <row r="9" spans="1:25" x14ac:dyDescent="0.2">
      <c r="A9" s="24">
        <v>7</v>
      </c>
      <c r="B9" s="24"/>
      <c r="C9" s="24"/>
      <c r="D9" s="24"/>
      <c r="E9" s="24" t="e">
        <f>VLOOKUP($B9,данные!$A$3:$H$9,MATCH(C9,данные!$A$2:$H$2,),)</f>
        <v>#N/A</v>
      </c>
      <c r="F9" s="25"/>
      <c r="G9" s="25"/>
      <c r="H9" s="24"/>
      <c r="I9" s="24"/>
      <c r="J9" s="24"/>
      <c r="K9" s="24"/>
      <c r="L9" s="26"/>
      <c r="M9" s="40">
        <f>SUMPRODUCT((C9=данные!K$2:M$2)*данные!K$3:M$27*((данные!J$3:J$27=H9)*J9+(данные!J$3:J$27=I9)*K9))</f>
        <v>0</v>
      </c>
      <c r="N9" s="24">
        <f>IFERROR(K9*VLOOKUP(I9,данные!J$3:N$27,MATCH(C9,данные!J$2:N$2,),),)+IFERROR(J9*VLOOKUP(H9,данные!J$3:N$27,MATCH(C9,данные!J$2:N$2,),),)</f>
        <v>0</v>
      </c>
      <c r="O9" s="40" t="e">
        <f>SUM(L9,P9:Q9)+((D9="Централизация")*(B9="Железнодорожный")*данные!$G$29)+((D9="Централизация")*(B9="Саранск")*данные!$G$30)</f>
        <v>#N/A</v>
      </c>
      <c r="P9" s="40" t="e">
        <f>IF(Лист1!$D9="Централизация",0,$E9*данные!$F$25*данные!$G$25)</f>
        <v>#N/A</v>
      </c>
      <c r="Q9" s="40" t="e">
        <f>IF($D9="Централизация",0,VLOOKUP($B9,данные!$A$14:$H$20,MATCH($C9,данные!$A$13:$H$13,),))</f>
        <v>#N/A</v>
      </c>
    </row>
    <row r="10" spans="1:25" x14ac:dyDescent="0.2">
      <c r="A10" s="27">
        <v>8</v>
      </c>
      <c r="B10" s="27"/>
      <c r="C10" s="27"/>
      <c r="D10" s="27"/>
      <c r="E10" s="27" t="e">
        <f>VLOOKUP($B10,данные!$A$3:$H$9,MATCH(C10,данные!$A$2:$H$2,),)</f>
        <v>#N/A</v>
      </c>
      <c r="F10" s="29"/>
      <c r="G10" s="29"/>
      <c r="H10" s="27"/>
      <c r="I10" s="27"/>
      <c r="J10" s="27"/>
      <c r="K10" s="27"/>
      <c r="L10" s="28"/>
      <c r="M10" s="40">
        <f>SUMPRODUCT((C10=данные!K$2:M$2)*данные!K$3:M$27*((данные!J$3:J$27=H10)*J10+(данные!J$3:J$27=I10)*K10))</f>
        <v>0</v>
      </c>
      <c r="N10" s="24">
        <f>IFERROR(K10*VLOOKUP(I10,данные!J$3:N$27,MATCH(C10,данные!J$2:N$2,),),)+IFERROR(J10*VLOOKUP(H10,данные!J$3:N$27,MATCH(C10,данные!J$2:N$2,),),)</f>
        <v>0</v>
      </c>
      <c r="O10" s="41" t="e">
        <f>SUM(L10,P10:Q10)+((D10="Централизация")*(B10="Железнодорожный")*данные!$G$29)+((D10="Централизация")*(B10="Саранск")*данные!$G$30)</f>
        <v>#N/A</v>
      </c>
      <c r="P10" s="41" t="e">
        <f>IF(Лист1!$D10="Централизация",0,$E10*данные!$F$25*данные!$G$25)</f>
        <v>#N/A</v>
      </c>
      <c r="Q10" s="41" t="e">
        <f>IF($D10="Централизация",0,VLOOKUP($B10,данные!$A$14:$H$20,MATCH($C10,данные!$A$13:$H$13,),))</f>
        <v>#N/A</v>
      </c>
    </row>
    <row r="11" spans="1:25" x14ac:dyDescent="0.2">
      <c r="A11" s="24">
        <v>9</v>
      </c>
      <c r="B11" s="24"/>
      <c r="C11" s="24"/>
      <c r="D11" s="24"/>
      <c r="E11" s="24" t="e">
        <f>VLOOKUP($B11,данные!$A$3:$H$9,MATCH(C11,данные!$A$2:$H$2,),)</f>
        <v>#N/A</v>
      </c>
      <c r="F11" s="25"/>
      <c r="G11" s="25"/>
      <c r="H11" s="24"/>
      <c r="I11" s="24"/>
      <c r="J11" s="24"/>
      <c r="K11" s="24"/>
      <c r="L11" s="26"/>
      <c r="M11" s="40">
        <f>SUMPRODUCT((C11=данные!K$2:M$2)*данные!K$3:M$27*((данные!J$3:J$27=H11)*J11+(данные!J$3:J$27=I11)*K11))</f>
        <v>0</v>
      </c>
      <c r="N11" s="24">
        <f>IFERROR(K11*VLOOKUP(I11,данные!J$3:N$27,MATCH(C11,данные!J$2:N$2,),),)+IFERROR(J11*VLOOKUP(H11,данные!J$3:N$27,MATCH(C11,данные!J$2:N$2,),),)</f>
        <v>0</v>
      </c>
      <c r="O11" s="40" t="e">
        <f>SUM(L11,P11:Q11)+((D11="Централизация")*(B11="Железнодорожный")*данные!$G$29)+((D11="Централизация")*(B11="Саранск")*данные!$G$30)</f>
        <v>#N/A</v>
      </c>
      <c r="P11" s="40" t="e">
        <f>IF(Лист1!$D11="Централизация",0,$E11*данные!$F$25*данные!$G$25)</f>
        <v>#N/A</v>
      </c>
      <c r="Q11" s="40" t="e">
        <f>IF($D11="Централизация",0,VLOOKUP($B11,данные!$A$14:$H$20,MATCH($C11,данные!$A$13:$H$13,),))</f>
        <v>#N/A</v>
      </c>
    </row>
    <row r="12" spans="1:25" x14ac:dyDescent="0.2">
      <c r="A12" s="27">
        <v>10</v>
      </c>
      <c r="B12" s="27"/>
      <c r="C12" s="27"/>
      <c r="D12" s="27"/>
      <c r="E12" s="27" t="e">
        <f>VLOOKUP($B12,данные!$A$3:$H$9,MATCH(C12,данные!$A$2:$H$2,),)</f>
        <v>#N/A</v>
      </c>
      <c r="F12" s="29"/>
      <c r="G12" s="29"/>
      <c r="H12" s="27"/>
      <c r="I12" s="27"/>
      <c r="J12" s="27"/>
      <c r="K12" s="27"/>
      <c r="L12" s="28"/>
      <c r="M12" s="40">
        <f>SUMPRODUCT((C12=данные!K$2:M$2)*данные!K$3:M$27*((данные!J$3:J$27=H12)*J12+(данные!J$3:J$27=I12)*K12))</f>
        <v>0</v>
      </c>
      <c r="N12" s="27"/>
      <c r="O12" s="41" t="e">
        <f>SUM(L12,P12:Q12)+((D12="Централизация")*(B12="Железнодорожный")*данные!$G$29)+((D12="Централизация")*(B12="Саранск")*данные!$G$30)</f>
        <v>#N/A</v>
      </c>
      <c r="P12" s="41" t="e">
        <f>IF(Лист1!$D12="Централизация",0,$E12*данные!$F$25*данные!$G$25)</f>
        <v>#N/A</v>
      </c>
      <c r="Q12" s="41" t="e">
        <f>IF($D12="Централизация",0,VLOOKUP($B12,данные!$A$14:$H$20,MATCH($C12,данные!$A$13:$H$13,),))</f>
        <v>#N/A</v>
      </c>
    </row>
    <row r="13" spans="1:25" x14ac:dyDescent="0.2">
      <c r="A13" s="24">
        <v>11</v>
      </c>
      <c r="B13" s="24"/>
      <c r="C13" s="24"/>
      <c r="D13" s="24"/>
      <c r="E13" s="24" t="e">
        <f>VLOOKUP($B13,данные!$A$3:$H$9,MATCH(C13,данные!$A$2:$H$2,),)</f>
        <v>#N/A</v>
      </c>
      <c r="F13" s="25"/>
      <c r="G13" s="25"/>
      <c r="H13" s="24"/>
      <c r="I13" s="24"/>
      <c r="J13" s="24"/>
      <c r="K13" s="24"/>
      <c r="L13" s="26"/>
      <c r="M13" s="40">
        <f>SUMPRODUCT((C13=данные!K$2:M$2)*данные!K$3:M$27*((данные!J$3:J$27=H13)*J13+(данные!J$3:J$27=I13)*K13))</f>
        <v>0</v>
      </c>
      <c r="N13" s="24"/>
      <c r="O13" s="40" t="e">
        <f>SUM(L13,P13:Q13)+((D13="Централизация")*(B13="Железнодорожный")*данные!$G$29)+((D13="Централизация")*(B13="Саранск")*данные!$G$30)</f>
        <v>#N/A</v>
      </c>
      <c r="P13" s="40" t="e">
        <f>IF(Лист1!$D13="Централизация",0,$E13*данные!$F$25*данные!$G$25)</f>
        <v>#N/A</v>
      </c>
      <c r="Q13" s="40" t="e">
        <f>IF($D13="Централизация",0,VLOOKUP($B13,данные!$A$14:$H$20,MATCH($C13,данные!$A$13:$H$13,),))</f>
        <v>#N/A</v>
      </c>
    </row>
    <row r="14" spans="1:25" x14ac:dyDescent="0.2">
      <c r="A14" s="27">
        <v>12</v>
      </c>
      <c r="B14" s="27"/>
      <c r="C14" s="27"/>
      <c r="D14" s="27"/>
      <c r="E14" s="27" t="e">
        <f>VLOOKUP($B14,данные!$A$3:$H$9,MATCH(C14,данные!$A$2:$H$2,),)</f>
        <v>#N/A</v>
      </c>
      <c r="F14" s="29"/>
      <c r="G14" s="29"/>
      <c r="H14" s="27"/>
      <c r="I14" s="27"/>
      <c r="J14" s="27"/>
      <c r="K14" s="27"/>
      <c r="L14" s="28"/>
      <c r="M14" s="40">
        <f>SUMPRODUCT((C14=данные!K$2:M$2)*данные!K$3:M$27*((данные!J$3:J$27=H14)*J14+(данные!J$3:J$27=I14)*K14))</f>
        <v>0</v>
      </c>
      <c r="N14" s="27"/>
      <c r="O14" s="41" t="e">
        <f>SUM(L14,P14:Q14)+((D14="Централизация")*(B14="Железнодорожный")*данные!$G$29)+((D14="Централизация")*(B14="Саранск")*данные!$G$30)</f>
        <v>#N/A</v>
      </c>
      <c r="P14" s="41" t="e">
        <f>IF(Лист1!$D14="Централизация",0,$E14*данные!$F$25*данные!$G$25)</f>
        <v>#N/A</v>
      </c>
      <c r="Q14" s="41" t="e">
        <f>IF($D14="Централизация",0,VLOOKUP($B14,данные!$A$14:$H$20,MATCH($C14,данные!$A$13:$H$13,),))</f>
        <v>#N/A</v>
      </c>
    </row>
    <row r="15" spans="1:25" x14ac:dyDescent="0.2">
      <c r="A15" s="24">
        <v>13</v>
      </c>
      <c r="B15" s="24"/>
      <c r="C15" s="24"/>
      <c r="D15" s="24"/>
      <c r="E15" s="24" t="e">
        <f>VLOOKUP($B15,данные!$A$3:$H$9,MATCH(C15,данные!$A$2:$H$2,),)</f>
        <v>#N/A</v>
      </c>
      <c r="F15" s="25"/>
      <c r="G15" s="25"/>
      <c r="H15" s="24"/>
      <c r="I15" s="24"/>
      <c r="J15" s="24"/>
      <c r="K15" s="24"/>
      <c r="L15" s="26"/>
      <c r="M15" s="40">
        <f>SUMPRODUCT((C15=данные!K$2:M$2)*данные!K$3:M$27*((данные!J$3:J$27=H15)*J15+(данные!J$3:J$27=I15)*K15))</f>
        <v>0</v>
      </c>
      <c r="N15" s="24"/>
      <c r="O15" s="40" t="e">
        <f>SUM(L15,P15:Q15)+((D15="Централизация")*(B15="Железнодорожный")*данные!$G$29)+((D15="Централизация")*(B15="Саранск")*данные!$G$30)</f>
        <v>#N/A</v>
      </c>
      <c r="P15" s="40" t="e">
        <f>IF(Лист1!$D15="Централизация",0,$E15*данные!$F$25*данные!$G$25)</f>
        <v>#N/A</v>
      </c>
      <c r="Q15" s="40" t="e">
        <f>IF($D15="Централизация",0,VLOOKUP($B15,данные!$A$14:$H$20,MATCH($C15,данные!$A$13:$H$13,),))</f>
        <v>#N/A</v>
      </c>
    </row>
    <row r="16" spans="1:25" x14ac:dyDescent="0.2">
      <c r="A16" s="27">
        <v>14</v>
      </c>
      <c r="B16" s="27"/>
      <c r="C16" s="27"/>
      <c r="D16" s="27"/>
      <c r="E16" s="27" t="e">
        <f>VLOOKUP($B16,данные!$A$3:$H$9,MATCH(C16,данные!$A$2:$H$2,),)</f>
        <v>#N/A</v>
      </c>
      <c r="F16" s="29"/>
      <c r="G16" s="29"/>
      <c r="H16" s="27"/>
      <c r="I16" s="27"/>
      <c r="J16" s="27"/>
      <c r="K16" s="27"/>
      <c r="L16" s="28"/>
      <c r="M16" s="40">
        <f>SUMPRODUCT((C16=данные!K$2:M$2)*данные!K$3:M$27*((данные!J$3:J$27=H16)*J16+(данные!J$3:J$27=I16)*K16))</f>
        <v>0</v>
      </c>
      <c r="N16" s="27"/>
      <c r="O16" s="41" t="e">
        <f>SUM(L16,P16:Q16)+((D16="Централизация")*(B16="Железнодорожный")*данные!$G$29)+((D16="Централизация")*(B16="Саранск")*данные!$G$30)</f>
        <v>#N/A</v>
      </c>
      <c r="P16" s="41" t="e">
        <f>IF(Лист1!$D16="Централизация",0,$E16*данные!$F$25*данные!$G$25)</f>
        <v>#N/A</v>
      </c>
      <c r="Q16" s="41" t="e">
        <f>IF($D16="Централизация",0,VLOOKUP($B16,данные!$A$14:$H$20,MATCH($C16,данные!$A$13:$H$13,),))</f>
        <v>#N/A</v>
      </c>
    </row>
    <row r="17" spans="1:17" x14ac:dyDescent="0.2">
      <c r="A17" s="24">
        <v>15</v>
      </c>
      <c r="B17" s="24"/>
      <c r="C17" s="24"/>
      <c r="D17" s="24"/>
      <c r="E17" s="24" t="e">
        <f>VLOOKUP($B17,данные!$A$3:$H$9,MATCH(C17,данные!$A$2:$H$2,),)</f>
        <v>#N/A</v>
      </c>
      <c r="F17" s="25"/>
      <c r="G17" s="25"/>
      <c r="H17" s="24"/>
      <c r="I17" s="24"/>
      <c r="J17" s="24"/>
      <c r="K17" s="24"/>
      <c r="L17" s="26"/>
      <c r="M17" s="40">
        <f>SUMPRODUCT((C17=данные!K$2:M$2)*данные!K$3:M$27*((данные!J$3:J$27=H17)*J17+(данные!J$3:J$27=I17)*K17))</f>
        <v>0</v>
      </c>
      <c r="N17" s="24"/>
      <c r="O17" s="40" t="e">
        <f>SUM(L17,P17:Q17)+((D17="Централизация")*(B17="Железнодорожный")*данные!$G$29)+((D17="Централизация")*(B17="Саранск")*данные!$G$30)</f>
        <v>#N/A</v>
      </c>
      <c r="P17" s="40" t="e">
        <f>IF(Лист1!$D17="Централизация",0,$E17*данные!$F$25*данные!$G$25)</f>
        <v>#N/A</v>
      </c>
      <c r="Q17" s="40" t="e">
        <f>IF($D17="Централизация",0,VLOOKUP($B17,данные!$A$14:$H$20,MATCH($C17,данные!$A$13:$H$13,),))</f>
        <v>#N/A</v>
      </c>
    </row>
    <row r="18" spans="1:17" x14ac:dyDescent="0.2">
      <c r="A18" s="27">
        <v>16</v>
      </c>
      <c r="B18" s="27"/>
      <c r="C18" s="27"/>
      <c r="D18" s="27"/>
      <c r="E18" s="27" t="e">
        <f>VLOOKUP($B18,данные!$A$3:$H$9,MATCH(C18,данные!$A$2:$H$2,),)</f>
        <v>#N/A</v>
      </c>
      <c r="F18" s="29"/>
      <c r="G18" s="29"/>
      <c r="H18" s="27"/>
      <c r="I18" s="27"/>
      <c r="J18" s="27"/>
      <c r="K18" s="27"/>
      <c r="L18" s="28"/>
      <c r="M18" s="40">
        <f>SUMPRODUCT((C18=данные!K$2:M$2)*данные!K$3:M$27*((данные!J$3:J$27=H18)*J18+(данные!J$3:J$27=I18)*K18))</f>
        <v>0</v>
      </c>
      <c r="N18" s="27"/>
      <c r="O18" s="41" t="e">
        <f>SUM(L18,P18:Q18)+((D18="Централизация")*(B18="Железнодорожный")*данные!$G$29)+((D18="Централизация")*(B18="Саранск")*данные!$G$30)</f>
        <v>#N/A</v>
      </c>
      <c r="P18" s="41" t="e">
        <f>IF(Лист1!$D18="Централизация",0,$E18*данные!$F$25*данные!$G$25)</f>
        <v>#N/A</v>
      </c>
      <c r="Q18" s="41" t="e">
        <f>IF($D18="Централизация",0,VLOOKUP($B18,данные!$A$14:$H$20,MATCH($C18,данные!$A$13:$H$13,),))</f>
        <v>#N/A</v>
      </c>
    </row>
    <row r="19" spans="1:17" x14ac:dyDescent="0.2">
      <c r="A19" s="24">
        <v>17</v>
      </c>
      <c r="B19" s="24"/>
      <c r="C19" s="24"/>
      <c r="D19" s="24"/>
      <c r="E19" s="24" t="e">
        <f>VLOOKUP($B19,данные!$A$3:$H$9,MATCH(C19,данные!$A$2:$H$2,),)</f>
        <v>#N/A</v>
      </c>
      <c r="F19" s="25"/>
      <c r="G19" s="25"/>
      <c r="H19" s="24"/>
      <c r="I19" s="24"/>
      <c r="J19" s="24"/>
      <c r="K19" s="24"/>
      <c r="L19" s="26"/>
      <c r="M19" s="40">
        <f>SUMPRODUCT((C19=данные!K$2:M$2)*данные!K$3:M$27*((данные!J$3:J$27=H19)*J19+(данные!J$3:J$27=I19)*K19))</f>
        <v>0</v>
      </c>
      <c r="N19" s="24"/>
      <c r="O19" s="40" t="e">
        <f>SUM(L19,P19:Q19)+((D19="Централизация")*(B19="Железнодорожный")*данные!$G$29)+((D19="Централизация")*(B19="Саранск")*данные!$G$30)</f>
        <v>#N/A</v>
      </c>
      <c r="P19" s="40" t="e">
        <f>IF(Лист1!$D19="Централизация",0,$E19*данные!$F$25*данные!$G$25)</f>
        <v>#N/A</v>
      </c>
      <c r="Q19" s="40" t="e">
        <f>IF($D19="Централизация",0,VLOOKUP($B19,данные!$A$14:$H$20,MATCH($C19,данные!$A$13:$H$13,),))</f>
        <v>#N/A</v>
      </c>
    </row>
    <row r="20" spans="1:17" x14ac:dyDescent="0.2">
      <c r="A20" s="27">
        <v>18</v>
      </c>
      <c r="B20" s="27"/>
      <c r="C20" s="27"/>
      <c r="D20" s="27"/>
      <c r="E20" s="27" t="e">
        <f>VLOOKUP($B20,данные!$A$3:$H$9,MATCH(C20,данные!$A$2:$H$2,),)</f>
        <v>#N/A</v>
      </c>
      <c r="F20" s="29"/>
      <c r="G20" s="29"/>
      <c r="H20" s="27"/>
      <c r="I20" s="27"/>
      <c r="J20" s="27"/>
      <c r="K20" s="27"/>
      <c r="L20" s="28"/>
      <c r="M20" s="40">
        <f>SUMPRODUCT((C20=данные!K$2:M$2)*данные!K$3:M$27*((данные!J$3:J$27=H20)*J20+(данные!J$3:J$27=I20)*K20))</f>
        <v>0</v>
      </c>
      <c r="N20" s="27"/>
      <c r="O20" s="41" t="e">
        <f>SUM(L20,P20:Q20)+((D20="Централизация")*(B20="Железнодорожный")*данные!$G$29)+((D20="Централизация")*(B20="Саранск")*данные!$G$30)</f>
        <v>#N/A</v>
      </c>
      <c r="P20" s="41" t="e">
        <f>IF(Лист1!$D20="Централизация",0,$E20*данные!$F$25*данные!$G$25)</f>
        <v>#N/A</v>
      </c>
      <c r="Q20" s="41" t="e">
        <f>IF($D20="Централизация",0,VLOOKUP($B20,данные!$A$14:$H$20,MATCH($C20,данные!$A$13:$H$13,),))</f>
        <v>#N/A</v>
      </c>
    </row>
    <row r="21" spans="1:17" x14ac:dyDescent="0.2">
      <c r="A21" s="24">
        <v>19</v>
      </c>
      <c r="B21" s="24"/>
      <c r="C21" s="24"/>
      <c r="D21" s="24"/>
      <c r="E21" s="24" t="e">
        <f>VLOOKUP($B21,данные!$A$3:$H$9,MATCH(C21,данные!$A$2:$H$2,),)</f>
        <v>#N/A</v>
      </c>
      <c r="F21" s="25"/>
      <c r="G21" s="25"/>
      <c r="H21" s="24"/>
      <c r="I21" s="24"/>
      <c r="J21" s="24"/>
      <c r="K21" s="24"/>
      <c r="L21" s="26"/>
      <c r="M21" s="40">
        <f>SUMPRODUCT((C21=данные!K$2:M$2)*данные!K$3:M$27*((данные!J$3:J$27=H21)*J21+(данные!J$3:J$27=I21)*K21))</f>
        <v>0</v>
      </c>
      <c r="N21" s="24"/>
      <c r="O21" s="40" t="e">
        <f>SUM(L21,P21:Q21)+((D21="Централизация")*(B21="Железнодорожный")*данные!$G$29)+((D21="Централизация")*(B21="Саранск")*данные!$G$30)</f>
        <v>#N/A</v>
      </c>
      <c r="P21" s="40" t="e">
        <f>IF(Лист1!$D21="Централизация",0,$E21*данные!$F$25*данные!$G$25)</f>
        <v>#N/A</v>
      </c>
      <c r="Q21" s="40" t="e">
        <f>IF($D21="Централизация",0,VLOOKUP($B21,данные!$A$14:$H$20,MATCH($C21,данные!$A$13:$H$13,),))</f>
        <v>#N/A</v>
      </c>
    </row>
    <row r="22" spans="1:17" x14ac:dyDescent="0.2">
      <c r="A22" s="27">
        <v>20</v>
      </c>
      <c r="B22" s="27"/>
      <c r="C22" s="27"/>
      <c r="D22" s="27"/>
      <c r="E22" s="27" t="e">
        <f>VLOOKUP($B22,данные!$A$3:$H$9,MATCH(C22,данные!$A$2:$H$2,),)</f>
        <v>#N/A</v>
      </c>
      <c r="F22" s="29"/>
      <c r="G22" s="29"/>
      <c r="H22" s="27"/>
      <c r="I22" s="27"/>
      <c r="J22" s="27"/>
      <c r="K22" s="27"/>
      <c r="L22" s="28"/>
      <c r="M22" s="40">
        <f>SUMPRODUCT((C22=данные!K$2:M$2)*данные!K$3:M$27*((данные!J$3:J$27=H22)*J22+(данные!J$3:J$27=I22)*K22))</f>
        <v>0</v>
      </c>
      <c r="N22" s="27"/>
      <c r="O22" s="41" t="e">
        <f>SUM(L22,P22:Q22)+((D22="Централизация")*(B22="Железнодорожный")*данные!$G$29)+((D22="Централизация")*(B22="Саранск")*данные!$G$30)</f>
        <v>#N/A</v>
      </c>
      <c r="P22" s="41" t="e">
        <f>IF(Лист1!$D22="Централизация",0,$E22*данные!$F$25*данные!$G$25)</f>
        <v>#N/A</v>
      </c>
      <c r="Q22" s="41" t="e">
        <f>IF($D22="Централизация",0,VLOOKUP($B22,данные!$A$14:$H$20,MATCH($C22,данные!$A$13:$H$13,),))</f>
        <v>#N/A</v>
      </c>
    </row>
    <row r="23" spans="1:17" x14ac:dyDescent="0.2">
      <c r="A23" s="24">
        <v>21</v>
      </c>
      <c r="B23" s="24"/>
      <c r="C23" s="24"/>
      <c r="D23" s="24"/>
      <c r="E23" s="24" t="e">
        <f>VLOOKUP($B23,данные!$A$3:$H$9,MATCH(C23,данные!$A$2:$H$2,),)</f>
        <v>#N/A</v>
      </c>
      <c r="F23" s="25"/>
      <c r="G23" s="25"/>
      <c r="H23" s="24"/>
      <c r="I23" s="24"/>
      <c r="J23" s="24"/>
      <c r="K23" s="24"/>
      <c r="L23" s="26"/>
      <c r="M23" s="40">
        <f>SUMPRODUCT((C23=данные!K$2:M$2)*данные!K$3:M$27*((данные!J$3:J$27=H23)*J23+(данные!J$3:J$27=I23)*K23))</f>
        <v>0</v>
      </c>
      <c r="N23" s="24"/>
      <c r="O23" s="40" t="e">
        <f>SUM(L23,P23:Q23)+((D23="Централизация")*(B23="Железнодорожный")*данные!$G$29)+((D23="Централизация")*(B23="Саранск")*данные!$G$30)</f>
        <v>#N/A</v>
      </c>
      <c r="P23" s="40" t="e">
        <f>IF(Лист1!$D23="Централизация",0,$E23*данные!$F$25*данные!$G$25)</f>
        <v>#N/A</v>
      </c>
      <c r="Q23" s="40" t="e">
        <f>IF($D23="Централизация",0,VLOOKUP($B23,данные!$A$14:$H$20,MATCH($C23,данные!$A$13:$H$13,),))</f>
        <v>#N/A</v>
      </c>
    </row>
    <row r="24" spans="1:17" x14ac:dyDescent="0.2">
      <c r="A24" s="27">
        <v>22</v>
      </c>
      <c r="B24" s="27"/>
      <c r="C24" s="27"/>
      <c r="D24" s="27"/>
      <c r="E24" s="27" t="e">
        <f>VLOOKUP($B24,данные!$A$3:$H$9,MATCH(C24,данные!$A$2:$H$2,),)</f>
        <v>#N/A</v>
      </c>
      <c r="F24" s="29"/>
      <c r="G24" s="29"/>
      <c r="H24" s="27"/>
      <c r="I24" s="27"/>
      <c r="J24" s="27"/>
      <c r="K24" s="27"/>
      <c r="L24" s="28"/>
      <c r="M24" s="40">
        <f>SUMPRODUCT((C24=данные!K$2:M$2)*данные!K$3:M$27*((данные!J$3:J$27=H24)*J24+(данные!J$3:J$27=I24)*K24))</f>
        <v>0</v>
      </c>
      <c r="N24" s="27"/>
      <c r="O24" s="41" t="e">
        <f>SUM(L24,P24:Q24)+((D24="Централизация")*(B24="Железнодорожный")*данные!$G$29)+((D24="Централизация")*(B24="Саранск")*данные!$G$30)</f>
        <v>#N/A</v>
      </c>
      <c r="P24" s="41" t="e">
        <f>IF(Лист1!$D24="Централизация",0,$E24*данные!$F$25*данные!$G$25)</f>
        <v>#N/A</v>
      </c>
      <c r="Q24" s="41" t="e">
        <f>IF($D24="Централизация",0,VLOOKUP($B24,данные!$A$14:$H$20,MATCH($C24,данные!$A$13:$H$13,),))</f>
        <v>#N/A</v>
      </c>
    </row>
    <row r="25" spans="1:17" x14ac:dyDescent="0.2">
      <c r="A25" s="24">
        <v>23</v>
      </c>
      <c r="B25" s="24"/>
      <c r="C25" s="24"/>
      <c r="D25" s="24"/>
      <c r="E25" s="24" t="e">
        <f>VLOOKUP($B25,данные!$A$3:$H$9,MATCH(C25,данные!$A$2:$H$2,),)</f>
        <v>#N/A</v>
      </c>
      <c r="F25" s="25"/>
      <c r="G25" s="25"/>
      <c r="H25" s="24"/>
      <c r="I25" s="24"/>
      <c r="J25" s="24"/>
      <c r="K25" s="24"/>
      <c r="L25" s="26"/>
      <c r="M25" s="40">
        <f>SUMPRODUCT((C25=данные!K$2:M$2)*данные!K$3:M$27*((данные!J$3:J$27=H25)*J25+(данные!J$3:J$27=I25)*K25))</f>
        <v>0</v>
      </c>
      <c r="N25" s="24"/>
      <c r="O25" s="40" t="e">
        <f>SUM(L25,P25:Q25)+((D25="Централизация")*(B25="Железнодорожный")*данные!$G$29)+((D25="Централизация")*(B25="Саранск")*данные!$G$30)</f>
        <v>#N/A</v>
      </c>
      <c r="P25" s="40" t="e">
        <f>IF(Лист1!$D25="Централизация",0,$E25*данные!$F$25*данные!$G$25)</f>
        <v>#N/A</v>
      </c>
      <c r="Q25" s="40" t="e">
        <f>IF($D25="Централизация",0,VLOOKUP($B25,данные!$A$14:$H$20,MATCH($C25,данные!$A$13:$H$13,),))</f>
        <v>#N/A</v>
      </c>
    </row>
    <row r="26" spans="1:17" x14ac:dyDescent="0.2">
      <c r="A26" s="27">
        <v>24</v>
      </c>
      <c r="B26" s="27"/>
      <c r="C26" s="27"/>
      <c r="D26" s="27"/>
      <c r="E26" s="27" t="e">
        <f>VLOOKUP($B26,данные!$A$3:$H$9,MATCH(C26,данные!$A$2:$H$2,),)</f>
        <v>#N/A</v>
      </c>
      <c r="F26" s="29"/>
      <c r="G26" s="29"/>
      <c r="H26" s="27"/>
      <c r="I26" s="27"/>
      <c r="J26" s="27"/>
      <c r="K26" s="27"/>
      <c r="L26" s="28"/>
      <c r="M26" s="40">
        <f>SUMPRODUCT((C26=данные!K$2:M$2)*данные!K$3:M$27*((данные!J$3:J$27=H26)*J26+(данные!J$3:J$27=I26)*K26))</f>
        <v>0</v>
      </c>
      <c r="N26" s="27"/>
      <c r="O26" s="41" t="e">
        <f>SUM(L26,P26:Q26)+((D26="Централизация")*(B26="Железнодорожный")*данные!$G$29)+((D26="Централизация")*(B26="Саранск")*данные!$G$30)</f>
        <v>#N/A</v>
      </c>
      <c r="P26" s="41" t="e">
        <f>IF(Лист1!$D26="Централизация",0,$E26*данные!$F$25*данные!$G$25)</f>
        <v>#N/A</v>
      </c>
      <c r="Q26" s="41" t="e">
        <f>IF($D26="Централизация",0,VLOOKUP($B26,данные!$A$14:$H$20,MATCH($C26,данные!$A$13:$H$13,),))</f>
        <v>#N/A</v>
      </c>
    </row>
    <row r="27" spans="1:17" x14ac:dyDescent="0.2">
      <c r="A27" s="24">
        <v>25</v>
      </c>
      <c r="B27" s="24"/>
      <c r="C27" s="24"/>
      <c r="D27" s="24"/>
      <c r="E27" s="24" t="e">
        <f>VLOOKUP($B27,данные!$A$3:$H$9,MATCH(C27,данные!$A$2:$H$2,),)</f>
        <v>#N/A</v>
      </c>
      <c r="F27" s="25"/>
      <c r="G27" s="25"/>
      <c r="H27" s="24"/>
      <c r="I27" s="24"/>
      <c r="J27" s="24"/>
      <c r="K27" s="24"/>
      <c r="L27" s="26"/>
      <c r="M27" s="40">
        <f>SUMPRODUCT((C27=данные!K$2:M$2)*данные!K$3:M$27*((данные!J$3:J$27=H27)*J27+(данные!J$3:J$27=I27)*K27))</f>
        <v>0</v>
      </c>
      <c r="N27" s="24"/>
      <c r="O27" s="40" t="e">
        <f>SUM(L27,P27:Q27)+((D27="Централизация")*(B27="Железнодорожный")*данные!$G$29)+((D27="Централизация")*(B27="Саранск")*данные!$G$30)</f>
        <v>#N/A</v>
      </c>
      <c r="P27" s="40" t="e">
        <f>IF(Лист1!$D27="Централизация",0,$E27*данные!$F$25*данные!$G$25)</f>
        <v>#N/A</v>
      </c>
      <c r="Q27" s="40" t="e">
        <f>IF($D27="Централизация",0,VLOOKUP($B27,данные!$A$14:$H$20,MATCH($C27,данные!$A$13:$H$13,),))</f>
        <v>#N/A</v>
      </c>
    </row>
    <row r="28" spans="1:17" x14ac:dyDescent="0.2">
      <c r="A28" s="27">
        <v>26</v>
      </c>
      <c r="B28" s="27"/>
      <c r="C28" s="27"/>
      <c r="D28" s="27"/>
      <c r="E28" s="27" t="e">
        <f>VLOOKUP($B28,данные!$A$3:$H$9,MATCH(C28,данные!$A$2:$H$2,),)</f>
        <v>#N/A</v>
      </c>
      <c r="F28" s="29"/>
      <c r="G28" s="29"/>
      <c r="H28" s="27"/>
      <c r="I28" s="27"/>
      <c r="J28" s="27"/>
      <c r="K28" s="27"/>
      <c r="L28" s="28"/>
      <c r="M28" s="40">
        <f>SUMPRODUCT((C28=данные!K$2:M$2)*данные!K$3:M$27*((данные!J$3:J$27=H28)*J28+(данные!J$3:J$27=I28)*K28))</f>
        <v>0</v>
      </c>
      <c r="N28" s="27"/>
      <c r="O28" s="41" t="e">
        <f>SUM(L28,P28:Q28)+((D28="Централизация")*(B28="Железнодорожный")*данные!$G$29)+((D28="Централизация")*(B28="Саранск")*данные!$G$30)</f>
        <v>#N/A</v>
      </c>
      <c r="P28" s="41" t="e">
        <f>IF(Лист1!$D28="Централизация",0,$E28*данные!$F$25*данные!$G$25)</f>
        <v>#N/A</v>
      </c>
      <c r="Q28" s="41" t="e">
        <f>IF($D28="Централизация",0,VLOOKUP($B28,данные!$A$14:$H$20,MATCH($C28,данные!$A$13:$H$13,),))</f>
        <v>#N/A</v>
      </c>
    </row>
    <row r="29" spans="1:17" x14ac:dyDescent="0.2">
      <c r="A29" s="24">
        <v>27</v>
      </c>
      <c r="B29" s="24"/>
      <c r="C29" s="24"/>
      <c r="D29" s="24"/>
      <c r="E29" s="24" t="e">
        <f>VLOOKUP($B29,данные!$A$3:$H$9,MATCH(C29,данные!$A$2:$H$2,),)</f>
        <v>#N/A</v>
      </c>
      <c r="F29" s="25"/>
      <c r="G29" s="25"/>
      <c r="H29" s="24"/>
      <c r="I29" s="24"/>
      <c r="J29" s="24"/>
      <c r="K29" s="24"/>
      <c r="L29" s="26"/>
      <c r="M29" s="40">
        <f>SUMPRODUCT((C29=данные!K$2:M$2)*данные!K$3:M$27*((данные!J$3:J$27=H29)*J29+(данные!J$3:J$27=I29)*K29))</f>
        <v>0</v>
      </c>
      <c r="N29" s="24"/>
      <c r="O29" s="40" t="e">
        <f>SUM(L29,P29:Q29)+((D29="Централизация")*(B29="Железнодорожный")*данные!$G$29)+((D29="Централизация")*(B29="Саранск")*данные!$G$30)</f>
        <v>#N/A</v>
      </c>
      <c r="P29" s="40" t="e">
        <f>IF(Лист1!$D29="Централизация",0,$E29*данные!$F$25*данные!$G$25)</f>
        <v>#N/A</v>
      </c>
      <c r="Q29" s="40" t="e">
        <f>IF($D29="Централизация",0,VLOOKUP($B29,данные!$A$14:$H$20,MATCH($C29,данные!$A$13:$H$13,),))</f>
        <v>#N/A</v>
      </c>
    </row>
    <row r="30" spans="1:17" x14ac:dyDescent="0.2">
      <c r="A30" s="27">
        <v>28</v>
      </c>
      <c r="B30" s="27"/>
      <c r="C30" s="27"/>
      <c r="D30" s="27"/>
      <c r="E30" s="27" t="e">
        <f>VLOOKUP($B30,данные!$A$3:$H$9,MATCH(C30,данные!$A$2:$H$2,),)</f>
        <v>#N/A</v>
      </c>
      <c r="F30" s="29"/>
      <c r="G30" s="29"/>
      <c r="H30" s="27"/>
      <c r="I30" s="27"/>
      <c r="J30" s="27"/>
      <c r="K30" s="27"/>
      <c r="L30" s="28"/>
      <c r="M30" s="40">
        <f>SUMPRODUCT((C30=данные!K$2:M$2)*данные!K$3:M$27*((данные!J$3:J$27=H30)*J30+(данные!J$3:J$27=I30)*K30))</f>
        <v>0</v>
      </c>
      <c r="N30" s="27"/>
      <c r="O30" s="41" t="e">
        <f>SUM(L30,P30:Q30)+((D30="Централизация")*(B30="Железнодорожный")*данные!$G$29)+((D30="Централизация")*(B30="Саранск")*данные!$G$30)</f>
        <v>#N/A</v>
      </c>
      <c r="P30" s="41" t="e">
        <f>IF(Лист1!$D30="Централизация",0,$E30*данные!$F$25*данные!$G$25)</f>
        <v>#N/A</v>
      </c>
      <c r="Q30" s="41" t="e">
        <f>IF($D30="Централизация",0,VLOOKUP($B30,данные!$A$14:$H$20,MATCH($C30,данные!$A$13:$H$13,),))</f>
        <v>#N/A</v>
      </c>
    </row>
    <row r="31" spans="1:17" x14ac:dyDescent="0.2">
      <c r="A31" s="24">
        <v>29</v>
      </c>
      <c r="B31" s="24"/>
      <c r="C31" s="24"/>
      <c r="D31" s="24"/>
      <c r="E31" s="24" t="e">
        <f>VLOOKUP($B31,данные!$A$3:$H$9,MATCH(C31,данные!$A$2:$H$2,),)</f>
        <v>#N/A</v>
      </c>
      <c r="F31" s="25"/>
      <c r="G31" s="25"/>
      <c r="H31" s="24"/>
      <c r="I31" s="24"/>
      <c r="J31" s="24"/>
      <c r="K31" s="24"/>
      <c r="L31" s="26"/>
      <c r="M31" s="40">
        <f>SUMPRODUCT((C31=данные!K$2:M$2)*данные!K$3:M$27*((данные!J$3:J$27=H31)*J31+(данные!J$3:J$27=I31)*K31))</f>
        <v>0</v>
      </c>
      <c r="N31" s="24"/>
      <c r="O31" s="40" t="e">
        <f>SUM(L31,P31:Q31)+((D31="Централизация")*(B31="Железнодорожный")*данные!$G$29)+((D31="Централизация")*(B31="Саранск")*данные!$G$30)</f>
        <v>#N/A</v>
      </c>
      <c r="P31" s="40" t="e">
        <f>IF(Лист1!$D31="Централизация",0,$E31*данные!$F$25*данные!$G$25)</f>
        <v>#N/A</v>
      </c>
      <c r="Q31" s="40" t="e">
        <f>IF($D31="Централизация",0,VLOOKUP($B31,данные!$A$14:$H$20,MATCH($C31,данные!$A$13:$H$13,),))</f>
        <v>#N/A</v>
      </c>
    </row>
    <row r="32" spans="1:17" x14ac:dyDescent="0.2">
      <c r="A32" s="27">
        <v>30</v>
      </c>
      <c r="B32" s="27"/>
      <c r="C32" s="27"/>
      <c r="D32" s="27"/>
      <c r="E32" s="27" t="e">
        <f>VLOOKUP($B32,данные!$A$3:$H$9,MATCH(C32,данные!$A$2:$H$2,),)</f>
        <v>#N/A</v>
      </c>
      <c r="F32" s="29"/>
      <c r="G32" s="29"/>
      <c r="H32" s="27"/>
      <c r="I32" s="27"/>
      <c r="J32" s="27"/>
      <c r="K32" s="27"/>
      <c r="L32" s="28"/>
      <c r="M32" s="40">
        <f>SUMPRODUCT((C32=данные!K$2:M$2)*данные!K$3:M$27*((данные!J$3:J$27=H32)*J32+(данные!J$3:J$27=I32)*K32))</f>
        <v>0</v>
      </c>
      <c r="N32" s="27"/>
      <c r="O32" s="41" t="e">
        <f>SUM(L32,P32:Q32)+((D32="Централизация")*(B32="Железнодорожный")*данные!$G$29)+((D32="Централизация")*(B32="Саранск")*данные!$G$30)</f>
        <v>#N/A</v>
      </c>
      <c r="P32" s="41" t="e">
        <f>IF(Лист1!$D32="Централизация",0,$E32*данные!$F$25*данные!$G$25)</f>
        <v>#N/A</v>
      </c>
      <c r="Q32" s="41" t="e">
        <f>IF($D32="Централизация",0,VLOOKUP($B32,данные!$A$14:$H$20,MATCH($C32,данные!$A$13:$H$13,),))</f>
        <v>#N/A</v>
      </c>
    </row>
    <row r="33" spans="1:17" x14ac:dyDescent="0.2">
      <c r="A33" s="24">
        <v>31</v>
      </c>
      <c r="B33" s="24"/>
      <c r="C33" s="24"/>
      <c r="D33" s="24"/>
      <c r="E33" s="24" t="e">
        <f>VLOOKUP($B33,данные!$A$3:$H$9,MATCH(C33,данные!$A$2:$H$2,),)</f>
        <v>#N/A</v>
      </c>
      <c r="F33" s="25"/>
      <c r="G33" s="25"/>
      <c r="H33" s="24"/>
      <c r="I33" s="24"/>
      <c r="J33" s="24"/>
      <c r="K33" s="24"/>
      <c r="L33" s="26"/>
      <c r="M33" s="40">
        <f>SUMPRODUCT((C33=данные!K$2:M$2)*данные!K$3:M$27*((данные!J$3:J$27=H33)*J33+(данные!J$3:J$27=I33)*K33))</f>
        <v>0</v>
      </c>
      <c r="N33" s="24"/>
      <c r="O33" s="40" t="e">
        <f>SUM(L33,P33:Q33)+((D33="Централизация")*(B33="Железнодорожный")*данные!$G$29)+((D33="Централизация")*(B33="Саранск")*данные!$G$30)</f>
        <v>#N/A</v>
      </c>
      <c r="P33" s="40" t="e">
        <f>IF(Лист1!$D33="Централизация",0,$E33*данные!$F$25*данные!$G$25)</f>
        <v>#N/A</v>
      </c>
      <c r="Q33" s="40" t="e">
        <f>IF($D33="Централизация",0,VLOOKUP($B33,данные!$A$14:$H$20,MATCH($C33,данные!$A$13:$H$13,),))</f>
        <v>#N/A</v>
      </c>
    </row>
    <row r="34" spans="1:17" x14ac:dyDescent="0.2">
      <c r="A34" s="27">
        <v>32</v>
      </c>
      <c r="B34" s="27"/>
      <c r="C34" s="27"/>
      <c r="D34" s="27"/>
      <c r="E34" s="27" t="e">
        <f>VLOOKUP($B34,данные!$A$3:$H$9,MATCH(C34,данные!$A$2:$H$2,),)</f>
        <v>#N/A</v>
      </c>
      <c r="F34" s="29"/>
      <c r="G34" s="29"/>
      <c r="H34" s="27"/>
      <c r="I34" s="27"/>
      <c r="J34" s="27"/>
      <c r="K34" s="27"/>
      <c r="L34" s="28"/>
      <c r="M34" s="40">
        <f>SUMPRODUCT((C34=данные!K$2:M$2)*данные!K$3:M$27*((данные!J$3:J$27=H34)*J34+(данные!J$3:J$27=I34)*K34))</f>
        <v>0</v>
      </c>
      <c r="N34" s="27"/>
      <c r="O34" s="41" t="e">
        <f>SUM(L34,P34:Q34)+((D34="Централизация")*(B34="Железнодорожный")*данные!$G$29)+((D34="Централизация")*(B34="Саранск")*данные!$G$30)</f>
        <v>#N/A</v>
      </c>
      <c r="P34" s="41" t="e">
        <f>IF(Лист1!$D34="Централизация",0,$E34*данные!$F$25*данные!$G$25)</f>
        <v>#N/A</v>
      </c>
      <c r="Q34" s="41" t="e">
        <f>IF($D34="Централизация",0,VLOOKUP($B34,данные!$A$14:$H$20,MATCH($C34,данные!$A$13:$H$13,),))</f>
        <v>#N/A</v>
      </c>
    </row>
    <row r="35" spans="1:17" x14ac:dyDescent="0.2">
      <c r="A35" s="24">
        <v>33</v>
      </c>
      <c r="B35" s="24"/>
      <c r="C35" s="24"/>
      <c r="D35" s="24"/>
      <c r="E35" s="24" t="e">
        <f>VLOOKUP($B35,данные!$A$3:$H$9,MATCH(C35,данные!$A$2:$H$2,),)</f>
        <v>#N/A</v>
      </c>
      <c r="F35" s="25"/>
      <c r="G35" s="25"/>
      <c r="H35" s="24"/>
      <c r="I35" s="24"/>
      <c r="J35" s="24"/>
      <c r="K35" s="24"/>
      <c r="L35" s="26"/>
      <c r="M35" s="40">
        <f>SUMPRODUCT((C35=данные!K$2:M$2)*данные!K$3:M$27*((данные!J$3:J$27=H35)*J35+(данные!J$3:J$27=I35)*K35))</f>
        <v>0</v>
      </c>
      <c r="N35" s="24"/>
      <c r="O35" s="40" t="e">
        <f>SUM(L35,P35:Q35)+((D35="Централизация")*(B35="Железнодорожный")*данные!$G$29)+((D35="Централизация")*(B35="Саранск")*данные!$G$30)</f>
        <v>#N/A</v>
      </c>
      <c r="P35" s="40" t="e">
        <f>IF(Лист1!$D35="Централизация",0,$E35*данные!$F$25*данные!$G$25)</f>
        <v>#N/A</v>
      </c>
      <c r="Q35" s="40" t="e">
        <f>IF($D35="Централизация",0,VLOOKUP($B35,данные!$A$14:$H$20,MATCH($C35,данные!$A$13:$H$13,),))</f>
        <v>#N/A</v>
      </c>
    </row>
    <row r="36" spans="1:17" x14ac:dyDescent="0.2">
      <c r="A36" s="27">
        <v>34</v>
      </c>
      <c r="B36" s="27"/>
      <c r="C36" s="27"/>
      <c r="D36" s="27"/>
      <c r="E36" s="27" t="e">
        <f>VLOOKUP($B36,данные!$A$3:$H$9,MATCH(C36,данные!$A$2:$H$2,),)</f>
        <v>#N/A</v>
      </c>
      <c r="F36" s="29"/>
      <c r="G36" s="29"/>
      <c r="H36" s="27"/>
      <c r="I36" s="27"/>
      <c r="J36" s="27"/>
      <c r="K36" s="27"/>
      <c r="L36" s="28"/>
      <c r="M36" s="40">
        <f>SUMPRODUCT((C36=данные!K$2:M$2)*данные!K$3:M$27*((данные!J$3:J$27=H36)*J36+(данные!J$3:J$27=I36)*K36))</f>
        <v>0</v>
      </c>
      <c r="N36" s="27"/>
      <c r="O36" s="41" t="e">
        <f>SUM(L36,P36:Q36)+((D36="Централизация")*(B36="Железнодорожный")*данные!$G$29)+((D36="Централизация")*(B36="Саранск")*данные!$G$30)</f>
        <v>#N/A</v>
      </c>
      <c r="P36" s="41" t="e">
        <f>IF(Лист1!$D36="Централизация",0,$E36*данные!$F$25*данные!$G$25)</f>
        <v>#N/A</v>
      </c>
      <c r="Q36" s="41" t="e">
        <f>IF($D36="Централизация",0,VLOOKUP($B36,данные!$A$14:$H$20,MATCH($C36,данные!$A$13:$H$13,),))</f>
        <v>#N/A</v>
      </c>
    </row>
    <row r="37" spans="1:17" x14ac:dyDescent="0.2">
      <c r="A37" s="24">
        <v>35</v>
      </c>
      <c r="B37" s="24"/>
      <c r="C37" s="24"/>
      <c r="D37" s="24"/>
      <c r="E37" s="24" t="e">
        <f>VLOOKUP($B37,данные!$A$3:$H$9,MATCH(C37,данные!$A$2:$H$2,),)</f>
        <v>#N/A</v>
      </c>
      <c r="F37" s="25"/>
      <c r="G37" s="25"/>
      <c r="H37" s="24"/>
      <c r="I37" s="24"/>
      <c r="J37" s="24"/>
      <c r="K37" s="24"/>
      <c r="L37" s="26"/>
      <c r="M37" s="40">
        <f>SUMPRODUCT((C37=данные!K$2:M$2)*данные!K$3:M$27*((данные!J$3:J$27=H37)*J37+(данные!J$3:J$27=I37)*K37))</f>
        <v>0</v>
      </c>
      <c r="N37" s="24"/>
      <c r="O37" s="40" t="e">
        <f>SUM(L37,P37:Q37)+((D37="Централизация")*(B37="Железнодорожный")*данные!$G$29)+((D37="Централизация")*(B37="Саранск")*данные!$G$30)</f>
        <v>#N/A</v>
      </c>
      <c r="P37" s="40" t="e">
        <f>IF(Лист1!$D37="Централизация",0,$E37*данные!$F$25*данные!$G$25)</f>
        <v>#N/A</v>
      </c>
      <c r="Q37" s="40" t="e">
        <f>IF($D37="Централизация",0,VLOOKUP($B37,данные!$A$14:$H$20,MATCH($C37,данные!$A$13:$H$13,),))</f>
        <v>#N/A</v>
      </c>
    </row>
    <row r="38" spans="1:17" x14ac:dyDescent="0.2">
      <c r="A38" s="27">
        <v>36</v>
      </c>
      <c r="B38" s="27"/>
      <c r="C38" s="27"/>
      <c r="D38" s="27"/>
      <c r="E38" s="27" t="e">
        <f>VLOOKUP($B38,данные!$A$3:$H$9,MATCH(C38,данные!$A$2:$H$2,),)</f>
        <v>#N/A</v>
      </c>
      <c r="F38" s="29"/>
      <c r="G38" s="29"/>
      <c r="H38" s="27"/>
      <c r="I38" s="27"/>
      <c r="J38" s="27"/>
      <c r="K38" s="27"/>
      <c r="L38" s="28"/>
      <c r="M38" s="40">
        <f>SUMPRODUCT((C38=данные!K$2:M$2)*данные!K$3:M$27*((данные!J$3:J$27=H38)*J38+(данные!J$3:J$27=I38)*K38))</f>
        <v>0</v>
      </c>
      <c r="N38" s="27"/>
      <c r="O38" s="41" t="e">
        <f>SUM(L38,P38:Q38)+((D38="Централизация")*(B38="Железнодорожный")*данные!$G$29)+((D38="Централизация")*(B38="Саранск")*данные!$G$30)</f>
        <v>#N/A</v>
      </c>
      <c r="P38" s="41" t="e">
        <f>IF(Лист1!$D38="Централизация",0,$E38*данные!$F$25*данные!$G$25)</f>
        <v>#N/A</v>
      </c>
      <c r="Q38" s="41" t="e">
        <f>IF($D38="Централизация",0,VLOOKUP($B38,данные!$A$14:$H$20,MATCH($C38,данные!$A$13:$H$13,),))</f>
        <v>#N/A</v>
      </c>
    </row>
    <row r="39" spans="1:17" x14ac:dyDescent="0.2">
      <c r="A39" s="24">
        <v>37</v>
      </c>
      <c r="B39" s="24"/>
      <c r="C39" s="24"/>
      <c r="D39" s="24"/>
      <c r="E39" s="24" t="e">
        <f>VLOOKUP($B39,данные!$A$3:$H$9,MATCH(C39,данные!$A$2:$H$2,),)</f>
        <v>#N/A</v>
      </c>
      <c r="F39" s="25"/>
      <c r="G39" s="25"/>
      <c r="H39" s="24"/>
      <c r="I39" s="24"/>
      <c r="J39" s="24"/>
      <c r="K39" s="24"/>
      <c r="L39" s="26"/>
      <c r="M39" s="40">
        <f>SUMPRODUCT((C39=данные!K$2:M$2)*данные!K$3:M$27*((данные!J$3:J$27=H39)*J39+(данные!J$3:J$27=I39)*K39))</f>
        <v>0</v>
      </c>
      <c r="N39" s="24"/>
      <c r="O39" s="40" t="e">
        <f>SUM(L39,P39:Q39)+((D39="Централизация")*(B39="Железнодорожный")*данные!$G$29)+((D39="Централизация")*(B39="Саранск")*данные!$G$30)</f>
        <v>#N/A</v>
      </c>
      <c r="P39" s="40" t="e">
        <f>IF(Лист1!$D39="Централизация",0,$E39*данные!$F$25*данные!$G$25)</f>
        <v>#N/A</v>
      </c>
      <c r="Q39" s="40" t="e">
        <f>IF($D39="Централизация",0,VLOOKUP($B39,данные!$A$14:$H$20,MATCH($C39,данные!$A$13:$H$13,),))</f>
        <v>#N/A</v>
      </c>
    </row>
    <row r="40" spans="1:17" x14ac:dyDescent="0.2">
      <c r="A40" s="27">
        <v>38</v>
      </c>
      <c r="B40" s="27"/>
      <c r="C40" s="27"/>
      <c r="D40" s="27"/>
      <c r="E40" s="27" t="e">
        <f>VLOOKUP($B40,данные!$A$3:$H$9,MATCH(C40,данные!$A$2:$H$2,),)</f>
        <v>#N/A</v>
      </c>
      <c r="F40" s="29"/>
      <c r="G40" s="29"/>
      <c r="H40" s="27"/>
      <c r="I40" s="27"/>
      <c r="J40" s="27"/>
      <c r="K40" s="27"/>
      <c r="L40" s="28"/>
      <c r="M40" s="40">
        <f>SUMPRODUCT((C40=данные!K$2:M$2)*данные!K$3:M$27*((данные!J$3:J$27=H40)*J40+(данные!J$3:J$27=I40)*K40))</f>
        <v>0</v>
      </c>
      <c r="N40" s="27"/>
      <c r="O40" s="41" t="e">
        <f>SUM(L40,P40:Q40)+((D40="Централизация")*(B40="Железнодорожный")*данные!$G$29)+((D40="Централизация")*(B40="Саранск")*данные!$G$30)</f>
        <v>#N/A</v>
      </c>
      <c r="P40" s="41" t="e">
        <f>IF(Лист1!$D40="Централизация",0,$E40*данные!$F$25*данные!$G$25)</f>
        <v>#N/A</v>
      </c>
      <c r="Q40" s="41" t="e">
        <f>IF($D40="Централизация",0,VLOOKUP($B40,данные!$A$14:$H$20,MATCH($C40,данные!$A$13:$H$13,),))</f>
        <v>#N/A</v>
      </c>
    </row>
    <row r="41" spans="1:17" x14ac:dyDescent="0.2">
      <c r="A41" s="24">
        <v>39</v>
      </c>
      <c r="B41" s="24"/>
      <c r="C41" s="24"/>
      <c r="D41" s="24"/>
      <c r="E41" s="24" t="e">
        <f>VLOOKUP($B41,данные!$A$3:$H$9,MATCH(C41,данные!$A$2:$H$2,),)</f>
        <v>#N/A</v>
      </c>
      <c r="F41" s="25"/>
      <c r="G41" s="25"/>
      <c r="H41" s="24"/>
      <c r="I41" s="24"/>
      <c r="J41" s="24"/>
      <c r="K41" s="24"/>
      <c r="L41" s="26"/>
      <c r="M41" s="40">
        <f>SUMPRODUCT((C41=данные!K$2:M$2)*данные!K$3:M$27*((данные!J$3:J$27=H41)*J41+(данные!J$3:J$27=I41)*K41))</f>
        <v>0</v>
      </c>
      <c r="N41" s="24"/>
      <c r="O41" s="40" t="e">
        <f>SUM(L41,P41:Q41)+((D41="Централизация")*(B41="Железнодорожный")*данные!$G$29)+((D41="Централизация")*(B41="Саранск")*данные!$G$30)</f>
        <v>#N/A</v>
      </c>
      <c r="P41" s="40" t="e">
        <f>IF(Лист1!$D41="Централизация",0,$E41*данные!$F$25*данные!$G$25)</f>
        <v>#N/A</v>
      </c>
      <c r="Q41" s="40" t="e">
        <f>IF($D41="Централизация",0,VLOOKUP($B41,данные!$A$14:$H$20,MATCH($C41,данные!$A$13:$H$13,),))</f>
        <v>#N/A</v>
      </c>
    </row>
    <row r="42" spans="1:17" x14ac:dyDescent="0.2">
      <c r="A42" s="27">
        <v>40</v>
      </c>
      <c r="B42" s="27"/>
      <c r="C42" s="27"/>
      <c r="D42" s="27"/>
      <c r="E42" s="27" t="e">
        <f>VLOOKUP($B42,данные!$A$3:$H$9,MATCH(C42,данные!$A$2:$H$2,),)</f>
        <v>#N/A</v>
      </c>
      <c r="F42" s="29"/>
      <c r="G42" s="29"/>
      <c r="H42" s="27"/>
      <c r="I42" s="27"/>
      <c r="J42" s="27"/>
      <c r="K42" s="27"/>
      <c r="L42" s="28"/>
      <c r="M42" s="40">
        <f>SUMPRODUCT((C42=данные!K$2:M$2)*данные!K$3:M$27*((данные!J$3:J$27=H42)*J42+(данные!J$3:J$27=I42)*K42))</f>
        <v>0</v>
      </c>
      <c r="N42" s="27"/>
      <c r="O42" s="41" t="e">
        <f>SUM(L42,P42:Q42)+((D42="Централизация")*(B42="Железнодорожный")*данные!$G$29)+((D42="Централизация")*(B42="Саранск")*данные!$G$30)</f>
        <v>#N/A</v>
      </c>
      <c r="P42" s="41" t="e">
        <f>IF(Лист1!$D42="Централизация",0,$E42*данные!$F$25*данные!$G$25)</f>
        <v>#N/A</v>
      </c>
      <c r="Q42" s="41" t="e">
        <f>IF($D42="Централизация",0,VLOOKUP($B42,данные!$A$14:$H$20,MATCH($C42,данные!$A$13:$H$13,),))</f>
        <v>#N/A</v>
      </c>
    </row>
    <row r="43" spans="1:17" x14ac:dyDescent="0.2">
      <c r="A43" s="24">
        <v>41</v>
      </c>
      <c r="B43" s="24"/>
      <c r="C43" s="24"/>
      <c r="D43" s="24"/>
      <c r="E43" s="24" t="e">
        <f>VLOOKUP($B43,данные!$A$3:$H$9,MATCH(C43,данные!$A$2:$H$2,),)</f>
        <v>#N/A</v>
      </c>
      <c r="F43" s="25"/>
      <c r="G43" s="25"/>
      <c r="H43" s="24"/>
      <c r="I43" s="24"/>
      <c r="J43" s="24"/>
      <c r="K43" s="24"/>
      <c r="L43" s="26"/>
      <c r="M43" s="40">
        <f>SUMPRODUCT((C43=данные!K$2:M$2)*данные!K$3:M$27*((данные!J$3:J$27=H43)*J43+(данные!J$3:J$27=I43)*K43))</f>
        <v>0</v>
      </c>
      <c r="N43" s="24"/>
      <c r="O43" s="40" t="e">
        <f>SUM(L43,P43:Q43)+((D43="Централизация")*(B43="Железнодорожный")*данные!$G$29)+((D43="Централизация")*(B43="Саранск")*данные!$G$30)</f>
        <v>#N/A</v>
      </c>
      <c r="P43" s="40" t="e">
        <f>IF(Лист1!$D43="Централизация",0,$E43*данные!$F$25*данные!$G$25)</f>
        <v>#N/A</v>
      </c>
      <c r="Q43" s="40" t="e">
        <f>IF($D43="Централизация",0,VLOOKUP($B43,данные!$A$14:$H$20,MATCH($C43,данные!$A$13:$H$13,),))</f>
        <v>#N/A</v>
      </c>
    </row>
    <row r="44" spans="1:17" x14ac:dyDescent="0.2">
      <c r="A44" s="27">
        <v>42</v>
      </c>
      <c r="B44" s="27"/>
      <c r="C44" s="27"/>
      <c r="D44" s="27"/>
      <c r="E44" s="27" t="e">
        <f>VLOOKUP($B44,данные!$A$3:$H$9,MATCH(C44,данные!$A$2:$H$2,),)</f>
        <v>#N/A</v>
      </c>
      <c r="F44" s="29"/>
      <c r="G44" s="29"/>
      <c r="H44" s="27"/>
      <c r="I44" s="27"/>
      <c r="J44" s="27"/>
      <c r="K44" s="27"/>
      <c r="L44" s="28"/>
      <c r="M44" s="40">
        <f>SUMPRODUCT((C44=данные!K$2:M$2)*данные!K$3:M$27*((данные!J$3:J$27=H44)*J44+(данные!J$3:J$27=I44)*K44))</f>
        <v>0</v>
      </c>
      <c r="N44" s="27"/>
      <c r="O44" s="41" t="e">
        <f>SUM(L44,P44:Q44)+((D44="Централизация")*(B44="Железнодорожный")*данные!$G$29)+((D44="Централизация")*(B44="Саранск")*данные!$G$30)</f>
        <v>#N/A</v>
      </c>
      <c r="P44" s="41" t="e">
        <f>IF(Лист1!$D44="Централизация",0,$E44*данные!$F$25*данные!$G$25)</f>
        <v>#N/A</v>
      </c>
      <c r="Q44" s="41" t="e">
        <f>IF($D44="Централизация",0,VLOOKUP($B44,данные!$A$14:$H$20,MATCH($C44,данные!$A$13:$H$13,),))</f>
        <v>#N/A</v>
      </c>
    </row>
    <row r="45" spans="1:17" x14ac:dyDescent="0.2">
      <c r="A45" s="24">
        <v>43</v>
      </c>
      <c r="B45" s="24"/>
      <c r="C45" s="24"/>
      <c r="D45" s="24"/>
      <c r="E45" s="24" t="e">
        <f>VLOOKUP($B45,данные!$A$3:$H$9,MATCH(C45,данные!$A$2:$H$2,),)</f>
        <v>#N/A</v>
      </c>
      <c r="F45" s="25"/>
      <c r="G45" s="25"/>
      <c r="H45" s="24"/>
      <c r="I45" s="24"/>
      <c r="J45" s="24"/>
      <c r="K45" s="24"/>
      <c r="L45" s="26"/>
      <c r="M45" s="40">
        <f>SUMPRODUCT((C45=данные!K$2:M$2)*данные!K$3:M$27*((данные!J$3:J$27=H45)*J45+(данные!J$3:J$27=I45)*K45))</f>
        <v>0</v>
      </c>
      <c r="N45" s="24"/>
      <c r="O45" s="40" t="e">
        <f>SUM(L45,P45:Q45)+((D45="Централизация")*(B45="Железнодорожный")*данные!$G$29)+((D45="Централизация")*(B45="Саранск")*данные!$G$30)</f>
        <v>#N/A</v>
      </c>
      <c r="P45" s="40" t="e">
        <f>IF(Лист1!$D45="Централизация",0,$E45*данные!$F$25*данные!$G$25)</f>
        <v>#N/A</v>
      </c>
      <c r="Q45" s="40" t="e">
        <f>IF($D45="Централизация",0,VLOOKUP($B45,данные!$A$14:$H$20,MATCH($C45,данные!$A$13:$H$13,),))</f>
        <v>#N/A</v>
      </c>
    </row>
    <row r="46" spans="1:17" x14ac:dyDescent="0.2">
      <c r="A46" s="27">
        <v>44</v>
      </c>
      <c r="B46" s="27"/>
      <c r="C46" s="27"/>
      <c r="D46" s="27"/>
      <c r="E46" s="27" t="e">
        <f>VLOOKUP($B46,данные!$A$3:$H$9,MATCH(C46,данные!$A$2:$H$2,),)</f>
        <v>#N/A</v>
      </c>
      <c r="F46" s="29"/>
      <c r="G46" s="29"/>
      <c r="H46" s="27"/>
      <c r="I46" s="27"/>
      <c r="J46" s="27"/>
      <c r="K46" s="27"/>
      <c r="L46" s="28"/>
      <c r="M46" s="40">
        <f>SUMPRODUCT((C46=данные!K$2:M$2)*данные!K$3:M$27*((данные!J$3:J$27=H46)*J46+(данные!J$3:J$27=I46)*K46))</f>
        <v>0</v>
      </c>
      <c r="N46" s="27"/>
      <c r="O46" s="41" t="e">
        <f>SUM(L46,P46:Q46)+((D46="Централизация")*(B46="Железнодорожный")*данные!$G$29)+((D46="Централизация")*(B46="Саранск")*данные!$G$30)</f>
        <v>#N/A</v>
      </c>
      <c r="P46" s="41" t="e">
        <f>IF(Лист1!$D46="Централизация",0,$E46*данные!$F$25*данные!$G$25)</f>
        <v>#N/A</v>
      </c>
      <c r="Q46" s="41" t="e">
        <f>IF($D46="Централизация",0,VLOOKUP($B46,данные!$A$14:$H$20,MATCH($C46,данные!$A$13:$H$13,),))</f>
        <v>#N/A</v>
      </c>
    </row>
    <row r="47" spans="1:17" x14ac:dyDescent="0.2">
      <c r="A47" s="24">
        <v>45</v>
      </c>
      <c r="B47" s="24"/>
      <c r="C47" s="24"/>
      <c r="D47" s="24"/>
      <c r="E47" s="24" t="e">
        <f>VLOOKUP($B47,данные!$A$3:$H$9,MATCH(C47,данные!$A$2:$H$2,),)</f>
        <v>#N/A</v>
      </c>
      <c r="F47" s="25"/>
      <c r="G47" s="25"/>
      <c r="H47" s="24"/>
      <c r="I47" s="24"/>
      <c r="J47" s="24"/>
      <c r="K47" s="24"/>
      <c r="L47" s="26"/>
      <c r="M47" s="40">
        <f>SUMPRODUCT((C47=данные!K$2:M$2)*данные!K$3:M$27*((данные!J$3:J$27=H47)*J47+(данные!J$3:J$27=I47)*K47))</f>
        <v>0</v>
      </c>
      <c r="N47" s="24"/>
      <c r="O47" s="40" t="e">
        <f>SUM(L47,P47:Q47)+((D47="Централизация")*(B47="Железнодорожный")*данные!$G$29)+((D47="Централизация")*(B47="Саранск")*данные!$G$30)</f>
        <v>#N/A</v>
      </c>
      <c r="P47" s="40" t="e">
        <f>IF(Лист1!$D47="Централизация",0,$E47*данные!$F$25*данные!$G$25)</f>
        <v>#N/A</v>
      </c>
      <c r="Q47" s="40" t="e">
        <f>IF($D47="Централизация",0,VLOOKUP($B47,данные!$A$14:$H$20,MATCH($C47,данные!$A$13:$H$13,),))</f>
        <v>#N/A</v>
      </c>
    </row>
    <row r="48" spans="1:17" x14ac:dyDescent="0.2">
      <c r="A48" s="27">
        <v>46</v>
      </c>
      <c r="B48" s="27"/>
      <c r="C48" s="27"/>
      <c r="D48" s="27"/>
      <c r="E48" s="27" t="e">
        <f>VLOOKUP($B48,данные!$A$3:$H$9,MATCH(C48,данные!$A$2:$H$2,),)</f>
        <v>#N/A</v>
      </c>
      <c r="F48" s="29"/>
      <c r="G48" s="29"/>
      <c r="H48" s="27"/>
      <c r="I48" s="27"/>
      <c r="J48" s="27"/>
      <c r="K48" s="27"/>
      <c r="L48" s="28"/>
      <c r="M48" s="40">
        <f>SUMPRODUCT((C48=данные!K$2:M$2)*данные!K$3:M$27*((данные!J$3:J$27=H48)*J48+(данные!J$3:J$27=I48)*K48))</f>
        <v>0</v>
      </c>
      <c r="N48" s="27"/>
      <c r="O48" s="41" t="e">
        <f>SUM(L48,P48:Q48)+((D48="Централизация")*(B48="Железнодорожный")*данные!$G$29)+((D48="Централизация")*(B48="Саранск")*данные!$G$30)</f>
        <v>#N/A</v>
      </c>
      <c r="P48" s="41" t="e">
        <f>IF(Лист1!$D48="Централизация",0,$E48*данные!$F$25*данные!$G$25)</f>
        <v>#N/A</v>
      </c>
      <c r="Q48" s="41" t="e">
        <f>IF($D48="Централизация",0,VLOOKUP($B48,данные!$A$14:$H$20,MATCH($C48,данные!$A$13:$H$13,),))</f>
        <v>#N/A</v>
      </c>
    </row>
    <row r="49" spans="1:17" x14ac:dyDescent="0.2">
      <c r="A49" s="24">
        <v>47</v>
      </c>
      <c r="B49" s="24"/>
      <c r="C49" s="24"/>
      <c r="D49" s="24"/>
      <c r="E49" s="24" t="e">
        <f>VLOOKUP($B49,данные!$A$3:$H$9,MATCH(C49,данные!$A$2:$H$2,),)</f>
        <v>#N/A</v>
      </c>
      <c r="F49" s="25"/>
      <c r="G49" s="25"/>
      <c r="H49" s="24"/>
      <c r="I49" s="24"/>
      <c r="J49" s="24"/>
      <c r="K49" s="24"/>
      <c r="L49" s="26"/>
      <c r="M49" s="40">
        <f>SUMPRODUCT((C49=данные!K$2:M$2)*данные!K$3:M$27*((данные!J$3:J$27=H49)*J49+(данные!J$3:J$27=I49)*K49))</f>
        <v>0</v>
      </c>
      <c r="N49" s="24"/>
      <c r="O49" s="40" t="e">
        <f>SUM(L49,P49:Q49)+((D49="Централизация")*(B49="Железнодорожный")*данные!$G$29)+((D49="Централизация")*(B49="Саранск")*данные!$G$30)</f>
        <v>#N/A</v>
      </c>
      <c r="P49" s="40" t="e">
        <f>IF(Лист1!$D49="Централизация",0,$E49*данные!$F$25*данные!$G$25)</f>
        <v>#N/A</v>
      </c>
      <c r="Q49" s="40" t="e">
        <f>IF($D49="Централизация",0,VLOOKUP($B49,данные!$A$14:$H$20,MATCH($C49,данные!$A$13:$H$13,),))</f>
        <v>#N/A</v>
      </c>
    </row>
    <row r="50" spans="1:17" x14ac:dyDescent="0.2">
      <c r="A50" s="27">
        <v>48</v>
      </c>
      <c r="B50" s="27"/>
      <c r="C50" s="27"/>
      <c r="D50" s="27"/>
      <c r="E50" s="27" t="e">
        <f>VLOOKUP($B50,данные!$A$3:$H$9,MATCH(C50,данные!$A$2:$H$2,),)</f>
        <v>#N/A</v>
      </c>
      <c r="F50" s="29"/>
      <c r="G50" s="29"/>
      <c r="H50" s="27"/>
      <c r="I50" s="27"/>
      <c r="J50" s="27"/>
      <c r="K50" s="27"/>
      <c r="L50" s="28"/>
      <c r="M50" s="40">
        <f>SUMPRODUCT((C50=данные!K$2:M$2)*данные!K$3:M$27*((данные!J$3:J$27=H50)*J50+(данные!J$3:J$27=I50)*K50))</f>
        <v>0</v>
      </c>
      <c r="N50" s="27"/>
      <c r="O50" s="41" t="e">
        <f>SUM(L50,P50:Q50)+((D50="Централизация")*(B50="Железнодорожный")*данные!$G$29)+((D50="Централизация")*(B50="Саранск")*данные!$G$30)</f>
        <v>#N/A</v>
      </c>
      <c r="P50" s="41" t="e">
        <f>IF(Лист1!$D50="Централизация",0,$E50*данные!$F$25*данные!$G$25)</f>
        <v>#N/A</v>
      </c>
      <c r="Q50" s="41" t="e">
        <f>IF($D50="Централизация",0,VLOOKUP($B50,данные!$A$14:$H$20,MATCH($C50,данные!$A$13:$H$13,),))</f>
        <v>#N/A</v>
      </c>
    </row>
    <row r="51" spans="1:17" x14ac:dyDescent="0.2">
      <c r="A51" s="24">
        <v>49</v>
      </c>
      <c r="B51" s="24"/>
      <c r="C51" s="24"/>
      <c r="D51" s="24"/>
      <c r="E51" s="24" t="e">
        <f>VLOOKUP($B51,данные!$A$3:$H$9,MATCH(C51,данные!$A$2:$H$2,),)</f>
        <v>#N/A</v>
      </c>
      <c r="F51" s="25"/>
      <c r="G51" s="25"/>
      <c r="H51" s="24"/>
      <c r="I51" s="24"/>
      <c r="J51" s="24"/>
      <c r="K51" s="24"/>
      <c r="L51" s="26"/>
      <c r="M51" s="40">
        <f>SUMPRODUCT((C51=данные!K$2:M$2)*данные!K$3:M$27*((данные!J$3:J$27=H51)*J51+(данные!J$3:J$27=I51)*K51))</f>
        <v>0</v>
      </c>
      <c r="N51" s="24"/>
      <c r="O51" s="40" t="e">
        <f>SUM(L51,P51:Q51)+((D51="Централизация")*(B51="Железнодорожный")*данные!$G$29)+((D51="Централизация")*(B51="Саранск")*данные!$G$30)</f>
        <v>#N/A</v>
      </c>
      <c r="P51" s="40" t="e">
        <f>IF(Лист1!$D51="Централизация",0,$E51*данные!$F$25*данные!$G$25)</f>
        <v>#N/A</v>
      </c>
      <c r="Q51" s="40" t="e">
        <f>IF($D51="Централизация",0,VLOOKUP($B51,данные!$A$14:$H$20,MATCH($C51,данные!$A$13:$H$13,),))</f>
        <v>#N/A</v>
      </c>
    </row>
    <row r="52" spans="1:17" ht="15" thickBot="1" x14ac:dyDescent="0.25">
      <c r="A52" s="31">
        <v>50</v>
      </c>
      <c r="B52" s="31"/>
      <c r="C52" s="31"/>
      <c r="D52" s="31"/>
      <c r="E52" s="31" t="e">
        <f>VLOOKUP($B52,данные!$A$3:$H$9,MATCH(C52,данные!$A$2:$H$2,),)</f>
        <v>#N/A</v>
      </c>
      <c r="F52" s="32"/>
      <c r="G52" s="32"/>
      <c r="H52" s="31"/>
      <c r="I52" s="31"/>
      <c r="J52" s="31"/>
      <c r="K52" s="31"/>
      <c r="L52" s="33"/>
      <c r="M52" s="40">
        <f>SUMPRODUCT((C52=данные!K$2:M$2)*данные!K$3:M$27*((данные!J$3:J$27=H52)*J52+(данные!J$3:J$27=I52)*K52))</f>
        <v>0</v>
      </c>
      <c r="N52" s="31"/>
      <c r="O52" s="43" t="e">
        <f>SUM(L52,P52:Q52)+((D52="Централизация")*(B52="Железнодорожный")*данные!$G$29)+((D52="Централизация")*(B52="Саранск")*данные!$G$30)</f>
        <v>#N/A</v>
      </c>
      <c r="P52" s="43" t="e">
        <f>IF(Лист1!$D52="Централизация",0,$E52*данные!$F$25*данные!$G$25)</f>
        <v>#N/A</v>
      </c>
      <c r="Q52" s="43" t="e">
        <f>IF($D52="Централизация",0,VLOOKUP($B52,данные!$A$14:$H$20,MATCH($C52,данные!$A$13:$H$13,),))</f>
        <v>#N/A</v>
      </c>
    </row>
    <row r="53" spans="1:17" ht="29.25" customHeight="1" thickTop="1" x14ac:dyDescent="0.2">
      <c r="A53" s="34"/>
      <c r="B53" s="34"/>
      <c r="C53" s="34"/>
      <c r="D53" s="34"/>
      <c r="E53" s="34"/>
      <c r="F53" s="35"/>
      <c r="G53" s="36"/>
      <c r="H53" s="34"/>
      <c r="I53" s="34"/>
      <c r="J53" s="34"/>
      <c r="K53" s="34"/>
      <c r="L53" s="34"/>
      <c r="M53" s="34"/>
      <c r="N53" s="34"/>
      <c r="O53" s="34"/>
      <c r="P53" s="34"/>
      <c r="Q53" s="37"/>
    </row>
    <row r="57" spans="1:17" x14ac:dyDescent="0.2">
      <c r="A57" s="38"/>
      <c r="B57" s="38"/>
    </row>
  </sheetData>
  <autoFilter ref="A1:Q52"/>
  <dataConsolidate function="varp" topLabels="1" link="1">
    <dataRefs count="2">
      <dataRef ref="B19:B23" sheet="Лист1" r:id="rId1"/>
      <dataRef ref="C19:C23" sheet="Лист1" r:id="rId2"/>
    </dataRefs>
  </dataConsolidate>
  <pageMargins left="0" right="0" top="0" bottom="0" header="0" footer="0"/>
  <pageSetup paperSize="9" scale="41" orientation="landscape" horizontalDpi="180" verticalDpi="180" r:id="rId3"/>
  <extLst>
    <ext xmlns:x14="http://schemas.microsoft.com/office/spreadsheetml/2009/9/main" uri="{CCE6A557-97BC-4b89-ADB6-D9C93CAAB3DF}">
      <x14:dataValidations xmlns:xm="http://schemas.microsoft.com/office/excel/2006/main" xWindow="150" yWindow="222" count="4">
        <x14:dataValidation type="list" allowBlank="1" showInputMessage="1" showErrorMessage="1">
          <x14:formula1>
            <xm:f>данные!A32:A396</xm:f>
          </x14:formula1>
          <xm:sqref>F3:G52</xm:sqref>
        </x14:dataValidation>
        <x14:dataValidation type="list" allowBlank="1" showInputMessage="1" showErrorMessage="1">
          <x14:formula1>
            <xm:f>данные!$A$25:$A$29</xm:f>
          </x14:formula1>
          <xm:sqref>D3:D52</xm:sqref>
        </x14:dataValidation>
        <x14:dataValidation type="list" allowBlank="1" showInputMessage="1" showErrorMessage="1">
          <x14:formula1>
            <xm:f>данные!D25:D53</xm:f>
          </x14:formula1>
          <xm:sqref>H3:I52</xm:sqref>
        </x14:dataValidation>
        <x14:dataValidation type="list" allowBlank="1" showInputMessage="1" showErrorMessage="1">
          <x14:formula1>
            <xm:f>данные!$A$2:$I$2</xm:f>
          </x14:formula1>
          <xm:sqref>B3:C52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740"/>
  <sheetViews>
    <sheetView workbookViewId="0">
      <selection activeCell="K32" sqref="K32"/>
    </sheetView>
  </sheetViews>
  <sheetFormatPr defaultRowHeight="15" x14ac:dyDescent="0.25"/>
  <cols>
    <col min="1" max="1" width="19.5703125" style="2" customWidth="1"/>
    <col min="2" max="2" width="16.140625" style="2" customWidth="1"/>
    <col min="3" max="3" width="14.5703125" style="2" customWidth="1"/>
    <col min="4" max="4" width="26.28515625" style="2" customWidth="1"/>
    <col min="5" max="5" width="14.5703125" style="2" customWidth="1"/>
    <col min="6" max="6" width="20.28515625" style="2" customWidth="1"/>
    <col min="7" max="7" width="26.85546875" style="2" customWidth="1"/>
    <col min="8" max="8" width="14.5703125" style="2" customWidth="1"/>
    <col min="9" max="9" width="14.42578125" style="2" customWidth="1"/>
    <col min="10" max="10" width="27" style="2" customWidth="1"/>
    <col min="11" max="14" width="13.5703125" style="2" customWidth="1"/>
    <col min="15" max="16384" width="9.140625" style="2"/>
  </cols>
  <sheetData>
    <row r="1" spans="1:14" ht="21" x14ac:dyDescent="0.25">
      <c r="A1" s="45" t="s">
        <v>14</v>
      </c>
      <c r="B1" s="45"/>
      <c r="C1" s="45"/>
      <c r="D1" s="45"/>
      <c r="E1" s="45"/>
      <c r="F1" s="45"/>
      <c r="G1" s="45"/>
      <c r="H1" s="45"/>
      <c r="K1" s="46" t="s">
        <v>76</v>
      </c>
      <c r="L1" s="46"/>
      <c r="M1" s="46"/>
      <c r="N1" s="46"/>
    </row>
    <row r="2" spans="1:14" x14ac:dyDescent="0.25">
      <c r="A2" s="4"/>
      <c r="B2" s="4" t="s">
        <v>9</v>
      </c>
      <c r="C2" s="4" t="s">
        <v>10</v>
      </c>
      <c r="D2" s="4" t="s">
        <v>11</v>
      </c>
      <c r="E2" s="4" t="s">
        <v>7</v>
      </c>
      <c r="F2" s="4" t="s">
        <v>8</v>
      </c>
      <c r="G2" s="4" t="s">
        <v>6</v>
      </c>
      <c r="H2" s="4" t="s">
        <v>12</v>
      </c>
      <c r="I2" s="2" t="s">
        <v>87</v>
      </c>
      <c r="J2" s="4" t="s">
        <v>75</v>
      </c>
      <c r="K2" s="18" t="s">
        <v>9</v>
      </c>
      <c r="L2" s="18" t="s">
        <v>7</v>
      </c>
      <c r="M2" s="18" t="s">
        <v>8</v>
      </c>
      <c r="N2" s="18" t="s">
        <v>10</v>
      </c>
    </row>
    <row r="3" spans="1:14" x14ac:dyDescent="0.25">
      <c r="A3" s="5" t="s">
        <v>9</v>
      </c>
      <c r="B3" s="4">
        <v>0</v>
      </c>
      <c r="C3" s="4">
        <v>1100</v>
      </c>
      <c r="D3" s="4">
        <v>1733</v>
      </c>
      <c r="E3" s="4">
        <v>1544</v>
      </c>
      <c r="F3" s="4">
        <v>1902</v>
      </c>
      <c r="G3" s="4">
        <v>1200</v>
      </c>
      <c r="H3" s="4">
        <v>1716</v>
      </c>
      <c r="J3" s="5" t="s">
        <v>27</v>
      </c>
      <c r="K3" s="4">
        <v>100</v>
      </c>
      <c r="L3" s="4">
        <v>200</v>
      </c>
      <c r="M3" s="4">
        <v>300</v>
      </c>
      <c r="N3" s="4"/>
    </row>
    <row r="4" spans="1:14" x14ac:dyDescent="0.25">
      <c r="A4" s="5" t="s">
        <v>10</v>
      </c>
      <c r="B4" s="4">
        <v>1100</v>
      </c>
      <c r="C4" s="4">
        <v>0</v>
      </c>
      <c r="D4" s="4">
        <v>2200</v>
      </c>
      <c r="E4" s="4">
        <v>2200</v>
      </c>
      <c r="F4" s="4">
        <v>1900</v>
      </c>
      <c r="G4" s="4">
        <v>1800</v>
      </c>
      <c r="H4" s="4">
        <v>2200</v>
      </c>
      <c r="J4" s="5" t="s">
        <v>28</v>
      </c>
      <c r="K4" s="39">
        <v>110</v>
      </c>
      <c r="L4" s="4">
        <v>210</v>
      </c>
      <c r="M4" s="4">
        <v>310</v>
      </c>
      <c r="N4" s="4"/>
    </row>
    <row r="5" spans="1:14" x14ac:dyDescent="0.25">
      <c r="A5" s="5" t="s">
        <v>11</v>
      </c>
      <c r="B5" s="4">
        <v>1733</v>
      </c>
      <c r="C5" s="4">
        <v>2200</v>
      </c>
      <c r="D5" s="4">
        <v>0</v>
      </c>
      <c r="E5" s="4">
        <v>210</v>
      </c>
      <c r="F5" s="4">
        <v>290</v>
      </c>
      <c r="G5" s="4">
        <v>650</v>
      </c>
      <c r="H5" s="4">
        <v>25</v>
      </c>
      <c r="J5" s="5" t="s">
        <v>29</v>
      </c>
      <c r="K5" s="39">
        <v>120</v>
      </c>
      <c r="L5" s="4">
        <v>220</v>
      </c>
      <c r="M5" s="4">
        <v>320</v>
      </c>
      <c r="N5" s="4"/>
    </row>
    <row r="6" spans="1:14" x14ac:dyDescent="0.25">
      <c r="A6" s="5" t="s">
        <v>7</v>
      </c>
      <c r="B6" s="4">
        <v>1544</v>
      </c>
      <c r="C6" s="4">
        <v>2200</v>
      </c>
      <c r="D6" s="4">
        <v>210</v>
      </c>
      <c r="E6" s="4">
        <v>0</v>
      </c>
      <c r="F6" s="4">
        <v>476</v>
      </c>
      <c r="G6" s="4">
        <v>456</v>
      </c>
      <c r="H6" s="4">
        <v>190</v>
      </c>
      <c r="J6" s="5" t="s">
        <v>30</v>
      </c>
      <c r="K6" s="39">
        <v>130</v>
      </c>
      <c r="L6" s="39">
        <v>230</v>
      </c>
      <c r="M6" s="39">
        <v>330</v>
      </c>
      <c r="N6" s="4"/>
    </row>
    <row r="7" spans="1:14" x14ac:dyDescent="0.25">
      <c r="A7" s="5" t="s">
        <v>8</v>
      </c>
      <c r="B7" s="4">
        <v>1902</v>
      </c>
      <c r="C7" s="4">
        <v>1900</v>
      </c>
      <c r="D7" s="4">
        <v>290</v>
      </c>
      <c r="E7" s="4">
        <v>476</v>
      </c>
      <c r="F7" s="4">
        <v>0</v>
      </c>
      <c r="G7" s="4">
        <v>790</v>
      </c>
      <c r="H7" s="4">
        <v>290</v>
      </c>
      <c r="J7" s="5" t="s">
        <v>22</v>
      </c>
      <c r="K7" s="39">
        <v>140</v>
      </c>
      <c r="L7" s="39">
        <v>240</v>
      </c>
      <c r="M7" s="39">
        <v>340</v>
      </c>
      <c r="N7" s="4"/>
    </row>
    <row r="8" spans="1:14" x14ac:dyDescent="0.25">
      <c r="A8" s="5" t="s">
        <v>6</v>
      </c>
      <c r="B8" s="4">
        <v>1200</v>
      </c>
      <c r="C8" s="4">
        <v>1800</v>
      </c>
      <c r="D8" s="4">
        <v>650</v>
      </c>
      <c r="E8" s="4">
        <v>456</v>
      </c>
      <c r="F8" s="4">
        <v>790</v>
      </c>
      <c r="G8" s="4">
        <v>0</v>
      </c>
      <c r="H8" s="4">
        <v>640</v>
      </c>
      <c r="J8" s="5" t="s">
        <v>23</v>
      </c>
      <c r="K8" s="39">
        <v>150</v>
      </c>
      <c r="L8" s="39">
        <v>250</v>
      </c>
      <c r="M8" s="39">
        <v>350</v>
      </c>
      <c r="N8" s="4"/>
    </row>
    <row r="9" spans="1:14" x14ac:dyDescent="0.25">
      <c r="A9" s="5" t="s">
        <v>12</v>
      </c>
      <c r="B9" s="4">
        <v>1716</v>
      </c>
      <c r="C9" s="4">
        <v>2200</v>
      </c>
      <c r="D9" s="4">
        <v>25</v>
      </c>
      <c r="E9" s="4">
        <v>190</v>
      </c>
      <c r="F9" s="4">
        <v>290</v>
      </c>
      <c r="G9" s="4">
        <v>640</v>
      </c>
      <c r="H9" s="4">
        <v>0</v>
      </c>
      <c r="J9" s="5" t="s">
        <v>24</v>
      </c>
      <c r="K9" s="39">
        <v>160</v>
      </c>
      <c r="L9" s="39">
        <v>260</v>
      </c>
      <c r="M9" s="39">
        <v>360</v>
      </c>
      <c r="N9" s="4"/>
    </row>
    <row r="10" spans="1:14" x14ac:dyDescent="0.25">
      <c r="A10" s="2" t="s">
        <v>45</v>
      </c>
      <c r="J10" s="5" t="s">
        <v>25</v>
      </c>
      <c r="K10" s="39">
        <v>170</v>
      </c>
      <c r="L10" s="39">
        <v>270</v>
      </c>
      <c r="M10" s="39">
        <v>370</v>
      </c>
      <c r="N10" s="4"/>
    </row>
    <row r="11" spans="1:14" x14ac:dyDescent="0.25">
      <c r="J11" s="5" t="s">
        <v>26</v>
      </c>
      <c r="K11" s="39">
        <v>180</v>
      </c>
      <c r="L11" s="39">
        <v>280</v>
      </c>
      <c r="M11" s="39">
        <v>380</v>
      </c>
      <c r="N11" s="4"/>
    </row>
    <row r="12" spans="1:14" ht="20.25" customHeight="1" x14ac:dyDescent="0.25">
      <c r="A12" s="45" t="s">
        <v>4</v>
      </c>
      <c r="B12" s="45"/>
      <c r="C12" s="45"/>
      <c r="D12" s="45"/>
      <c r="E12" s="45"/>
      <c r="F12" s="45"/>
      <c r="G12" s="45"/>
      <c r="H12" s="45"/>
      <c r="J12" s="5" t="s">
        <v>31</v>
      </c>
      <c r="K12" s="39">
        <v>190</v>
      </c>
      <c r="L12" s="39">
        <v>290</v>
      </c>
      <c r="M12" s="39">
        <v>390</v>
      </c>
      <c r="N12" s="4"/>
    </row>
    <row r="13" spans="1:14" x14ac:dyDescent="0.25">
      <c r="A13" s="4"/>
      <c r="B13" s="4" t="s">
        <v>9</v>
      </c>
      <c r="C13" s="4" t="s">
        <v>10</v>
      </c>
      <c r="D13" s="4" t="s">
        <v>11</v>
      </c>
      <c r="E13" s="4" t="s">
        <v>7</v>
      </c>
      <c r="F13" s="4" t="s">
        <v>8</v>
      </c>
      <c r="G13" s="4" t="s">
        <v>6</v>
      </c>
      <c r="H13" s="4" t="s">
        <v>12</v>
      </c>
      <c r="J13" s="5" t="s">
        <v>32</v>
      </c>
      <c r="K13" s="39">
        <v>200</v>
      </c>
      <c r="L13" s="39">
        <v>300</v>
      </c>
      <c r="M13" s="39">
        <v>400</v>
      </c>
      <c r="N13" s="4"/>
    </row>
    <row r="14" spans="1:14" x14ac:dyDescent="0.25">
      <c r="A14" s="5" t="s">
        <v>9</v>
      </c>
      <c r="B14" s="4">
        <v>0</v>
      </c>
      <c r="C14" s="4">
        <v>825</v>
      </c>
      <c r="D14" s="4">
        <v>2123</v>
      </c>
      <c r="E14" s="4">
        <v>1850</v>
      </c>
      <c r="F14" s="4">
        <v>2343</v>
      </c>
      <c r="G14" s="4">
        <v>1318</v>
      </c>
      <c r="H14" s="4">
        <v>2121</v>
      </c>
      <c r="J14" s="5" t="s">
        <v>33</v>
      </c>
      <c r="K14" s="39">
        <v>210</v>
      </c>
      <c r="L14" s="39">
        <v>310</v>
      </c>
      <c r="M14" s="39">
        <v>410</v>
      </c>
      <c r="N14" s="4"/>
    </row>
    <row r="15" spans="1:14" x14ac:dyDescent="0.25">
      <c r="A15" s="5" t="s">
        <v>10</v>
      </c>
      <c r="B15" s="4">
        <v>825</v>
      </c>
      <c r="C15" s="4">
        <v>0</v>
      </c>
      <c r="D15" s="4">
        <v>3065</v>
      </c>
      <c r="E15" s="4">
        <v>3174</v>
      </c>
      <c r="F15" s="4">
        <v>2680</v>
      </c>
      <c r="G15" s="4">
        <v>2643</v>
      </c>
      <c r="H15" s="4">
        <v>3058</v>
      </c>
      <c r="J15" s="5" t="s">
        <v>34</v>
      </c>
      <c r="K15" s="39">
        <v>220</v>
      </c>
      <c r="L15" s="39">
        <v>320</v>
      </c>
      <c r="M15" s="39">
        <v>420</v>
      </c>
      <c r="N15" s="4"/>
    </row>
    <row r="16" spans="1:14" x14ac:dyDescent="0.25">
      <c r="A16" s="5" t="s">
        <v>11</v>
      </c>
      <c r="B16" s="4">
        <v>2123</v>
      </c>
      <c r="C16" s="4">
        <v>3065</v>
      </c>
      <c r="D16" s="4">
        <v>0</v>
      </c>
      <c r="E16" s="4">
        <v>277</v>
      </c>
      <c r="F16" s="4">
        <v>390</v>
      </c>
      <c r="G16" s="4">
        <v>943</v>
      </c>
      <c r="H16" s="4">
        <v>3.5</v>
      </c>
      <c r="J16" s="5" t="s">
        <v>35</v>
      </c>
      <c r="K16" s="39">
        <v>230</v>
      </c>
      <c r="L16" s="39">
        <v>330</v>
      </c>
      <c r="M16" s="39">
        <v>430</v>
      </c>
      <c r="N16" s="4"/>
    </row>
    <row r="17" spans="1:14" x14ac:dyDescent="0.25">
      <c r="A17" s="5" t="s">
        <v>7</v>
      </c>
      <c r="B17" s="4">
        <v>1850</v>
      </c>
      <c r="C17" s="4">
        <v>3174</v>
      </c>
      <c r="D17" s="4">
        <v>277</v>
      </c>
      <c r="E17" s="4">
        <v>0</v>
      </c>
      <c r="F17" s="4">
        <v>703</v>
      </c>
      <c r="G17" s="4">
        <v>666</v>
      </c>
      <c r="H17" s="4">
        <v>272</v>
      </c>
      <c r="J17" s="5" t="s">
        <v>36</v>
      </c>
      <c r="K17" s="39">
        <v>240</v>
      </c>
      <c r="L17" s="39">
        <v>340</v>
      </c>
      <c r="M17" s="39">
        <v>440</v>
      </c>
      <c r="N17" s="4"/>
    </row>
    <row r="18" spans="1:14" x14ac:dyDescent="0.25">
      <c r="A18" s="5" t="s">
        <v>8</v>
      </c>
      <c r="B18" s="4">
        <v>2343</v>
      </c>
      <c r="C18" s="4">
        <v>2680</v>
      </c>
      <c r="D18" s="4">
        <v>390</v>
      </c>
      <c r="E18" s="4">
        <v>703</v>
      </c>
      <c r="F18" s="4">
        <v>0</v>
      </c>
      <c r="G18" s="4">
        <v>1142</v>
      </c>
      <c r="H18" s="4">
        <v>382</v>
      </c>
      <c r="J18" s="5" t="s">
        <v>37</v>
      </c>
      <c r="K18" s="39">
        <v>250</v>
      </c>
      <c r="L18" s="39">
        <v>350</v>
      </c>
      <c r="M18" s="39">
        <v>450</v>
      </c>
      <c r="N18" s="4"/>
    </row>
    <row r="19" spans="1:14" x14ac:dyDescent="0.25">
      <c r="A19" s="5" t="s">
        <v>6</v>
      </c>
      <c r="B19" s="4">
        <v>1318</v>
      </c>
      <c r="C19" s="4">
        <v>2643</v>
      </c>
      <c r="D19" s="4">
        <v>943</v>
      </c>
      <c r="E19" s="4">
        <v>666</v>
      </c>
      <c r="F19" s="4">
        <v>1142</v>
      </c>
      <c r="G19" s="4">
        <v>0</v>
      </c>
      <c r="H19" s="4">
        <v>939</v>
      </c>
      <c r="J19" s="5" t="s">
        <v>38</v>
      </c>
      <c r="K19" s="39">
        <v>260</v>
      </c>
      <c r="L19" s="39">
        <v>360</v>
      </c>
      <c r="M19" s="39">
        <v>460</v>
      </c>
      <c r="N19" s="4"/>
    </row>
    <row r="20" spans="1:14" x14ac:dyDescent="0.25">
      <c r="A20" s="5" t="s">
        <v>12</v>
      </c>
      <c r="B20" s="4">
        <v>2121</v>
      </c>
      <c r="C20" s="4">
        <v>3058</v>
      </c>
      <c r="D20" s="4">
        <v>3.5</v>
      </c>
      <c r="E20" s="4">
        <v>272</v>
      </c>
      <c r="F20" s="4">
        <v>382</v>
      </c>
      <c r="G20" s="4">
        <v>939</v>
      </c>
      <c r="H20" s="4">
        <v>0</v>
      </c>
      <c r="J20" s="5" t="s">
        <v>39</v>
      </c>
      <c r="K20" s="39">
        <v>270</v>
      </c>
      <c r="L20" s="39">
        <v>370</v>
      </c>
      <c r="M20" s="39">
        <v>470</v>
      </c>
      <c r="N20" s="4"/>
    </row>
    <row r="21" spans="1:14" x14ac:dyDescent="0.25">
      <c r="J21" s="5" t="s">
        <v>42</v>
      </c>
      <c r="K21" s="39">
        <v>280</v>
      </c>
      <c r="L21" s="39">
        <v>380</v>
      </c>
      <c r="M21" s="39">
        <v>480</v>
      </c>
      <c r="N21" s="4"/>
    </row>
    <row r="22" spans="1:14" x14ac:dyDescent="0.25">
      <c r="J22" s="5" t="s">
        <v>43</v>
      </c>
      <c r="K22" s="39">
        <v>290</v>
      </c>
      <c r="L22" s="39">
        <v>390</v>
      </c>
      <c r="M22" s="39">
        <v>490</v>
      </c>
      <c r="N22" s="4"/>
    </row>
    <row r="23" spans="1:14" x14ac:dyDescent="0.25">
      <c r="J23" s="5" t="s">
        <v>44</v>
      </c>
      <c r="K23" s="39">
        <v>300</v>
      </c>
      <c r="L23" s="39">
        <v>400</v>
      </c>
      <c r="M23" s="39">
        <v>500</v>
      </c>
      <c r="N23" s="4"/>
    </row>
    <row r="24" spans="1:14" x14ac:dyDescent="0.25">
      <c r="A24" s="4" t="s">
        <v>15</v>
      </c>
      <c r="D24" s="4" t="s">
        <v>21</v>
      </c>
      <c r="F24" s="4" t="s">
        <v>50</v>
      </c>
      <c r="G24" s="4" t="s">
        <v>51</v>
      </c>
      <c r="J24" s="5" t="s">
        <v>66</v>
      </c>
      <c r="K24" s="39">
        <v>310</v>
      </c>
      <c r="L24" s="39">
        <v>410</v>
      </c>
      <c r="M24" s="39">
        <v>510</v>
      </c>
      <c r="N24" s="4"/>
    </row>
    <row r="25" spans="1:14" x14ac:dyDescent="0.25">
      <c r="A25" s="5" t="s">
        <v>16</v>
      </c>
      <c r="D25" s="4" t="s">
        <v>27</v>
      </c>
      <c r="E25" s="2" t="s">
        <v>54</v>
      </c>
      <c r="F25" s="4">
        <v>0.32</v>
      </c>
      <c r="G25" s="4">
        <v>39</v>
      </c>
      <c r="J25" s="5" t="s">
        <v>67</v>
      </c>
      <c r="K25" s="39">
        <v>320</v>
      </c>
      <c r="L25" s="39">
        <v>420</v>
      </c>
      <c r="M25" s="39">
        <v>520</v>
      </c>
      <c r="N25" s="4"/>
    </row>
    <row r="26" spans="1:14" x14ac:dyDescent="0.25">
      <c r="A26" s="7" t="s">
        <v>2</v>
      </c>
      <c r="B26" s="3"/>
      <c r="D26" s="4" t="s">
        <v>28</v>
      </c>
      <c r="J26" s="5" t="s">
        <v>68</v>
      </c>
      <c r="K26" s="39">
        <v>330</v>
      </c>
      <c r="L26" s="39">
        <v>430</v>
      </c>
      <c r="M26" s="39">
        <v>530</v>
      </c>
      <c r="N26" s="4"/>
    </row>
    <row r="27" spans="1:14" x14ac:dyDescent="0.25">
      <c r="A27" s="7" t="s">
        <v>0</v>
      </c>
      <c r="B27" s="3"/>
      <c r="D27" s="4" t="s">
        <v>29</v>
      </c>
      <c r="J27" s="5" t="s">
        <v>65</v>
      </c>
      <c r="K27" s="39">
        <v>340</v>
      </c>
      <c r="L27" s="39">
        <v>440</v>
      </c>
      <c r="M27" s="39">
        <v>540</v>
      </c>
      <c r="N27" s="4"/>
    </row>
    <row r="28" spans="1:14" x14ac:dyDescent="0.25">
      <c r="A28" s="7" t="s">
        <v>1</v>
      </c>
      <c r="B28" s="3"/>
      <c r="D28" s="4" t="s">
        <v>30</v>
      </c>
      <c r="F28" s="14"/>
      <c r="G28" s="14" t="s">
        <v>82</v>
      </c>
    </row>
    <row r="29" spans="1:14" x14ac:dyDescent="0.25">
      <c r="A29" s="7" t="s">
        <v>3</v>
      </c>
      <c r="B29" s="3"/>
      <c r="D29" s="4" t="s">
        <v>22</v>
      </c>
      <c r="F29" s="14" t="s">
        <v>83</v>
      </c>
      <c r="G29" s="14">
        <v>100000</v>
      </c>
    </row>
    <row r="30" spans="1:14" x14ac:dyDescent="0.25">
      <c r="A30" s="3"/>
      <c r="B30" s="3"/>
      <c r="D30" s="4" t="s">
        <v>23</v>
      </c>
      <c r="F30" s="14" t="s">
        <v>84</v>
      </c>
      <c r="G30" s="14">
        <v>80000</v>
      </c>
    </row>
    <row r="31" spans="1:14" x14ac:dyDescent="0.25">
      <c r="A31" s="6" t="s">
        <v>17</v>
      </c>
      <c r="B31" s="3"/>
      <c r="D31" s="4" t="s">
        <v>24</v>
      </c>
    </row>
    <row r="32" spans="1:14" x14ac:dyDescent="0.25">
      <c r="A32" s="3">
        <v>42736</v>
      </c>
      <c r="B32" s="3"/>
      <c r="D32" s="4" t="s">
        <v>25</v>
      </c>
    </row>
    <row r="33" spans="1:4" x14ac:dyDescent="0.25">
      <c r="A33" s="3">
        <v>42737</v>
      </c>
      <c r="B33" s="3"/>
      <c r="D33" s="4" t="s">
        <v>26</v>
      </c>
    </row>
    <row r="34" spans="1:4" x14ac:dyDescent="0.25">
      <c r="A34" s="3">
        <v>42738</v>
      </c>
      <c r="B34" s="3"/>
      <c r="D34" s="4" t="s">
        <v>31</v>
      </c>
    </row>
    <row r="35" spans="1:4" x14ac:dyDescent="0.25">
      <c r="A35" s="3">
        <v>42739</v>
      </c>
      <c r="B35" s="3"/>
      <c r="D35" s="4" t="s">
        <v>32</v>
      </c>
    </row>
    <row r="36" spans="1:4" x14ac:dyDescent="0.25">
      <c r="A36" s="3">
        <v>42740</v>
      </c>
      <c r="B36" s="3"/>
      <c r="D36" s="4" t="s">
        <v>33</v>
      </c>
    </row>
    <row r="37" spans="1:4" x14ac:dyDescent="0.25">
      <c r="A37" s="3">
        <v>42741</v>
      </c>
      <c r="B37" s="3"/>
      <c r="D37" s="4" t="s">
        <v>34</v>
      </c>
    </row>
    <row r="38" spans="1:4" x14ac:dyDescent="0.25">
      <c r="A38" s="3">
        <v>42742</v>
      </c>
      <c r="B38" s="3"/>
      <c r="D38" s="12" t="s">
        <v>77</v>
      </c>
    </row>
    <row r="39" spans="1:4" x14ac:dyDescent="0.25">
      <c r="A39" s="3">
        <v>42743</v>
      </c>
      <c r="B39" s="3"/>
      <c r="D39" s="12" t="s">
        <v>78</v>
      </c>
    </row>
    <row r="40" spans="1:4" x14ac:dyDescent="0.25">
      <c r="A40" s="3">
        <v>42744</v>
      </c>
      <c r="B40" s="3"/>
      <c r="D40" s="12" t="s">
        <v>79</v>
      </c>
    </row>
    <row r="41" spans="1:4" x14ac:dyDescent="0.25">
      <c r="A41" s="3">
        <v>42745</v>
      </c>
      <c r="B41" s="3"/>
      <c r="D41" s="4" t="s">
        <v>35</v>
      </c>
    </row>
    <row r="42" spans="1:4" x14ac:dyDescent="0.25">
      <c r="A42" s="3">
        <v>42746</v>
      </c>
      <c r="B42" s="3"/>
      <c r="D42" s="4" t="s">
        <v>36</v>
      </c>
    </row>
    <row r="43" spans="1:4" x14ac:dyDescent="0.25">
      <c r="A43" s="3">
        <v>42747</v>
      </c>
      <c r="B43" s="3"/>
      <c r="D43" s="4" t="s">
        <v>37</v>
      </c>
    </row>
    <row r="44" spans="1:4" x14ac:dyDescent="0.25">
      <c r="A44" s="3">
        <v>42748</v>
      </c>
      <c r="B44" s="3"/>
      <c r="D44" s="4" t="s">
        <v>38</v>
      </c>
    </row>
    <row r="45" spans="1:4" x14ac:dyDescent="0.25">
      <c r="A45" s="3">
        <v>42749</v>
      </c>
      <c r="B45" s="3"/>
      <c r="D45" s="4" t="s">
        <v>39</v>
      </c>
    </row>
    <row r="46" spans="1:4" x14ac:dyDescent="0.25">
      <c r="A46" s="3">
        <v>42750</v>
      </c>
      <c r="B46" s="3"/>
      <c r="D46" s="4" t="s">
        <v>42</v>
      </c>
    </row>
    <row r="47" spans="1:4" x14ac:dyDescent="0.25">
      <c r="A47" s="3">
        <v>42751</v>
      </c>
      <c r="B47" s="3"/>
      <c r="D47" s="4" t="s">
        <v>43</v>
      </c>
    </row>
    <row r="48" spans="1:4" x14ac:dyDescent="0.25">
      <c r="A48" s="3">
        <v>42752</v>
      </c>
      <c r="B48" s="3"/>
      <c r="D48" s="4" t="s">
        <v>44</v>
      </c>
    </row>
    <row r="49" spans="1:4" x14ac:dyDescent="0.25">
      <c r="A49" s="3">
        <v>42753</v>
      </c>
      <c r="B49" s="3"/>
      <c r="D49" s="4" t="s">
        <v>66</v>
      </c>
    </row>
    <row r="50" spans="1:4" x14ac:dyDescent="0.25">
      <c r="A50" s="3">
        <v>42754</v>
      </c>
      <c r="B50" s="3"/>
      <c r="D50" s="4" t="s">
        <v>67</v>
      </c>
    </row>
    <row r="51" spans="1:4" x14ac:dyDescent="0.25">
      <c r="A51" s="3">
        <v>42755</v>
      </c>
      <c r="B51" s="3"/>
      <c r="D51" s="4" t="s">
        <v>68</v>
      </c>
    </row>
    <row r="52" spans="1:4" x14ac:dyDescent="0.25">
      <c r="A52" s="3">
        <v>42756</v>
      </c>
      <c r="B52" s="3"/>
      <c r="D52" s="4" t="s">
        <v>65</v>
      </c>
    </row>
    <row r="53" spans="1:4" x14ac:dyDescent="0.25">
      <c r="A53" s="3">
        <v>42757</v>
      </c>
      <c r="B53" s="3"/>
      <c r="D53" s="4" t="s">
        <v>58</v>
      </c>
    </row>
    <row r="54" spans="1:4" x14ac:dyDescent="0.25">
      <c r="A54" s="3">
        <v>42758</v>
      </c>
      <c r="B54" s="3"/>
    </row>
    <row r="55" spans="1:4" x14ac:dyDescent="0.25">
      <c r="A55" s="3">
        <v>42759</v>
      </c>
      <c r="B55" s="3"/>
    </row>
    <row r="56" spans="1:4" x14ac:dyDescent="0.25">
      <c r="A56" s="3">
        <v>42760</v>
      </c>
      <c r="B56" s="3"/>
    </row>
    <row r="57" spans="1:4" x14ac:dyDescent="0.25">
      <c r="A57" s="3">
        <v>42761</v>
      </c>
      <c r="B57" s="3"/>
    </row>
    <row r="58" spans="1:4" x14ac:dyDescent="0.25">
      <c r="A58" s="3">
        <v>42762</v>
      </c>
      <c r="B58" s="3"/>
    </row>
    <row r="59" spans="1:4" x14ac:dyDescent="0.25">
      <c r="A59" s="3">
        <v>42763</v>
      </c>
      <c r="B59" s="3"/>
    </row>
    <row r="60" spans="1:4" x14ac:dyDescent="0.25">
      <c r="A60" s="3">
        <v>42764</v>
      </c>
      <c r="B60" s="3"/>
    </row>
    <row r="61" spans="1:4" x14ac:dyDescent="0.25">
      <c r="A61" s="3">
        <v>42765</v>
      </c>
      <c r="B61" s="3"/>
    </row>
    <row r="62" spans="1:4" x14ac:dyDescent="0.25">
      <c r="A62" s="3">
        <v>42766</v>
      </c>
      <c r="B62" s="3"/>
    </row>
    <row r="63" spans="1:4" x14ac:dyDescent="0.25">
      <c r="A63" s="3">
        <v>42767</v>
      </c>
      <c r="B63" s="3"/>
    </row>
    <row r="64" spans="1:4" x14ac:dyDescent="0.25">
      <c r="A64" s="3">
        <v>42768</v>
      </c>
      <c r="B64" s="3"/>
    </row>
    <row r="65" spans="1:2" x14ac:dyDescent="0.25">
      <c r="A65" s="3">
        <v>42769</v>
      </c>
      <c r="B65" s="3"/>
    </row>
    <row r="66" spans="1:2" x14ac:dyDescent="0.25">
      <c r="A66" s="3">
        <v>42770</v>
      </c>
      <c r="B66" s="3"/>
    </row>
    <row r="67" spans="1:2" x14ac:dyDescent="0.25">
      <c r="A67" s="3">
        <v>42771</v>
      </c>
      <c r="B67" s="3"/>
    </row>
    <row r="68" spans="1:2" x14ac:dyDescent="0.25">
      <c r="A68" s="3">
        <v>42772</v>
      </c>
      <c r="B68" s="3"/>
    </row>
    <row r="69" spans="1:2" x14ac:dyDescent="0.25">
      <c r="A69" s="3">
        <v>42773</v>
      </c>
      <c r="B69" s="3"/>
    </row>
    <row r="70" spans="1:2" x14ac:dyDescent="0.25">
      <c r="A70" s="3">
        <v>42774</v>
      </c>
      <c r="B70" s="3"/>
    </row>
    <row r="71" spans="1:2" x14ac:dyDescent="0.25">
      <c r="A71" s="3">
        <v>42775</v>
      </c>
      <c r="B71" s="3"/>
    </row>
    <row r="72" spans="1:2" x14ac:dyDescent="0.25">
      <c r="A72" s="3">
        <v>42776</v>
      </c>
      <c r="B72" s="3"/>
    </row>
    <row r="73" spans="1:2" x14ac:dyDescent="0.25">
      <c r="A73" s="3">
        <v>42777</v>
      </c>
      <c r="B73" s="3"/>
    </row>
    <row r="74" spans="1:2" x14ac:dyDescent="0.25">
      <c r="A74" s="3">
        <v>42778</v>
      </c>
      <c r="B74" s="3"/>
    </row>
    <row r="75" spans="1:2" x14ac:dyDescent="0.25">
      <c r="A75" s="3">
        <v>42779</v>
      </c>
      <c r="B75" s="3"/>
    </row>
    <row r="76" spans="1:2" x14ac:dyDescent="0.25">
      <c r="A76" s="3">
        <v>42780</v>
      </c>
      <c r="B76" s="3"/>
    </row>
    <row r="77" spans="1:2" x14ac:dyDescent="0.25">
      <c r="A77" s="3">
        <v>42781</v>
      </c>
      <c r="B77" s="3"/>
    </row>
    <row r="78" spans="1:2" x14ac:dyDescent="0.25">
      <c r="A78" s="3">
        <v>42782</v>
      </c>
      <c r="B78" s="3"/>
    </row>
    <row r="79" spans="1:2" x14ac:dyDescent="0.25">
      <c r="A79" s="3">
        <v>42783</v>
      </c>
      <c r="B79" s="3"/>
    </row>
    <row r="80" spans="1:2" x14ac:dyDescent="0.25">
      <c r="A80" s="3">
        <v>42784</v>
      </c>
      <c r="B80" s="3"/>
    </row>
    <row r="81" spans="1:2" x14ac:dyDescent="0.25">
      <c r="A81" s="3">
        <v>42785</v>
      </c>
      <c r="B81" s="3"/>
    </row>
    <row r="82" spans="1:2" x14ac:dyDescent="0.25">
      <c r="A82" s="3">
        <v>42786</v>
      </c>
      <c r="B82" s="3"/>
    </row>
    <row r="83" spans="1:2" x14ac:dyDescent="0.25">
      <c r="A83" s="3">
        <v>42787</v>
      </c>
      <c r="B83" s="3"/>
    </row>
    <row r="84" spans="1:2" x14ac:dyDescent="0.25">
      <c r="A84" s="3">
        <v>42788</v>
      </c>
      <c r="B84" s="3"/>
    </row>
    <row r="85" spans="1:2" x14ac:dyDescent="0.25">
      <c r="A85" s="3">
        <v>42789</v>
      </c>
      <c r="B85" s="3"/>
    </row>
    <row r="86" spans="1:2" x14ac:dyDescent="0.25">
      <c r="A86" s="3">
        <v>42790</v>
      </c>
      <c r="B86" s="3"/>
    </row>
    <row r="87" spans="1:2" x14ac:dyDescent="0.25">
      <c r="A87" s="3">
        <v>42791</v>
      </c>
      <c r="B87" s="3"/>
    </row>
    <row r="88" spans="1:2" x14ac:dyDescent="0.25">
      <c r="A88" s="3">
        <v>42792</v>
      </c>
      <c r="B88" s="3"/>
    </row>
    <row r="89" spans="1:2" x14ac:dyDescent="0.25">
      <c r="A89" s="3">
        <v>42793</v>
      </c>
      <c r="B89" s="3"/>
    </row>
    <row r="90" spans="1:2" x14ac:dyDescent="0.25">
      <c r="A90" s="3">
        <v>42794</v>
      </c>
      <c r="B90" s="3"/>
    </row>
    <row r="91" spans="1:2" x14ac:dyDescent="0.25">
      <c r="A91" s="3">
        <v>42795</v>
      </c>
      <c r="B91" s="3"/>
    </row>
    <row r="92" spans="1:2" x14ac:dyDescent="0.25">
      <c r="A92" s="3">
        <v>42796</v>
      </c>
      <c r="B92" s="3"/>
    </row>
    <row r="93" spans="1:2" x14ac:dyDescent="0.25">
      <c r="A93" s="3">
        <v>42797</v>
      </c>
      <c r="B93" s="3"/>
    </row>
    <row r="94" spans="1:2" x14ac:dyDescent="0.25">
      <c r="A94" s="3">
        <v>42798</v>
      </c>
      <c r="B94" s="3"/>
    </row>
    <row r="95" spans="1:2" x14ac:dyDescent="0.25">
      <c r="A95" s="3">
        <v>42799</v>
      </c>
      <c r="B95" s="3"/>
    </row>
    <row r="96" spans="1:2" x14ac:dyDescent="0.25">
      <c r="A96" s="3">
        <v>42800</v>
      </c>
      <c r="B96" s="3"/>
    </row>
    <row r="97" spans="1:2" x14ac:dyDescent="0.25">
      <c r="A97" s="3">
        <v>42801</v>
      </c>
      <c r="B97" s="3"/>
    </row>
    <row r="98" spans="1:2" x14ac:dyDescent="0.25">
      <c r="A98" s="3">
        <v>42802</v>
      </c>
      <c r="B98" s="3"/>
    </row>
    <row r="99" spans="1:2" x14ac:dyDescent="0.25">
      <c r="A99" s="3">
        <v>42803</v>
      </c>
      <c r="B99" s="3"/>
    </row>
    <row r="100" spans="1:2" x14ac:dyDescent="0.25">
      <c r="A100" s="3">
        <v>42804</v>
      </c>
      <c r="B100" s="3"/>
    </row>
    <row r="101" spans="1:2" x14ac:dyDescent="0.25">
      <c r="A101" s="3">
        <v>42805</v>
      </c>
      <c r="B101" s="3"/>
    </row>
    <row r="102" spans="1:2" x14ac:dyDescent="0.25">
      <c r="A102" s="3">
        <v>42806</v>
      </c>
      <c r="B102" s="3"/>
    </row>
    <row r="103" spans="1:2" x14ac:dyDescent="0.25">
      <c r="A103" s="3">
        <v>42807</v>
      </c>
      <c r="B103" s="3"/>
    </row>
    <row r="104" spans="1:2" x14ac:dyDescent="0.25">
      <c r="A104" s="3">
        <v>42808</v>
      </c>
      <c r="B104" s="3"/>
    </row>
    <row r="105" spans="1:2" x14ac:dyDescent="0.25">
      <c r="A105" s="3">
        <v>42809</v>
      </c>
      <c r="B105" s="3"/>
    </row>
    <row r="106" spans="1:2" x14ac:dyDescent="0.25">
      <c r="A106" s="3">
        <v>42810</v>
      </c>
      <c r="B106" s="3"/>
    </row>
    <row r="107" spans="1:2" x14ac:dyDescent="0.25">
      <c r="A107" s="3">
        <v>42811</v>
      </c>
      <c r="B107" s="3"/>
    </row>
    <row r="108" spans="1:2" x14ac:dyDescent="0.25">
      <c r="A108" s="3">
        <v>42812</v>
      </c>
      <c r="B108" s="3"/>
    </row>
    <row r="109" spans="1:2" x14ac:dyDescent="0.25">
      <c r="A109" s="3">
        <v>42813</v>
      </c>
      <c r="B109" s="3"/>
    </row>
    <row r="110" spans="1:2" x14ac:dyDescent="0.25">
      <c r="A110" s="3">
        <v>42814</v>
      </c>
      <c r="B110" s="3"/>
    </row>
    <row r="111" spans="1:2" x14ac:dyDescent="0.25">
      <c r="A111" s="3">
        <v>42815</v>
      </c>
      <c r="B111" s="3"/>
    </row>
    <row r="112" spans="1:2" x14ac:dyDescent="0.25">
      <c r="A112" s="3">
        <v>42816</v>
      </c>
      <c r="B112" s="3"/>
    </row>
    <row r="113" spans="1:2" x14ac:dyDescent="0.25">
      <c r="A113" s="3">
        <v>42817</v>
      </c>
      <c r="B113" s="3"/>
    </row>
    <row r="114" spans="1:2" x14ac:dyDescent="0.25">
      <c r="A114" s="3">
        <v>42818</v>
      </c>
      <c r="B114" s="3"/>
    </row>
    <row r="115" spans="1:2" x14ac:dyDescent="0.25">
      <c r="A115" s="3">
        <v>42819</v>
      </c>
      <c r="B115" s="3"/>
    </row>
    <row r="116" spans="1:2" x14ac:dyDescent="0.25">
      <c r="A116" s="3">
        <v>42820</v>
      </c>
      <c r="B116" s="3"/>
    </row>
    <row r="117" spans="1:2" x14ac:dyDescent="0.25">
      <c r="A117" s="3">
        <v>42821</v>
      </c>
      <c r="B117" s="3"/>
    </row>
    <row r="118" spans="1:2" x14ac:dyDescent="0.25">
      <c r="A118" s="3">
        <v>42822</v>
      </c>
      <c r="B118" s="3"/>
    </row>
    <row r="119" spans="1:2" x14ac:dyDescent="0.25">
      <c r="A119" s="3">
        <v>42823</v>
      </c>
      <c r="B119" s="3"/>
    </row>
    <row r="120" spans="1:2" x14ac:dyDescent="0.25">
      <c r="A120" s="3">
        <v>42824</v>
      </c>
      <c r="B120" s="3"/>
    </row>
    <row r="121" spans="1:2" x14ac:dyDescent="0.25">
      <c r="A121" s="3">
        <v>42825</v>
      </c>
      <c r="B121" s="3"/>
    </row>
    <row r="122" spans="1:2" x14ac:dyDescent="0.25">
      <c r="A122" s="3">
        <v>42826</v>
      </c>
      <c r="B122" s="3"/>
    </row>
    <row r="123" spans="1:2" x14ac:dyDescent="0.25">
      <c r="A123" s="3">
        <v>42827</v>
      </c>
      <c r="B123" s="3"/>
    </row>
    <row r="124" spans="1:2" x14ac:dyDescent="0.25">
      <c r="A124" s="3">
        <v>42828</v>
      </c>
      <c r="B124" s="3"/>
    </row>
    <row r="125" spans="1:2" x14ac:dyDescent="0.25">
      <c r="A125" s="3">
        <v>42829</v>
      </c>
      <c r="B125" s="3"/>
    </row>
    <row r="126" spans="1:2" x14ac:dyDescent="0.25">
      <c r="A126" s="3">
        <v>42830</v>
      </c>
      <c r="B126" s="3"/>
    </row>
    <row r="127" spans="1:2" x14ac:dyDescent="0.25">
      <c r="A127" s="3">
        <v>42831</v>
      </c>
      <c r="B127" s="3"/>
    </row>
    <row r="128" spans="1:2" x14ac:dyDescent="0.25">
      <c r="A128" s="3">
        <v>42832</v>
      </c>
      <c r="B128" s="3"/>
    </row>
    <row r="129" spans="1:2" x14ac:dyDescent="0.25">
      <c r="A129" s="3">
        <v>42833</v>
      </c>
      <c r="B129" s="3"/>
    </row>
    <row r="130" spans="1:2" x14ac:dyDescent="0.25">
      <c r="A130" s="3">
        <v>42834</v>
      </c>
      <c r="B130" s="3"/>
    </row>
    <row r="131" spans="1:2" x14ac:dyDescent="0.25">
      <c r="A131" s="3">
        <v>42835</v>
      </c>
      <c r="B131" s="3"/>
    </row>
    <row r="132" spans="1:2" x14ac:dyDescent="0.25">
      <c r="A132" s="3">
        <v>42836</v>
      </c>
      <c r="B132" s="3"/>
    </row>
    <row r="133" spans="1:2" x14ac:dyDescent="0.25">
      <c r="A133" s="3">
        <v>42837</v>
      </c>
      <c r="B133" s="3"/>
    </row>
    <row r="134" spans="1:2" x14ac:dyDescent="0.25">
      <c r="A134" s="3">
        <v>42838</v>
      </c>
      <c r="B134" s="3"/>
    </row>
    <row r="135" spans="1:2" x14ac:dyDescent="0.25">
      <c r="A135" s="3">
        <v>42839</v>
      </c>
      <c r="B135" s="3"/>
    </row>
    <row r="136" spans="1:2" x14ac:dyDescent="0.25">
      <c r="A136" s="3">
        <v>42840</v>
      </c>
      <c r="B136" s="3"/>
    </row>
    <row r="137" spans="1:2" x14ac:dyDescent="0.25">
      <c r="A137" s="3">
        <v>42841</v>
      </c>
      <c r="B137" s="3"/>
    </row>
    <row r="138" spans="1:2" x14ac:dyDescent="0.25">
      <c r="A138" s="3">
        <v>42842</v>
      </c>
      <c r="B138" s="3"/>
    </row>
    <row r="139" spans="1:2" x14ac:dyDescent="0.25">
      <c r="A139" s="3">
        <v>42843</v>
      </c>
      <c r="B139" s="3"/>
    </row>
    <row r="140" spans="1:2" x14ac:dyDescent="0.25">
      <c r="A140" s="3">
        <v>42844</v>
      </c>
      <c r="B140" s="3"/>
    </row>
    <row r="141" spans="1:2" x14ac:dyDescent="0.25">
      <c r="A141" s="3">
        <v>42845</v>
      </c>
      <c r="B141" s="3"/>
    </row>
    <row r="142" spans="1:2" x14ac:dyDescent="0.25">
      <c r="A142" s="3">
        <v>42846</v>
      </c>
      <c r="B142" s="3"/>
    </row>
    <row r="143" spans="1:2" x14ac:dyDescent="0.25">
      <c r="A143" s="3">
        <v>42847</v>
      </c>
      <c r="B143" s="3"/>
    </row>
    <row r="144" spans="1:2" x14ac:dyDescent="0.25">
      <c r="A144" s="3">
        <v>42848</v>
      </c>
      <c r="B144" s="3"/>
    </row>
    <row r="145" spans="1:2" x14ac:dyDescent="0.25">
      <c r="A145" s="3">
        <v>42849</v>
      </c>
      <c r="B145" s="3"/>
    </row>
    <row r="146" spans="1:2" x14ac:dyDescent="0.25">
      <c r="A146" s="3">
        <v>42850</v>
      </c>
      <c r="B146" s="3"/>
    </row>
    <row r="147" spans="1:2" x14ac:dyDescent="0.25">
      <c r="A147" s="3">
        <v>42851</v>
      </c>
      <c r="B147" s="3"/>
    </row>
    <row r="148" spans="1:2" x14ac:dyDescent="0.25">
      <c r="A148" s="3">
        <v>42852</v>
      </c>
      <c r="B148" s="3"/>
    </row>
    <row r="149" spans="1:2" x14ac:dyDescent="0.25">
      <c r="A149" s="3">
        <v>42853</v>
      </c>
      <c r="B149" s="3"/>
    </row>
    <row r="150" spans="1:2" x14ac:dyDescent="0.25">
      <c r="A150" s="3">
        <v>42854</v>
      </c>
      <c r="B150" s="3"/>
    </row>
    <row r="151" spans="1:2" x14ac:dyDescent="0.25">
      <c r="A151" s="3">
        <v>42855</v>
      </c>
      <c r="B151" s="3"/>
    </row>
    <row r="152" spans="1:2" x14ac:dyDescent="0.25">
      <c r="A152" s="3">
        <v>42856</v>
      </c>
      <c r="B152" s="3"/>
    </row>
    <row r="153" spans="1:2" x14ac:dyDescent="0.25">
      <c r="A153" s="3">
        <v>42857</v>
      </c>
      <c r="B153" s="3"/>
    </row>
    <row r="154" spans="1:2" x14ac:dyDescent="0.25">
      <c r="A154" s="3">
        <v>42858</v>
      </c>
      <c r="B154" s="3"/>
    </row>
    <row r="155" spans="1:2" x14ac:dyDescent="0.25">
      <c r="A155" s="3">
        <v>42859</v>
      </c>
      <c r="B155" s="3"/>
    </row>
    <row r="156" spans="1:2" x14ac:dyDescent="0.25">
      <c r="A156" s="3">
        <v>42860</v>
      </c>
      <c r="B156" s="3"/>
    </row>
    <row r="157" spans="1:2" x14ac:dyDescent="0.25">
      <c r="A157" s="3">
        <v>42861</v>
      </c>
      <c r="B157" s="3"/>
    </row>
    <row r="158" spans="1:2" x14ac:dyDescent="0.25">
      <c r="A158" s="3">
        <v>42862</v>
      </c>
      <c r="B158" s="3"/>
    </row>
    <row r="159" spans="1:2" x14ac:dyDescent="0.25">
      <c r="A159" s="3">
        <v>42863</v>
      </c>
      <c r="B159" s="3"/>
    </row>
    <row r="160" spans="1:2" x14ac:dyDescent="0.25">
      <c r="A160" s="3">
        <v>42864</v>
      </c>
      <c r="B160" s="3"/>
    </row>
    <row r="161" spans="1:2" x14ac:dyDescent="0.25">
      <c r="A161" s="3">
        <v>42865</v>
      </c>
      <c r="B161" s="3"/>
    </row>
    <row r="162" spans="1:2" x14ac:dyDescent="0.25">
      <c r="A162" s="3">
        <v>42866</v>
      </c>
      <c r="B162" s="3"/>
    </row>
    <row r="163" spans="1:2" x14ac:dyDescent="0.25">
      <c r="A163" s="3">
        <v>42867</v>
      </c>
      <c r="B163" s="3"/>
    </row>
    <row r="164" spans="1:2" x14ac:dyDescent="0.25">
      <c r="A164" s="3">
        <v>42868</v>
      </c>
      <c r="B164" s="3"/>
    </row>
    <row r="165" spans="1:2" x14ac:dyDescent="0.25">
      <c r="A165" s="3">
        <v>42869</v>
      </c>
      <c r="B165" s="3"/>
    </row>
    <row r="166" spans="1:2" x14ac:dyDescent="0.25">
      <c r="A166" s="3">
        <v>42870</v>
      </c>
      <c r="B166" s="3"/>
    </row>
    <row r="167" spans="1:2" x14ac:dyDescent="0.25">
      <c r="A167" s="3">
        <v>42871</v>
      </c>
      <c r="B167" s="3"/>
    </row>
    <row r="168" spans="1:2" x14ac:dyDescent="0.25">
      <c r="A168" s="3">
        <v>42872</v>
      </c>
      <c r="B168" s="3"/>
    </row>
    <row r="169" spans="1:2" x14ac:dyDescent="0.25">
      <c r="A169" s="3">
        <v>42873</v>
      </c>
      <c r="B169" s="3"/>
    </row>
    <row r="170" spans="1:2" x14ac:dyDescent="0.25">
      <c r="A170" s="3">
        <v>42874</v>
      </c>
      <c r="B170" s="3"/>
    </row>
    <row r="171" spans="1:2" x14ac:dyDescent="0.25">
      <c r="A171" s="3">
        <v>42875</v>
      </c>
      <c r="B171" s="3"/>
    </row>
    <row r="172" spans="1:2" x14ac:dyDescent="0.25">
      <c r="A172" s="3">
        <v>42876</v>
      </c>
      <c r="B172" s="3"/>
    </row>
    <row r="173" spans="1:2" x14ac:dyDescent="0.25">
      <c r="A173" s="3">
        <v>42877</v>
      </c>
      <c r="B173" s="3"/>
    </row>
    <row r="174" spans="1:2" x14ac:dyDescent="0.25">
      <c r="A174" s="3">
        <v>42878</v>
      </c>
      <c r="B174" s="3"/>
    </row>
    <row r="175" spans="1:2" x14ac:dyDescent="0.25">
      <c r="A175" s="3">
        <v>42879</v>
      </c>
      <c r="B175" s="3"/>
    </row>
    <row r="176" spans="1:2" x14ac:dyDescent="0.25">
      <c r="A176" s="3">
        <v>42880</v>
      </c>
      <c r="B176" s="3"/>
    </row>
    <row r="177" spans="1:2" x14ac:dyDescent="0.25">
      <c r="A177" s="3">
        <v>42881</v>
      </c>
      <c r="B177" s="3"/>
    </row>
    <row r="178" spans="1:2" x14ac:dyDescent="0.25">
      <c r="A178" s="3">
        <v>42882</v>
      </c>
      <c r="B178" s="3"/>
    </row>
    <row r="179" spans="1:2" x14ac:dyDescent="0.25">
      <c r="A179" s="3">
        <v>42883</v>
      </c>
      <c r="B179" s="3"/>
    </row>
    <row r="180" spans="1:2" x14ac:dyDescent="0.25">
      <c r="A180" s="3">
        <v>42884</v>
      </c>
      <c r="B180" s="3"/>
    </row>
    <row r="181" spans="1:2" x14ac:dyDescent="0.25">
      <c r="A181" s="3">
        <v>42885</v>
      </c>
      <c r="B181" s="3"/>
    </row>
    <row r="182" spans="1:2" x14ac:dyDescent="0.25">
      <c r="A182" s="3">
        <v>42886</v>
      </c>
      <c r="B182" s="3"/>
    </row>
    <row r="183" spans="1:2" x14ac:dyDescent="0.25">
      <c r="A183" s="3">
        <v>42887</v>
      </c>
      <c r="B183" s="3"/>
    </row>
    <row r="184" spans="1:2" x14ac:dyDescent="0.25">
      <c r="A184" s="3">
        <v>42888</v>
      </c>
      <c r="B184" s="3"/>
    </row>
    <row r="185" spans="1:2" x14ac:dyDescent="0.25">
      <c r="A185" s="3">
        <v>42889</v>
      </c>
      <c r="B185" s="3"/>
    </row>
    <row r="186" spans="1:2" x14ac:dyDescent="0.25">
      <c r="A186" s="3">
        <v>42890</v>
      </c>
      <c r="B186" s="3"/>
    </row>
    <row r="187" spans="1:2" x14ac:dyDescent="0.25">
      <c r="A187" s="3">
        <v>42891</v>
      </c>
      <c r="B187" s="3"/>
    </row>
    <row r="188" spans="1:2" x14ac:dyDescent="0.25">
      <c r="A188" s="3">
        <v>42892</v>
      </c>
      <c r="B188" s="3"/>
    </row>
    <row r="189" spans="1:2" x14ac:dyDescent="0.25">
      <c r="A189" s="3">
        <v>42893</v>
      </c>
      <c r="B189" s="3"/>
    </row>
    <row r="190" spans="1:2" x14ac:dyDescent="0.25">
      <c r="A190" s="3">
        <v>42894</v>
      </c>
      <c r="B190" s="3"/>
    </row>
    <row r="191" spans="1:2" x14ac:dyDescent="0.25">
      <c r="A191" s="3">
        <v>42895</v>
      </c>
      <c r="B191" s="3"/>
    </row>
    <row r="192" spans="1:2" x14ac:dyDescent="0.25">
      <c r="A192" s="3">
        <v>42896</v>
      </c>
      <c r="B192" s="3"/>
    </row>
    <row r="193" spans="1:2" x14ac:dyDescent="0.25">
      <c r="A193" s="3">
        <v>42897</v>
      </c>
      <c r="B193" s="3"/>
    </row>
    <row r="194" spans="1:2" x14ac:dyDescent="0.25">
      <c r="A194" s="3">
        <v>42898</v>
      </c>
      <c r="B194" s="3"/>
    </row>
    <row r="195" spans="1:2" x14ac:dyDescent="0.25">
      <c r="A195" s="3">
        <v>42899</v>
      </c>
      <c r="B195" s="3"/>
    </row>
    <row r="196" spans="1:2" x14ac:dyDescent="0.25">
      <c r="A196" s="3">
        <v>42900</v>
      </c>
      <c r="B196" s="3"/>
    </row>
    <row r="197" spans="1:2" x14ac:dyDescent="0.25">
      <c r="A197" s="3">
        <v>42901</v>
      </c>
      <c r="B197" s="3"/>
    </row>
    <row r="198" spans="1:2" x14ac:dyDescent="0.25">
      <c r="A198" s="3">
        <v>42902</v>
      </c>
      <c r="B198" s="3"/>
    </row>
    <row r="199" spans="1:2" x14ac:dyDescent="0.25">
      <c r="A199" s="3">
        <v>42903</v>
      </c>
      <c r="B199" s="3"/>
    </row>
    <row r="200" spans="1:2" x14ac:dyDescent="0.25">
      <c r="A200" s="3">
        <v>42904</v>
      </c>
      <c r="B200" s="3"/>
    </row>
    <row r="201" spans="1:2" x14ac:dyDescent="0.25">
      <c r="A201" s="3">
        <v>42905</v>
      </c>
      <c r="B201" s="3"/>
    </row>
    <row r="202" spans="1:2" x14ac:dyDescent="0.25">
      <c r="A202" s="3">
        <v>42906</v>
      </c>
      <c r="B202" s="3"/>
    </row>
    <row r="203" spans="1:2" x14ac:dyDescent="0.25">
      <c r="A203" s="3">
        <v>42907</v>
      </c>
      <c r="B203" s="3"/>
    </row>
    <row r="204" spans="1:2" x14ac:dyDescent="0.25">
      <c r="A204" s="3">
        <v>42908</v>
      </c>
      <c r="B204" s="3"/>
    </row>
    <row r="205" spans="1:2" x14ac:dyDescent="0.25">
      <c r="A205" s="3">
        <v>42909</v>
      </c>
      <c r="B205" s="3"/>
    </row>
    <row r="206" spans="1:2" x14ac:dyDescent="0.25">
      <c r="A206" s="3">
        <v>42910</v>
      </c>
      <c r="B206" s="3"/>
    </row>
    <row r="207" spans="1:2" x14ac:dyDescent="0.25">
      <c r="A207" s="3">
        <v>42911</v>
      </c>
      <c r="B207" s="3"/>
    </row>
    <row r="208" spans="1:2" x14ac:dyDescent="0.25">
      <c r="A208" s="3">
        <v>42912</v>
      </c>
      <c r="B208" s="3"/>
    </row>
    <row r="209" spans="1:2" x14ac:dyDescent="0.25">
      <c r="A209" s="3">
        <v>42913</v>
      </c>
      <c r="B209" s="3"/>
    </row>
    <row r="210" spans="1:2" x14ac:dyDescent="0.25">
      <c r="A210" s="3">
        <v>42914</v>
      </c>
      <c r="B210" s="3"/>
    </row>
    <row r="211" spans="1:2" x14ac:dyDescent="0.25">
      <c r="A211" s="3">
        <v>42915</v>
      </c>
      <c r="B211" s="3"/>
    </row>
    <row r="212" spans="1:2" x14ac:dyDescent="0.25">
      <c r="A212" s="3">
        <v>42916</v>
      </c>
      <c r="B212" s="3"/>
    </row>
    <row r="213" spans="1:2" x14ac:dyDescent="0.25">
      <c r="A213" s="3">
        <v>42917</v>
      </c>
      <c r="B213" s="3"/>
    </row>
    <row r="214" spans="1:2" x14ac:dyDescent="0.25">
      <c r="A214" s="3">
        <v>42918</v>
      </c>
      <c r="B214" s="3"/>
    </row>
    <row r="215" spans="1:2" x14ac:dyDescent="0.25">
      <c r="A215" s="3">
        <v>42919</v>
      </c>
      <c r="B215" s="3"/>
    </row>
    <row r="216" spans="1:2" x14ac:dyDescent="0.25">
      <c r="A216" s="3">
        <v>42920</v>
      </c>
      <c r="B216" s="3"/>
    </row>
    <row r="217" spans="1:2" x14ac:dyDescent="0.25">
      <c r="A217" s="3">
        <v>42921</v>
      </c>
      <c r="B217" s="3"/>
    </row>
    <row r="218" spans="1:2" x14ac:dyDescent="0.25">
      <c r="A218" s="3">
        <v>42922</v>
      </c>
      <c r="B218" s="3"/>
    </row>
    <row r="219" spans="1:2" x14ac:dyDescent="0.25">
      <c r="A219" s="3">
        <v>42923</v>
      </c>
      <c r="B219" s="3"/>
    </row>
    <row r="220" spans="1:2" x14ac:dyDescent="0.25">
      <c r="A220" s="3">
        <v>42924</v>
      </c>
      <c r="B220" s="3"/>
    </row>
    <row r="221" spans="1:2" x14ac:dyDescent="0.25">
      <c r="A221" s="3">
        <v>42925</v>
      </c>
      <c r="B221" s="3"/>
    </row>
    <row r="222" spans="1:2" x14ac:dyDescent="0.25">
      <c r="A222" s="3">
        <v>42926</v>
      </c>
      <c r="B222" s="3"/>
    </row>
    <row r="223" spans="1:2" x14ac:dyDescent="0.25">
      <c r="A223" s="3">
        <v>42927</v>
      </c>
      <c r="B223" s="3"/>
    </row>
    <row r="224" spans="1:2" x14ac:dyDescent="0.25">
      <c r="A224" s="3">
        <v>42928</v>
      </c>
      <c r="B224" s="3"/>
    </row>
    <row r="225" spans="1:2" x14ac:dyDescent="0.25">
      <c r="A225" s="3">
        <v>42929</v>
      </c>
      <c r="B225" s="3"/>
    </row>
    <row r="226" spans="1:2" x14ac:dyDescent="0.25">
      <c r="A226" s="3">
        <v>42930</v>
      </c>
      <c r="B226" s="3"/>
    </row>
    <row r="227" spans="1:2" x14ac:dyDescent="0.25">
      <c r="A227" s="3">
        <v>42931</v>
      </c>
      <c r="B227" s="3"/>
    </row>
    <row r="228" spans="1:2" x14ac:dyDescent="0.25">
      <c r="A228" s="3">
        <v>42932</v>
      </c>
      <c r="B228" s="3"/>
    </row>
    <row r="229" spans="1:2" x14ac:dyDescent="0.25">
      <c r="A229" s="3">
        <v>42933</v>
      </c>
      <c r="B229" s="3"/>
    </row>
    <row r="230" spans="1:2" x14ac:dyDescent="0.25">
      <c r="A230" s="3">
        <v>42934</v>
      </c>
      <c r="B230" s="3"/>
    </row>
    <row r="231" spans="1:2" x14ac:dyDescent="0.25">
      <c r="A231" s="3">
        <v>42935</v>
      </c>
      <c r="B231" s="3"/>
    </row>
    <row r="232" spans="1:2" x14ac:dyDescent="0.25">
      <c r="A232" s="3">
        <v>42936</v>
      </c>
      <c r="B232" s="3"/>
    </row>
    <row r="233" spans="1:2" x14ac:dyDescent="0.25">
      <c r="A233" s="3">
        <v>42937</v>
      </c>
      <c r="B233" s="3"/>
    </row>
    <row r="234" spans="1:2" x14ac:dyDescent="0.25">
      <c r="A234" s="3">
        <v>42938</v>
      </c>
      <c r="B234" s="3"/>
    </row>
    <row r="235" spans="1:2" x14ac:dyDescent="0.25">
      <c r="A235" s="3">
        <v>42939</v>
      </c>
      <c r="B235" s="3"/>
    </row>
    <row r="236" spans="1:2" x14ac:dyDescent="0.25">
      <c r="A236" s="3">
        <v>42940</v>
      </c>
      <c r="B236" s="3"/>
    </row>
    <row r="237" spans="1:2" x14ac:dyDescent="0.25">
      <c r="A237" s="3">
        <v>42941</v>
      </c>
      <c r="B237" s="3"/>
    </row>
    <row r="238" spans="1:2" x14ac:dyDescent="0.25">
      <c r="A238" s="3">
        <v>42942</v>
      </c>
      <c r="B238" s="3"/>
    </row>
    <row r="239" spans="1:2" x14ac:dyDescent="0.25">
      <c r="A239" s="3">
        <v>42943</v>
      </c>
      <c r="B239" s="3"/>
    </row>
    <row r="240" spans="1:2" x14ac:dyDescent="0.25">
      <c r="A240" s="3">
        <v>42944</v>
      </c>
      <c r="B240" s="3"/>
    </row>
    <row r="241" spans="1:2" x14ac:dyDescent="0.25">
      <c r="A241" s="3">
        <v>42945</v>
      </c>
      <c r="B241" s="3"/>
    </row>
    <row r="242" spans="1:2" x14ac:dyDescent="0.25">
      <c r="A242" s="3">
        <v>42946</v>
      </c>
      <c r="B242" s="3"/>
    </row>
    <row r="243" spans="1:2" x14ac:dyDescent="0.25">
      <c r="A243" s="3">
        <v>42947</v>
      </c>
      <c r="B243" s="3"/>
    </row>
    <row r="244" spans="1:2" x14ac:dyDescent="0.25">
      <c r="A244" s="3">
        <v>42948</v>
      </c>
      <c r="B244" s="3"/>
    </row>
    <row r="245" spans="1:2" x14ac:dyDescent="0.25">
      <c r="A245" s="3">
        <v>42949</v>
      </c>
      <c r="B245" s="3"/>
    </row>
    <row r="246" spans="1:2" x14ac:dyDescent="0.25">
      <c r="A246" s="3">
        <v>42950</v>
      </c>
      <c r="B246" s="3"/>
    </row>
    <row r="247" spans="1:2" x14ac:dyDescent="0.25">
      <c r="A247" s="3">
        <v>42951</v>
      </c>
      <c r="B247" s="3"/>
    </row>
    <row r="248" spans="1:2" x14ac:dyDescent="0.25">
      <c r="A248" s="3">
        <v>42952</v>
      </c>
      <c r="B248" s="3"/>
    </row>
    <row r="249" spans="1:2" x14ac:dyDescent="0.25">
      <c r="A249" s="3">
        <v>42953</v>
      </c>
      <c r="B249" s="3"/>
    </row>
    <row r="250" spans="1:2" x14ac:dyDescent="0.25">
      <c r="A250" s="3">
        <v>42954</v>
      </c>
      <c r="B250" s="3"/>
    </row>
    <row r="251" spans="1:2" x14ac:dyDescent="0.25">
      <c r="A251" s="3">
        <v>42955</v>
      </c>
      <c r="B251" s="3"/>
    </row>
    <row r="252" spans="1:2" x14ac:dyDescent="0.25">
      <c r="A252" s="3">
        <v>42956</v>
      </c>
      <c r="B252" s="3"/>
    </row>
    <row r="253" spans="1:2" x14ac:dyDescent="0.25">
      <c r="A253" s="3">
        <v>42957</v>
      </c>
      <c r="B253" s="3"/>
    </row>
    <row r="254" spans="1:2" x14ac:dyDescent="0.25">
      <c r="A254" s="3">
        <v>42958</v>
      </c>
      <c r="B254" s="3"/>
    </row>
    <row r="255" spans="1:2" x14ac:dyDescent="0.25">
      <c r="A255" s="3">
        <v>42959</v>
      </c>
      <c r="B255" s="3"/>
    </row>
    <row r="256" spans="1:2" x14ac:dyDescent="0.25">
      <c r="A256" s="3">
        <v>42960</v>
      </c>
      <c r="B256" s="3"/>
    </row>
    <row r="257" spans="1:2" x14ac:dyDescent="0.25">
      <c r="A257" s="3">
        <v>42961</v>
      </c>
      <c r="B257" s="3"/>
    </row>
    <row r="258" spans="1:2" x14ac:dyDescent="0.25">
      <c r="A258" s="3">
        <v>42962</v>
      </c>
      <c r="B258" s="3"/>
    </row>
    <row r="259" spans="1:2" x14ac:dyDescent="0.25">
      <c r="A259" s="3">
        <v>42963</v>
      </c>
      <c r="B259" s="3"/>
    </row>
    <row r="260" spans="1:2" x14ac:dyDescent="0.25">
      <c r="A260" s="3">
        <v>42964</v>
      </c>
      <c r="B260" s="3"/>
    </row>
    <row r="261" spans="1:2" x14ac:dyDescent="0.25">
      <c r="A261" s="3">
        <v>42965</v>
      </c>
      <c r="B261" s="3"/>
    </row>
    <row r="262" spans="1:2" x14ac:dyDescent="0.25">
      <c r="A262" s="3">
        <v>42966</v>
      </c>
      <c r="B262" s="3"/>
    </row>
    <row r="263" spans="1:2" x14ac:dyDescent="0.25">
      <c r="A263" s="3">
        <v>42967</v>
      </c>
      <c r="B263" s="3"/>
    </row>
    <row r="264" spans="1:2" x14ac:dyDescent="0.25">
      <c r="A264" s="3">
        <v>42968</v>
      </c>
      <c r="B264" s="3"/>
    </row>
    <row r="265" spans="1:2" x14ac:dyDescent="0.25">
      <c r="A265" s="3">
        <v>42969</v>
      </c>
      <c r="B265" s="3"/>
    </row>
    <row r="266" spans="1:2" x14ac:dyDescent="0.25">
      <c r="A266" s="3">
        <v>42970</v>
      </c>
      <c r="B266" s="3"/>
    </row>
    <row r="267" spans="1:2" x14ac:dyDescent="0.25">
      <c r="A267" s="3">
        <v>42971</v>
      </c>
      <c r="B267" s="3"/>
    </row>
    <row r="268" spans="1:2" x14ac:dyDescent="0.25">
      <c r="A268" s="3">
        <v>42972</v>
      </c>
      <c r="B268" s="3"/>
    </row>
    <row r="269" spans="1:2" x14ac:dyDescent="0.25">
      <c r="A269" s="3">
        <v>42973</v>
      </c>
      <c r="B269" s="3"/>
    </row>
    <row r="270" spans="1:2" x14ac:dyDescent="0.25">
      <c r="A270" s="3">
        <v>42974</v>
      </c>
      <c r="B270" s="3"/>
    </row>
    <row r="271" spans="1:2" x14ac:dyDescent="0.25">
      <c r="A271" s="3">
        <v>42975</v>
      </c>
      <c r="B271" s="3"/>
    </row>
    <row r="272" spans="1:2" x14ac:dyDescent="0.25">
      <c r="A272" s="3">
        <v>42976</v>
      </c>
      <c r="B272" s="3"/>
    </row>
    <row r="273" spans="1:2" x14ac:dyDescent="0.25">
      <c r="A273" s="3">
        <v>42977</v>
      </c>
      <c r="B273" s="3"/>
    </row>
    <row r="274" spans="1:2" x14ac:dyDescent="0.25">
      <c r="A274" s="3">
        <v>42978</v>
      </c>
      <c r="B274" s="3"/>
    </row>
    <row r="275" spans="1:2" x14ac:dyDescent="0.25">
      <c r="A275" s="3">
        <v>42979</v>
      </c>
      <c r="B275" s="3"/>
    </row>
    <row r="276" spans="1:2" x14ac:dyDescent="0.25">
      <c r="A276" s="3">
        <v>42980</v>
      </c>
      <c r="B276" s="3"/>
    </row>
    <row r="277" spans="1:2" x14ac:dyDescent="0.25">
      <c r="A277" s="3">
        <v>42981</v>
      </c>
      <c r="B277" s="3"/>
    </row>
    <row r="278" spans="1:2" x14ac:dyDescent="0.25">
      <c r="A278" s="3">
        <v>42982</v>
      </c>
      <c r="B278" s="3"/>
    </row>
    <row r="279" spans="1:2" x14ac:dyDescent="0.25">
      <c r="A279" s="3">
        <v>42983</v>
      </c>
      <c r="B279" s="3"/>
    </row>
    <row r="280" spans="1:2" x14ac:dyDescent="0.25">
      <c r="A280" s="3">
        <v>42984</v>
      </c>
      <c r="B280" s="3"/>
    </row>
    <row r="281" spans="1:2" x14ac:dyDescent="0.25">
      <c r="A281" s="3">
        <v>42985</v>
      </c>
      <c r="B281" s="3"/>
    </row>
    <row r="282" spans="1:2" x14ac:dyDescent="0.25">
      <c r="A282" s="3">
        <v>42986</v>
      </c>
      <c r="B282" s="3"/>
    </row>
    <row r="283" spans="1:2" x14ac:dyDescent="0.25">
      <c r="A283" s="3">
        <v>42987</v>
      </c>
      <c r="B283" s="3"/>
    </row>
    <row r="284" spans="1:2" x14ac:dyDescent="0.25">
      <c r="A284" s="3">
        <v>42988</v>
      </c>
      <c r="B284" s="3"/>
    </row>
    <row r="285" spans="1:2" x14ac:dyDescent="0.25">
      <c r="A285" s="3">
        <v>42989</v>
      </c>
      <c r="B285" s="3"/>
    </row>
    <row r="286" spans="1:2" x14ac:dyDescent="0.25">
      <c r="A286" s="3">
        <v>42990</v>
      </c>
      <c r="B286" s="3"/>
    </row>
    <row r="287" spans="1:2" x14ac:dyDescent="0.25">
      <c r="A287" s="3">
        <v>42991</v>
      </c>
      <c r="B287" s="3"/>
    </row>
    <row r="288" spans="1:2" x14ac:dyDescent="0.25">
      <c r="A288" s="3">
        <v>42992</v>
      </c>
      <c r="B288" s="3"/>
    </row>
    <row r="289" spans="1:2" x14ac:dyDescent="0.25">
      <c r="A289" s="3">
        <v>42993</v>
      </c>
      <c r="B289" s="3"/>
    </row>
    <row r="290" spans="1:2" x14ac:dyDescent="0.25">
      <c r="A290" s="3">
        <v>42994</v>
      </c>
      <c r="B290" s="3"/>
    </row>
    <row r="291" spans="1:2" x14ac:dyDescent="0.25">
      <c r="A291" s="3">
        <v>42995</v>
      </c>
      <c r="B291" s="3"/>
    </row>
    <row r="292" spans="1:2" x14ac:dyDescent="0.25">
      <c r="A292" s="3">
        <v>42996</v>
      </c>
      <c r="B292" s="3"/>
    </row>
    <row r="293" spans="1:2" x14ac:dyDescent="0.25">
      <c r="A293" s="3">
        <v>42997</v>
      </c>
      <c r="B293" s="3"/>
    </row>
    <row r="294" spans="1:2" x14ac:dyDescent="0.25">
      <c r="A294" s="3">
        <v>42998</v>
      </c>
      <c r="B294" s="3"/>
    </row>
    <row r="295" spans="1:2" x14ac:dyDescent="0.25">
      <c r="A295" s="3">
        <v>42999</v>
      </c>
      <c r="B295" s="3"/>
    </row>
    <row r="296" spans="1:2" x14ac:dyDescent="0.25">
      <c r="A296" s="3">
        <v>43000</v>
      </c>
      <c r="B296" s="3"/>
    </row>
    <row r="297" spans="1:2" x14ac:dyDescent="0.25">
      <c r="A297" s="3">
        <v>43001</v>
      </c>
      <c r="B297" s="3"/>
    </row>
    <row r="298" spans="1:2" x14ac:dyDescent="0.25">
      <c r="A298" s="3">
        <v>43002</v>
      </c>
      <c r="B298" s="3"/>
    </row>
    <row r="299" spans="1:2" x14ac:dyDescent="0.25">
      <c r="A299" s="3">
        <v>43003</v>
      </c>
      <c r="B299" s="3"/>
    </row>
    <row r="300" spans="1:2" x14ac:dyDescent="0.25">
      <c r="A300" s="3">
        <v>43004</v>
      </c>
      <c r="B300" s="3"/>
    </row>
    <row r="301" spans="1:2" x14ac:dyDescent="0.25">
      <c r="A301" s="3">
        <v>43005</v>
      </c>
      <c r="B301" s="3"/>
    </row>
    <row r="302" spans="1:2" x14ac:dyDescent="0.25">
      <c r="A302" s="3">
        <v>43006</v>
      </c>
      <c r="B302" s="3"/>
    </row>
    <row r="303" spans="1:2" x14ac:dyDescent="0.25">
      <c r="A303" s="3">
        <v>43007</v>
      </c>
      <c r="B303" s="3"/>
    </row>
    <row r="304" spans="1:2" x14ac:dyDescent="0.25">
      <c r="A304" s="3">
        <v>43008</v>
      </c>
      <c r="B304" s="3"/>
    </row>
    <row r="305" spans="1:2" x14ac:dyDescent="0.25">
      <c r="A305" s="3">
        <v>43009</v>
      </c>
      <c r="B305" s="3"/>
    </row>
    <row r="306" spans="1:2" x14ac:dyDescent="0.25">
      <c r="A306" s="3">
        <v>43010</v>
      </c>
      <c r="B306" s="3"/>
    </row>
    <row r="307" spans="1:2" x14ac:dyDescent="0.25">
      <c r="A307" s="3">
        <v>43011</v>
      </c>
      <c r="B307" s="3"/>
    </row>
    <row r="308" spans="1:2" x14ac:dyDescent="0.25">
      <c r="A308" s="3">
        <v>43012</v>
      </c>
      <c r="B308" s="3"/>
    </row>
    <row r="309" spans="1:2" x14ac:dyDescent="0.25">
      <c r="A309" s="3">
        <v>43013</v>
      </c>
      <c r="B309" s="3"/>
    </row>
    <row r="310" spans="1:2" x14ac:dyDescent="0.25">
      <c r="A310" s="3">
        <v>43014</v>
      </c>
      <c r="B310" s="3"/>
    </row>
    <row r="311" spans="1:2" x14ac:dyDescent="0.25">
      <c r="A311" s="3">
        <v>43015</v>
      </c>
      <c r="B311" s="3"/>
    </row>
    <row r="312" spans="1:2" x14ac:dyDescent="0.25">
      <c r="A312" s="3">
        <v>43016</v>
      </c>
      <c r="B312" s="3"/>
    </row>
    <row r="313" spans="1:2" x14ac:dyDescent="0.25">
      <c r="A313" s="3">
        <v>43017</v>
      </c>
      <c r="B313" s="3"/>
    </row>
    <row r="314" spans="1:2" x14ac:dyDescent="0.25">
      <c r="A314" s="3">
        <v>43018</v>
      </c>
      <c r="B314" s="3"/>
    </row>
    <row r="315" spans="1:2" x14ac:dyDescent="0.25">
      <c r="A315" s="3">
        <v>43019</v>
      </c>
      <c r="B315" s="3"/>
    </row>
    <row r="316" spans="1:2" x14ac:dyDescent="0.25">
      <c r="A316" s="3">
        <v>43020</v>
      </c>
      <c r="B316" s="3"/>
    </row>
    <row r="317" spans="1:2" x14ac:dyDescent="0.25">
      <c r="A317" s="3">
        <v>43021</v>
      </c>
      <c r="B317" s="3"/>
    </row>
    <row r="318" spans="1:2" x14ac:dyDescent="0.25">
      <c r="A318" s="3">
        <v>43022</v>
      </c>
      <c r="B318" s="3"/>
    </row>
    <row r="319" spans="1:2" x14ac:dyDescent="0.25">
      <c r="A319" s="3">
        <v>43023</v>
      </c>
      <c r="B319" s="3"/>
    </row>
    <row r="320" spans="1:2" x14ac:dyDescent="0.25">
      <c r="A320" s="3">
        <v>43024</v>
      </c>
      <c r="B320" s="3"/>
    </row>
    <row r="321" spans="1:2" x14ac:dyDescent="0.25">
      <c r="A321" s="3">
        <v>43025</v>
      </c>
      <c r="B321" s="3"/>
    </row>
    <row r="322" spans="1:2" x14ac:dyDescent="0.25">
      <c r="A322" s="3">
        <v>43026</v>
      </c>
      <c r="B322" s="3"/>
    </row>
    <row r="323" spans="1:2" x14ac:dyDescent="0.25">
      <c r="A323" s="3">
        <v>43027</v>
      </c>
      <c r="B323" s="3"/>
    </row>
    <row r="324" spans="1:2" x14ac:dyDescent="0.25">
      <c r="A324" s="3">
        <v>43028</v>
      </c>
      <c r="B324" s="3"/>
    </row>
    <row r="325" spans="1:2" x14ac:dyDescent="0.25">
      <c r="A325" s="3">
        <v>43029</v>
      </c>
      <c r="B325" s="3"/>
    </row>
    <row r="326" spans="1:2" x14ac:dyDescent="0.25">
      <c r="A326" s="3">
        <v>43030</v>
      </c>
      <c r="B326" s="3"/>
    </row>
    <row r="327" spans="1:2" x14ac:dyDescent="0.25">
      <c r="A327" s="3">
        <v>43031</v>
      </c>
      <c r="B327" s="3"/>
    </row>
    <row r="328" spans="1:2" x14ac:dyDescent="0.25">
      <c r="A328" s="3">
        <v>43032</v>
      </c>
      <c r="B328" s="3"/>
    </row>
    <row r="329" spans="1:2" x14ac:dyDescent="0.25">
      <c r="A329" s="3">
        <v>43033</v>
      </c>
      <c r="B329" s="3"/>
    </row>
    <row r="330" spans="1:2" x14ac:dyDescent="0.25">
      <c r="A330" s="3">
        <v>43034</v>
      </c>
      <c r="B330" s="3"/>
    </row>
    <row r="331" spans="1:2" x14ac:dyDescent="0.25">
      <c r="A331" s="3">
        <v>43035</v>
      </c>
      <c r="B331" s="3"/>
    </row>
    <row r="332" spans="1:2" x14ac:dyDescent="0.25">
      <c r="A332" s="3">
        <v>43036</v>
      </c>
      <c r="B332" s="3"/>
    </row>
    <row r="333" spans="1:2" x14ac:dyDescent="0.25">
      <c r="A333" s="3">
        <v>43037</v>
      </c>
      <c r="B333" s="3"/>
    </row>
    <row r="334" spans="1:2" x14ac:dyDescent="0.25">
      <c r="A334" s="3">
        <v>43038</v>
      </c>
      <c r="B334" s="3"/>
    </row>
    <row r="335" spans="1:2" x14ac:dyDescent="0.25">
      <c r="A335" s="3">
        <v>43039</v>
      </c>
      <c r="B335" s="3"/>
    </row>
    <row r="336" spans="1:2" x14ac:dyDescent="0.25">
      <c r="A336" s="3">
        <v>43040</v>
      </c>
      <c r="B336" s="3"/>
    </row>
    <row r="337" spans="1:2" x14ac:dyDescent="0.25">
      <c r="A337" s="3">
        <v>43041</v>
      </c>
      <c r="B337" s="3"/>
    </row>
    <row r="338" spans="1:2" x14ac:dyDescent="0.25">
      <c r="A338" s="3">
        <v>43042</v>
      </c>
      <c r="B338" s="3"/>
    </row>
    <row r="339" spans="1:2" x14ac:dyDescent="0.25">
      <c r="A339" s="3">
        <v>43043</v>
      </c>
      <c r="B339" s="3"/>
    </row>
    <row r="340" spans="1:2" x14ac:dyDescent="0.25">
      <c r="A340" s="3">
        <v>43044</v>
      </c>
      <c r="B340" s="3"/>
    </row>
    <row r="341" spans="1:2" x14ac:dyDescent="0.25">
      <c r="A341" s="3">
        <v>43045</v>
      </c>
      <c r="B341" s="3"/>
    </row>
    <row r="342" spans="1:2" x14ac:dyDescent="0.25">
      <c r="A342" s="3">
        <v>43046</v>
      </c>
      <c r="B342" s="3"/>
    </row>
    <row r="343" spans="1:2" x14ac:dyDescent="0.25">
      <c r="A343" s="3">
        <v>43047</v>
      </c>
      <c r="B343" s="3"/>
    </row>
    <row r="344" spans="1:2" x14ac:dyDescent="0.25">
      <c r="A344" s="3">
        <v>43048</v>
      </c>
      <c r="B344" s="3"/>
    </row>
    <row r="345" spans="1:2" x14ac:dyDescent="0.25">
      <c r="A345" s="3">
        <v>43049</v>
      </c>
      <c r="B345" s="3"/>
    </row>
    <row r="346" spans="1:2" x14ac:dyDescent="0.25">
      <c r="A346" s="3">
        <v>43050</v>
      </c>
      <c r="B346" s="3"/>
    </row>
    <row r="347" spans="1:2" x14ac:dyDescent="0.25">
      <c r="A347" s="3">
        <v>43051</v>
      </c>
      <c r="B347" s="3"/>
    </row>
    <row r="348" spans="1:2" x14ac:dyDescent="0.25">
      <c r="A348" s="3">
        <v>43052</v>
      </c>
      <c r="B348" s="3"/>
    </row>
    <row r="349" spans="1:2" x14ac:dyDescent="0.25">
      <c r="A349" s="3">
        <v>43053</v>
      </c>
      <c r="B349" s="3"/>
    </row>
    <row r="350" spans="1:2" x14ac:dyDescent="0.25">
      <c r="A350" s="3">
        <v>43054</v>
      </c>
      <c r="B350" s="3"/>
    </row>
    <row r="351" spans="1:2" x14ac:dyDescent="0.25">
      <c r="A351" s="3">
        <v>43055</v>
      </c>
      <c r="B351" s="3"/>
    </row>
    <row r="352" spans="1:2" x14ac:dyDescent="0.25">
      <c r="A352" s="3">
        <v>43056</v>
      </c>
      <c r="B352" s="3"/>
    </row>
    <row r="353" spans="1:2" x14ac:dyDescent="0.25">
      <c r="A353" s="3">
        <v>43057</v>
      </c>
      <c r="B353" s="3"/>
    </row>
    <row r="354" spans="1:2" x14ac:dyDescent="0.25">
      <c r="A354" s="3">
        <v>43058</v>
      </c>
      <c r="B354" s="3"/>
    </row>
    <row r="355" spans="1:2" x14ac:dyDescent="0.25">
      <c r="A355" s="3">
        <v>43059</v>
      </c>
      <c r="B355" s="3"/>
    </row>
    <row r="356" spans="1:2" x14ac:dyDescent="0.25">
      <c r="A356" s="3">
        <v>43060</v>
      </c>
      <c r="B356" s="3"/>
    </row>
    <row r="357" spans="1:2" x14ac:dyDescent="0.25">
      <c r="A357" s="3">
        <v>43061</v>
      </c>
      <c r="B357" s="3"/>
    </row>
    <row r="358" spans="1:2" x14ac:dyDescent="0.25">
      <c r="A358" s="3">
        <v>43062</v>
      </c>
      <c r="B358" s="3"/>
    </row>
    <row r="359" spans="1:2" x14ac:dyDescent="0.25">
      <c r="A359" s="3">
        <v>43063</v>
      </c>
      <c r="B359" s="3"/>
    </row>
    <row r="360" spans="1:2" x14ac:dyDescent="0.25">
      <c r="A360" s="3">
        <v>43064</v>
      </c>
      <c r="B360" s="3"/>
    </row>
    <row r="361" spans="1:2" x14ac:dyDescent="0.25">
      <c r="A361" s="3">
        <v>43065</v>
      </c>
      <c r="B361" s="3"/>
    </row>
    <row r="362" spans="1:2" x14ac:dyDescent="0.25">
      <c r="A362" s="3">
        <v>43066</v>
      </c>
      <c r="B362" s="3"/>
    </row>
    <row r="363" spans="1:2" x14ac:dyDescent="0.25">
      <c r="A363" s="3">
        <v>43067</v>
      </c>
      <c r="B363" s="3"/>
    </row>
    <row r="364" spans="1:2" x14ac:dyDescent="0.25">
      <c r="A364" s="3">
        <v>43068</v>
      </c>
      <c r="B364" s="3"/>
    </row>
    <row r="365" spans="1:2" x14ac:dyDescent="0.25">
      <c r="A365" s="3">
        <v>43069</v>
      </c>
      <c r="B365" s="3"/>
    </row>
    <row r="366" spans="1:2" x14ac:dyDescent="0.25">
      <c r="A366" s="3">
        <v>43070</v>
      </c>
      <c r="B366" s="3"/>
    </row>
    <row r="367" spans="1:2" x14ac:dyDescent="0.25">
      <c r="A367" s="3">
        <v>43071</v>
      </c>
      <c r="B367" s="3"/>
    </row>
    <row r="368" spans="1:2" x14ac:dyDescent="0.25">
      <c r="A368" s="3">
        <v>43072</v>
      </c>
      <c r="B368" s="3"/>
    </row>
    <row r="369" spans="1:2" x14ac:dyDescent="0.25">
      <c r="A369" s="3">
        <v>43073</v>
      </c>
      <c r="B369" s="3"/>
    </row>
    <row r="370" spans="1:2" x14ac:dyDescent="0.25">
      <c r="A370" s="3">
        <v>43074</v>
      </c>
      <c r="B370" s="3"/>
    </row>
    <row r="371" spans="1:2" x14ac:dyDescent="0.25">
      <c r="A371" s="3">
        <v>43075</v>
      </c>
      <c r="B371" s="3"/>
    </row>
    <row r="372" spans="1:2" x14ac:dyDescent="0.25">
      <c r="A372" s="3">
        <v>43076</v>
      </c>
      <c r="B372" s="3"/>
    </row>
    <row r="373" spans="1:2" x14ac:dyDescent="0.25">
      <c r="A373" s="3">
        <v>43077</v>
      </c>
      <c r="B373" s="3"/>
    </row>
    <row r="374" spans="1:2" x14ac:dyDescent="0.25">
      <c r="A374" s="3">
        <v>43078</v>
      </c>
      <c r="B374" s="3"/>
    </row>
    <row r="375" spans="1:2" x14ac:dyDescent="0.25">
      <c r="A375" s="3">
        <v>43079</v>
      </c>
      <c r="B375" s="3"/>
    </row>
    <row r="376" spans="1:2" x14ac:dyDescent="0.25">
      <c r="A376" s="3">
        <v>43080</v>
      </c>
      <c r="B376" s="3"/>
    </row>
    <row r="377" spans="1:2" x14ac:dyDescent="0.25">
      <c r="A377" s="3">
        <v>43081</v>
      </c>
      <c r="B377" s="3"/>
    </row>
    <row r="378" spans="1:2" x14ac:dyDescent="0.25">
      <c r="A378" s="3">
        <v>43082</v>
      </c>
      <c r="B378" s="3"/>
    </row>
    <row r="379" spans="1:2" x14ac:dyDescent="0.25">
      <c r="A379" s="3">
        <v>43083</v>
      </c>
      <c r="B379" s="3"/>
    </row>
    <row r="380" spans="1:2" x14ac:dyDescent="0.25">
      <c r="A380" s="3">
        <v>43084</v>
      </c>
      <c r="B380" s="3"/>
    </row>
    <row r="381" spans="1:2" x14ac:dyDescent="0.25">
      <c r="A381" s="3">
        <v>43085</v>
      </c>
      <c r="B381" s="3"/>
    </row>
    <row r="382" spans="1:2" x14ac:dyDescent="0.25">
      <c r="A382" s="3">
        <v>43086</v>
      </c>
      <c r="B382" s="3"/>
    </row>
    <row r="383" spans="1:2" x14ac:dyDescent="0.25">
      <c r="A383" s="3">
        <v>43087</v>
      </c>
      <c r="B383" s="3"/>
    </row>
    <row r="384" spans="1:2" x14ac:dyDescent="0.25">
      <c r="A384" s="3">
        <v>43088</v>
      </c>
      <c r="B384" s="3"/>
    </row>
    <row r="385" spans="1:2" x14ac:dyDescent="0.25">
      <c r="A385" s="3">
        <v>43089</v>
      </c>
      <c r="B385" s="3"/>
    </row>
    <row r="386" spans="1:2" x14ac:dyDescent="0.25">
      <c r="A386" s="3">
        <v>43090</v>
      </c>
      <c r="B386" s="3"/>
    </row>
    <row r="387" spans="1:2" x14ac:dyDescent="0.25">
      <c r="A387" s="3">
        <v>43091</v>
      </c>
      <c r="B387" s="3"/>
    </row>
    <row r="388" spans="1:2" x14ac:dyDescent="0.25">
      <c r="A388" s="3">
        <v>43092</v>
      </c>
      <c r="B388" s="3"/>
    </row>
    <row r="389" spans="1:2" x14ac:dyDescent="0.25">
      <c r="A389" s="3">
        <v>43093</v>
      </c>
      <c r="B389" s="3"/>
    </row>
    <row r="390" spans="1:2" x14ac:dyDescent="0.25">
      <c r="A390" s="3">
        <v>43094</v>
      </c>
      <c r="B390" s="3"/>
    </row>
    <row r="391" spans="1:2" x14ac:dyDescent="0.25">
      <c r="A391" s="3">
        <v>43095</v>
      </c>
      <c r="B391" s="3"/>
    </row>
    <row r="392" spans="1:2" x14ac:dyDescent="0.25">
      <c r="A392" s="3">
        <v>43096</v>
      </c>
      <c r="B392" s="3"/>
    </row>
    <row r="393" spans="1:2" x14ac:dyDescent="0.25">
      <c r="A393" s="3">
        <v>43097</v>
      </c>
      <c r="B393" s="3"/>
    </row>
    <row r="394" spans="1:2" x14ac:dyDescent="0.25">
      <c r="A394" s="3">
        <v>43098</v>
      </c>
      <c r="B394" s="3"/>
    </row>
    <row r="395" spans="1:2" x14ac:dyDescent="0.25">
      <c r="A395" s="3">
        <v>43099</v>
      </c>
      <c r="B395" s="3"/>
    </row>
    <row r="396" spans="1:2" x14ac:dyDescent="0.25">
      <c r="A396" s="3">
        <v>43100</v>
      </c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</sheetData>
  <dataConsolidate/>
  <mergeCells count="3">
    <mergeCell ref="A1:H1"/>
    <mergeCell ref="A12:H12"/>
    <mergeCell ref="K1:N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39"/>
  <sheetViews>
    <sheetView workbookViewId="0">
      <selection activeCell="D32" sqref="D32"/>
    </sheetView>
  </sheetViews>
  <sheetFormatPr defaultRowHeight="15" x14ac:dyDescent="0.25"/>
  <cols>
    <col min="1" max="1" width="6.140625" style="8" customWidth="1"/>
    <col min="2" max="2" width="31" style="8" customWidth="1"/>
    <col min="3" max="3" width="10.28515625" style="8" customWidth="1"/>
    <col min="4" max="7" width="14.85546875" style="8" customWidth="1"/>
    <col min="8" max="19" width="10.7109375" style="8" customWidth="1"/>
    <col min="20" max="16384" width="9.140625" style="8"/>
  </cols>
  <sheetData>
    <row r="1" spans="1:14" ht="31.5" customHeight="1" x14ac:dyDescent="0.25">
      <c r="A1" s="52" t="s">
        <v>71</v>
      </c>
      <c r="B1" s="52"/>
      <c r="C1" s="52"/>
      <c r="D1" s="52"/>
      <c r="E1" s="52"/>
      <c r="F1" s="52"/>
      <c r="G1" s="52"/>
      <c r="H1" s="9"/>
      <c r="I1" s="9"/>
      <c r="K1" s="9"/>
      <c r="L1" s="9"/>
      <c r="M1" s="9"/>
      <c r="N1" s="9"/>
    </row>
    <row r="2" spans="1:14" ht="23.25" customHeight="1" x14ac:dyDescent="0.25">
      <c r="A2" s="49" t="s">
        <v>63</v>
      </c>
      <c r="B2" s="47" t="s">
        <v>60</v>
      </c>
      <c r="C2" s="47" t="s">
        <v>61</v>
      </c>
      <c r="D2" s="51" t="s">
        <v>62</v>
      </c>
      <c r="E2" s="51"/>
      <c r="F2" s="51"/>
      <c r="G2" s="51"/>
      <c r="H2" s="9"/>
      <c r="I2" s="9"/>
      <c r="K2" s="9"/>
      <c r="L2" s="9"/>
      <c r="M2" s="9"/>
      <c r="N2" s="9"/>
    </row>
    <row r="3" spans="1:14" ht="23.25" customHeight="1" x14ac:dyDescent="0.25">
      <c r="A3" s="50"/>
      <c r="B3" s="48"/>
      <c r="C3" s="48"/>
      <c r="D3" s="15" t="s">
        <v>59</v>
      </c>
      <c r="E3" s="15" t="s">
        <v>72</v>
      </c>
      <c r="F3" s="15" t="s">
        <v>73</v>
      </c>
      <c r="G3" s="15" t="s">
        <v>74</v>
      </c>
      <c r="I3" s="17" t="s">
        <v>80</v>
      </c>
      <c r="J3" s="17" t="s">
        <v>81</v>
      </c>
    </row>
    <row r="4" spans="1:14" ht="21.75" customHeight="1" x14ac:dyDescent="0.25">
      <c r="A4" s="10">
        <v>1</v>
      </c>
      <c r="B4" s="11" t="s">
        <v>27</v>
      </c>
      <c r="C4" s="19" t="s">
        <v>64</v>
      </c>
      <c r="D4" s="16">
        <f>SUMPRODUCT((Лист1!C$3:C$52="Орск")*(Лист1!H$3:I$52="Маты МП 50 мм")*Лист1!J$3:K$52)</f>
        <v>1</v>
      </c>
      <c r="E4" s="16">
        <f>SUMPRODUCT((Лист1!C$3:C$52="Рязань")*(Лист1!H$3:I$52="Маты МП 50 мм")*Лист1!J$3:K$52)-I4</f>
        <v>0</v>
      </c>
      <c r="F4" s="16">
        <f>SUMPRODUCT((Лист1!C$3:C$52="Ярославль")*(Лист1!H$3:I$52="Маты МП 50 мм")*Лист1!J$3:K$52)</f>
        <v>1</v>
      </c>
      <c r="G4" s="16">
        <f>SUMPRODUCT((Лист1!C$3:C$52="Тюмень")*(Лист1!H$3:I$52="Маты МП 50 мм")*Лист1!J$3:K$52)</f>
        <v>0</v>
      </c>
      <c r="I4" s="17">
        <f>SUMPRODUCT((Лист1!B$3:B$52="Рязань")*(Лист1!H$3:I$52="Маты МП 50 мм")*Лист1!J$3:K$52)</f>
        <v>0</v>
      </c>
      <c r="J4" s="17">
        <f>SUMPRODUCT((Лист1!B$3:B$52="Железнодорожный")*(Лист1!H$3:I$52="Маты МП 50 мм")*Лист1!J$3:K$52)</f>
        <v>1</v>
      </c>
    </row>
    <row r="5" spans="1:14" ht="18" x14ac:dyDescent="0.25">
      <c r="A5" s="10">
        <v>2</v>
      </c>
      <c r="B5" s="11" t="s">
        <v>28</v>
      </c>
      <c r="C5" s="19" t="s">
        <v>64</v>
      </c>
      <c r="D5" s="16">
        <f>SUMPRODUCT((Лист1!C$3:C$52="Орск")*(Лист1!H$3:I$52="Маты МП 60 мм")*Лист1!J$3:K$52)</f>
        <v>0</v>
      </c>
      <c r="E5" s="16">
        <f>SUMPRODUCT((Лист1!C$3:C$52="Рязань")*(Лист1!H$3:I$52="Маты МП 60 мм")*Лист1!J$3:K$52)-I5</f>
        <v>0</v>
      </c>
      <c r="F5" s="16">
        <f>SUMPRODUCT((Лист1!C$3:C$52="Ярославль")*(Лист1!H$3:I$52="Маты МП 60 мм")*Лист1!J$3:K$52)</f>
        <v>0</v>
      </c>
      <c r="G5" s="16">
        <f>SUMPRODUCT((Лист1!C$3:C$52="Тюмень")*(Лист1!H$3:I$52="Маты МП 60 мм")*Лист1!J$3:K$52)</f>
        <v>0</v>
      </c>
      <c r="I5" s="17">
        <f>SUMPRODUCT((Лист1!B$3:B$52="Рязань")*(Лист1!H$3:I$52="Маты МП 60 мм")*Лист1!J$3:K$52)</f>
        <v>0</v>
      </c>
      <c r="J5" s="17">
        <f>SUMPRODUCT((Лист1!B$3:B$52="Железнодорожный")*(Лист1!H$3:I$52="Маты МП 60 мм")*Лист1!J$3:K$52)</f>
        <v>0</v>
      </c>
    </row>
    <row r="6" spans="1:14" ht="18" x14ac:dyDescent="0.25">
      <c r="A6" s="10">
        <v>3</v>
      </c>
      <c r="B6" s="11" t="s">
        <v>29</v>
      </c>
      <c r="C6" s="19" t="s">
        <v>64</v>
      </c>
      <c r="D6" s="16">
        <f>SUMPRODUCT((Лист1!C$3:C$52="Орск")*(Лист1!H$3:I$52="Маты МП 80 мм")*Лист1!J$3:K$52)</f>
        <v>1</v>
      </c>
      <c r="E6" s="16">
        <f>SUMPRODUCT((Лист1!C$3:C$52="Рязань")*(Лист1!H$3:I$52="Маты МП 80 мм")*Лист1!J$3:K$52)-I6</f>
        <v>0</v>
      </c>
      <c r="F6" s="16">
        <f>SUMPRODUCT((Лист1!C$3:C$52="Ярославль")*(Лист1!H$3:I$52="Маты МП 80 мм")*Лист1!J$3:K$52)</f>
        <v>1</v>
      </c>
      <c r="G6" s="16">
        <f>SUMPRODUCT((Лист1!C$3:C$52="Тюмень")*(Лист1!H$3:I$52="Маты МП 80 мм")*Лист1!J$3:K$52)</f>
        <v>0</v>
      </c>
      <c r="I6" s="17">
        <f>SUMPRODUCT((Лист1!B$3:B$52="Рязань")*(Лист1!H$3:I$52="Маты МП 80 мм")*Лист1!J$3:K$52)</f>
        <v>0</v>
      </c>
      <c r="J6" s="17">
        <f>SUMPRODUCT((Лист1!B$3:B$52="Железнодорожный")*(Лист1!H$3:I$52="Маты МП 80 мм")*Лист1!J$3:K$52)</f>
        <v>1</v>
      </c>
    </row>
    <row r="7" spans="1:14" ht="18" x14ac:dyDescent="0.25">
      <c r="A7" s="10">
        <v>4</v>
      </c>
      <c r="B7" s="11" t="s">
        <v>30</v>
      </c>
      <c r="C7" s="19" t="s">
        <v>64</v>
      </c>
      <c r="D7" s="16">
        <f>SUMPRODUCT((Лист1!C$3:C$52="Орск")*(Лист1!H$3:I$52="Маты МП 100 мм")*Лист1!J$3:K$52)</f>
        <v>0</v>
      </c>
      <c r="E7" s="16">
        <f>SUMPRODUCT((Лист1!C$3:C$52="Рязань")*(Лист1!H$3:I$52="Маты МП 100 мм")*Лист1!J$3:K$52)-I7</f>
        <v>0</v>
      </c>
      <c r="F7" s="16">
        <f>SUMPRODUCT((Лист1!C$3:C$52="Ярославль")*(Лист1!H$3:I$52="Маты МП 100 мм")*Лист1!J$3:K$52)</f>
        <v>0</v>
      </c>
      <c r="G7" s="16">
        <f>SUMPRODUCT((Лист1!C$3:C$52="Тюмень")*(Лист1!H$3:I$52="Маты МП 100 мм")*Лист1!J$3:K$52)</f>
        <v>0</v>
      </c>
      <c r="I7" s="17">
        <f>SUMPRODUCT((Лист1!B$3:B$52="Рязань")*(Лист1!H$3:I$52="Маты МП 100 мм")*Лист1!J$3:K$52)</f>
        <v>0</v>
      </c>
      <c r="J7" s="17">
        <f>SUMPRODUCT((Лист1!B$3:B$52="Железнодорожный")*(Лист1!H$3:I$52="Маты МП 100 мм")*Лист1!J$3:K$52)</f>
        <v>0</v>
      </c>
    </row>
    <row r="8" spans="1:14" ht="18" x14ac:dyDescent="0.25">
      <c r="A8" s="10">
        <v>5</v>
      </c>
      <c r="B8" s="11" t="s">
        <v>22</v>
      </c>
      <c r="C8" s="19" t="s">
        <v>64</v>
      </c>
      <c r="D8" s="16">
        <f>SUMPRODUCT((Лист1!C$3:C$52="Орск")*(Лист1!H$3:I$52="ТЕХ МАТ 60 мм")*Лист1!J$3:K$52)</f>
        <v>0</v>
      </c>
      <c r="E8" s="16">
        <f>SUMPRODUCT((Лист1!C$3:C$52="Рязань")*(Лист1!H$3:I$52="ТЕХ МАТ 60 мм")*Лист1!J$3:K$52)-I8</f>
        <v>0</v>
      </c>
      <c r="F8" s="16">
        <f>SUMPRODUCT((Лист1!C$3:C$52="Ярославль")*(Лист1!H$3:I$52="ТЕХ МАТ 60 мм")*Лист1!J$3:K$52)</f>
        <v>0</v>
      </c>
      <c r="G8" s="16">
        <f>SUMPRODUCT((Лист1!C$3:C$52="Тюмень")*(Лист1!H$3:I$52="ТЕХ МАТ 60 мм")*Лист1!J$3:K$52)</f>
        <v>0</v>
      </c>
      <c r="I8" s="17">
        <f>SUMPRODUCT((Лист1!B$3:B$52="Рязань")*(Лист1!H$3:I$52="ТЕХ МАТ 60 мм")*Лист1!J$3:K$52)</f>
        <v>0</v>
      </c>
      <c r="J8" s="17">
        <f>SUMPRODUCT((Лист1!B$3:B$52="Железнодорожный")*(Лист1!H$3:I$52="ТЕХ МАТ 60 мм")*Лист1!J$3:K$52)</f>
        <v>0</v>
      </c>
    </row>
    <row r="9" spans="1:14" ht="18" x14ac:dyDescent="0.25">
      <c r="A9" s="10">
        <v>6</v>
      </c>
      <c r="B9" s="11" t="s">
        <v>23</v>
      </c>
      <c r="C9" s="19" t="s">
        <v>64</v>
      </c>
      <c r="D9" s="16">
        <f>SUMPRODUCT((Лист1!C$3:C$52="Орск")*(Лист1!H$3:I$52="ТЕХ МАТ 70 мм")*Лист1!J$3:K$52)</f>
        <v>0</v>
      </c>
      <c r="E9" s="16">
        <f>SUMPRODUCT((Лист1!C$3:C$52="Рязань")*(Лист1!H$3:I$52="ТЕХ МАТ 60 мм")*Лист1!J$3:K$52)-I9</f>
        <v>0</v>
      </c>
      <c r="F9" s="16">
        <f>SUMPRODUCT((Лист1!C$3:C$52="Ярославль")*(Лист1!H$3:I$52="ТЕХ МАТ 70 мм")*Лист1!J$3:K$52)</f>
        <v>0</v>
      </c>
      <c r="G9" s="16">
        <f>SUMPRODUCT((Лист1!C$3:C$52="Тюмень")*(Лист1!H$3:I$52="ТЕХ МАТ 70 мм")*Лист1!J$3:K$52)</f>
        <v>0</v>
      </c>
      <c r="I9" s="17">
        <f>SUMPRODUCT((Лист1!B$3:B$52="Рязань")*(Лист1!H$3:I$52="ТЕХ МАТ 70 мм")*Лист1!J$3:K$52)</f>
        <v>0</v>
      </c>
      <c r="J9" s="17">
        <f>SUMPRODUCT((Лист1!B$3:B$52="Железнодорожный")*(Лист1!H$3:I$52="ТЕХ МАТ 70 мм")*Лист1!J$3:K$52)</f>
        <v>0</v>
      </c>
    </row>
    <row r="10" spans="1:14" ht="18" x14ac:dyDescent="0.25">
      <c r="A10" s="10">
        <v>7</v>
      </c>
      <c r="B10" s="11" t="s">
        <v>24</v>
      </c>
      <c r="C10" s="19" t="s">
        <v>64</v>
      </c>
      <c r="D10" s="16">
        <f>SUMPRODUCT((Лист1!C$3:C$52="Орск")*(Лист1!H$3:I$52="ТЕХ МАТ 80 мм")*Лист1!J$3:K$52)</f>
        <v>0</v>
      </c>
      <c r="E10" s="16">
        <f>SUMPRODUCT((Лист1!C$3:C$52="Рязань")*(Лист1!H$3:I$52="ТЕХ МАТ 80 мм")*Лист1!J$3:K$52)-I10</f>
        <v>0</v>
      </c>
      <c r="F10" s="16">
        <f>SUMPRODUCT((Лист1!C$3:C$52="Ярославль")*(Лист1!H$3:I$52="ТЕХ МАТ 80 мм")*Лист1!J$3:K$52)</f>
        <v>0</v>
      </c>
      <c r="G10" s="16">
        <f>SUMPRODUCT((Лист1!C$3:C$52="Тюмень")*(Лист1!H$3:I$52="ТЕХ МАТ 80 мм")*Лист1!J$3:K$52)</f>
        <v>0</v>
      </c>
      <c r="I10" s="17">
        <f>SUMPRODUCT((Лист1!B$3:B$52="Рязань")*(Лист1!H$3:I$52="ТЕХ МАТ 80 мм")*Лист1!J$3:K$52)</f>
        <v>0</v>
      </c>
      <c r="J10" s="17">
        <f>SUMPRODUCT((Лист1!B$3:B$52="Железнодорожный")*(Лист1!H$3:I$52="ТЕХ МАТ 80 мм")*Лист1!J$3:K$52)</f>
        <v>0</v>
      </c>
    </row>
    <row r="11" spans="1:14" ht="18" x14ac:dyDescent="0.25">
      <c r="A11" s="10">
        <v>8</v>
      </c>
      <c r="B11" s="11" t="s">
        <v>25</v>
      </c>
      <c r="C11" s="19" t="s">
        <v>64</v>
      </c>
      <c r="D11" s="16">
        <f>SUMPRODUCT((Лист1!C$3:C$52="Орск")*(Лист1!H$3:I$52="ТЕХ МАТ 90 мм")*Лист1!J$3:K$52)</f>
        <v>0</v>
      </c>
      <c r="E11" s="16">
        <f>SUMPRODUCT((Лист1!C$3:C$52="Рязань")*(Лист1!H$3:I$52="ТЕХ МАТ 90 мм")*Лист1!J$3:K$52)-I11</f>
        <v>0</v>
      </c>
      <c r="F11" s="16">
        <f>SUMPRODUCT((Лист1!C$3:C$52="Ярославль")*(Лист1!H$3:I$52="ТЕХ МАТ 90 мм")*Лист1!J$3:K$52)</f>
        <v>0</v>
      </c>
      <c r="G11" s="16">
        <f>SUMPRODUCT((Лист1!C$3:C$52="Тюмень")*(Лист1!H$3:I$52="ТЕХ МАТ 90 мм")*Лист1!J$3:K$52)</f>
        <v>0</v>
      </c>
      <c r="I11" s="17">
        <f>SUMPRODUCT((Лист1!B$3:B$52="Рязань")*(Лист1!H$3:I$52="ТЕХ МАТ 90 мм")*Лист1!J$3:K$52)</f>
        <v>0</v>
      </c>
      <c r="J11" s="17">
        <f>SUMPRODUCT((Лист1!B$3:B$52="Железнодорожный")*(Лист1!H$3:I$52="ТЕХ МАТ 90 мм")*Лист1!J$3:K$52)</f>
        <v>0</v>
      </c>
    </row>
    <row r="12" spans="1:14" ht="18" x14ac:dyDescent="0.25">
      <c r="A12" s="10">
        <v>9</v>
      </c>
      <c r="B12" s="11" t="s">
        <v>26</v>
      </c>
      <c r="C12" s="19" t="s">
        <v>64</v>
      </c>
      <c r="D12" s="16">
        <f>SUMPRODUCT((Лист1!C$3:C$52="Орск")*(Лист1!H$3:I$52="ТЕХ МАТ 100 мм")*Лист1!J$3:K$52)</f>
        <v>0</v>
      </c>
      <c r="E12" s="16">
        <f>SUMPRODUCT((Лист1!C$3:C$52="Рязань")*(Лист1!H$3:I$52="ТЕХ МАТ 100 мм")*Лист1!J$3:K$52)-I12</f>
        <v>0</v>
      </c>
      <c r="F12" s="16">
        <f>SUMPRODUCT((Лист1!C$3:C$52="Ярославль")*(Лист1!H$3:I$52="ТЕХ МАТ 100 мм")*Лист1!J$3:K$52)</f>
        <v>0</v>
      </c>
      <c r="G12" s="16">
        <f>SUMPRODUCT((Лист1!C$3:C$52="Тюмень")*(Лист1!H$3:I$52="ТЕХ МАТ 100 мм")*Лист1!J$3:K$52)</f>
        <v>0</v>
      </c>
      <c r="I12" s="17">
        <f>SUMPRODUCT((Лист1!B$3:B$52="Рязань")*(Лист1!H$3:I$52="ТЕХ МАТ 100 мм")*Лист1!J$3:K$52)</f>
        <v>0</v>
      </c>
      <c r="J12" s="17">
        <f>SUMPRODUCT((Лист1!B$3:B$52="Железнодорожный")*(Лист1!H$3:I$52="ТЕХ МАТ 100 мм")*Лист1!J$3:K$52)</f>
        <v>0</v>
      </c>
    </row>
    <row r="13" spans="1:14" ht="18" x14ac:dyDescent="0.25">
      <c r="A13" s="10">
        <v>10</v>
      </c>
      <c r="B13" s="11" t="s">
        <v>31</v>
      </c>
      <c r="C13" s="19" t="s">
        <v>64</v>
      </c>
      <c r="D13" s="16">
        <f>SUMPRODUCT((Лист1!C$3:C$52="Орск")*(Лист1!H$3:I$52="Wired Mat (80) 60 мм")*Лист1!J$3:K$52)</f>
        <v>0</v>
      </c>
      <c r="E13" s="16">
        <f>SUMPRODUCT((Лист1!C$3:C$52="Рязань")*(Лист1!H$3:I$52="Wired Mat (80) 60 мм")*Лист1!J$3:K$52)-I13</f>
        <v>0</v>
      </c>
      <c r="F13" s="16">
        <f>SUMPRODUCT((Лист1!C$3:C$52="Ярославль")*(Лист1!H$3:I$52="Wired Mat (80) 60 мм")*Лист1!J$3:K$52)</f>
        <v>0</v>
      </c>
      <c r="G13" s="16">
        <f>SUMPRODUCT((Лист1!C$3:C$52="Тюмень")*(Лист1!H$3:I$52="Wired Mat (80) 60 мм")*Лист1!J$3:K$52)</f>
        <v>0</v>
      </c>
      <c r="I13" s="17">
        <f>SUMPRODUCT((Лист1!B$3:B$52="Рязань")*(Лист1!H$3:I$52="Wired Mat (80) 60 мм")*Лист1!J$3:K$52)</f>
        <v>0</v>
      </c>
      <c r="J13" s="17">
        <f>SUMPRODUCT((Лист1!B$3:B$52="Железнодорожный")*(Лист1!H$3:I$52="Wired Mat (80) 60 мм")*Лист1!J$3:K$52)</f>
        <v>0</v>
      </c>
    </row>
    <row r="14" spans="1:14" ht="18" x14ac:dyDescent="0.25">
      <c r="A14" s="10">
        <v>11</v>
      </c>
      <c r="B14" s="11" t="s">
        <v>32</v>
      </c>
      <c r="C14" s="19" t="s">
        <v>64</v>
      </c>
      <c r="D14" s="16">
        <f>SUMPRODUCT((Лист1!C$3:C$52="Орск")*(Лист1!H$3:I$52="Wired Mat (80) 80 мм")*Лист1!J$3:K$52)</f>
        <v>0</v>
      </c>
      <c r="E14" s="16">
        <f>SUMPRODUCT((Лист1!C$3:C$52="Рязань")*(Лист1!H$3:I$52="Wired Mat (80) 80 мм")*Лист1!J$3:K$52)-I14</f>
        <v>0</v>
      </c>
      <c r="F14" s="16">
        <f>SUMPRODUCT((Лист1!C$3:C$52="Ярославль")*(Лист1!H$3:I$52="Wired Mat (80) 80 мм")*Лист1!J$3:K$52)</f>
        <v>0</v>
      </c>
      <c r="G14" s="16">
        <f>SUMPRODUCT((Лист1!C$3:C$52="Тюмень")*(Лист1!H$3:I$52="Wired Mat (80) 80 мм")*Лист1!J$3:K$52)</f>
        <v>0</v>
      </c>
      <c r="I14" s="17">
        <f>SUMPRODUCT((Лист1!B$3:B$52="Рязань")*(Лист1!H$3:I$52="Wired Mat (80) 80 мм")*Лист1!J$3:K$52)</f>
        <v>0</v>
      </c>
      <c r="J14" s="17">
        <f>SUMPRODUCT((Лист1!B$3:B$52="Железнодорожный")*(Лист1!H$3:I$52="Wired Mat (80) 80 мм")*Лист1!J$3:K$52)</f>
        <v>0</v>
      </c>
    </row>
    <row r="15" spans="1:14" ht="18" x14ac:dyDescent="0.25">
      <c r="A15" s="10">
        <v>12</v>
      </c>
      <c r="B15" s="11" t="s">
        <v>33</v>
      </c>
      <c r="C15" s="19" t="s">
        <v>64</v>
      </c>
      <c r="D15" s="16">
        <f>SUMPRODUCT((Лист1!C$3:C$52="Орск")*(Лист1!H$3:I$52="Wired Mat (80) 90 мм")*Лист1!J$3:K$52)</f>
        <v>0</v>
      </c>
      <c r="E15" s="16">
        <f>SUMPRODUCT((Лист1!C$3:C$52="Рязань")*(Лист1!H$3:I$52="Wired Mat (80) 90 мм")*Лист1!J$3:K$52)-I15</f>
        <v>0</v>
      </c>
      <c r="F15" s="16">
        <f>SUMPRODUCT((Лист1!C$3:C$52="Ярославль")*(Лист1!H$3:I$52="Wired Mat (80) 90 мм")*Лист1!J$3:K$52)</f>
        <v>0</v>
      </c>
      <c r="G15" s="16">
        <f>SUMPRODUCT((Лист1!C$3:C$52="Тюмень")*(Лист1!H$3:I$52="Wired Mat (80) 90 мм")*Лист1!J$3:K$52)</f>
        <v>0</v>
      </c>
      <c r="I15" s="17">
        <f>SUMPRODUCT((Лист1!B$3:B$52="Рязань")*(Лист1!H$3:I$52="Wired Mat (80) 90 мм")*Лист1!J$3:K$52)</f>
        <v>0</v>
      </c>
      <c r="J15" s="17">
        <f>SUMPRODUCT((Лист1!B$3:B$52="Железнодорожный")*(Лист1!H$3:I$52="Wired Mat (80) 90 мм")*Лист1!J$3:K$52)</f>
        <v>0</v>
      </c>
    </row>
    <row r="16" spans="1:14" ht="18" x14ac:dyDescent="0.25">
      <c r="A16" s="10">
        <v>13</v>
      </c>
      <c r="B16" s="11" t="s">
        <v>34</v>
      </c>
      <c r="C16" s="19" t="s">
        <v>64</v>
      </c>
      <c r="D16" s="16">
        <f>SUMPRODUCT((Лист1!C$3:C$52="Орск")*(Лист1!H$3:I$52="Wired Mat (80) 100 мм")*Лист1!J$3:K$52)</f>
        <v>0</v>
      </c>
      <c r="E16" s="16">
        <f>SUMPRODUCT((Лист1!C$3:C$52="Рязань")*(Лист1!H$3:I$52="Wired Mat (80) 100 мм")*Лист1!J$3:K$52)-I16</f>
        <v>0</v>
      </c>
      <c r="F16" s="16">
        <f>SUMPRODUCT((Лист1!C$3:C$52="Ярославль")*(Лист1!H$3:I$52="Wired Mat (80) 100 мм")*Лист1!J$3:K$52)</f>
        <v>0</v>
      </c>
      <c r="G16" s="16">
        <f>SUMPRODUCT((Лист1!C$3:C$52="Тюмень")*(Лист1!H$3:I$52="Wired Mat (80) 100 мм")*Лист1!J$3:K$52)</f>
        <v>0</v>
      </c>
      <c r="I16" s="17">
        <f>SUMPRODUCT((Лист1!B$3:B$52="Рязань")*(Лист1!H$3:I$52="Wired Mat (80) 100 мм")*Лист1!J$3:K$52)</f>
        <v>0</v>
      </c>
      <c r="J16" s="17">
        <f>SUMPRODUCT((Лист1!B$3:B$52="Железнодорожный")*(Лист1!H$3:I$52="Wired Mat (80) 100 мм")*Лист1!J$3:K$52)</f>
        <v>0</v>
      </c>
    </row>
    <row r="17" spans="1:10" ht="18" x14ac:dyDescent="0.25">
      <c r="A17" s="13">
        <v>14</v>
      </c>
      <c r="B17" s="11" t="s">
        <v>77</v>
      </c>
      <c r="C17" s="19" t="s">
        <v>64</v>
      </c>
      <c r="D17" s="16">
        <f>SUMPRODUCT((Лист1!C$3:C$52="Орск")*(Лист1!H$3:I$52="Wired Mat (105) 60 мм")*Лист1!J$3:K$52)</f>
        <v>0</v>
      </c>
      <c r="E17" s="16">
        <f>SUMPRODUCT((Лист1!C$3:C$52="Рязань")*(Лист1!H$3:I$52="Wired Mat (105) 60 мм")*Лист1!J$3:K$52)-I17</f>
        <v>0</v>
      </c>
      <c r="F17" s="16">
        <f>SUMPRODUCT((Лист1!C$3:C$52="Ярославль")*(Лист1!H$3:I$52="Wired Mat (105) 60 мм")*Лист1!J$3:K$52)</f>
        <v>0</v>
      </c>
      <c r="G17" s="16">
        <f>SUMPRODUCT((Лист1!C$3:C$52="Тюмень")*(Лист1!H$3:I$52="Wired Mat (105) 60 мм")*Лист1!J$3:K$52)</f>
        <v>0</v>
      </c>
      <c r="I17" s="17">
        <f>SUMPRODUCT((Лист1!B$3:B$52="Рязань")*(Лист1!H$3:I$52="Wired Mat (105) 60 мм")*Лист1!J$3:K$52)</f>
        <v>0</v>
      </c>
      <c r="J17" s="17">
        <f>SUMPRODUCT((Лист1!B$3:B$52="Железнодорожный")*(Лист1!H$3:I$52="Wired Mat (105) 60 мм")*Лист1!J$3:K$52)</f>
        <v>0</v>
      </c>
    </row>
    <row r="18" spans="1:10" ht="18" x14ac:dyDescent="0.25">
      <c r="A18" s="13">
        <v>15</v>
      </c>
      <c r="B18" s="11" t="s">
        <v>78</v>
      </c>
      <c r="C18" s="19" t="s">
        <v>64</v>
      </c>
      <c r="D18" s="16">
        <f>SUMPRODUCT((Лист1!C$3:C$52="Орск")*(Лист1!H$3:I$52="Wired Mat (105) 80 мм")*Лист1!J$3:K$52)</f>
        <v>0</v>
      </c>
      <c r="E18" s="16">
        <f>SUMPRODUCT((Лист1!C$3:C$52="Рязань")*(Лист1!H$3:I$52="Wired Mat (105) 80 мм")*Лист1!J$3:K$52)-I18</f>
        <v>0</v>
      </c>
      <c r="F18" s="16">
        <f>SUMPRODUCT((Лист1!C$3:C$52="Ярославль")*(Лист1!H$3:I$52="Wired Mat (105) 80 мм")*Лист1!J$3:K$52)</f>
        <v>0</v>
      </c>
      <c r="G18" s="16">
        <f>SUMPRODUCT((Лист1!C$3:C$52="Тюмень")*(Лист1!H$3:I$52="Wired Mat (105) 80 мм")*Лист1!J$3:K$52)</f>
        <v>0</v>
      </c>
      <c r="I18" s="17">
        <f>SUMPRODUCT((Лист1!B$3:B$52="Рязань")*(Лист1!H$3:I$52="Wired Mat (105) 80 мм")*Лист1!J$3:K$52)</f>
        <v>0</v>
      </c>
      <c r="J18" s="17">
        <f>SUMPRODUCT((Лист1!B$3:B$52="Железнодорожный")*(Лист1!H$3:I$52="Wired Mat (105) 80 мм")*Лист1!J$3:K$52)</f>
        <v>0</v>
      </c>
    </row>
    <row r="19" spans="1:10" ht="18" x14ac:dyDescent="0.25">
      <c r="A19" s="13">
        <v>16</v>
      </c>
      <c r="B19" s="11" t="s">
        <v>79</v>
      </c>
      <c r="C19" s="19" t="s">
        <v>64</v>
      </c>
      <c r="D19" s="16">
        <f>SUMPRODUCT((Лист1!C$3:C$52="Орск")*(Лист1!H$3:I$52="Wired Mat (105) 100 мм")*Лист1!J$3:K$52)</f>
        <v>0</v>
      </c>
      <c r="E19" s="16">
        <f>SUMPRODUCT((Лист1!C$3:C$52="Рязань")*(Лист1!H$3:I$52="Wired Mat (105) 100 мм")*Лист1!J$3:K$52)-I19</f>
        <v>0</v>
      </c>
      <c r="F19" s="16">
        <f>SUMPRODUCT((Лист1!C$3:C$52="Ярославль")*(Лист1!H$3:I$52="Wired Mat (105) 100 мм")*Лист1!J$3:K$52)</f>
        <v>0</v>
      </c>
      <c r="G19" s="16">
        <f>SUMPRODUCT((Лист1!C$3:C$52="Тюмень")*(Лист1!H$3:I$52="Wired Mat (105) 100 мм")*Лист1!J$3:K$52)</f>
        <v>0</v>
      </c>
      <c r="I19" s="17">
        <f>SUMPRODUCT((Лист1!B$3:B$52="Рязань")*(Лист1!H$3:I$52="Wired Mat (105) 100 мм")*Лист1!J$3:K$52)</f>
        <v>0</v>
      </c>
      <c r="J19" s="17">
        <f>SUMPRODUCT((Лист1!B$3:B$52="Железнодорожный")*(Лист1!H$3:I$52="Wired Mat (105) 100 мм")*Лист1!J$3:K$52)</f>
        <v>0</v>
      </c>
    </row>
    <row r="20" spans="1:10" ht="18" x14ac:dyDescent="0.25">
      <c r="A20" s="13">
        <v>17</v>
      </c>
      <c r="B20" s="11" t="s">
        <v>35</v>
      </c>
      <c r="C20" s="19" t="s">
        <v>64</v>
      </c>
      <c r="D20" s="16">
        <f>SUMPRODUCT((Лист1!C$3:C$52="Орск")*(Лист1!H$3:I$52="Плита МП 60 мм")*Лист1!J$3:K$52)</f>
        <v>0</v>
      </c>
      <c r="E20" s="16">
        <f>SUMPRODUCT((Лист1!C$3:C$52="Рязань")*(Лист1!H$3:I$52="Плита МП 60 мм")*Лист1!J$3:K$52)-I20</f>
        <v>0</v>
      </c>
      <c r="F20" s="16">
        <f>SUMPRODUCT((Лист1!C$3:C$52="Ярославль")*(Лист1!H$3:I$52="Плита МП 60 мм")*Лист1!J$3:K$52)</f>
        <v>0</v>
      </c>
      <c r="G20" s="16">
        <f>SUMPRODUCT((Лист1!C$3:C$52="Тюмень")*(Лист1!H$3:I$52="Плита МП 60 мм")*Лист1!J$3:K$52)</f>
        <v>0</v>
      </c>
      <c r="I20" s="17">
        <f>SUMPRODUCT((Лист1!B$3:B$52="Рязань")*(Лист1!H$3:I$52="Плита МП 60 мм")*Лист1!J$3:K$52)</f>
        <v>0</v>
      </c>
      <c r="J20" s="17">
        <f>SUMPRODUCT((Лист1!B$3:B$52="Железнодорожный")*(Лист1!H$3:I$52="Плита МП 60 мм")*Лист1!J$3:K$52)</f>
        <v>0</v>
      </c>
    </row>
    <row r="21" spans="1:10" ht="18" x14ac:dyDescent="0.25">
      <c r="A21" s="13">
        <v>18</v>
      </c>
      <c r="B21" s="11" t="s">
        <v>36</v>
      </c>
      <c r="C21" s="19" t="s">
        <v>64</v>
      </c>
      <c r="D21" s="16">
        <f>SUMPRODUCT((Лист1!C$3:C$52="Орск")*(Лист1!H$3:I$52="Плита МП 80 мм")*Лист1!J$3:K$52)</f>
        <v>0</v>
      </c>
      <c r="E21" s="16">
        <f>SUMPRODUCT((Лист1!C$3:C$52="Рязань")*(Лист1!H$3:I$52="Плита МП 80 мм")*Лист1!J$3:K$52)-I21</f>
        <v>0</v>
      </c>
      <c r="F21" s="16">
        <f>SUMPRODUCT((Лист1!C$3:C$52="Ярославль")*(Лист1!H$3:I$52="Плита МП 80 мм")*Лист1!J$3:K$52)</f>
        <v>0</v>
      </c>
      <c r="G21" s="16">
        <f>SUMPRODUCT((Лист1!C$3:C$52="Тюмень")*(Лист1!H$3:I$52="Плита МП 80 мм")*Лист1!J$3:K$52)</f>
        <v>0</v>
      </c>
      <c r="I21" s="17">
        <f>SUMPRODUCT((Лист1!B$3:B$52="Рязань")*(Лист1!H$3:I$52="Плита МП 80 мм")*Лист1!J$3:K$52)</f>
        <v>0</v>
      </c>
      <c r="J21" s="17">
        <f>SUMPRODUCT((Лист1!B$3:B$52="Железнодорожный")*(Лист1!H$3:I$52="Плита МП 80 мм")*Лист1!J$3:K$52)</f>
        <v>0</v>
      </c>
    </row>
    <row r="22" spans="1:10" ht="18" x14ac:dyDescent="0.25">
      <c r="A22" s="13">
        <v>19</v>
      </c>
      <c r="B22" s="11" t="s">
        <v>37</v>
      </c>
      <c r="C22" s="19" t="s">
        <v>64</v>
      </c>
      <c r="D22" s="16">
        <f>SUMPRODUCT((Лист1!C$3:C$52="Орск")*(Лист1!H$3:I$52="Плита МП 100 мм")*Лист1!J$3:K$52)</f>
        <v>0</v>
      </c>
      <c r="E22" s="16">
        <f>SUMPRODUCT((Лист1!C$3:C$52="Рязань")*(Лист1!H$3:I$52="Плита МП 100 мм")*Лист1!J$3:K$52)-I22</f>
        <v>0</v>
      </c>
      <c r="F22" s="16">
        <f>SUMPRODUCT((Лист1!C$3:C$52="Ярославль")*(Лист1!H$3:I$52="Плита МП 100 мм")*Лист1!J$3:K$52)</f>
        <v>0</v>
      </c>
      <c r="G22" s="16">
        <f>SUMPRODUCT((Лист1!C$3:C$52="Тюмень")*(Лист1!H$3:I$52="Плита МП 100 мм")*Лист1!J$3:K$52)</f>
        <v>0</v>
      </c>
      <c r="I22" s="17">
        <f>SUMPRODUCT((Лист1!B$3:B$52="Рязань")*(Лист1!H$3:I$52="Плита МП 100 мм")*Лист1!J$3:K$52)</f>
        <v>0</v>
      </c>
      <c r="J22" s="17">
        <f>SUMPRODUCT((Лист1!B$3:B$52="Железнодорожный")*(Лист1!H$3:I$52="Плита МП 100 мм")*Лист1!J$3:K$52)</f>
        <v>0</v>
      </c>
    </row>
    <row r="23" spans="1:10" ht="18" x14ac:dyDescent="0.25">
      <c r="A23" s="13">
        <v>20</v>
      </c>
      <c r="B23" s="11" t="s">
        <v>38</v>
      </c>
      <c r="C23" s="19" t="s">
        <v>64</v>
      </c>
      <c r="D23" s="16">
        <f>SUMPRODUCT((Лист1!C$3:C$52="Орск")*(Лист1!H$3:I$52="Цилиндры")*Лист1!J$3:K$52)</f>
        <v>0</v>
      </c>
      <c r="E23" s="16">
        <f>SUMPRODUCT((Лист1!C$3:C$52="Рязань")*(Лист1!H$3:I$52="Цилиндры")*Лист1!J$3:K$52)-I23</f>
        <v>0</v>
      </c>
      <c r="F23" s="16">
        <f>SUMPRODUCT((Лист1!C$3:C$52="Ярославль")*(Лист1!H$3:I$52="Цилиндры")*Лист1!J$3:K$52)</f>
        <v>0</v>
      </c>
      <c r="G23" s="16">
        <f>SUMPRODUCT((Лист1!C$3:C$52="Тюмень")*(Лист1!H$3:I$52="Цилиндры")*Лист1!J$3:K$52)</f>
        <v>0</v>
      </c>
      <c r="I23" s="17">
        <f>SUMPRODUCT((Лист1!B$3:B$52="Рязань")*(Лист1!H$3:I$52="Цилиндры")*Лист1!J$3:K$52)</f>
        <v>0</v>
      </c>
      <c r="J23" s="17">
        <f>SUMPRODUCT((Лист1!B$3:B$52="Железнодорожный")*(Лист1!H$3:I$52="Цилиндры")*Лист1!J$3:K$52)</f>
        <v>0</v>
      </c>
    </row>
    <row r="24" spans="1:10" ht="18" x14ac:dyDescent="0.25">
      <c r="A24" s="13">
        <v>21</v>
      </c>
      <c r="B24" s="11" t="s">
        <v>39</v>
      </c>
      <c r="C24" s="19" t="s">
        <v>64</v>
      </c>
      <c r="D24" s="16">
        <f>SUMPRODUCT((Лист1!C$3:C$52="Орск")*(Лист1!H$3:I$52="ХПС")*Лист1!J$3:K$52)</f>
        <v>0</v>
      </c>
      <c r="E24" s="16">
        <f>SUMPRODUCT((Лист1!C$3:C$52="Рязань")*(Лист1!H$3:I$52="ХПС")*Лист1!J$3:K$52)-I24</f>
        <v>0</v>
      </c>
      <c r="F24" s="16">
        <f>SUMPRODUCT((Лист1!C$3:C$52="Ярославль")*(Лист1!H$3:I$52="ХПС")*Лист1!J$3:K$52)</f>
        <v>0</v>
      </c>
      <c r="G24" s="16">
        <f>SUMPRODUCT((Лист1!C$3:C$52="Тюмень")*(Лист1!H$3:I$52="ХПС")*Лист1!J$3:K$52)</f>
        <v>0</v>
      </c>
      <c r="I24" s="17">
        <f>SUMPRODUCT((Лист1!B$3:B$52="Рязань")*(Лист1!H$3:I$52="ХПС")*Лист1!J$3:K$52)</f>
        <v>0</v>
      </c>
      <c r="J24" s="17">
        <f>SUMPRODUCT((Лист1!B$3:B$52="Железнодорожный")*(Лист1!H$3:I$52="ХПС")*Лист1!J$3:K$52)</f>
        <v>0</v>
      </c>
    </row>
    <row r="25" spans="1:10" x14ac:dyDescent="0.25">
      <c r="A25" s="13">
        <v>22</v>
      </c>
      <c r="B25" s="11" t="s">
        <v>42</v>
      </c>
      <c r="C25" s="19" t="s">
        <v>69</v>
      </c>
      <c r="D25" s="16">
        <f>SUMPRODUCT((Лист1!C$3:C$52="Орск")*(Лист1!H$3:I$52="Алюминий АД1Н 0,5 мм")*Лист1!J$3:K$52)</f>
        <v>0</v>
      </c>
      <c r="E25" s="16">
        <f>SUMPRODUCT((Лист1!C$3:C$52="Рязань")*(Лист1!H$3:I$52="Алюминий АД1Н 0,5 мм")*Лист1!J$3:K$52)-I25</f>
        <v>0</v>
      </c>
      <c r="F25" s="16">
        <f>SUMPRODUCT((Лист1!C$3:C$52="Ярославль")*(Лист1!H$3:I$52="Алюминий АД1Н 0,5 мм")*Лист1!J$3:K$52)</f>
        <v>0</v>
      </c>
      <c r="G25" s="16">
        <f>SUMPRODUCT((Лист1!C$3:C$52="Тюмень")*(Лист1!H$3:I$52="Алюминий АД1Н 0,5 мм")*Лист1!J$3:K$52)</f>
        <v>0</v>
      </c>
      <c r="I25" s="17">
        <f>SUMPRODUCT((Лист1!B$3:B$52="Рязань")*(Лист1!H$3:I$52="Алюминий АД1Н 0,5 мм")*Лист1!J$3:K$52)</f>
        <v>0</v>
      </c>
      <c r="J25" s="17">
        <f>SUMPRODUCT((Лист1!B$3:B$52="Железнодорожный")*(Лист1!H$3:I$52="Алюминий АД1Н 0,5 мм")*Лист1!J$3:K$52)</f>
        <v>0</v>
      </c>
    </row>
    <row r="26" spans="1:10" x14ac:dyDescent="0.25">
      <c r="A26" s="13">
        <v>23</v>
      </c>
      <c r="B26" s="11" t="s">
        <v>43</v>
      </c>
      <c r="C26" s="19" t="s">
        <v>69</v>
      </c>
      <c r="D26" s="16">
        <f>SUMPRODUCT((Лист1!C$3:C$52="Орск")*(Лист1!H$3:I$52="Алюминий АД1Н 0,8 мм")*Лист1!J$3:K$52)</f>
        <v>0</v>
      </c>
      <c r="E26" s="16">
        <f>SUMPRODUCT((Лист1!C$3:C$52="Рязань")*(Лист1!H$3:I$52="Алюминий АД1Н 0,8 мм")*Лист1!J$3:K$52)-I26</f>
        <v>0</v>
      </c>
      <c r="F26" s="16">
        <f>SUMPRODUCT((Лист1!C$3:C$52="Ярославль")*(Лист1!H$3:I$52="Алюминий АД1Н 0,8 мм")*Лист1!J$3:K$52)</f>
        <v>0</v>
      </c>
      <c r="G26" s="16">
        <f>SUMPRODUCT((Лист1!C$3:C$52="Тюмень")*(Лист1!H$3:I$52="Алюминий АД1Н 0,8 мм")*Лист1!J$3:K$52)</f>
        <v>0</v>
      </c>
      <c r="I26" s="17">
        <f>SUMPRODUCT((Лист1!B$3:B$52="Рязань")*(Лист1!H$3:I$52="Алюминий АД1Н 0,8 мм")*Лист1!J$3:K$52)</f>
        <v>0</v>
      </c>
      <c r="J26" s="17">
        <f>SUMPRODUCT((Лист1!B$3:B$52="Железнодорожный")*(Лист1!H$3:I$52="Алюминий АД1Н 0,8 мм")*Лист1!J$3:K$52)</f>
        <v>0</v>
      </c>
    </row>
    <row r="27" spans="1:10" x14ac:dyDescent="0.25">
      <c r="A27" s="13">
        <v>24</v>
      </c>
      <c r="B27" s="11" t="s">
        <v>44</v>
      </c>
      <c r="C27" s="19" t="s">
        <v>69</v>
      </c>
      <c r="D27" s="16">
        <f>SUMPRODUCT((Лист1!C$3:C$52="Орск")*(Лист1!H$3:I$52="Алюминий АД1Н 1,0 мм")*Лист1!J$3:K$52)</f>
        <v>0</v>
      </c>
      <c r="E27" s="16">
        <f>SUMPRODUCT((Лист1!C$3:C$52="Рязань")*(Лист1!H$3:I$52="Алюминий АД1Н 1,0 мм")*Лист1!J$3:K$52)-I27</f>
        <v>0</v>
      </c>
      <c r="F27" s="16">
        <f>SUMPRODUCT((Лист1!C$3:C$52="Ярославль")*(Лист1!H$3:I$52="Алюминий АД1Н 1,0 мм")*Лист1!J$3:K$52)</f>
        <v>0</v>
      </c>
      <c r="G27" s="16">
        <f>SUMPRODUCT((Лист1!C$3:C$52="Тюмень")*(Лист1!H$3:I$52="Алюминий АД1Н 1,0 мм")*Лист1!J$3:K$52)</f>
        <v>0</v>
      </c>
      <c r="I27" s="17">
        <f>SUMPRODUCT((Лист1!B$3:B$52="Рязань")*(Лист1!H$3:I$52="Алюминий АД1Н 1,0 мм")*Лист1!J$3:K$52)</f>
        <v>0</v>
      </c>
      <c r="J27" s="17">
        <f>SUMPRODUCT((Лист1!B$3:B$52="Железнодорожный")*(Лист1!H$3:I$52="Алюминий АД1Н 1,0 мм")*Лист1!J$3:K$52)</f>
        <v>0</v>
      </c>
    </row>
    <row r="28" spans="1:10" x14ac:dyDescent="0.25">
      <c r="A28" s="13">
        <v>25</v>
      </c>
      <c r="B28" s="11" t="s">
        <v>66</v>
      </c>
      <c r="C28" s="19" t="s">
        <v>69</v>
      </c>
      <c r="D28" s="16">
        <f>SUMPRODUCT((Лист1!C$3:C$52="Орск")*(Лист1!H$3:I$52="Оцинкованная сталь 0,5 мм")*Лист1!J$3:K$52)</f>
        <v>0</v>
      </c>
      <c r="E28" s="16">
        <f>SUMPRODUCT((Лист1!C$3:C$52="Рязань")*(Лист1!H$3:I$52="Оцинкованная сталь 0,5 мм")*Лист1!J$3:K$52)-I28</f>
        <v>0</v>
      </c>
      <c r="F28" s="16">
        <f>SUMPRODUCT((Лист1!C$3:C$52="Ярославль")*(Лист1!H$3:I$52="Оцинкованная сталь 0,5 мм")*Лист1!J$3:K$52)</f>
        <v>0</v>
      </c>
      <c r="G28" s="16">
        <f>SUMPRODUCT((Лист1!C$3:C$52="Тюмень")*(Лист1!H$3:I$52="Оцинкованная сталь 0,5 мм")*Лист1!J$3:K$52)</f>
        <v>0</v>
      </c>
      <c r="I28" s="17">
        <f>SUMPRODUCT((Лист1!B$3:B$52="Рязань")*(Лист1!H$3:I$52="Оцинкованная сталь 0,5 мм")*Лист1!J$3:K$52)</f>
        <v>0</v>
      </c>
      <c r="J28" s="17">
        <f>SUMPRODUCT((Лист1!B$3:B$52="Железнодорожный")*(Лист1!H$3:I$52="Оцинкованная сталь 0,5 мм")*Лист1!J$3:K$52)</f>
        <v>0</v>
      </c>
    </row>
    <row r="29" spans="1:10" x14ac:dyDescent="0.25">
      <c r="A29" s="13">
        <v>26</v>
      </c>
      <c r="B29" s="11" t="s">
        <v>67</v>
      </c>
      <c r="C29" s="19" t="s">
        <v>69</v>
      </c>
      <c r="D29" s="16">
        <f>SUMPRODUCT((Лист1!C$3:C$52="Орск")*(Лист1!H$3:I$52="Оцинкованная сталь 0,8 мм")*Лист1!J$3:K$52)</f>
        <v>0</v>
      </c>
      <c r="E29" s="16">
        <f>SUMPRODUCT((Лист1!C$3:C$52="Рязань")*(Лист1!H$3:I$52="Оцинкованная сталь 0,8 мм")*Лист1!J$3:K$52)-I29</f>
        <v>0</v>
      </c>
      <c r="F29" s="16">
        <f>SUMPRODUCT((Лист1!C$3:C$52="Ярославль")*(Лист1!H$3:I$52="Оцинкованная сталь 0,8 мм")*Лист1!J$3:K$52)</f>
        <v>0</v>
      </c>
      <c r="G29" s="16">
        <f>SUMPRODUCT((Лист1!C$3:C$52="Тюмень")*(Лист1!H$3:I$52="Оцинкованная сталь 0,8 мм")*Лист1!J$3:K$52)</f>
        <v>0</v>
      </c>
      <c r="I29" s="17">
        <f>SUMPRODUCT((Лист1!B$3:B$52="Рязань")*(Лист1!H$3:I$52="Оцинкованная сталь 0,8 мм")*Лист1!J$3:K$52)</f>
        <v>0</v>
      </c>
      <c r="J29" s="17">
        <f>SUMPRODUCT((Лист1!B$3:B$52="Железнодорожный")*(Лист1!H$3:I$52="Оцинкованная сталь 0,8 мм")*Лист1!J$3:K$52)</f>
        <v>0</v>
      </c>
    </row>
    <row r="30" spans="1:10" x14ac:dyDescent="0.25">
      <c r="A30" s="13">
        <v>27</v>
      </c>
      <c r="B30" s="11" t="s">
        <v>68</v>
      </c>
      <c r="C30" s="19" t="s">
        <v>69</v>
      </c>
      <c r="D30" s="16">
        <f>SUMPRODUCT((Лист1!C$3:C$52="Орск")*(Лист1!H$3:I$52="Оцинкованная сталь 1,0 мм")*Лист1!J$3:K$52)</f>
        <v>0</v>
      </c>
      <c r="E30" s="16">
        <f>SUMPRODUCT((Лист1!C$3:C$52="Рязань")*(Лист1!H$3:I$52="Оцинкованная сталь 1,0 мм")*Лист1!J$3:K$52)-I30</f>
        <v>0</v>
      </c>
      <c r="F30" s="16">
        <f>SUMPRODUCT((Лист1!C$3:C$52="Ярославль")*(Лист1!H$3:I$52="Оцинкованная сталь 1,0 мм")*Лист1!J$3:K$52)</f>
        <v>0</v>
      </c>
      <c r="G30" s="16">
        <f>SUMPRODUCT((Лист1!C$3:C$52="Тюмень")*(Лист1!H$3:I$52="Оцинкованная сталь 1,0 мм")*Лист1!J$3:K$52)</f>
        <v>0</v>
      </c>
      <c r="I30" s="17">
        <f>SUMPRODUCT((Лист1!B$3:B$52="Рязань")*(Лист1!H$3:I$52="Оцинкованная сталь 1,0 мм")*Лист1!J$3:K$52)</f>
        <v>0</v>
      </c>
      <c r="J30" s="17">
        <f>SUMPRODUCT((Лист1!B$3:B$52="Железнодорожный")*(Лист1!H$3:I$52="Оцинкованная сталь 1,0 мм")*Лист1!J$3:K$52)</f>
        <v>0</v>
      </c>
    </row>
    <row r="31" spans="1:10" ht="18" x14ac:dyDescent="0.25">
      <c r="A31" s="13">
        <v>28</v>
      </c>
      <c r="B31" s="11" t="s">
        <v>65</v>
      </c>
      <c r="C31" s="19" t="s">
        <v>70</v>
      </c>
      <c r="D31" s="16">
        <f>SUMPRODUCT((Лист1!C$3:C$52="Орск")*(Лист1!H$3:I$52="Фольматкань")*Лист1!J$3:K$52)</f>
        <v>0</v>
      </c>
      <c r="E31" s="16">
        <f>SUMPRODUCT((Лист1!C$3:C$52="Рязань")*(Лист1!H$3:I$52="Фольматкань")*Лист1!J$3:K$52)-I31</f>
        <v>0</v>
      </c>
      <c r="F31" s="16">
        <f>SUMPRODUCT((Лист1!C$3:C$52="Ярославль")*(Лист1!H$3:I$52="Фольматкань")*Лист1!J$3:K$52)</f>
        <v>0</v>
      </c>
      <c r="G31" s="16">
        <f>SUMPRODUCT((Лист1!C$3:C$52="Тюмень")*(Лист1!H$3:I$52="Фольматкань")*Лист1!J$3:K$52)</f>
        <v>0</v>
      </c>
      <c r="I31" s="17">
        <f>SUMPRODUCT((Лист1!B$3:B$52="Рязань")*(Лист1!H$3:I$52="Фольматкань")*Лист1!J$3:K$52)</f>
        <v>0</v>
      </c>
      <c r="J31" s="17">
        <f>SUMPRODUCT((Лист1!B$3:B$52="Железнодорожный")*(Лист1!H$3:I$52="Фольматкань")*Лист1!J$3:K$52)</f>
        <v>0</v>
      </c>
    </row>
    <row r="32" spans="1:10" x14ac:dyDescent="0.25">
      <c r="A32" s="13">
        <v>29</v>
      </c>
      <c r="B32" s="11" t="s">
        <v>58</v>
      </c>
      <c r="C32" s="19"/>
      <c r="D32" s="16">
        <f>SUMPRODUCT((Лист1!C$3:C$52="Орск")*(Лист1!H$3:I$52="Прочие")*Лист1!J$3:K$52)</f>
        <v>0</v>
      </c>
      <c r="E32" s="16">
        <f>SUMPRODUCT((Лист1!C$3:C$52="Рязань")*(Лист1!H$3:I$52="Прочие")*Лист1!J$3:K$52)-I32</f>
        <v>0</v>
      </c>
      <c r="F32" s="16">
        <f>SUMPRODUCT((Лист1!C$3:C$52="Ярославль")*(Лист1!H$3:I$52="Прочие")*Лист1!J$3:K$52)</f>
        <v>0</v>
      </c>
      <c r="G32" s="16">
        <f>SUMPRODUCT((Лист1!C$3:C$52="Тюмень")*(Лист1!H$3:I$52="Прочие")*Лист1!J$3:K$52)</f>
        <v>0</v>
      </c>
      <c r="I32" s="17">
        <f>SUMPRODUCT((Лист1!B$3:B$52="Рязань")*(Лист1!H$3:I$52="Прочие")*Лист1!J$3:K$52)</f>
        <v>0</v>
      </c>
      <c r="J32" s="17">
        <f>SUMPRODUCT((Лист1!B$3:B$52="Железнодорожный")*(Лист1!H$3:I$52="Прочие")*Лист1!J$3:K$52)</f>
        <v>0</v>
      </c>
    </row>
    <row r="35" spans="1:4" x14ac:dyDescent="0.25">
      <c r="B35" s="8" t="s">
        <v>46</v>
      </c>
      <c r="C35" s="8" t="s">
        <v>85</v>
      </c>
      <c r="D35" s="8" t="s">
        <v>86</v>
      </c>
    </row>
    <row r="36" spans="1:4" x14ac:dyDescent="0.2">
      <c r="A36" s="8">
        <v>1</v>
      </c>
      <c r="B36" s="5" t="s">
        <v>16</v>
      </c>
      <c r="C36" s="1">
        <f>SUMIF(Лист1!$D$3:$D$52,"ВольновсА.",Лист1!$E$3:$E$52)</f>
        <v>0</v>
      </c>
    </row>
    <row r="37" spans="1:4" x14ac:dyDescent="0.2">
      <c r="A37" s="8">
        <v>2</v>
      </c>
      <c r="B37" s="7" t="s">
        <v>2</v>
      </c>
      <c r="C37" s="1">
        <f>SUMIF(Лист1!$D$3:$D$52,"Трифонов А.",Лист1!$E$3:$E$52)</f>
        <v>1733</v>
      </c>
    </row>
    <row r="38" spans="1:4" x14ac:dyDescent="0.2">
      <c r="A38" s="8">
        <v>3</v>
      </c>
      <c r="B38" s="7" t="s">
        <v>0</v>
      </c>
      <c r="C38" s="1">
        <f>SUMIF(Лист1!$D$3:$D$52,"Трифонов А.",Лист1!$E$3:$E$52)</f>
        <v>1733</v>
      </c>
    </row>
    <row r="39" spans="1:4" x14ac:dyDescent="0.2">
      <c r="A39" s="8">
        <v>4</v>
      </c>
      <c r="B39" s="7" t="s">
        <v>1</v>
      </c>
      <c r="C39" s="1">
        <f>SUMIF(Лист1!$D$3:$D$52,"Трифонов А.",Лист1!$E$3:$E$52)</f>
        <v>1733</v>
      </c>
    </row>
  </sheetData>
  <mergeCells count="5">
    <mergeCell ref="B2:B3"/>
    <mergeCell ref="A2:A3"/>
    <mergeCell ref="D2:G2"/>
    <mergeCell ref="A1:G1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2017-04-12T09:59:13Z</dcterms:modified>
</cp:coreProperties>
</file>