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 activeTab="1"/>
  </bookViews>
  <sheets>
    <sheet name="График отпусков" sheetId="5" r:id="rId1"/>
    <sheet name="Сетевой график" sheetId="3" r:id="rId2"/>
  </sheets>
  <definedNames>
    <definedName name="_xlnm._FilterDatabase" localSheetId="1" hidden="1">'Сетевой график'!$A$1:$AB$24</definedName>
    <definedName name="NameCount">'График отпусков'!$P$4:$P$63</definedName>
    <definedName name="NameList">'График отпусков'!$P$4:$Q$63</definedName>
  </definedNames>
  <calcPr calcId="152511"/>
</workbook>
</file>

<file path=xl/calcChain.xml><?xml version="1.0" encoding="utf-8"?>
<calcChain xmlns="http://schemas.openxmlformats.org/spreadsheetml/2006/main">
  <c r="N24" i="3" l="1"/>
  <c r="O24" i="3" s="1"/>
  <c r="E8" i="5"/>
  <c r="G24" i="3" l="1"/>
  <c r="S49" i="5"/>
  <c r="A1" i="3" l="1"/>
  <c r="K24" i="3" l="1"/>
  <c r="S60" i="5"/>
  <c r="S61" i="5"/>
  <c r="S62" i="5"/>
  <c r="S63" i="5"/>
  <c r="S59" i="5"/>
  <c r="S55" i="5"/>
  <c r="S56" i="5"/>
  <c r="S57" i="5"/>
  <c r="S58" i="5"/>
  <c r="S54" i="5"/>
  <c r="S51" i="5"/>
  <c r="S52" i="5"/>
  <c r="S53" i="5"/>
  <c r="S50" i="5"/>
  <c r="S45" i="5"/>
  <c r="S46" i="5"/>
  <c r="S47" i="5"/>
  <c r="S48" i="5"/>
  <c r="S44" i="5"/>
  <c r="L24" i="3"/>
  <c r="P24" i="3" s="1"/>
  <c r="R55" i="5"/>
  <c r="R57" i="5"/>
  <c r="R52" i="5"/>
  <c r="R46" i="5"/>
  <c r="R47" i="5"/>
  <c r="Q60" i="5"/>
  <c r="Q61" i="5"/>
  <c r="Q62" i="5"/>
  <c r="Q63" i="5"/>
  <c r="Q59" i="5"/>
  <c r="Q55" i="5"/>
  <c r="Q56" i="5"/>
  <c r="Q57" i="5"/>
  <c r="Q58" i="5"/>
  <c r="Q54" i="5"/>
  <c r="Q50" i="5"/>
  <c r="Q51" i="5"/>
  <c r="Q52" i="5"/>
  <c r="Q53" i="5"/>
  <c r="Q49" i="5"/>
  <c r="Q45" i="5"/>
  <c r="Q46" i="5"/>
  <c r="Q47" i="5"/>
  <c r="Q48" i="5"/>
  <c r="Q44" i="5"/>
  <c r="M24" i="3" l="1"/>
  <c r="T47" i="5"/>
  <c r="T57" i="5"/>
  <c r="T55" i="5"/>
  <c r="T46" i="5"/>
  <c r="T52" i="5"/>
  <c r="S40" i="5"/>
  <c r="S41" i="5"/>
  <c r="S42" i="5"/>
  <c r="S43" i="5"/>
  <c r="S39" i="5"/>
  <c r="S35" i="5"/>
  <c r="S36" i="5"/>
  <c r="S37" i="5"/>
  <c r="S38" i="5"/>
  <c r="S34" i="5"/>
  <c r="S30" i="5"/>
  <c r="S31" i="5"/>
  <c r="S32" i="5"/>
  <c r="S33" i="5"/>
  <c r="S29" i="5"/>
  <c r="S25" i="5"/>
  <c r="S26" i="5"/>
  <c r="S27" i="5"/>
  <c r="S28" i="5"/>
  <c r="S24" i="5"/>
  <c r="N1" i="5"/>
  <c r="R41" i="5"/>
  <c r="R42" i="5"/>
  <c r="R37" i="5"/>
  <c r="R30" i="5"/>
  <c r="R32" i="5"/>
  <c r="R25" i="5"/>
  <c r="R26" i="5"/>
  <c r="R27" i="5"/>
  <c r="Q40" i="5"/>
  <c r="Q41" i="5"/>
  <c r="Q42" i="5"/>
  <c r="Q43" i="5"/>
  <c r="Q39" i="5"/>
  <c r="Q35" i="5"/>
  <c r="Q36" i="5"/>
  <c r="Q37" i="5"/>
  <c r="Q38" i="5"/>
  <c r="Q34" i="5"/>
  <c r="Q30" i="5"/>
  <c r="Q31" i="5"/>
  <c r="Q32" i="5"/>
  <c r="Q33" i="5"/>
  <c r="Q29" i="5"/>
  <c r="Q25" i="5"/>
  <c r="Q26" i="5"/>
  <c r="Q27" i="5"/>
  <c r="Q28" i="5"/>
  <c r="Q24" i="5"/>
  <c r="R20" i="5"/>
  <c r="R21" i="5"/>
  <c r="R22" i="5"/>
  <c r="R16" i="5"/>
  <c r="R17" i="5"/>
  <c r="R5" i="5"/>
  <c r="R6" i="5"/>
  <c r="T26" i="5" l="1"/>
  <c r="T32" i="5"/>
  <c r="T30" i="5"/>
  <c r="T41" i="5"/>
  <c r="T27" i="5"/>
  <c r="T25" i="5"/>
  <c r="T37" i="5"/>
  <c r="T42" i="5"/>
  <c r="J24" i="5"/>
  <c r="B2" i="5"/>
  <c r="R63" i="5"/>
  <c r="J17" i="5"/>
  <c r="J10" i="5"/>
  <c r="J3" i="5"/>
  <c r="R45" i="5" s="1"/>
  <c r="T45" i="5" s="1"/>
  <c r="F24" i="5"/>
  <c r="B17" i="5"/>
  <c r="R18" i="5" s="1"/>
  <c r="B3" i="5"/>
  <c r="F3" i="5"/>
  <c r="R24" i="5" s="1"/>
  <c r="B10" i="5"/>
  <c r="B24" i="5"/>
  <c r="R23" i="5" s="1"/>
  <c r="F17" i="5"/>
  <c r="R36" i="5" s="1"/>
  <c r="T36" i="5" s="1"/>
  <c r="F10" i="5"/>
  <c r="Q14" i="5"/>
  <c r="S14" i="5"/>
  <c r="Q15" i="5"/>
  <c r="S15" i="5"/>
  <c r="Q16" i="5"/>
  <c r="S16" i="5"/>
  <c r="Q17" i="5"/>
  <c r="S17" i="5"/>
  <c r="Q18" i="5"/>
  <c r="S18" i="5"/>
  <c r="Q19" i="5"/>
  <c r="S19" i="5"/>
  <c r="Q20" i="5"/>
  <c r="S20" i="5"/>
  <c r="Q21" i="5"/>
  <c r="S21" i="5"/>
  <c r="Q22" i="5"/>
  <c r="S22" i="5"/>
  <c r="Q23" i="5"/>
  <c r="S23" i="5"/>
  <c r="Q9" i="5"/>
  <c r="S9" i="5"/>
  <c r="Q10" i="5"/>
  <c r="S10" i="5"/>
  <c r="Q11" i="5"/>
  <c r="S11" i="5"/>
  <c r="Q12" i="5"/>
  <c r="S12" i="5"/>
  <c r="Q13" i="5"/>
  <c r="S13" i="5"/>
  <c r="S5" i="5"/>
  <c r="S6" i="5"/>
  <c r="S7" i="5"/>
  <c r="S8" i="5"/>
  <c r="S4" i="5"/>
  <c r="Q5" i="5"/>
  <c r="Q6" i="5"/>
  <c r="Q7" i="5"/>
  <c r="Q8" i="5"/>
  <c r="Q4" i="5"/>
  <c r="L22" i="3" l="1"/>
  <c r="L23" i="3"/>
  <c r="R11" i="5"/>
  <c r="T11" i="5" s="1"/>
  <c r="R12" i="5"/>
  <c r="T12" i="5" s="1"/>
  <c r="R60" i="5"/>
  <c r="T60" i="5" s="1"/>
  <c r="R61" i="5"/>
  <c r="T61" i="5" s="1"/>
  <c r="K21" i="3" s="1"/>
  <c r="R50" i="5"/>
  <c r="T50" i="5" s="1"/>
  <c r="K16" i="3" s="1"/>
  <c r="R51" i="5"/>
  <c r="T51" i="5" s="1"/>
  <c r="R62" i="5"/>
  <c r="T62" i="5" s="1"/>
  <c r="R59" i="5"/>
  <c r="T59" i="5" s="1"/>
  <c r="R39" i="5"/>
  <c r="T39" i="5" s="1"/>
  <c r="K14" i="3" s="1"/>
  <c r="R40" i="5"/>
  <c r="T40" i="5" s="1"/>
  <c r="R9" i="5"/>
  <c r="T9" i="5" s="1"/>
  <c r="R10" i="5"/>
  <c r="T10" i="5" s="1"/>
  <c r="K15" i="3" s="1"/>
  <c r="R56" i="5"/>
  <c r="T56" i="5" s="1"/>
  <c r="R54" i="5"/>
  <c r="T54" i="5" s="1"/>
  <c r="R29" i="5"/>
  <c r="T29" i="5" s="1"/>
  <c r="R31" i="5"/>
  <c r="T31" i="5" s="1"/>
  <c r="T24" i="5"/>
  <c r="P23" i="5"/>
  <c r="O23" i="5" s="1"/>
  <c r="T22" i="5"/>
  <c r="P22" i="5"/>
  <c r="O22" i="5" s="1"/>
  <c r="T21" i="5"/>
  <c r="P21" i="5"/>
  <c r="O21" i="5" s="1"/>
  <c r="T20" i="5"/>
  <c r="P20" i="5"/>
  <c r="O20" i="5" s="1"/>
  <c r="T17" i="5"/>
  <c r="P17" i="5"/>
  <c r="O17" i="5" s="1"/>
  <c r="T16" i="5"/>
  <c r="P16" i="5"/>
  <c r="O16" i="5" s="1"/>
  <c r="P41" i="5"/>
  <c r="O41" i="5" s="1"/>
  <c r="P25" i="5"/>
  <c r="O25" i="5" s="1"/>
  <c r="P27" i="5"/>
  <c r="O27" i="5" s="1"/>
  <c r="T6" i="5"/>
  <c r="P6" i="5"/>
  <c r="O6" i="5" s="1"/>
  <c r="P4" i="5"/>
  <c r="O4" i="5" s="1"/>
  <c r="P46" i="5"/>
  <c r="O46" i="5" s="1"/>
  <c r="P52" i="5"/>
  <c r="O52" i="5" s="1"/>
  <c r="P47" i="5"/>
  <c r="O47" i="5" s="1"/>
  <c r="P44" i="5"/>
  <c r="O44" i="5" s="1"/>
  <c r="P57" i="5"/>
  <c r="O57" i="5" s="1"/>
  <c r="P55" i="5"/>
  <c r="O55" i="5" s="1"/>
  <c r="T5" i="5"/>
  <c r="P5" i="5"/>
  <c r="O5" i="5" s="1"/>
  <c r="P37" i="5"/>
  <c r="O37" i="5" s="1"/>
  <c r="P42" i="5"/>
  <c r="O42" i="5" s="1"/>
  <c r="P30" i="5"/>
  <c r="O30" i="5" s="1"/>
  <c r="P32" i="5"/>
  <c r="O32" i="5" s="1"/>
  <c r="P26" i="5"/>
  <c r="O26" i="5" s="1"/>
  <c r="R34" i="5"/>
  <c r="R35" i="5"/>
  <c r="T35" i="5" s="1"/>
  <c r="L4" i="3"/>
  <c r="R48" i="5"/>
  <c r="T18" i="5"/>
  <c r="L3" i="3"/>
  <c r="R4" i="5"/>
  <c r="R7" i="5"/>
  <c r="T63" i="5"/>
  <c r="L20" i="3"/>
  <c r="R14" i="5"/>
  <c r="R15" i="5"/>
  <c r="L21" i="3"/>
  <c r="L17" i="3"/>
  <c r="L13" i="3"/>
  <c r="L9" i="3"/>
  <c r="L5" i="3"/>
  <c r="L18" i="3"/>
  <c r="L14" i="3"/>
  <c r="L10" i="3"/>
  <c r="L6" i="3"/>
  <c r="L19" i="3"/>
  <c r="L15" i="3"/>
  <c r="L11" i="3"/>
  <c r="L7" i="3"/>
  <c r="L16" i="3"/>
  <c r="L12" i="3"/>
  <c r="L8" i="3"/>
  <c r="R58" i="5"/>
  <c r="R49" i="5"/>
  <c r="T49" i="5" s="1"/>
  <c r="K10" i="3" s="1"/>
  <c r="R53" i="5"/>
  <c r="R44" i="5"/>
  <c r="R28" i="5"/>
  <c r="T23" i="5"/>
  <c r="R43" i="5"/>
  <c r="R19" i="5"/>
  <c r="R33" i="5"/>
  <c r="R38" i="5"/>
  <c r="R8" i="5"/>
  <c r="R13" i="5"/>
  <c r="A24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M10" i="3" l="1"/>
  <c r="K22" i="3"/>
  <c r="M22" i="3" s="1"/>
  <c r="M21" i="3"/>
  <c r="M14" i="3"/>
  <c r="M15" i="3"/>
  <c r="M16" i="3"/>
  <c r="K5" i="3"/>
  <c r="M5" i="3" s="1"/>
  <c r="T34" i="5"/>
  <c r="K11" i="3" s="1"/>
  <c r="M11" i="3" s="1"/>
  <c r="P7" i="5"/>
  <c r="T48" i="5"/>
  <c r="T15" i="5"/>
  <c r="K23" i="3" s="1"/>
  <c r="M23" i="3" s="1"/>
  <c r="T4" i="5"/>
  <c r="K8" i="3" s="1"/>
  <c r="M8" i="3" s="1"/>
  <c r="T43" i="5"/>
  <c r="T28" i="5"/>
  <c r="T58" i="5"/>
  <c r="T13" i="5"/>
  <c r="T14" i="5"/>
  <c r="T7" i="5"/>
  <c r="K12" i="3" s="1"/>
  <c r="M12" i="3" s="1"/>
  <c r="T19" i="5"/>
  <c r="T53" i="5"/>
  <c r="T33" i="5"/>
  <c r="K9" i="3" s="1"/>
  <c r="M9" i="3" s="1"/>
  <c r="T38" i="5"/>
  <c r="T44" i="5"/>
  <c r="T8" i="5"/>
  <c r="J2" i="3"/>
  <c r="H2" i="3"/>
  <c r="I2" i="3"/>
  <c r="K17" i="3" l="1"/>
  <c r="M17" i="3" s="1"/>
  <c r="K20" i="3"/>
  <c r="M20" i="3" s="1"/>
  <c r="K13" i="3"/>
  <c r="M13" i="3" s="1"/>
  <c r="O7" i="5"/>
  <c r="K4" i="3"/>
  <c r="M4" i="3" s="1"/>
  <c r="K7" i="3"/>
  <c r="M7" i="3" s="1"/>
  <c r="K6" i="3"/>
  <c r="M6" i="3" s="1"/>
  <c r="K3" i="3"/>
  <c r="M3" i="3" s="1"/>
  <c r="P8" i="5"/>
  <c r="O8" i="5" s="1"/>
  <c r="K19" i="3"/>
  <c r="M19" i="3" s="1"/>
  <c r="K18" i="3"/>
  <c r="M18" i="3" s="1"/>
  <c r="E4" i="3"/>
  <c r="E5" i="3"/>
  <c r="E6" i="3"/>
  <c r="E7" i="3"/>
  <c r="E8" i="3"/>
  <c r="F8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3" i="3"/>
  <c r="F7" i="3" l="1"/>
  <c r="P9" i="5"/>
  <c r="F10" i="3"/>
  <c r="F5" i="3"/>
  <c r="F6" i="3"/>
  <c r="F9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P10" i="5" l="1"/>
  <c r="O10" i="5" s="1"/>
  <c r="P11" i="5"/>
  <c r="O11" i="5" s="1"/>
  <c r="O9" i="5"/>
  <c r="F4" i="3"/>
  <c r="P12" i="5" l="1"/>
  <c r="P18" i="5"/>
  <c r="O18" i="5" s="1"/>
  <c r="M29" i="5"/>
  <c r="I29" i="5"/>
  <c r="E29" i="5"/>
  <c r="M22" i="5"/>
  <c r="I22" i="5"/>
  <c r="E22" i="5"/>
  <c r="M15" i="5"/>
  <c r="I15" i="5"/>
  <c r="E15" i="5"/>
  <c r="M8" i="5"/>
  <c r="I8" i="5"/>
  <c r="O12" i="5" l="1"/>
  <c r="P13" i="5"/>
  <c r="F3" i="3"/>
  <c r="P14" i="5" l="1"/>
  <c r="O13" i="5"/>
  <c r="P15" i="5" l="1"/>
  <c r="O14" i="5"/>
  <c r="P19" i="5"/>
  <c r="O19" i="5" s="1"/>
  <c r="O15" i="5" l="1"/>
  <c r="P24" i="5"/>
  <c r="P33" i="5"/>
  <c r="O24" i="5" l="1"/>
  <c r="P28" i="5"/>
  <c r="O28" i="5" s="1"/>
  <c r="O33" i="5"/>
  <c r="P35" i="5"/>
  <c r="O35" i="5" s="1"/>
  <c r="P29" i="5" l="1"/>
  <c r="P36" i="5"/>
  <c r="O29" i="5" l="1"/>
  <c r="P31" i="5"/>
  <c r="P43" i="5"/>
  <c r="O36" i="5"/>
  <c r="P34" i="5" l="1"/>
  <c r="P38" i="5" s="1"/>
  <c r="O38" i="5" s="1"/>
  <c r="O31" i="5"/>
  <c r="O43" i="5"/>
  <c r="O34" i="5" l="1"/>
  <c r="P39" i="5"/>
  <c r="P53" i="5"/>
  <c r="O39" i="5" l="1"/>
  <c r="P40" i="5"/>
  <c r="O53" i="5"/>
  <c r="P45" i="5" l="1"/>
  <c r="O40" i="5"/>
  <c r="N21" i="3"/>
  <c r="N3" i="3"/>
  <c r="O45" i="5" l="1"/>
  <c r="P48" i="5"/>
  <c r="P49" i="5" s="1"/>
  <c r="O21" i="3"/>
  <c r="P21" i="3" s="1"/>
  <c r="G21" i="3"/>
  <c r="N22" i="3"/>
  <c r="O3" i="3"/>
  <c r="P3" i="3" s="1"/>
  <c r="G3" i="3"/>
  <c r="O49" i="5" l="1"/>
  <c r="O48" i="5"/>
  <c r="P50" i="5"/>
  <c r="O50" i="5" s="1"/>
  <c r="O22" i="3"/>
  <c r="P22" i="3" s="1"/>
  <c r="G22" i="3"/>
  <c r="P51" i="5" l="1"/>
  <c r="O51" i="5" l="1"/>
  <c r="P54" i="5"/>
  <c r="P56" i="5" s="1"/>
  <c r="O56" i="5" l="1"/>
  <c r="P58" i="5"/>
  <c r="O58" i="5" s="1"/>
  <c r="O54" i="5"/>
  <c r="N23" i="3"/>
  <c r="P59" i="5" l="1"/>
  <c r="P60" i="5" s="1"/>
  <c r="O60" i="5" s="1"/>
  <c r="O23" i="3"/>
  <c r="P23" i="3" s="1"/>
  <c r="G23" i="3"/>
  <c r="P61" i="5" l="1"/>
  <c r="O59" i="5"/>
  <c r="O61" i="5"/>
  <c r="P62" i="5"/>
  <c r="P63" i="5" s="1"/>
  <c r="O63" i="5" l="1"/>
  <c r="U36" i="5"/>
  <c r="U94" i="5"/>
  <c r="U34" i="5"/>
  <c r="U118" i="5"/>
  <c r="U14" i="5"/>
  <c r="U22" i="5"/>
  <c r="U72" i="5"/>
  <c r="U56" i="5"/>
  <c r="U102" i="5"/>
  <c r="U44" i="5"/>
  <c r="U64" i="5"/>
  <c r="U108" i="5"/>
  <c r="U90" i="5"/>
  <c r="U86" i="5"/>
  <c r="U52" i="5"/>
  <c r="U48" i="5"/>
  <c r="U68" i="5"/>
  <c r="U60" i="5"/>
  <c r="U8" i="5"/>
  <c r="U42" i="5"/>
  <c r="U26" i="5"/>
  <c r="U32" i="5"/>
  <c r="U40" i="5"/>
  <c r="U4" i="5"/>
  <c r="U84" i="5"/>
  <c r="U74" i="5"/>
  <c r="U112" i="5"/>
  <c r="U104" i="5"/>
  <c r="U100" i="5"/>
  <c r="U6" i="5"/>
  <c r="V6" i="5" s="1" a="1"/>
  <c r="O62" i="5"/>
  <c r="N19" i="3" s="1"/>
  <c r="G19" i="3" s="1"/>
  <c r="U38" i="5"/>
  <c r="U78" i="5"/>
  <c r="U16" i="5"/>
  <c r="U10" i="5"/>
  <c r="U30" i="5"/>
  <c r="U76" i="5"/>
  <c r="U80" i="5"/>
  <c r="U70" i="5"/>
  <c r="U12" i="5"/>
  <c r="U106" i="5"/>
  <c r="U122" i="5"/>
  <c r="U46" i="5"/>
  <c r="U96" i="5"/>
  <c r="U88" i="5"/>
  <c r="U110" i="5"/>
  <c r="U24" i="5"/>
  <c r="U18" i="5"/>
  <c r="U114" i="5"/>
  <c r="U116" i="5"/>
  <c r="U120" i="5"/>
  <c r="U54" i="5"/>
  <c r="U58" i="5"/>
  <c r="U82" i="5"/>
  <c r="U66" i="5"/>
  <c r="U62" i="5"/>
  <c r="U20" i="5"/>
  <c r="U98" i="5"/>
  <c r="U92" i="5"/>
  <c r="U28" i="5"/>
  <c r="U50" i="5"/>
  <c r="O19" i="3" l="1"/>
  <c r="P19" i="3" s="1"/>
  <c r="N9" i="3"/>
  <c r="N7" i="3"/>
  <c r="N4" i="3"/>
  <c r="V50" i="5" a="1"/>
  <c r="V50" i="5" s="1"/>
  <c r="V51" i="5" a="1"/>
  <c r="V51" i="5" s="1"/>
  <c r="V21" i="5" a="1"/>
  <c r="V21" i="5" s="1"/>
  <c r="V20" i="5" a="1"/>
  <c r="V20" i="5" s="1"/>
  <c r="V24" i="5" a="1"/>
  <c r="V24" i="5" s="1"/>
  <c r="V25" i="5" a="1"/>
  <c r="V25" i="5" s="1"/>
  <c r="V46" i="5" a="1"/>
  <c r="V46" i="5" s="1"/>
  <c r="V47" i="5" a="1"/>
  <c r="V47" i="5" s="1"/>
  <c r="V71" i="5" a="1"/>
  <c r="V71" i="5" s="1"/>
  <c r="V70" i="5" a="1"/>
  <c r="V70" i="5" s="1"/>
  <c r="V10" i="5" a="1"/>
  <c r="V10" i="5" s="1"/>
  <c r="V11" i="5" a="1"/>
  <c r="V11" i="5" s="1"/>
  <c r="V29" i="5" a="1"/>
  <c r="V29" i="5" s="1"/>
  <c r="V28" i="5" a="1"/>
  <c r="V28" i="5" s="1"/>
  <c r="V63" i="5" a="1"/>
  <c r="V63" i="5" s="1"/>
  <c r="V62" i="5" a="1"/>
  <c r="V62" i="5" s="1"/>
  <c r="V55" i="5" a="1"/>
  <c r="V55" i="5" s="1"/>
  <c r="V54" i="5" a="1"/>
  <c r="V54" i="5" s="1"/>
  <c r="V19" i="5" a="1"/>
  <c r="V19" i="5" s="1"/>
  <c r="V18" i="5" a="1"/>
  <c r="V18" i="5" s="1"/>
  <c r="V13" i="5" a="1"/>
  <c r="V13" i="5" s="1"/>
  <c r="V12" i="5" a="1"/>
  <c r="V12" i="5" s="1"/>
  <c r="V81" i="5" a="1"/>
  <c r="V81" i="5" s="1"/>
  <c r="V80" i="5" a="1"/>
  <c r="V80" i="5" s="1"/>
  <c r="V31" i="5" a="1"/>
  <c r="V31" i="5" s="1"/>
  <c r="V30" i="5" a="1"/>
  <c r="V30" i="5" s="1"/>
  <c r="V17" i="5" a="1"/>
  <c r="V17" i="5" s="1"/>
  <c r="V16" i="5" a="1"/>
  <c r="V16" i="5" s="1"/>
  <c r="V39" i="5" a="1"/>
  <c r="V39" i="5" s="1"/>
  <c r="V38" i="5" a="1"/>
  <c r="V38" i="5" s="1"/>
  <c r="V40" i="5" a="1"/>
  <c r="V40" i="5" s="1"/>
  <c r="V41" i="5" a="1"/>
  <c r="V41" i="5" s="1"/>
  <c r="V27" i="5" a="1"/>
  <c r="V27" i="5" s="1"/>
  <c r="V26" i="5" a="1"/>
  <c r="V26" i="5" s="1"/>
  <c r="V86" i="5"/>
  <c r="V89" i="5"/>
  <c r="V87" i="5"/>
  <c r="V111" i="5"/>
  <c r="V101" i="5"/>
  <c r="V98" i="5"/>
  <c r="V104" i="5"/>
  <c r="V99" i="5"/>
  <c r="V107" i="5"/>
  <c r="V105" i="5"/>
  <c r="V121" i="5"/>
  <c r="V118" i="5"/>
  <c r="V84" i="5"/>
  <c r="V102" i="5"/>
  <c r="V123" i="5"/>
  <c r="V90" i="5"/>
  <c r="V83" i="5"/>
  <c r="V110" i="5"/>
  <c r="W110" i="5" s="1"/>
  <c r="V112" i="5"/>
  <c r="V115" i="5"/>
  <c r="V96" i="5"/>
  <c r="V120" i="5"/>
  <c r="V8" i="5" a="1"/>
  <c r="V8" i="5" s="1"/>
  <c r="V100" i="5"/>
  <c r="V109" i="5"/>
  <c r="V88" i="5"/>
  <c r="W88" i="5" s="1"/>
  <c r="V9" i="5" a="1"/>
  <c r="V9" i="5" s="1"/>
  <c r="V108" i="5"/>
  <c r="V122" i="5"/>
  <c r="W122" i="5" s="1"/>
  <c r="V114" i="5"/>
  <c r="W114" i="5" s="1"/>
  <c r="V82" i="5"/>
  <c r="V85" i="5"/>
  <c r="V116" i="5"/>
  <c r="V106" i="5"/>
  <c r="V113" i="5"/>
  <c r="V117" i="5"/>
  <c r="V93" i="5"/>
  <c r="V92" i="5"/>
  <c r="V119" i="5"/>
  <c r="V91" i="5"/>
  <c r="V97" i="5"/>
  <c r="V103" i="5"/>
  <c r="W102" i="5" s="1"/>
  <c r="V95" i="5"/>
  <c r="V94" i="5"/>
  <c r="V68" i="5" a="1"/>
  <c r="V68" i="5" s="1"/>
  <c r="V69" i="5" a="1"/>
  <c r="V69" i="5" s="1"/>
  <c r="V53" i="5" a="1"/>
  <c r="V53" i="5" s="1"/>
  <c r="V52" i="5" a="1"/>
  <c r="V52" i="5" s="1"/>
  <c r="V64" i="5" a="1"/>
  <c r="V64" i="5" s="1"/>
  <c r="V65" i="5" a="1"/>
  <c r="V65" i="5" s="1"/>
  <c r="V72" i="5" a="1"/>
  <c r="V72" i="5" s="1"/>
  <c r="V73" i="5" a="1"/>
  <c r="V73" i="5" s="1"/>
  <c r="V14" i="5" a="1"/>
  <c r="V14" i="5" s="1"/>
  <c r="V15" i="5" a="1"/>
  <c r="V15" i="5" s="1"/>
  <c r="V35" i="5" a="1"/>
  <c r="V35" i="5" s="1"/>
  <c r="V34" i="5" a="1"/>
  <c r="V34" i="5" s="1"/>
  <c r="V36" i="5" a="1"/>
  <c r="V36" i="5" s="1"/>
  <c r="V37" i="5" a="1"/>
  <c r="V37" i="5" s="1"/>
  <c r="V66" i="5" a="1"/>
  <c r="V66" i="5" s="1"/>
  <c r="V67" i="5" a="1"/>
  <c r="V67" i="5" s="1"/>
  <c r="V59" i="5" a="1"/>
  <c r="V59" i="5" s="1"/>
  <c r="V58" i="5" a="1"/>
  <c r="V58" i="5" s="1"/>
  <c r="V77" i="5" a="1"/>
  <c r="V77" i="5" s="1"/>
  <c r="V76" i="5" a="1"/>
  <c r="V76" i="5" s="1"/>
  <c r="V78" i="5" a="1"/>
  <c r="V78" i="5" s="1"/>
  <c r="V79" i="5" a="1"/>
  <c r="V79" i="5" s="1"/>
  <c r="N18" i="3"/>
  <c r="N13" i="3"/>
  <c r="N20" i="3"/>
  <c r="N6" i="3"/>
  <c r="N11" i="3"/>
  <c r="N14" i="3"/>
  <c r="N15" i="3"/>
  <c r="N5" i="3"/>
  <c r="N12" i="3"/>
  <c r="N8" i="3"/>
  <c r="N10" i="3"/>
  <c r="N16" i="3"/>
  <c r="V6" i="5"/>
  <c r="V7" i="5"/>
  <c r="V74" i="5" a="1"/>
  <c r="V74" i="5" s="1"/>
  <c r="V75" i="5" a="1"/>
  <c r="V75" i="5" s="1"/>
  <c r="V5" i="5" a="1"/>
  <c r="V5" i="5" s="1"/>
  <c r="V4" i="5" a="1"/>
  <c r="V4" i="5" s="1"/>
  <c r="J22" i="3"/>
  <c r="J8" i="3"/>
  <c r="J21" i="3"/>
  <c r="J24" i="3"/>
  <c r="J23" i="3"/>
  <c r="J6" i="3"/>
  <c r="J20" i="3"/>
  <c r="V32" i="5" a="1"/>
  <c r="V32" i="5" s="1"/>
  <c r="V33" i="5" a="1"/>
  <c r="V33" i="5" s="1"/>
  <c r="V43" i="5" a="1"/>
  <c r="V43" i="5" s="1"/>
  <c r="V42" i="5" a="1"/>
  <c r="V42" i="5" s="1"/>
  <c r="V60" i="5" a="1"/>
  <c r="V60" i="5" s="1"/>
  <c r="V61" i="5" a="1"/>
  <c r="V61" i="5" s="1"/>
  <c r="V49" i="5" a="1"/>
  <c r="V49" i="5" s="1"/>
  <c r="V48" i="5" a="1"/>
  <c r="V48" i="5" s="1"/>
  <c r="V45" i="5" a="1"/>
  <c r="V45" i="5" s="1"/>
  <c r="V44" i="5" a="1"/>
  <c r="V44" i="5" s="1"/>
  <c r="V57" i="5" a="1"/>
  <c r="V57" i="5" s="1"/>
  <c r="V56" i="5" a="1"/>
  <c r="V56" i="5" s="1"/>
  <c r="V23" i="5" a="1"/>
  <c r="V23" i="5" s="1"/>
  <c r="V22" i="5" a="1"/>
  <c r="V22" i="5" s="1"/>
  <c r="N17" i="3"/>
  <c r="W82" i="5" l="1"/>
  <c r="W86" i="5"/>
  <c r="W74" i="5"/>
  <c r="W6" i="5"/>
  <c r="J11" i="3" s="1"/>
  <c r="W78" i="5"/>
  <c r="W66" i="5"/>
  <c r="W36" i="5"/>
  <c r="W14" i="5"/>
  <c r="W72" i="5"/>
  <c r="W64" i="5"/>
  <c r="W68" i="5"/>
  <c r="W116" i="5"/>
  <c r="W84" i="5"/>
  <c r="W40" i="5"/>
  <c r="W10" i="5"/>
  <c r="O9" i="3"/>
  <c r="P9" i="3" s="1"/>
  <c r="G9" i="3"/>
  <c r="O7" i="3"/>
  <c r="P7" i="3" s="1"/>
  <c r="G7" i="3"/>
  <c r="W46" i="5"/>
  <c r="W24" i="5"/>
  <c r="W50" i="5"/>
  <c r="W22" i="5"/>
  <c r="W56" i="5"/>
  <c r="W44" i="5"/>
  <c r="W48" i="5"/>
  <c r="W42" i="5"/>
  <c r="O4" i="3"/>
  <c r="P4" i="3" s="1"/>
  <c r="G4" i="3"/>
  <c r="G17" i="3"/>
  <c r="O17" i="3"/>
  <c r="P17" i="3" s="1"/>
  <c r="W60" i="5"/>
  <c r="W32" i="5"/>
  <c r="W4" i="5"/>
  <c r="J3" i="3" s="1"/>
  <c r="O16" i="3"/>
  <c r="P16" i="3" s="1"/>
  <c r="G16" i="3"/>
  <c r="O8" i="3"/>
  <c r="P8" i="3" s="1"/>
  <c r="G8" i="3"/>
  <c r="O5" i="3"/>
  <c r="P5" i="3" s="1"/>
  <c r="G5" i="3"/>
  <c r="O14" i="3"/>
  <c r="P14" i="3" s="1"/>
  <c r="G14" i="3"/>
  <c r="O6" i="3"/>
  <c r="P6" i="3" s="1"/>
  <c r="G6" i="3"/>
  <c r="O13" i="3"/>
  <c r="G13" i="3"/>
  <c r="P13" i="3"/>
  <c r="W76" i="5"/>
  <c r="W58" i="5"/>
  <c r="W34" i="5"/>
  <c r="W52" i="5"/>
  <c r="W94" i="5"/>
  <c r="W92" i="5"/>
  <c r="W106" i="5"/>
  <c r="W108" i="5"/>
  <c r="W100" i="5"/>
  <c r="W120" i="5"/>
  <c r="W90" i="5"/>
  <c r="W118" i="5"/>
  <c r="W104" i="5"/>
  <c r="W98" i="5"/>
  <c r="W26" i="5"/>
  <c r="W38" i="5"/>
  <c r="W16" i="5"/>
  <c r="W30" i="5"/>
  <c r="W80" i="5"/>
  <c r="W12" i="5"/>
  <c r="W18" i="5"/>
  <c r="W54" i="5"/>
  <c r="W62" i="5"/>
  <c r="W28" i="5"/>
  <c r="W70" i="5"/>
  <c r="W20" i="5"/>
  <c r="J5" i="3" s="1"/>
  <c r="J14" i="3"/>
  <c r="O10" i="3"/>
  <c r="P10" i="3" s="1"/>
  <c r="G10" i="3"/>
  <c r="O12" i="3"/>
  <c r="P12" i="3" s="1"/>
  <c r="G12" i="3"/>
  <c r="O15" i="3"/>
  <c r="P15" i="3" s="1"/>
  <c r="G15" i="3"/>
  <c r="G11" i="3"/>
  <c r="O11" i="3"/>
  <c r="P11" i="3" s="1"/>
  <c r="O20" i="3"/>
  <c r="P20" i="3" s="1"/>
  <c r="G20" i="3"/>
  <c r="G18" i="3"/>
  <c r="O18" i="3"/>
  <c r="P18" i="3" s="1"/>
  <c r="W8" i="5"/>
  <c r="J19" i="3" s="1"/>
  <c r="W96" i="5"/>
  <c r="W112" i="5"/>
  <c r="J13" i="3"/>
  <c r="J15" i="3"/>
  <c r="J9" i="3" l="1"/>
  <c r="J4" i="3"/>
  <c r="J10" i="3"/>
  <c r="J7" i="3"/>
  <c r="J12" i="3"/>
  <c r="J17" i="3"/>
  <c r="J16" i="3"/>
  <c r="J18" i="3"/>
</calcChain>
</file>

<file path=xl/sharedStrings.xml><?xml version="1.0" encoding="utf-8"?>
<sst xmlns="http://schemas.openxmlformats.org/spreadsheetml/2006/main" count="107" uniqueCount="72">
  <si>
    <t>Продолжи- тельность, дней</t>
  </si>
  <si>
    <t>Дата оконча- ния</t>
  </si>
  <si>
    <t>график отпусков</t>
  </si>
  <si>
    <t>Тимкин Р.В.</t>
  </si>
  <si>
    <t>Макаров А.В.</t>
  </si>
  <si>
    <t>Галимов Р.Х.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</si>
  <si>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</si>
  <si>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</si>
  <si>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</si>
  <si>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</si>
  <si>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</si>
  <si>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</si>
  <si>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</si>
  <si>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</si>
  <si>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</si>
  <si>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</si>
  <si>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</si>
  <si>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</si>
  <si>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Ф.И.О.</t>
  </si>
  <si>
    <t>№ п.п.</t>
  </si>
  <si>
    <t>Профессия</t>
  </si>
  <si>
    <t>Табельный №</t>
  </si>
  <si>
    <t>Дата начала отпуска</t>
  </si>
  <si>
    <t>мастер</t>
  </si>
  <si>
    <t>Кострыкин А.В.</t>
  </si>
  <si>
    <t>машинист мельниц</t>
  </si>
  <si>
    <t>Молочков П.Ю.</t>
  </si>
  <si>
    <t>Павлов М.С.</t>
  </si>
  <si>
    <t>Вистафоров О.Е.</t>
  </si>
  <si>
    <t>Тимофеев О.Е.</t>
  </si>
  <si>
    <t>Казаков С.В.</t>
  </si>
  <si>
    <t>Чемезов И.И.</t>
  </si>
  <si>
    <t>оператор пульта управления</t>
  </si>
  <si>
    <t>Вислоцкий С.В.</t>
  </si>
  <si>
    <t>аппаратчик гашения извести</t>
  </si>
  <si>
    <t>Калигаев Д.С.</t>
  </si>
  <si>
    <t>Худяков О.В.</t>
  </si>
  <si>
    <t>дробильщик</t>
  </si>
  <si>
    <t>Козлов С.Ю.</t>
  </si>
  <si>
    <t>Харин В.В.</t>
  </si>
  <si>
    <t>бункеровщик</t>
  </si>
  <si>
    <t>Рудаков С.В.</t>
  </si>
  <si>
    <t>машинист крана</t>
  </si>
  <si>
    <t>Колос А.В.</t>
  </si>
  <si>
    <t>Неугодников В.С.</t>
  </si>
  <si>
    <t>фев/нбр</t>
  </si>
  <si>
    <t>фев/сен</t>
  </si>
  <si>
    <t>июл/дек</t>
  </si>
  <si>
    <t>апр/авг</t>
  </si>
  <si>
    <t>янв/окт</t>
  </si>
  <si>
    <t>нбр</t>
  </si>
  <si>
    <t>апр/нбр</t>
  </si>
  <si>
    <t>май</t>
  </si>
  <si>
    <t>авг</t>
  </si>
  <si>
    <t>июн</t>
  </si>
  <si>
    <t>июл/окт</t>
  </si>
  <si>
    <t>июл</t>
  </si>
  <si>
    <t>апр/дек</t>
  </si>
  <si>
    <t>мрт/сен</t>
  </si>
  <si>
    <t>окт</t>
  </si>
  <si>
    <t>мрт/авг</t>
  </si>
  <si>
    <t>фев/авг</t>
  </si>
  <si>
    <t>апр</t>
  </si>
  <si>
    <t>май/нбр</t>
  </si>
  <si>
    <t>сен</t>
  </si>
  <si>
    <t>дек</t>
  </si>
  <si>
    <t>мрт/июл</t>
  </si>
  <si>
    <t>апр/окт</t>
  </si>
  <si>
    <t>янв</t>
  </si>
  <si>
    <t>фев</t>
  </si>
  <si>
    <t>мар</t>
  </si>
  <si>
    <t>ноя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</si>
</sst>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 ;[Red]\-0\ "/>
    <numFmt numFmtId="165" formatCode="dd/mm/yy;@"/>
    <numFmt numFmtId="166" formatCode="0.0"/>
    <numFmt numFmtId="167" formatCode="dd/mm/yy"/>
    <numFmt numFmtId="168" formatCode="yyyy"/>
    <numFmt numFmtId="169" formatCode="[$-419]mmmm;@"/>
  </numFmts>
  <fonts count="1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SimSu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12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center" vertical="center"/>
    </xf>
    <xf numFmtId="166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Border="1"/>
    <xf numFmtId="167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/>
    <xf numFmtId="0" fontId="7" fillId="0" borderId="9" xfId="0" applyFont="1" applyBorder="1"/>
    <xf numFmtId="167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2" xfId="0" applyFont="1" applyBorder="1"/>
    <xf numFmtId="0" fontId="7" fillId="0" borderId="14" xfId="0" applyFont="1" applyBorder="1" applyAlignment="1">
      <alignment horizontal="center" vertical="center" wrapText="1"/>
    </xf>
    <xf numFmtId="168" fontId="7" fillId="0" borderId="14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7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0" fillId="0" borderId="1" xfId="0" applyFill="1" applyBorder="1"/>
    <xf numFmtId="12" fontId="0" fillId="0" borderId="3" xfId="0" applyNumberFormat="1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8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0" xfId="0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6" xfId="0" applyBorder="1"/>
    <xf numFmtId="0" fontId="0" fillId="0" borderId="2" xfId="0" applyBorder="1"/>
    <xf numFmtId="0" fontId="0" fillId="0" borderId="19" xfId="0" applyBorder="1"/>
    <xf numFmtId="165" fontId="7" fillId="0" borderId="9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0" fontId="0" fillId="0" borderId="17" xfId="0" applyBorder="1"/>
    <xf numFmtId="0" fontId="0" fillId="0" borderId="20" xfId="0" applyBorder="1"/>
    <xf numFmtId="0" fontId="0" fillId="0" borderId="18" xfId="0" applyBorder="1"/>
    <xf numFmtId="165" fontId="7" fillId="0" borderId="0" xfId="0" applyNumberFormat="1" applyFont="1"/>
    <xf numFmtId="0" fontId="0" fillId="0" borderId="1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169" fontId="5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15851028699992E-3"/>
          <c:y val="3.7601979933983448E-3"/>
          <c:w val="0.90340587259336003"/>
          <c:h val="0.99617610442470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'Сетевой график'!$F$2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график'!$F$3:$F$24</c:f>
              <c:numCache>
                <c:formatCode>General</c:formatCode>
                <c:ptCount val="22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'Сетевой график'!$L$2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19050">
              <a:noFill/>
            </a:ln>
          </c:spPr>
          <c:invertIfNegative val="1"/>
          <c:pictureOptions>
            <c:pictureFormat val="stretch"/>
          </c:pictureOptions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график'!$L$3:$L$24</c:f>
              <c:numCache>
                <c:formatCode>General</c:formatCode>
                <c:ptCount val="2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'График отпусков'!#REF!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14447184"/>
        <c:axId val="314447744"/>
      </c:barChart>
      <c:catAx>
        <c:axId val="314447184"/>
        <c:scaling>
          <c:orientation val="maxMin"/>
        </c:scaling>
        <c:delete val="1"/>
        <c:axPos val="l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14447744"/>
        <c:crosses val="autoZero"/>
        <c:auto val="1"/>
        <c:lblAlgn val="ctr"/>
        <c:lblOffset val="100"/>
        <c:noMultiLvlLbl val="0"/>
      </c:catAx>
      <c:valAx>
        <c:axId val="314447744"/>
        <c:scaling>
          <c:orientation val="minMax"/>
          <c:max val="366"/>
          <c:min val="1"/>
        </c:scaling>
        <c:delete val="0"/>
        <c:axPos val="t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minorGridlines>
          <c:spPr>
            <a:ln w="9525">
              <a:noFill/>
            </a:ln>
          </c:spPr>
        </c:minorGridlines>
        <c:numFmt formatCode="General" sourceLinked="1"/>
        <c:majorTickMark val="none"/>
        <c:minorTickMark val="none"/>
        <c:tickLblPos val="none"/>
        <c:crossAx val="314447184"/>
        <c:crosses val="autoZero"/>
        <c:crossBetween val="between"/>
        <c:majorUnit val="31"/>
      </c:valAx>
      <c:spPr>
        <a:noFill/>
        <a:ln>
          <a:noFill/>
        </a:ln>
        <a:scene3d>
          <a:camera prst="orthographicFront"/>
          <a:lightRig rig="threePt" dir="t"/>
        </a:scene3d>
        <a:sp3d>
          <a:bevelT w="0" h="0"/>
        </a:sp3d>
      </c:spPr>
    </c:plotArea>
    <c:plotVisOnly val="1"/>
    <c:dispBlanksAs val="gap"/>
    <c:showDLblsOverMax val="0"/>
  </c:chart>
  <c:spPr>
    <a:noFill/>
    <a:ln w="25400" cap="flat" cmpd="sng" algn="ctr">
      <a:noFill/>
      <a:prstDash val="solid"/>
    </a:ln>
    <a:effectLst/>
  </c:spPr>
  <c:txPr>
    <a:bodyPr anchor="ctr" anchorCtr="0"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781272506626695E-2"/>
          <c:y val="1.8754473872584137E-4"/>
          <c:w val="0.93631517438167455"/>
          <c:h val="0.99617610442470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'Сетевой график'!$G$2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график'!$G$3:$G$24</c:f>
              <c:numCache>
                <c:formatCode>General</c:formatCode>
                <c:ptCount val="22"/>
                <c:pt idx="0">
                  <c:v>192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'Сетевой график'!$O$2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19050">
              <a:noFill/>
            </a:ln>
          </c:spPr>
          <c:invertIfNegative val="1"/>
          <c:pictureOptions>
            <c:pictureFormat val="stretch"/>
          </c:pictureOptions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график'!$O$3:$O$24</c:f>
              <c:numCache>
                <c:formatCode>General</c:formatCode>
                <c:ptCount val="2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'График отпусков'!#REF!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7437088"/>
        <c:axId val="7437648"/>
      </c:barChart>
      <c:catAx>
        <c:axId val="7437088"/>
        <c:scaling>
          <c:orientation val="maxMin"/>
        </c:scaling>
        <c:delete val="0"/>
        <c:axPos val="l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7437648"/>
        <c:crosses val="autoZero"/>
        <c:auto val="1"/>
        <c:lblAlgn val="ctr"/>
        <c:lblOffset val="100"/>
        <c:noMultiLvlLbl val="0"/>
      </c:catAx>
      <c:valAx>
        <c:axId val="7437648"/>
        <c:scaling>
          <c:orientation val="minMax"/>
          <c:max val="366"/>
          <c:min val="1"/>
        </c:scaling>
        <c:delete val="0"/>
        <c:axPos val="t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minorGridlines>
          <c:spPr>
            <a:ln w="9525">
              <a:noFill/>
            </a:ln>
          </c:spPr>
        </c:minorGridlines>
        <c:numFmt formatCode="[$-419]mmmm;@" sourceLinked="0"/>
        <c:majorTickMark val="none"/>
        <c:minorTickMark val="none"/>
        <c:tickLblPos val="none"/>
        <c:crossAx val="7437088"/>
        <c:crosses val="autoZero"/>
        <c:crossBetween val="between"/>
        <c:majorUnit val="31"/>
      </c:valAx>
      <c:spPr>
        <a:noFill/>
        <a:ln>
          <a:noFill/>
        </a:ln>
        <a:scene3d>
          <a:camera prst="orthographicFront"/>
          <a:lightRig rig="threePt" dir="t"/>
        </a:scene3d>
        <a:sp3d>
          <a:bevelT w="0" h="0"/>
        </a:sp3d>
      </c:spPr>
    </c:plotArea>
    <c:plotVisOnly val="1"/>
    <c:dispBlanksAs val="gap"/>
    <c:showDLblsOverMax val="0"/>
  </c:chart>
  <c:spPr>
    <a:noFill/>
    <a:ln w="25400" cap="flat" cmpd="sng" algn="ctr">
      <a:noFill/>
      <a:prstDash val="solid"/>
    </a:ln>
    <a:effectLst/>
  </c:spPr>
  <c:txPr>
    <a:bodyPr anchor="ctr" anchorCtr="0"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29</xdr:col>
      <xdr:colOff>264584</xdr:colOff>
      <xdr:row>24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465088</xdr:colOff>
      <xdr:row>1</xdr:row>
      <xdr:rowOff>617637</xdr:rowOff>
    </xdr:from>
    <xdr:to>
      <xdr:col>28</xdr:col>
      <xdr:colOff>334862</xdr:colOff>
      <xdr:row>24</xdr:row>
      <xdr:rowOff>0</xdr:rowOff>
    </xdr:to>
    <xdr:graphicFrame macro="">
      <xdr:nvGraphicFramePr>
        <xdr:cNvPr id="5" name="Диаграмма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A123"/>
  <sheetViews>
    <sheetView workbookViewId="0">
      <selection activeCell="AC21" sqref="AC21"/>
    </sheetView>
  </sheetViews>
  <sheetFormatPr defaultRowHeight="12.75" x14ac:dyDescent="0.2"/>
  <cols>
    <col min="1" max="1" width="7.140625" customWidth="1"/>
    <col min="2" max="2" width="18.7109375" customWidth="1"/>
    <col min="3" max="3" width="4.85546875" style="2" customWidth="1"/>
    <col min="4" max="4" width="3.28515625" style="7" customWidth="1"/>
    <col min="5" max="5" width="8.7109375" style="2" customWidth="1"/>
    <col min="6" max="6" width="18.7109375" customWidth="1"/>
    <col min="7" max="7" width="4.85546875" customWidth="1"/>
    <col min="8" max="8" width="3.28515625" style="7" customWidth="1"/>
    <col min="9" max="9" width="8.7109375" style="2" customWidth="1"/>
    <col min="10" max="10" width="18.7109375" customWidth="1"/>
    <col min="11" max="11" width="4.85546875" customWidth="1"/>
    <col min="12" max="12" width="3.28515625" style="7" customWidth="1"/>
    <col min="13" max="13" width="8.7109375" style="2" customWidth="1"/>
    <col min="15" max="15" width="0" hidden="1" customWidth="1"/>
    <col min="16" max="16" width="9.140625" hidden="1" customWidth="1"/>
    <col min="17" max="17" width="18.5703125" hidden="1" customWidth="1"/>
    <col min="18" max="18" width="16.5703125" style="7" hidden="1" customWidth="1"/>
    <col min="19" max="19" width="23" style="7" hidden="1" customWidth="1"/>
    <col min="20" max="20" width="22.140625" style="7" hidden="1" customWidth="1"/>
    <col min="21" max="21" width="15.5703125" hidden="1" customWidth="1"/>
    <col min="22" max="25" width="0" hidden="1" customWidth="1"/>
    <col min="26" max="27" width="9.140625" hidden="1" customWidth="1"/>
  </cols>
  <sheetData>
    <row r="1" spans="2:27" ht="20.25" x14ac:dyDescent="0.2">
      <c r="B1" s="94" t="s">
        <v>2</v>
      </c>
      <c r="C1" s="94"/>
      <c r="D1" s="94"/>
      <c r="E1" s="94"/>
      <c r="F1" s="94"/>
      <c r="G1" s="94"/>
      <c r="H1" s="94"/>
      <c r="I1" s="94"/>
      <c r="J1" s="94"/>
      <c r="K1" s="94"/>
      <c r="L1" s="94"/>
      <c r="N1" s="52">
        <f ca="1">YEAR(TODAY())+1</f>
        <v>2018</v>
      </c>
    </row>
    <row r="2" spans="2:27" ht="15" x14ac:dyDescent="0.2">
      <c r="B2" s="95" t="str">
        <f ca="1">"участка №1, ЦПС, ДГП на "&amp;N1&amp;" г."</f>
        <v>участка №1, ЦПС, ДГП на 2018 г.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27" ht="14.25" x14ac:dyDescent="0.2">
      <c r="B3" s="96">
        <f ca="1">DATE($N$1,1,1)</f>
        <v>43101</v>
      </c>
      <c r="C3" s="96"/>
      <c r="D3" s="96"/>
      <c r="F3" s="96">
        <f ca="1">DATE($N$1,2,1)</f>
        <v>43132</v>
      </c>
      <c r="G3" s="96"/>
      <c r="H3" s="96"/>
      <c r="J3" s="96">
        <f ca="1">DATE($N$1,3,1)</f>
        <v>43160</v>
      </c>
      <c r="K3" s="96"/>
      <c r="L3" s="96"/>
      <c r="Q3" s="36"/>
      <c r="R3" s="47"/>
      <c r="S3" s="48"/>
    </row>
    <row r="4" spans="2:27" x14ac:dyDescent="0.2">
      <c r="B4" s="44"/>
      <c r="C4" s="45"/>
      <c r="D4" s="46"/>
      <c r="F4" s="3"/>
      <c r="G4" s="4"/>
      <c r="H4" s="5"/>
      <c r="J4" s="3"/>
      <c r="K4" s="4"/>
      <c r="L4" s="5"/>
      <c r="O4" s="76" t="str">
        <f>IF(P4="",Q4,"")</f>
        <v/>
      </c>
      <c r="P4" s="83" t="str">
        <f>IF(COUNTIF($Q$3:Q4,Q4)=1,MAX($P$3:P3)+1,"")</f>
        <v/>
      </c>
      <c r="Q4" s="3" t="str">
        <f>IF(B4&gt;0,B4,"")</f>
        <v/>
      </c>
      <c r="R4" s="49" t="str">
        <f>IF(B4&gt;0,MONTH(B$3),"")</f>
        <v/>
      </c>
      <c r="S4" s="50" t="str">
        <f>IF(B4&gt;0,IF(C4="",32,15),"")</f>
        <v/>
      </c>
      <c r="T4" s="51" t="str">
        <f>IFERROR(IF(Q4&gt;0,DATE(2018,R4,D4),""),"")</f>
        <v/>
      </c>
      <c r="U4" s="90" t="str">
        <f>IF(MAX(NameCount)&lt;ROW(1:1),"",VLOOKUP(ROW(1:1),NameList,2))</f>
        <v>Тимкин Р.В.</v>
      </c>
      <c r="V4" s="76">
        <f t="array" aca="1" ref="V4" ca="1">IFERROR(INDEX($R$4:$R$63,SMALL(IF($U$4=$Q$4:$Q$63,ROW($R$4:$R$63)-3,""),ROW()-3)),"")</f>
        <v>1</v>
      </c>
      <c r="W4" s="88" t="str">
        <f t="shared" ref="W4" ca="1" si="0">IF(RIGHT(IF(IFERROR(VLOOKUP(V4,$Z$4:$AA$15,2,0),"")&amp;"/"&amp;IFERROR(VLOOKUP(V5,$Z$4:$AA$15,2,0),"")="/","",IFERROR(VLOOKUP(V4,$Z$4:$AA$15,2,0),"")&amp;"/"&amp;IFERROR(VLOOKUP(V5,$Z$4:$AA$15,2,0),"")),1)="/",LEFT(IF(IFERROR(VLOOKUP(V4,$Z$4:$AA$15,2,0),"")&amp;"/"&amp;IFERROR(VLOOKUP(V5,$Z$4:$AA$15,2,0),"")="/","",IFERROR(VLOOKUP(V4,$Z$4:$AA$15,2,0),"")&amp;"/"&amp;IFERROR(VLOOKUP(V5,$Z$4:$AA$15,2,0),"")),FIND("/",IF(IFERROR(VLOOKUP(V4,$Z$4:$AA$15,2,0),"")&amp;"/"&amp;IFERROR(VLOOKUP(V5,$Z$4:$AA$15,2,0),"")="/","",IFERROR(VLOOKUP(V4,$Z$4:$AA$15,2,0),"")&amp;"/"&amp;IFERROR(VLOOKUP(V5,$Z$4:$AA$15,2,0),"")),1)-1),IF(IFERROR(VLOOKUP(V4,$Z$4:$AA$15,2,0),"")&amp;"/"&amp;IFERROR(VLOOKUP(V5,$Z$4:$AA$15,2,0),"")="/","",IFERROR(VLOOKUP(V4,$Z$4:$AA$15,2,0),"")&amp;"/"&amp;IFERROR(VLOOKUP(V5,$Z$4:$AA$15,2,0),"")))</f>
        <v>янв/июл</v>
      </c>
      <c r="Z4" s="16">
        <v>1</v>
      </c>
      <c r="AA4" s="16" t="s">
        <v>68</v>
      </c>
    </row>
    <row r="5" spans="2:27" x14ac:dyDescent="0.2">
      <c r="B5" s="3"/>
      <c r="C5" s="4"/>
      <c r="D5" s="5"/>
      <c r="F5" s="3"/>
      <c r="G5" s="4"/>
      <c r="H5" s="5"/>
      <c r="J5" s="3"/>
      <c r="K5" s="4"/>
      <c r="L5" s="5"/>
      <c r="O5" s="78" t="str">
        <f>IF(P5="",Q5,"")</f>
        <v/>
      </c>
      <c r="P5" s="84" t="str">
        <f>IF(COUNTIF($Q$3:Q5,Q5)=1,MAX($P$3:P4)+1,"")</f>
        <v/>
      </c>
      <c r="Q5" s="3" t="str">
        <f>IF(B5&gt;0,B5,"")</f>
        <v/>
      </c>
      <c r="R5" s="49" t="str">
        <f>IF(B5&gt;0,MONTH(B$3),"")</f>
        <v/>
      </c>
      <c r="S5" s="50" t="str">
        <f>IF(B5&gt;0,IF(C5="",32,15),"")</f>
        <v/>
      </c>
      <c r="T5" s="51" t="str">
        <f>IFERROR(IF(Q5&gt;0,DATE(2018,R5,D5),""),"")</f>
        <v/>
      </c>
      <c r="U5" s="91"/>
      <c r="V5" s="78">
        <f t="array" aca="1" ref="V5" ca="1">IFERROR(INDEX($R$4:$R$63,SMALL(IF($U$4=$Q$4:$Q$63,ROW($R$4:$R$63)-3,""),ROW()-3)),"")</f>
        <v>7</v>
      </c>
      <c r="W5" s="89"/>
      <c r="Z5" s="16">
        <v>2</v>
      </c>
      <c r="AA5" s="16" t="s">
        <v>69</v>
      </c>
    </row>
    <row r="6" spans="2:27" x14ac:dyDescent="0.2">
      <c r="B6" s="3"/>
      <c r="C6" s="4"/>
      <c r="D6" s="5"/>
      <c r="F6" s="3"/>
      <c r="G6" s="4"/>
      <c r="H6" s="5"/>
      <c r="J6" s="3"/>
      <c r="K6" s="4"/>
      <c r="L6" s="5"/>
      <c r="O6" s="78" t="str">
        <f t="shared" ref="O6:O63" si="1">IF(P6="",Q6,"")</f>
        <v/>
      </c>
      <c r="P6" s="84" t="str">
        <f>IF(COUNTIF($Q$3:Q6,Q6)=1,MAX($P$3:P5)+1,"")</f>
        <v/>
      </c>
      <c r="Q6" s="3" t="str">
        <f>IF(B6&gt;0,B6,"")</f>
        <v/>
      </c>
      <c r="R6" s="49" t="str">
        <f>IF(B6&gt;0,MONTH(B$3),"")</f>
        <v/>
      </c>
      <c r="S6" s="50" t="str">
        <f>IF(B6&gt;0,IF(C6="",32,15),"")</f>
        <v/>
      </c>
      <c r="T6" s="51" t="str">
        <f>IFERROR(IF(Q6&gt;0,DATE(2018,R6,D6),""),"")</f>
        <v/>
      </c>
      <c r="U6" s="90" t="str">
        <f>IF(MAX(NameCount)&lt;ROW(2:2),"",VLOOKUP(ROW(2:2),NameList,2))</f>
        <v/>
      </c>
      <c r="V6" s="76" t="str">
        <f t="array" ref="V6:V7">IFERROR(INDEX($R$4:$R$63,SMALL(IF($U$6=$Q$4:$Q$63,ROW($R$4:$R$63)-3,""),ROW()-5)),"")</f>
        <v/>
      </c>
      <c r="W6" s="88" t="str">
        <f t="shared" ref="W6" si="2">IF(RIGHT(IF(IFERROR(VLOOKUP(V6,$Z$4:$AA$15,2,0),"")&amp;"/"&amp;IFERROR(VLOOKUP(V7,$Z$4:$AA$15,2,0),"")="/","",IFERROR(VLOOKUP(V6,$Z$4:$AA$15,2,0),"")&amp;"/"&amp;IFERROR(VLOOKUP(V7,$Z$4:$AA$15,2,0),"")),1)="/",LEFT(IF(IFERROR(VLOOKUP(V6,$Z$4:$AA$15,2,0),"")&amp;"/"&amp;IFERROR(VLOOKUP(V7,$Z$4:$AA$15,2,0),"")="/","",IFERROR(VLOOKUP(V6,$Z$4:$AA$15,2,0),"")&amp;"/"&amp;IFERROR(VLOOKUP(V7,$Z$4:$AA$15,2,0),"")),FIND("/",IF(IFERROR(VLOOKUP(V6,$Z$4:$AA$15,2,0),"")&amp;"/"&amp;IFERROR(VLOOKUP(V7,$Z$4:$AA$15,2,0),"")="/","",IFERROR(VLOOKUP(V6,$Z$4:$AA$15,2,0),"")&amp;"/"&amp;IFERROR(VLOOKUP(V7,$Z$4:$AA$15,2,0),"")),1)-1),IF(IFERROR(VLOOKUP(V6,$Z$4:$AA$15,2,0),"")&amp;"/"&amp;IFERROR(VLOOKUP(V7,$Z$4:$AA$15,2,0),"")="/","",IFERROR(VLOOKUP(V6,$Z$4:$AA$15,2,0),"")&amp;"/"&amp;IFERROR(VLOOKUP(V7,$Z$4:$AA$15,2,0),"")))</f>
        <v/>
      </c>
      <c r="Z6" s="16">
        <v>3</v>
      </c>
      <c r="AA6" s="16" t="s">
        <v>70</v>
      </c>
    </row>
    <row r="7" spans="2:27" x14ac:dyDescent="0.2">
      <c r="B7" s="3"/>
      <c r="C7" s="4"/>
      <c r="D7" s="5"/>
      <c r="F7" s="3"/>
      <c r="G7" s="4"/>
      <c r="H7" s="5"/>
      <c r="J7" s="3"/>
      <c r="K7" s="4"/>
      <c r="L7" s="5"/>
      <c r="O7" s="78" t="str">
        <f t="shared" si="1"/>
        <v/>
      </c>
      <c r="P7" s="84" t="str">
        <f>IF(COUNTIF($Q$3:Q7,Q7)=1,MAX($P$3:P6)+1,"")</f>
        <v/>
      </c>
      <c r="Q7" s="3" t="str">
        <f>IF(B7&gt;0,B7,"")</f>
        <v/>
      </c>
      <c r="R7" s="49" t="str">
        <f>IF(B7&gt;0,MONTH(B$3),"")</f>
        <v/>
      </c>
      <c r="S7" s="50" t="str">
        <f>IF(B7&gt;0,IF(C7="",32,15),"")</f>
        <v/>
      </c>
      <c r="T7" s="51" t="str">
        <f>IFERROR(IF(Q7&gt;0,DATE(2018,R7,D7),""),"")</f>
        <v/>
      </c>
      <c r="U7" s="91"/>
      <c r="V7" s="77" t="str">
        <v/>
      </c>
      <c r="W7" s="89"/>
      <c r="Z7" s="16">
        <v>4</v>
      </c>
      <c r="AA7" s="16" t="s">
        <v>62</v>
      </c>
    </row>
    <row r="8" spans="2:27" ht="14.25" x14ac:dyDescent="0.2">
      <c r="B8" s="3" t="s">
        <v>3</v>
      </c>
      <c r="C8" s="4">
        <v>0.5</v>
      </c>
      <c r="D8" s="5">
        <v>25</v>
      </c>
      <c r="E8" s="6">
        <f>SUM(C4:C8)</f>
        <v>0.5</v>
      </c>
      <c r="F8" s="3"/>
      <c r="G8" s="4"/>
      <c r="H8" s="5"/>
      <c r="I8" s="6">
        <f>SUM(G4:G8)</f>
        <v>0</v>
      </c>
      <c r="J8" s="3"/>
      <c r="K8" s="4"/>
      <c r="L8" s="5"/>
      <c r="M8" s="6">
        <f>SUM(K4:K8)</f>
        <v>0</v>
      </c>
      <c r="O8" s="78" t="str">
        <f t="shared" si="1"/>
        <v/>
      </c>
      <c r="P8" s="84">
        <f>IF(COUNTIF($Q$3:Q8,Q8)=1,MAX($P$3:P7)+1,"")</f>
        <v>1</v>
      </c>
      <c r="Q8" s="3" t="str">
        <f>IF(B8&gt;0,B8,"")</f>
        <v>Тимкин Р.В.</v>
      </c>
      <c r="R8" s="49">
        <f ca="1">IF(B8&gt;0,MONTH(B$3),"")</f>
        <v>1</v>
      </c>
      <c r="S8" s="50">
        <f>IF(B8&gt;0,IF(C8="",32,15),"")</f>
        <v>15</v>
      </c>
      <c r="T8" s="51">
        <f ca="1">IFERROR(IF(Q8&gt;0,DATE(2018,R8,D8),""),"")</f>
        <v>43125</v>
      </c>
      <c r="U8" s="90" t="str">
        <f>IF(MAX(NameCount)&lt;ROW(3:3),"",VLOOKUP(ROW(3:3),NameList,2))</f>
        <v/>
      </c>
      <c r="V8" s="76" t="str">
        <f t="array" ref="V8">IFERROR(INDEX($R$4:$R$63,SMALL(IF($U$8=$Q$4:$Q$63,ROW($R$4:$R$63)-3,""),ROW()-7)),"")</f>
        <v/>
      </c>
      <c r="W8" s="88" t="str">
        <f t="shared" ref="W8" si="3">IF(RIGHT(IF(IFERROR(VLOOKUP(V8,$Z$4:$AA$15,2,0),"")&amp;"/"&amp;IFERROR(VLOOKUP(V9,$Z$4:$AA$15,2,0),"")="/","",IFERROR(VLOOKUP(V8,$Z$4:$AA$15,2,0),"")&amp;"/"&amp;IFERROR(VLOOKUP(V9,$Z$4:$AA$15,2,0),"")),1)="/",LEFT(IF(IFERROR(VLOOKUP(V8,$Z$4:$AA$15,2,0),"")&amp;"/"&amp;IFERROR(VLOOKUP(V9,$Z$4:$AA$15,2,0),"")="/","",IFERROR(VLOOKUP(V8,$Z$4:$AA$15,2,0),"")&amp;"/"&amp;IFERROR(VLOOKUP(V9,$Z$4:$AA$15,2,0),"")),FIND("/",IF(IFERROR(VLOOKUP(V8,$Z$4:$AA$15,2,0),"")&amp;"/"&amp;IFERROR(VLOOKUP(V9,$Z$4:$AA$15,2,0),"")="/","",IFERROR(VLOOKUP(V8,$Z$4:$AA$15,2,0),"")&amp;"/"&amp;IFERROR(VLOOKUP(V9,$Z$4:$AA$15,2,0),"")),1)-1),IF(IFERROR(VLOOKUP(V8,$Z$4:$AA$15,2,0),"")&amp;"/"&amp;IFERROR(VLOOKUP(V9,$Z$4:$AA$15,2,0),"")="/","",IFERROR(VLOOKUP(V8,$Z$4:$AA$15,2,0),"")&amp;"/"&amp;IFERROR(VLOOKUP(V9,$Z$4:$AA$15,2,0),"")))</f>
        <v/>
      </c>
      <c r="Z8" s="16">
        <v>5</v>
      </c>
      <c r="AA8" s="16" t="s">
        <v>52</v>
      </c>
    </row>
    <row r="9" spans="2:27" x14ac:dyDescent="0.2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O9" s="78" t="str">
        <f t="shared" si="1"/>
        <v/>
      </c>
      <c r="P9" s="84" t="str">
        <f>IF(COUNTIF($Q$3:Q9,Q9)=1,MAX($P$3:P8)+1,"")</f>
        <v/>
      </c>
      <c r="Q9" s="3" t="str">
        <f>IF(B11&gt;0,B11,"")</f>
        <v/>
      </c>
      <c r="R9" s="49" t="str">
        <f>IF(B11&gt;0,MONTH(B$10),"")</f>
        <v/>
      </c>
      <c r="S9" s="50" t="str">
        <f>IF(B11&gt;0,IF(C11="",32,15),"")</f>
        <v/>
      </c>
      <c r="T9" s="51" t="str">
        <f>IFERROR(IF(Q9&gt;0,DATE(2018,R9,D11),""),"")</f>
        <v/>
      </c>
      <c r="U9" s="91"/>
      <c r="V9" s="77" t="str">
        <f t="array" ref="V9">IFERROR(INDEX($R$4:$R$63,SMALL(IF($U$8=$Q$4:$Q$63,ROW($R$4:$R$63)-3,""),ROW()-7)),"")</f>
        <v/>
      </c>
      <c r="W9" s="89"/>
      <c r="Z9" s="16">
        <v>6</v>
      </c>
      <c r="AA9" s="16" t="s">
        <v>54</v>
      </c>
    </row>
    <row r="10" spans="2:27" ht="14.25" x14ac:dyDescent="0.2">
      <c r="B10" s="96">
        <f ca="1">DATE($N$1,4,1)</f>
        <v>43191</v>
      </c>
      <c r="C10" s="96"/>
      <c r="D10" s="96"/>
      <c r="F10" s="96">
        <f ca="1">DATE($N$1,5,1)</f>
        <v>43221</v>
      </c>
      <c r="G10" s="96"/>
      <c r="H10" s="96"/>
      <c r="J10" s="96">
        <f ca="1">DATE($N$1,6,1)</f>
        <v>43252</v>
      </c>
      <c r="K10" s="96"/>
      <c r="L10" s="96"/>
      <c r="O10" s="78" t="str">
        <f t="shared" si="1"/>
        <v/>
      </c>
      <c r="P10" s="84" t="str">
        <f>IF(COUNTIF($Q$3:Q10,Q10)=1,MAX($P$3:P9)+1,"")</f>
        <v/>
      </c>
      <c r="Q10" s="3" t="str">
        <f>IF(B12&gt;0,B12,"")</f>
        <v/>
      </c>
      <c r="R10" s="49" t="str">
        <f>IF(B12&gt;0,MONTH(B$10),"")</f>
        <v/>
      </c>
      <c r="S10" s="50" t="str">
        <f>IF(B12&gt;0,IF(C12="",32,15),"")</f>
        <v/>
      </c>
      <c r="T10" s="51" t="str">
        <f>IFERROR(IF(Q10&gt;0,DATE(2018,R10,D12),""),"")</f>
        <v/>
      </c>
      <c r="U10" s="90" t="str">
        <f>IF(MAX(NameCount)&lt;ROW(4:4),"",VLOOKUP(ROW(4:4),NameList,2))</f>
        <v/>
      </c>
      <c r="V10" s="76" t="str">
        <f t="array" ref="V10">IFERROR(INDEX($R$4:$R$63,SMALL(IF($U$10=$Q$4:$Q$63,ROW($R$4:$R$63)-3,""),ROW()-9)),"")</f>
        <v/>
      </c>
      <c r="W10" s="88" t="str">
        <f t="shared" ref="W10" si="4">IF(RIGHT(IF(IFERROR(VLOOKUP(V10,$Z$4:$AA$15,2,0),"")&amp;"/"&amp;IFERROR(VLOOKUP(V11,$Z$4:$AA$15,2,0),"")="/","",IFERROR(VLOOKUP(V10,$Z$4:$AA$15,2,0),"")&amp;"/"&amp;IFERROR(VLOOKUP(V11,$Z$4:$AA$15,2,0),"")),1)="/",LEFT(IF(IFERROR(VLOOKUP(V10,$Z$4:$AA$15,2,0),"")&amp;"/"&amp;IFERROR(VLOOKUP(V11,$Z$4:$AA$15,2,0),"")="/","",IFERROR(VLOOKUP(V10,$Z$4:$AA$15,2,0),"")&amp;"/"&amp;IFERROR(VLOOKUP(V11,$Z$4:$AA$15,2,0),"")),FIND("/",IF(IFERROR(VLOOKUP(V10,$Z$4:$AA$15,2,0),"")&amp;"/"&amp;IFERROR(VLOOKUP(V11,$Z$4:$AA$15,2,0),"")="/","",IFERROR(VLOOKUP(V10,$Z$4:$AA$15,2,0),"")&amp;"/"&amp;IFERROR(VLOOKUP(V11,$Z$4:$AA$15,2,0),"")),1)-1),IF(IFERROR(VLOOKUP(V10,$Z$4:$AA$15,2,0),"")&amp;"/"&amp;IFERROR(VLOOKUP(V11,$Z$4:$AA$15,2,0),"")="/","",IFERROR(VLOOKUP(V10,$Z$4:$AA$15,2,0),"")&amp;"/"&amp;IFERROR(VLOOKUP(V11,$Z$4:$AA$15,2,0),"")))</f>
        <v/>
      </c>
      <c r="Z10" s="16">
        <v>7</v>
      </c>
      <c r="AA10" s="16" t="s">
        <v>56</v>
      </c>
    </row>
    <row r="11" spans="2:27" x14ac:dyDescent="0.2">
      <c r="B11" s="3"/>
      <c r="C11" s="4"/>
      <c r="D11" s="5"/>
      <c r="F11" s="3"/>
      <c r="G11" s="4"/>
      <c r="H11" s="5"/>
      <c r="J11" s="3"/>
      <c r="K11" s="4"/>
      <c r="L11" s="5"/>
      <c r="O11" s="78" t="str">
        <f t="shared" si="1"/>
        <v/>
      </c>
      <c r="P11" s="84" t="str">
        <f>IF(COUNTIF($Q$3:Q11,Q11)=1,MAX($P$3:P10)+1,"")</f>
        <v/>
      </c>
      <c r="Q11" s="3" t="str">
        <f>IF(B13&gt;0,B13,"")</f>
        <v/>
      </c>
      <c r="R11" s="49" t="str">
        <f>IF(B13&gt;0,MONTH(B$10),"")</f>
        <v/>
      </c>
      <c r="S11" s="50" t="str">
        <f>IF(B13&gt;0,IF(C13="",32,15),"")</f>
        <v/>
      </c>
      <c r="T11" s="51" t="str">
        <f>IFERROR(IF(Q11&gt;0,DATE(2018,R11,D13),""),"")</f>
        <v/>
      </c>
      <c r="U11" s="91"/>
      <c r="V11" s="77" t="str">
        <f t="array" ref="V11">IFERROR(INDEX($R$4:$R$63,SMALL(IF($U$10=$Q$4:$Q$63,ROW($R$4:$R$63)-3,""),ROW()-9)),"")</f>
        <v/>
      </c>
      <c r="W11" s="89"/>
      <c r="Z11" s="16">
        <v>8</v>
      </c>
      <c r="AA11" s="16" t="s">
        <v>53</v>
      </c>
    </row>
    <row r="12" spans="2:27" x14ac:dyDescent="0.2">
      <c r="B12" s="3"/>
      <c r="C12" s="4"/>
      <c r="D12" s="5"/>
      <c r="F12" s="3"/>
      <c r="G12" s="4"/>
      <c r="H12" s="5"/>
      <c r="J12" s="3"/>
      <c r="K12" s="4"/>
      <c r="L12" s="5"/>
      <c r="O12" s="78" t="str">
        <f t="shared" si="1"/>
        <v/>
      </c>
      <c r="P12" s="84" t="str">
        <f>IF(COUNTIF($Q$3:Q12,Q12)=1,MAX($P$3:P11)+1,"")</f>
        <v/>
      </c>
      <c r="Q12" s="3" t="str">
        <f>IF(B14&gt;0,B14,"")</f>
        <v/>
      </c>
      <c r="R12" s="49" t="str">
        <f>IF(B14&gt;0,MONTH(B$10),"")</f>
        <v/>
      </c>
      <c r="S12" s="50" t="str">
        <f>IF(B14&gt;0,IF(C14="",32,15),"")</f>
        <v/>
      </c>
      <c r="T12" s="51" t="str">
        <f>IFERROR(IF(Q12&gt;0,DATE(2018,R12,D14),""),"")</f>
        <v/>
      </c>
      <c r="U12" s="90" t="str">
        <f>IF(MAX(NameCount)&lt;ROW(5:5),"",VLOOKUP(ROW(5:5),NameList,2))</f>
        <v/>
      </c>
      <c r="V12" s="76" t="str">
        <f t="array" ref="V12">IFERROR(INDEX($R$4:$R$63,SMALL(IF($U$12=$Q$4:$Q$63,ROW($R$4:$R$63)-3,""),ROW()-11)),"")</f>
        <v/>
      </c>
      <c r="W12" s="88" t="str">
        <f t="shared" ref="W12" si="5">IF(RIGHT(IF(IFERROR(VLOOKUP(V12,$Z$4:$AA$15,2,0),"")&amp;"/"&amp;IFERROR(VLOOKUP(V13,$Z$4:$AA$15,2,0),"")="/","",IFERROR(VLOOKUP(V12,$Z$4:$AA$15,2,0),"")&amp;"/"&amp;IFERROR(VLOOKUP(V13,$Z$4:$AA$15,2,0),"")),1)="/",LEFT(IF(IFERROR(VLOOKUP(V12,$Z$4:$AA$15,2,0),"")&amp;"/"&amp;IFERROR(VLOOKUP(V13,$Z$4:$AA$15,2,0),"")="/","",IFERROR(VLOOKUP(V12,$Z$4:$AA$15,2,0),"")&amp;"/"&amp;IFERROR(VLOOKUP(V13,$Z$4:$AA$15,2,0),"")),FIND("/",IF(IFERROR(VLOOKUP(V12,$Z$4:$AA$15,2,0),"")&amp;"/"&amp;IFERROR(VLOOKUP(V13,$Z$4:$AA$15,2,0),"")="/","",IFERROR(VLOOKUP(V12,$Z$4:$AA$15,2,0),"")&amp;"/"&amp;IFERROR(VLOOKUP(V13,$Z$4:$AA$15,2,0),"")),1)-1),IF(IFERROR(VLOOKUP(V12,$Z$4:$AA$15,2,0),"")&amp;"/"&amp;IFERROR(VLOOKUP(V13,$Z$4:$AA$15,2,0),"")="/","",IFERROR(VLOOKUP(V12,$Z$4:$AA$15,2,0),"")&amp;"/"&amp;IFERROR(VLOOKUP(V13,$Z$4:$AA$15,2,0),"")))</f>
        <v/>
      </c>
      <c r="Z12" s="16">
        <v>9</v>
      </c>
      <c r="AA12" s="16" t="s">
        <v>64</v>
      </c>
    </row>
    <row r="13" spans="2:27" x14ac:dyDescent="0.2">
      <c r="B13" s="3"/>
      <c r="C13" s="4"/>
      <c r="D13" s="5"/>
      <c r="F13" s="3"/>
      <c r="G13" s="4"/>
      <c r="H13" s="5"/>
      <c r="J13" s="3"/>
      <c r="K13" s="4"/>
      <c r="L13" s="5"/>
      <c r="O13" s="78" t="str">
        <f t="shared" si="1"/>
        <v/>
      </c>
      <c r="P13" s="84" t="str">
        <f>IF(COUNTIF($Q$3:Q13,Q13)=1,MAX($P$3:P12)+1,"")</f>
        <v/>
      </c>
      <c r="Q13" s="3" t="str">
        <f>IF(B15&gt;0,B15,"")</f>
        <v/>
      </c>
      <c r="R13" s="49" t="str">
        <f>IF(B15&gt;0,MONTH(B$10),"")</f>
        <v/>
      </c>
      <c r="S13" s="50" t="str">
        <f>IF(B15&gt;0,IF(C15="",32,15),"")</f>
        <v/>
      </c>
      <c r="T13" s="51" t="str">
        <f>IFERROR(IF(Q13&gt;0,DATE(2018,R13,D15),""),"")</f>
        <v/>
      </c>
      <c r="U13" s="91"/>
      <c r="V13" s="77" t="str">
        <f t="array" ref="V13">IFERROR(INDEX($R$4:$R$63,SMALL(IF($U$12=$Q$4:$Q$63,ROW($R$4:$R$63)-3,""),ROW()-11)),"")</f>
        <v/>
      </c>
      <c r="W13" s="89"/>
      <c r="Z13" s="16">
        <v>10</v>
      </c>
      <c r="AA13" s="16" t="s">
        <v>59</v>
      </c>
    </row>
    <row r="14" spans="2:27" x14ac:dyDescent="0.2">
      <c r="B14" s="3"/>
      <c r="C14" s="4"/>
      <c r="D14" s="5"/>
      <c r="F14" s="3"/>
      <c r="G14" s="4"/>
      <c r="H14" s="5"/>
      <c r="J14" s="3"/>
      <c r="K14" s="4"/>
      <c r="L14" s="5"/>
      <c r="O14" s="78" t="str">
        <f t="shared" si="1"/>
        <v/>
      </c>
      <c r="P14" s="84" t="str">
        <f>IF(COUNTIF($Q$3:Q14,Q14)=1,MAX($P$3:P13)+1,"")</f>
        <v/>
      </c>
      <c r="Q14" s="3" t="str">
        <f>IF(B18&gt;0,B18,"")</f>
        <v/>
      </c>
      <c r="R14" s="49" t="str">
        <f>IF(B18&gt;0,MONTH(B$17),"")</f>
        <v/>
      </c>
      <c r="S14" s="50" t="str">
        <f>IF(B18&gt;0,IF(C18="",32,15),"")</f>
        <v/>
      </c>
      <c r="T14" s="51" t="str">
        <f>IFERROR(IF(Q14&gt;0,DATE(2018,R14,D18),""),"")</f>
        <v/>
      </c>
      <c r="U14" s="90" t="str">
        <f>IF(MAX(NameCount)&lt;ROW(6:6),"",VLOOKUP(ROW(6:6),NameList,2))</f>
        <v/>
      </c>
      <c r="V14" s="76" t="str">
        <f t="array" ref="V14">IFERROR(INDEX($R$4:$R$63,SMALL(IF($U$14=$Q$4:$Q$63,ROW($R$4:$R$63)-3,""),ROW()-13)),"")</f>
        <v/>
      </c>
      <c r="W14" s="88" t="str">
        <f t="shared" ref="W14" si="6">IF(RIGHT(IF(IFERROR(VLOOKUP(V14,$Z$4:$AA$15,2,0),"")&amp;"/"&amp;IFERROR(VLOOKUP(V15,$Z$4:$AA$15,2,0),"")="/","",IFERROR(VLOOKUP(V14,$Z$4:$AA$15,2,0),"")&amp;"/"&amp;IFERROR(VLOOKUP(V15,$Z$4:$AA$15,2,0),"")),1)="/",LEFT(IF(IFERROR(VLOOKUP(V14,$Z$4:$AA$15,2,0),"")&amp;"/"&amp;IFERROR(VLOOKUP(V15,$Z$4:$AA$15,2,0),"")="/","",IFERROR(VLOOKUP(V14,$Z$4:$AA$15,2,0),"")&amp;"/"&amp;IFERROR(VLOOKUP(V15,$Z$4:$AA$15,2,0),"")),FIND("/",IF(IFERROR(VLOOKUP(V14,$Z$4:$AA$15,2,0),"")&amp;"/"&amp;IFERROR(VLOOKUP(V15,$Z$4:$AA$15,2,0),"")="/","",IFERROR(VLOOKUP(V14,$Z$4:$AA$15,2,0),"")&amp;"/"&amp;IFERROR(VLOOKUP(V15,$Z$4:$AA$15,2,0),"")),1)-1),IF(IFERROR(VLOOKUP(V14,$Z$4:$AA$15,2,0),"")&amp;"/"&amp;IFERROR(VLOOKUP(V15,$Z$4:$AA$15,2,0),"")="/","",IFERROR(VLOOKUP(V14,$Z$4:$AA$15,2,0),"")&amp;"/"&amp;IFERROR(VLOOKUP(V15,$Z$4:$AA$15,2,0),"")))</f>
        <v/>
      </c>
      <c r="Z14" s="16">
        <v>11</v>
      </c>
      <c r="AA14" s="16" t="s">
        <v>71</v>
      </c>
    </row>
    <row r="15" spans="2:27" ht="14.25" x14ac:dyDescent="0.2">
      <c r="B15" s="3"/>
      <c r="C15" s="4"/>
      <c r="D15" s="5"/>
      <c r="E15" s="6">
        <f>SUM(C11:C15)</f>
        <v>0</v>
      </c>
      <c r="F15" s="3"/>
      <c r="G15" s="4"/>
      <c r="H15" s="5"/>
      <c r="I15" s="6">
        <f>SUM(G11:G15)</f>
        <v>0</v>
      </c>
      <c r="J15" s="3"/>
      <c r="K15" s="4"/>
      <c r="L15" s="5"/>
      <c r="M15" s="6">
        <f>SUM(K11:K15)</f>
        <v>0</v>
      </c>
      <c r="O15" s="78" t="str">
        <f t="shared" si="1"/>
        <v/>
      </c>
      <c r="P15" s="84" t="str">
        <f>IF(COUNTIF($Q$3:Q15,Q15)=1,MAX($P$3:P14)+1,"")</f>
        <v/>
      </c>
      <c r="Q15" s="3" t="str">
        <f>IF(B19&gt;0,B19,"")</f>
        <v/>
      </c>
      <c r="R15" s="49" t="str">
        <f>IF(B19&gt;0,MONTH(B$17),"")</f>
        <v/>
      </c>
      <c r="S15" s="50" t="str">
        <f>IF(B19&gt;0,IF(C19="",32,15),"")</f>
        <v/>
      </c>
      <c r="T15" s="51" t="str">
        <f>IFERROR(IF(Q15&gt;0,DATE(2018,R15,D19),""),"")</f>
        <v/>
      </c>
      <c r="U15" s="91"/>
      <c r="V15" s="77" t="str">
        <f t="array" ref="V15">IFERROR(INDEX($R$4:$R$63,SMALL(IF($U$14=$Q$4:$Q$63,ROW($R$4:$R$63)-3,""),ROW()-13)),"")</f>
        <v/>
      </c>
      <c r="W15" s="89"/>
      <c r="Z15" s="16">
        <v>12</v>
      </c>
      <c r="AA15" s="16" t="s">
        <v>65</v>
      </c>
    </row>
    <row r="16" spans="2:27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O16" s="78" t="str">
        <f t="shared" si="1"/>
        <v/>
      </c>
      <c r="P16" s="84" t="str">
        <f>IF(COUNTIF($Q$3:Q16,Q16)=1,MAX($P$3:P15)+1,"")</f>
        <v/>
      </c>
      <c r="Q16" s="3" t="str">
        <f>IF(B20&gt;0,B20,"")</f>
        <v/>
      </c>
      <c r="R16" s="49" t="str">
        <f>IF(B20&gt;0,MONTH(B$17),"")</f>
        <v/>
      </c>
      <c r="S16" s="50" t="str">
        <f>IF(B20&gt;0,IF(C20="",32,15),"")</f>
        <v/>
      </c>
      <c r="T16" s="51" t="str">
        <f>IFERROR(IF(Q16&gt;0,DATE(2018,R16,D20),""),"")</f>
        <v/>
      </c>
      <c r="U16" s="90" t="str">
        <f>IF(MAX(NameCount)&lt;ROW(7:7),"",VLOOKUP(ROW(7:7),NameList,2))</f>
        <v/>
      </c>
      <c r="V16" s="76" t="str">
        <f t="array" ref="V16">IFERROR(INDEX($R$4:$R$63,SMALL(IF($U$16=$Q$4:$Q$63,ROW($R$4:$R$63)-3,""),ROW()-15)),"")</f>
        <v/>
      </c>
      <c r="W16" s="88" t="str">
        <f t="shared" ref="W16" si="7">IF(RIGHT(IF(IFERROR(VLOOKUP(V16,$Z$4:$AA$15,2,0),"")&amp;"/"&amp;IFERROR(VLOOKUP(V17,$Z$4:$AA$15,2,0),"")="/","",IFERROR(VLOOKUP(V16,$Z$4:$AA$15,2,0),"")&amp;"/"&amp;IFERROR(VLOOKUP(V17,$Z$4:$AA$15,2,0),"")),1)="/",LEFT(IF(IFERROR(VLOOKUP(V16,$Z$4:$AA$15,2,0),"")&amp;"/"&amp;IFERROR(VLOOKUP(V17,$Z$4:$AA$15,2,0),"")="/","",IFERROR(VLOOKUP(V16,$Z$4:$AA$15,2,0),"")&amp;"/"&amp;IFERROR(VLOOKUP(V17,$Z$4:$AA$15,2,0),"")),FIND("/",IF(IFERROR(VLOOKUP(V16,$Z$4:$AA$15,2,0),"")&amp;"/"&amp;IFERROR(VLOOKUP(V17,$Z$4:$AA$15,2,0),"")="/","",IFERROR(VLOOKUP(V16,$Z$4:$AA$15,2,0),"")&amp;"/"&amp;IFERROR(VLOOKUP(V17,$Z$4:$AA$15,2,0),"")),1)-1),IF(IFERROR(VLOOKUP(V16,$Z$4:$AA$15,2,0),"")&amp;"/"&amp;IFERROR(VLOOKUP(V17,$Z$4:$AA$15,2,0),"")="/","",IFERROR(VLOOKUP(V16,$Z$4:$AA$15,2,0),"")&amp;"/"&amp;IFERROR(VLOOKUP(V17,$Z$4:$AA$15,2,0),"")))</f>
        <v/>
      </c>
    </row>
    <row r="17" spans="2:23" ht="14.25" x14ac:dyDescent="0.2">
      <c r="B17" s="96">
        <f ca="1">DATE($N$1,7,1)</f>
        <v>43282</v>
      </c>
      <c r="C17" s="96"/>
      <c r="D17" s="96"/>
      <c r="F17" s="96">
        <f ca="1">DATE($N$1,8,1)</f>
        <v>43313</v>
      </c>
      <c r="G17" s="96"/>
      <c r="H17" s="96"/>
      <c r="J17" s="96">
        <f ca="1">DATE($N$1,9,1)</f>
        <v>43344</v>
      </c>
      <c r="K17" s="96"/>
      <c r="L17" s="96"/>
      <c r="O17" s="78" t="str">
        <f t="shared" si="1"/>
        <v/>
      </c>
      <c r="P17" s="84" t="str">
        <f>IF(COUNTIF($Q$3:Q17,Q17)=1,MAX($P$3:P16)+1,"")</f>
        <v/>
      </c>
      <c r="Q17" s="3" t="str">
        <f>IF(B21&gt;0,B21,"")</f>
        <v/>
      </c>
      <c r="R17" s="49" t="str">
        <f>IF(B21&gt;0,MONTH(B$17),"")</f>
        <v/>
      </c>
      <c r="S17" s="50" t="str">
        <f>IF(B21&gt;0,IF(C21="",32,15),"")</f>
        <v/>
      </c>
      <c r="T17" s="51" t="str">
        <f>IFERROR(IF(Q17&gt;0,DATE(2018,R17,D21),""),"")</f>
        <v/>
      </c>
      <c r="U17" s="91"/>
      <c r="V17" s="77" t="str">
        <f t="array" ref="V17">IFERROR(INDEX($R$4:$R$63,SMALL(IF($U$16=$Q$4:$Q$63,ROW($R$4:$R$63)-3,""),ROW()-15)),"")</f>
        <v/>
      </c>
      <c r="W17" s="89"/>
    </row>
    <row r="18" spans="2:23" x14ac:dyDescent="0.2">
      <c r="B18" s="3"/>
      <c r="C18" s="4"/>
      <c r="D18" s="5"/>
      <c r="F18" s="3"/>
      <c r="G18" s="4"/>
      <c r="H18" s="5"/>
      <c r="J18" s="3"/>
      <c r="K18" s="4"/>
      <c r="L18" s="5"/>
      <c r="O18" s="78" t="str">
        <f t="shared" si="1"/>
        <v>Тимкин Р.В.</v>
      </c>
      <c r="P18" s="84" t="str">
        <f>IF(COUNTIF($Q$3:Q18,Q18)=1,MAX($P$3:P17)+1,"")</f>
        <v/>
      </c>
      <c r="Q18" s="3" t="str">
        <f>IF(B22&gt;0,B22,"")</f>
        <v>Тимкин Р.В.</v>
      </c>
      <c r="R18" s="49">
        <f ca="1">IF(B22&gt;0,MONTH(B$17),"")</f>
        <v>7</v>
      </c>
      <c r="S18" s="50">
        <f>IF(B22&gt;0,IF(C22="",32,15),"")</f>
        <v>15</v>
      </c>
      <c r="T18" s="51">
        <f ca="1">IFERROR(IF(Q18&gt;0,DATE(2018,R18,D22),""),"")</f>
        <v>43291</v>
      </c>
      <c r="U18" s="90" t="str">
        <f>IF(MAX(NameCount)&lt;ROW(8:8),"",VLOOKUP(ROW(8:8),NameList,2))</f>
        <v/>
      </c>
      <c r="V18" s="76" t="str">
        <f t="array" ref="V18">IFERROR(INDEX($R$4:$R$63,SMALL(IF($U$18=$Q$4:$Q$63,ROW($R$4:$R$63)-3,""),ROW()-17)),"")</f>
        <v/>
      </c>
      <c r="W18" s="88" t="str">
        <f>IF(RIGHT(IF(IFERROR(VLOOKUP(V18,$Z$4:$AA$15,2,0),"")&amp;"/"&amp;IFERROR(VLOOKUP(V19,$Z$4:$AA$15,2,0),"")="/","",IFERROR(VLOOKUP(V18,$Z$4:$AA$15,2,0),"")&amp;"/"&amp;IFERROR(VLOOKUP(V19,$Z$4:$AA$15,2,0),"")),1)="/",LEFT(IF(IFERROR(VLOOKUP(V18,$Z$4:$AA$15,2,0),"")&amp;"/"&amp;IFERROR(VLOOKUP(V19,$Z$4:$AA$15,2,0),"")="/","",IFERROR(VLOOKUP(V18,$Z$4:$AA$15,2,0),"")&amp;"/"&amp;IFERROR(VLOOKUP(V19,$Z$4:$AA$15,2,0),"")),FIND("/",IF(IFERROR(VLOOKUP(V18,$Z$4:$AA$15,2,0),"")&amp;"/"&amp;IFERROR(VLOOKUP(V19,$Z$4:$AA$15,2,0),"")="/","",IFERROR(VLOOKUP(V18,$Z$4:$AA$15,2,0),"")&amp;"/"&amp;IFERROR(VLOOKUP(V19,$Z$4:$AA$15,2,0),"")),1)-1),IF(IFERROR(VLOOKUP(V18,$Z$4:$AA$15,2,0),"")&amp;"/"&amp;IFERROR(VLOOKUP(V19,$Z$4:$AA$15,2,0),"")="/","",IFERROR(VLOOKUP(V18,$Z$4:$AA$15,2,0),"")&amp;"/"&amp;IFERROR(VLOOKUP(V19,$Z$4:$AA$15,2,0),"")))</f>
        <v/>
      </c>
    </row>
    <row r="19" spans="2:23" x14ac:dyDescent="0.2">
      <c r="B19" s="3"/>
      <c r="C19" s="4"/>
      <c r="D19" s="5"/>
      <c r="F19" s="3"/>
      <c r="G19" s="4"/>
      <c r="H19" s="5"/>
      <c r="J19" s="3"/>
      <c r="K19" s="4"/>
      <c r="L19" s="5"/>
      <c r="O19" s="78" t="str">
        <f t="shared" si="1"/>
        <v/>
      </c>
      <c r="P19" s="84" t="str">
        <f>IF(COUNTIF($Q$3:Q19,Q19)=1,MAX($P$3:P18)+1,"")</f>
        <v/>
      </c>
      <c r="Q19" s="3" t="str">
        <f>IF(B25&gt;0,B25,"")</f>
        <v/>
      </c>
      <c r="R19" s="49" t="str">
        <f>IF(B25&gt;0,MONTH(B$24),"")</f>
        <v/>
      </c>
      <c r="S19" s="50" t="str">
        <f>IF(B25&gt;0,IF(C25="",32,15),"")</f>
        <v/>
      </c>
      <c r="T19" s="51" t="str">
        <f>IFERROR(IF(Q19&gt;0,DATE(2018,R19,D25),""),"")</f>
        <v/>
      </c>
      <c r="U19" s="91"/>
      <c r="V19" s="77" t="str">
        <f t="array" ref="V19">IFERROR(INDEX($R$4:$R$63,SMALL(IF($U$18=$Q$4:$Q$63,ROW($R$4:$R$63)-3,""),ROW()-17)),"")</f>
        <v/>
      </c>
      <c r="W19" s="89"/>
    </row>
    <row r="20" spans="2:23" x14ac:dyDescent="0.2">
      <c r="B20" s="3"/>
      <c r="C20" s="4"/>
      <c r="D20" s="5"/>
      <c r="F20" s="3"/>
      <c r="G20" s="4"/>
      <c r="H20" s="5"/>
      <c r="J20" s="3"/>
      <c r="K20" s="4"/>
      <c r="L20" s="5"/>
      <c r="O20" s="78" t="str">
        <f t="shared" si="1"/>
        <v/>
      </c>
      <c r="P20" s="84" t="str">
        <f>IF(COUNTIF($Q$3:Q20,Q20)=1,MAX($P$3:P19)+1,"")</f>
        <v/>
      </c>
      <c r="Q20" s="3" t="str">
        <f>IF(B26&gt;0,B26,"")</f>
        <v/>
      </c>
      <c r="R20" s="49" t="str">
        <f>IF(B26&gt;0,MONTH(B$24),"")</f>
        <v/>
      </c>
      <c r="S20" s="50" t="str">
        <f>IF(B26&gt;0,IF(C26="",32,15),"")</f>
        <v/>
      </c>
      <c r="T20" s="51" t="str">
        <f>IFERROR(IF(Q20&gt;0,DATE(2018,R20,D26),""),"")</f>
        <v/>
      </c>
      <c r="U20" s="90" t="str">
        <f>IF(MAX(NameCount)&lt;ROW(9:9),"",VLOOKUP(ROW(9:9),NameList,2))</f>
        <v/>
      </c>
      <c r="V20" s="76" t="str">
        <f t="array" ref="V20">IFERROR(INDEX($R$4:$R$63,SMALL(IF($U$20=$Q$4:$Q$63,ROW($R$4:$R$63)-3,""),ROW()-19)),"")</f>
        <v/>
      </c>
      <c r="W20" s="88" t="str">
        <f t="shared" ref="W20" si="8">IF(RIGHT(IF(IFERROR(VLOOKUP(V20,$Z$4:$AA$15,2,0),"")&amp;"/"&amp;IFERROR(VLOOKUP(V21,$Z$4:$AA$15,2,0),"")="/","",IFERROR(VLOOKUP(V20,$Z$4:$AA$15,2,0),"")&amp;"/"&amp;IFERROR(VLOOKUP(V21,$Z$4:$AA$15,2,0),"")),1)="/",LEFT(IF(IFERROR(VLOOKUP(V20,$Z$4:$AA$15,2,0),"")&amp;"/"&amp;IFERROR(VLOOKUP(V21,$Z$4:$AA$15,2,0),"")="/","",IFERROR(VLOOKUP(V20,$Z$4:$AA$15,2,0),"")&amp;"/"&amp;IFERROR(VLOOKUP(V21,$Z$4:$AA$15,2,0),"")),FIND("/",IF(IFERROR(VLOOKUP(V20,$Z$4:$AA$15,2,0),"")&amp;"/"&amp;IFERROR(VLOOKUP(V21,$Z$4:$AA$15,2,0),"")="/","",IFERROR(VLOOKUP(V20,$Z$4:$AA$15,2,0),"")&amp;"/"&amp;IFERROR(VLOOKUP(V21,$Z$4:$AA$15,2,0),"")),1)-1),IF(IFERROR(VLOOKUP(V20,$Z$4:$AA$15,2,0),"")&amp;"/"&amp;IFERROR(VLOOKUP(V21,$Z$4:$AA$15,2,0),"")="/","",IFERROR(VLOOKUP(V20,$Z$4:$AA$15,2,0),"")&amp;"/"&amp;IFERROR(VLOOKUP(V21,$Z$4:$AA$15,2,0),"")))</f>
        <v/>
      </c>
    </row>
    <row r="21" spans="2:23" x14ac:dyDescent="0.2">
      <c r="B21" s="3"/>
      <c r="C21" s="4"/>
      <c r="D21" s="5"/>
      <c r="F21" s="3"/>
      <c r="G21" s="4"/>
      <c r="H21" s="5"/>
      <c r="J21" s="3"/>
      <c r="K21" s="4"/>
      <c r="L21" s="5"/>
      <c r="O21" s="78" t="str">
        <f t="shared" si="1"/>
        <v/>
      </c>
      <c r="P21" s="84" t="str">
        <f>IF(COUNTIF($Q$3:Q21,Q21)=1,MAX($P$3:P20)+1,"")</f>
        <v/>
      </c>
      <c r="Q21" s="3" t="str">
        <f>IF(B27&gt;0,B27,"")</f>
        <v/>
      </c>
      <c r="R21" s="49" t="str">
        <f>IF(B27&gt;0,MONTH(B$24),"")</f>
        <v/>
      </c>
      <c r="S21" s="50" t="str">
        <f>IF(B27&gt;0,IF(C27="",32,15),"")</f>
        <v/>
      </c>
      <c r="T21" s="51" t="str">
        <f>IFERROR(IF(Q21&gt;0,DATE(2018,R21,D27),""),"")</f>
        <v/>
      </c>
      <c r="U21" s="91"/>
      <c r="V21" s="77" t="str">
        <f t="array" ref="V21">IFERROR(INDEX($R$4:$R$63,SMALL(IF($U$20=$Q$4:$Q$63,ROW($R$4:$R$63)-3,""),ROW()-19)),"")</f>
        <v/>
      </c>
      <c r="W21" s="89"/>
    </row>
    <row r="22" spans="2:23" ht="14.25" x14ac:dyDescent="0.2">
      <c r="B22" s="3" t="s">
        <v>3</v>
      </c>
      <c r="C22" s="4">
        <v>0.5</v>
      </c>
      <c r="D22" s="5">
        <v>10</v>
      </c>
      <c r="E22" s="6">
        <f>SUM(C18:C22)</f>
        <v>0.5</v>
      </c>
      <c r="F22" s="3"/>
      <c r="G22" s="4"/>
      <c r="H22" s="5"/>
      <c r="I22" s="6">
        <f>SUM(G18:G22)</f>
        <v>0</v>
      </c>
      <c r="J22" s="3"/>
      <c r="K22" s="4"/>
      <c r="L22" s="5"/>
      <c r="M22" s="6">
        <f>SUM(K18:K22)</f>
        <v>0</v>
      </c>
      <c r="O22" s="78" t="str">
        <f t="shared" si="1"/>
        <v/>
      </c>
      <c r="P22" s="84" t="str">
        <f>IF(COUNTIF($Q$3:Q22,Q22)=1,MAX($P$3:P21)+1,"")</f>
        <v/>
      </c>
      <c r="Q22" s="3" t="str">
        <f>IF(B28&gt;0,B28,"")</f>
        <v/>
      </c>
      <c r="R22" s="49" t="str">
        <f>IF(B28&gt;0,MONTH(B$24),"")</f>
        <v/>
      </c>
      <c r="S22" s="50" t="str">
        <f>IF(B28&gt;0,IF(C28="",32,15),"")</f>
        <v/>
      </c>
      <c r="T22" s="51" t="str">
        <f>IFERROR(IF(Q22&gt;0,DATE(2018,R22,D28),""),"")</f>
        <v/>
      </c>
      <c r="U22" s="90" t="str">
        <f>IF(MAX(NameCount)&lt;ROW(10:10),"",VLOOKUP(ROW(10:10),NameList,2))</f>
        <v/>
      </c>
      <c r="V22" s="76" t="str">
        <f t="array" ref="V22">IFERROR(INDEX($R$4:$R$63,SMALL(IF($U$22=$Q$4:$Q$63,ROW($R$4:$R$63)-3,""),ROW()-21)),"")</f>
        <v/>
      </c>
      <c r="W22" s="88" t="str">
        <f t="shared" ref="W22" si="9">IF(RIGHT(IF(IFERROR(VLOOKUP(V22,$Z$4:$AA$15,2,0),"")&amp;"/"&amp;IFERROR(VLOOKUP(V23,$Z$4:$AA$15,2,0),"")="/","",IFERROR(VLOOKUP(V22,$Z$4:$AA$15,2,0),"")&amp;"/"&amp;IFERROR(VLOOKUP(V23,$Z$4:$AA$15,2,0),"")),1)="/",LEFT(IF(IFERROR(VLOOKUP(V22,$Z$4:$AA$15,2,0),"")&amp;"/"&amp;IFERROR(VLOOKUP(V23,$Z$4:$AA$15,2,0),"")="/","",IFERROR(VLOOKUP(V22,$Z$4:$AA$15,2,0),"")&amp;"/"&amp;IFERROR(VLOOKUP(V23,$Z$4:$AA$15,2,0),"")),FIND("/",IF(IFERROR(VLOOKUP(V22,$Z$4:$AA$15,2,0),"")&amp;"/"&amp;IFERROR(VLOOKUP(V23,$Z$4:$AA$15,2,0),"")="/","",IFERROR(VLOOKUP(V22,$Z$4:$AA$15,2,0),"")&amp;"/"&amp;IFERROR(VLOOKUP(V23,$Z$4:$AA$15,2,0),"")),1)-1),IF(IFERROR(VLOOKUP(V22,$Z$4:$AA$15,2,0),"")&amp;"/"&amp;IFERROR(VLOOKUP(V23,$Z$4:$AA$15,2,0),"")="/","",IFERROR(VLOOKUP(V22,$Z$4:$AA$15,2,0),"")&amp;"/"&amp;IFERROR(VLOOKUP(V23,$Z$4:$AA$15,2,0),"")))</f>
        <v/>
      </c>
    </row>
    <row r="23" spans="2:23" x14ac:dyDescent="0.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O23" s="78" t="str">
        <f t="shared" si="1"/>
        <v/>
      </c>
      <c r="P23" s="84" t="str">
        <f>IF(COUNTIF($Q$3:Q23,Q23)=1,MAX($P$3:P22)+1,"")</f>
        <v/>
      </c>
      <c r="Q23" s="3" t="str">
        <f>IF(B29&gt;0,B29,"")</f>
        <v/>
      </c>
      <c r="R23" s="49" t="str">
        <f>IF(B29&gt;0,MONTH(B$24),"")</f>
        <v/>
      </c>
      <c r="S23" s="50" t="str">
        <f>IF(B29&gt;0,IF(C29="",32,15),"")</f>
        <v/>
      </c>
      <c r="T23" s="51" t="str">
        <f>IFERROR(IF(Q23&gt;0,DATE(2018,R23,D29),""),"")</f>
        <v/>
      </c>
      <c r="U23" s="91"/>
      <c r="V23" s="77" t="str">
        <f t="array" ref="V23">IFERROR(INDEX($R$4:$R$63,SMALL(IF($U$22=$Q$4:$Q$63,ROW($R$4:$R$63)-3,""),ROW()-21)),"")</f>
        <v/>
      </c>
      <c r="W23" s="89"/>
    </row>
    <row r="24" spans="2:23" ht="14.25" x14ac:dyDescent="0.2">
      <c r="B24" s="96">
        <f ca="1">DATE($N$1,10,1)</f>
        <v>43374</v>
      </c>
      <c r="C24" s="96"/>
      <c r="D24" s="96"/>
      <c r="F24" s="96">
        <f ca="1">DATE($N$1,11,1)</f>
        <v>43405</v>
      </c>
      <c r="G24" s="96">
        <v>36.062387794604</v>
      </c>
      <c r="H24" s="96">
        <v>30.069201432402501</v>
      </c>
      <c r="J24" s="96">
        <f ca="1">DATE($N$1,12,1)</f>
        <v>43435</v>
      </c>
      <c r="K24" s="96"/>
      <c r="L24" s="96"/>
      <c r="O24" s="78" t="str">
        <f t="shared" si="1"/>
        <v/>
      </c>
      <c r="P24" s="84" t="str">
        <f>IF(COUNTIF($Q$3:Q24,Q24)=1,MAX($P$3:P23)+1,"")</f>
        <v/>
      </c>
      <c r="Q24" s="3" t="str">
        <f>IF(F4&gt;0,F4,"")</f>
        <v/>
      </c>
      <c r="R24" s="49" t="str">
        <f>IF(F4&gt;0,MONTH(F$3),"")</f>
        <v/>
      </c>
      <c r="S24" s="50" t="str">
        <f>IF(F4&gt;0,IF(G4="",32,15),"")</f>
        <v/>
      </c>
      <c r="T24" s="51" t="str">
        <f>IFERROR(IF(Q24&gt;0,DATE(2018,R24,H4),""),"")</f>
        <v/>
      </c>
      <c r="U24" s="90" t="str">
        <f>IF(MAX(NameCount)&lt;ROW(11:11),"",VLOOKUP(ROW(11:11),NameList,2))</f>
        <v/>
      </c>
      <c r="V24" s="76" t="str">
        <f t="array" ref="V24">IFERROR(INDEX($R$4:$R$63,SMALL(IF($U$24=$Q$4:$Q$63,ROW($R$4:$R$63)-3,""),ROW()-23)),"")</f>
        <v/>
      </c>
      <c r="W24" s="88" t="str">
        <f t="shared" ref="W24" si="10">IF(RIGHT(IF(IFERROR(VLOOKUP(V24,$Z$4:$AA$15,2,0),"")&amp;"/"&amp;IFERROR(VLOOKUP(V25,$Z$4:$AA$15,2,0),"")="/","",IFERROR(VLOOKUP(V24,$Z$4:$AA$15,2,0),"")&amp;"/"&amp;IFERROR(VLOOKUP(V25,$Z$4:$AA$15,2,0),"")),1)="/",LEFT(IF(IFERROR(VLOOKUP(V24,$Z$4:$AA$15,2,0),"")&amp;"/"&amp;IFERROR(VLOOKUP(V25,$Z$4:$AA$15,2,0),"")="/","",IFERROR(VLOOKUP(V24,$Z$4:$AA$15,2,0),"")&amp;"/"&amp;IFERROR(VLOOKUP(V25,$Z$4:$AA$15,2,0),"")),FIND("/",IF(IFERROR(VLOOKUP(V24,$Z$4:$AA$15,2,0),"")&amp;"/"&amp;IFERROR(VLOOKUP(V25,$Z$4:$AA$15,2,0),"")="/","",IFERROR(VLOOKUP(V24,$Z$4:$AA$15,2,0),"")&amp;"/"&amp;IFERROR(VLOOKUP(V25,$Z$4:$AA$15,2,0),"")),1)-1),IF(IFERROR(VLOOKUP(V24,$Z$4:$AA$15,2,0),"")&amp;"/"&amp;IFERROR(VLOOKUP(V25,$Z$4:$AA$15,2,0),"")="/","",IFERROR(VLOOKUP(V24,$Z$4:$AA$15,2,0),"")&amp;"/"&amp;IFERROR(VLOOKUP(V25,$Z$4:$AA$15,2,0),"")))</f>
        <v/>
      </c>
    </row>
    <row r="25" spans="2:23" x14ac:dyDescent="0.2">
      <c r="B25" s="3"/>
      <c r="C25" s="4"/>
      <c r="D25" s="5"/>
      <c r="F25" s="3"/>
      <c r="G25" s="4"/>
      <c r="H25" s="5"/>
      <c r="J25" s="3"/>
      <c r="K25" s="4"/>
      <c r="L25" s="5"/>
      <c r="O25" s="78" t="str">
        <f t="shared" si="1"/>
        <v/>
      </c>
      <c r="P25" s="84" t="str">
        <f>IF(COUNTIF($Q$3:Q25,Q25)=1,MAX($P$3:P24)+1,"")</f>
        <v/>
      </c>
      <c r="Q25" s="3" t="str">
        <f>IF(F5&gt;0,F5,"")</f>
        <v/>
      </c>
      <c r="R25" s="49" t="str">
        <f>IF(F5&gt;0,MONTH(F$3),"")</f>
        <v/>
      </c>
      <c r="S25" s="50" t="str">
        <f>IF(F5&gt;0,IF(G5="",32,15),"")</f>
        <v/>
      </c>
      <c r="T25" s="51" t="str">
        <f>IFERROR(IF(Q25&gt;0,DATE(2018,R25,H5),""),"")</f>
        <v/>
      </c>
      <c r="U25" s="91"/>
      <c r="V25" s="77" t="str">
        <f t="array" ref="V25">IFERROR(INDEX($R$4:$R$63,SMALL(IF($U$24=$Q$4:$Q$63,ROW($R$4:$R$63)-3,""),ROW()-23)),"")</f>
        <v/>
      </c>
      <c r="W25" s="89"/>
    </row>
    <row r="26" spans="2:23" x14ac:dyDescent="0.2">
      <c r="B26" s="3"/>
      <c r="C26" s="4"/>
      <c r="D26" s="5"/>
      <c r="F26" s="3"/>
      <c r="G26" s="4"/>
      <c r="H26" s="5"/>
      <c r="J26" s="87"/>
      <c r="K26" s="4"/>
      <c r="L26" s="5"/>
      <c r="O26" s="78" t="str">
        <f t="shared" si="1"/>
        <v/>
      </c>
      <c r="P26" s="84" t="str">
        <f>IF(COUNTIF($Q$3:Q26,Q26)=1,MAX($P$3:P25)+1,"")</f>
        <v/>
      </c>
      <c r="Q26" s="3" t="str">
        <f>IF(F6&gt;0,F6,"")</f>
        <v/>
      </c>
      <c r="R26" s="49" t="str">
        <f>IF(F6&gt;0,MONTH(F$3),"")</f>
        <v/>
      </c>
      <c r="S26" s="50" t="str">
        <f>IF(F6&gt;0,IF(G6="",32,15),"")</f>
        <v/>
      </c>
      <c r="T26" s="51" t="str">
        <f>IFERROR(IF(Q26&gt;0,DATE(2018,R26,H6),""),"")</f>
        <v/>
      </c>
      <c r="U26" s="90" t="str">
        <f>IF(MAX(NameCount)&lt;ROW(12:12),"",VLOOKUP(ROW(12:12),NameList,2))</f>
        <v/>
      </c>
      <c r="V26" s="76" t="str">
        <f t="array" ref="V26">IFERROR(INDEX($R$4:$R$63,SMALL(IF($U$26=$Q$4:$Q$63,ROW($R$4:$R$63)-3,""),ROW()-25)),"")</f>
        <v/>
      </c>
      <c r="W26" s="88" t="str">
        <f t="shared" ref="W26" si="11">IF(RIGHT(IF(IFERROR(VLOOKUP(V26,$Z$4:$AA$15,2,0),"")&amp;"/"&amp;IFERROR(VLOOKUP(V27,$Z$4:$AA$15,2,0),"")="/","",IFERROR(VLOOKUP(V26,$Z$4:$AA$15,2,0),"")&amp;"/"&amp;IFERROR(VLOOKUP(V27,$Z$4:$AA$15,2,0),"")),1)="/",LEFT(IF(IFERROR(VLOOKUP(V26,$Z$4:$AA$15,2,0),"")&amp;"/"&amp;IFERROR(VLOOKUP(V27,$Z$4:$AA$15,2,0),"")="/","",IFERROR(VLOOKUP(V26,$Z$4:$AA$15,2,0),"")&amp;"/"&amp;IFERROR(VLOOKUP(V27,$Z$4:$AA$15,2,0),"")),FIND("/",IF(IFERROR(VLOOKUP(V26,$Z$4:$AA$15,2,0),"")&amp;"/"&amp;IFERROR(VLOOKUP(V27,$Z$4:$AA$15,2,0),"")="/","",IFERROR(VLOOKUP(V26,$Z$4:$AA$15,2,0),"")&amp;"/"&amp;IFERROR(VLOOKUP(V27,$Z$4:$AA$15,2,0),"")),1)-1),IF(IFERROR(VLOOKUP(V26,$Z$4:$AA$15,2,0),"")&amp;"/"&amp;IFERROR(VLOOKUP(V27,$Z$4:$AA$15,2,0),"")="/","",IFERROR(VLOOKUP(V26,$Z$4:$AA$15,2,0),"")&amp;"/"&amp;IFERROR(VLOOKUP(V27,$Z$4:$AA$15,2,0),"")))</f>
        <v/>
      </c>
    </row>
    <row r="27" spans="2:23" x14ac:dyDescent="0.2">
      <c r="B27" s="3"/>
      <c r="C27" s="4"/>
      <c r="D27" s="5"/>
      <c r="F27" s="3"/>
      <c r="G27" s="4"/>
      <c r="H27" s="5"/>
      <c r="J27" s="3"/>
      <c r="K27" s="4"/>
      <c r="L27" s="5"/>
      <c r="O27" s="78" t="str">
        <f t="shared" si="1"/>
        <v/>
      </c>
      <c r="P27" s="84" t="str">
        <f>IF(COUNTIF($Q$3:Q27,Q27)=1,MAX($P$3:P26)+1,"")</f>
        <v/>
      </c>
      <c r="Q27" s="3" t="str">
        <f>IF(F7&gt;0,F7,"")</f>
        <v/>
      </c>
      <c r="R27" s="49" t="str">
        <f>IF(F7&gt;0,MONTH(F$3),"")</f>
        <v/>
      </c>
      <c r="S27" s="50" t="str">
        <f>IF(F7&gt;0,IF(G7="",32,15),"")</f>
        <v/>
      </c>
      <c r="T27" s="51" t="str">
        <f>IFERROR(IF(Q27&gt;0,DATE(2018,R27,H7),""),"")</f>
        <v/>
      </c>
      <c r="U27" s="91"/>
      <c r="V27" s="77" t="str">
        <f t="array" ref="V27">IFERROR(INDEX($R$4:$R$63,SMALL(IF($U$26=$Q$4:$Q$63,ROW($R$4:$R$63)-3,""),ROW()-25)),"")</f>
        <v/>
      </c>
      <c r="W27" s="89"/>
    </row>
    <row r="28" spans="2:23" x14ac:dyDescent="0.2">
      <c r="B28" s="3"/>
      <c r="C28" s="4"/>
      <c r="D28" s="5"/>
      <c r="F28" s="3"/>
      <c r="G28" s="4"/>
      <c r="H28" s="5"/>
      <c r="J28" s="3"/>
      <c r="K28" s="4"/>
      <c r="L28" s="5"/>
      <c r="O28" s="78" t="str">
        <f t="shared" si="1"/>
        <v/>
      </c>
      <c r="P28" s="84" t="str">
        <f>IF(COUNTIF($Q$3:Q28,Q28)=1,MAX($P$3:P27)+1,"")</f>
        <v/>
      </c>
      <c r="Q28" s="3" t="str">
        <f>IF(F8&gt;0,F8,"")</f>
        <v/>
      </c>
      <c r="R28" s="49" t="str">
        <f>IF(F8&gt;0,MONTH(F$3),"")</f>
        <v/>
      </c>
      <c r="S28" s="50" t="str">
        <f>IF(F8&gt;0,IF(G8="",32,15),"")</f>
        <v/>
      </c>
      <c r="T28" s="51" t="str">
        <f>IFERROR(IF(Q28&gt;0,DATE(2018,R28,H8),""),"")</f>
        <v/>
      </c>
      <c r="U28" s="90" t="str">
        <f>IF(MAX(NameCount)&lt;ROW(13:13),"",VLOOKUP(ROW(13:13),NameList,2))</f>
        <v/>
      </c>
      <c r="V28" s="76" t="str">
        <f t="array" ref="V28">IFERROR(INDEX($R$4:$R$63,SMALL(IF($U$28=$Q$4:$Q$63,ROW($R$4:$R$63)-3,""),ROW()-27)),"")</f>
        <v/>
      </c>
      <c r="W28" s="88" t="str">
        <f t="shared" ref="W28" si="12">IF(RIGHT(IF(IFERROR(VLOOKUP(V28,$Z$4:$AA$15,2,0),"")&amp;"/"&amp;IFERROR(VLOOKUP(V29,$Z$4:$AA$15,2,0),"")="/","",IFERROR(VLOOKUP(V28,$Z$4:$AA$15,2,0),"")&amp;"/"&amp;IFERROR(VLOOKUP(V29,$Z$4:$AA$15,2,0),"")),1)="/",LEFT(IF(IFERROR(VLOOKUP(V28,$Z$4:$AA$15,2,0),"")&amp;"/"&amp;IFERROR(VLOOKUP(V29,$Z$4:$AA$15,2,0),"")="/","",IFERROR(VLOOKUP(V28,$Z$4:$AA$15,2,0),"")&amp;"/"&amp;IFERROR(VLOOKUP(V29,$Z$4:$AA$15,2,0),"")),FIND("/",IF(IFERROR(VLOOKUP(V28,$Z$4:$AA$15,2,0),"")&amp;"/"&amp;IFERROR(VLOOKUP(V29,$Z$4:$AA$15,2,0),"")="/","",IFERROR(VLOOKUP(V28,$Z$4:$AA$15,2,0),"")&amp;"/"&amp;IFERROR(VLOOKUP(V29,$Z$4:$AA$15,2,0),"")),1)-1),IF(IFERROR(VLOOKUP(V28,$Z$4:$AA$15,2,0),"")&amp;"/"&amp;IFERROR(VLOOKUP(V29,$Z$4:$AA$15,2,0),"")="/","",IFERROR(VLOOKUP(V28,$Z$4:$AA$15,2,0),"")&amp;"/"&amp;IFERROR(VLOOKUP(V29,$Z$4:$AA$15,2,0),"")))</f>
        <v/>
      </c>
    </row>
    <row r="29" spans="2:23" ht="14.25" x14ac:dyDescent="0.2">
      <c r="B29" s="3"/>
      <c r="C29" s="4"/>
      <c r="D29" s="5"/>
      <c r="E29" s="6">
        <f>SUM(C25:C29)</f>
        <v>0</v>
      </c>
      <c r="F29" s="3"/>
      <c r="G29" s="4"/>
      <c r="H29" s="5"/>
      <c r="I29" s="6">
        <f>SUM(G25:G29)</f>
        <v>0</v>
      </c>
      <c r="J29" s="3"/>
      <c r="K29" s="4"/>
      <c r="L29" s="5"/>
      <c r="M29" s="6">
        <f>SUM(K25:K29)</f>
        <v>0</v>
      </c>
      <c r="O29" s="78" t="str">
        <f t="shared" si="1"/>
        <v/>
      </c>
      <c r="P29" s="84" t="str">
        <f>IF(COUNTIF($Q$3:Q29,Q29)=1,MAX($P$3:P28)+1,"")</f>
        <v/>
      </c>
      <c r="Q29" s="3" t="str">
        <f>IF(F11&gt;0,F11,"")</f>
        <v/>
      </c>
      <c r="R29" s="49" t="str">
        <f>IF(F11&gt;0,MONTH(F$10),"")</f>
        <v/>
      </c>
      <c r="S29" s="50" t="str">
        <f>IF(F11&gt;0,IF(G11="",32,15),"")</f>
        <v/>
      </c>
      <c r="T29" s="51" t="str">
        <f>IFERROR(IF(Q29&gt;0,DATE(2018,R29,H11),""),"")</f>
        <v/>
      </c>
      <c r="U29" s="91"/>
      <c r="V29" s="77" t="str">
        <f t="array" ref="V29">IFERROR(INDEX($R$4:$R$63,SMALL(IF($U$28=$Q$4:$Q$63,ROW($R$4:$R$63)-3,""),ROW()-27)),"")</f>
        <v/>
      </c>
      <c r="W29" s="89"/>
    </row>
    <row r="30" spans="2:23" x14ac:dyDescent="0.2">
      <c r="O30" s="78" t="str">
        <f t="shared" si="1"/>
        <v/>
      </c>
      <c r="P30" s="84" t="str">
        <f>IF(COUNTIF($Q$3:Q30,Q30)=1,MAX($P$3:P29)+1,"")</f>
        <v/>
      </c>
      <c r="Q30" s="3" t="str">
        <f>IF(F12&gt;0,F12,"")</f>
        <v/>
      </c>
      <c r="R30" s="49" t="str">
        <f>IF(F12&gt;0,MONTH(F$10),"")</f>
        <v/>
      </c>
      <c r="S30" s="50" t="str">
        <f>IF(F12&gt;0,IF(G12="",32,15),"")</f>
        <v/>
      </c>
      <c r="T30" s="51" t="str">
        <f>IFERROR(IF(Q30&gt;0,DATE(2018,R30,H12),""),"")</f>
        <v/>
      </c>
      <c r="U30" s="90" t="str">
        <f>IF(MAX(NameCount)&lt;ROW(14:14),"",VLOOKUP(ROW(14:14),NameList,2))</f>
        <v/>
      </c>
      <c r="V30" s="76" t="str">
        <f t="array" ref="V30">IFERROR(INDEX($R$4:$R$63,SMALL(IF($U$30=$Q$4:$Q$63,ROW($R$4:$R$63)-3,""),ROW()-29)),"")</f>
        <v/>
      </c>
      <c r="W30" s="88" t="str">
        <f t="shared" ref="W30" si="13">IF(RIGHT(IF(IFERROR(VLOOKUP(V30,$Z$4:$AA$15,2,0),"")&amp;"/"&amp;IFERROR(VLOOKUP(V31,$Z$4:$AA$15,2,0),"")="/","",IFERROR(VLOOKUP(V30,$Z$4:$AA$15,2,0),"")&amp;"/"&amp;IFERROR(VLOOKUP(V31,$Z$4:$AA$15,2,0),"")),1)="/",LEFT(IF(IFERROR(VLOOKUP(V30,$Z$4:$AA$15,2,0),"")&amp;"/"&amp;IFERROR(VLOOKUP(V31,$Z$4:$AA$15,2,0),"")="/","",IFERROR(VLOOKUP(V30,$Z$4:$AA$15,2,0),"")&amp;"/"&amp;IFERROR(VLOOKUP(V31,$Z$4:$AA$15,2,0),"")),FIND("/",IF(IFERROR(VLOOKUP(V30,$Z$4:$AA$15,2,0),"")&amp;"/"&amp;IFERROR(VLOOKUP(V31,$Z$4:$AA$15,2,0),"")="/","",IFERROR(VLOOKUP(V30,$Z$4:$AA$15,2,0),"")&amp;"/"&amp;IFERROR(VLOOKUP(V31,$Z$4:$AA$15,2,0),"")),1)-1),IF(IFERROR(VLOOKUP(V30,$Z$4:$AA$15,2,0),"")&amp;"/"&amp;IFERROR(VLOOKUP(V31,$Z$4:$AA$15,2,0),"")="/","",IFERROR(VLOOKUP(V30,$Z$4:$AA$15,2,0),"")&amp;"/"&amp;IFERROR(VLOOKUP(V31,$Z$4:$AA$15,2,0),"")))</f>
        <v/>
      </c>
    </row>
    <row r="31" spans="2:23" x14ac:dyDescent="0.2">
      <c r="O31" s="78" t="str">
        <f t="shared" si="1"/>
        <v/>
      </c>
      <c r="P31" s="84" t="str">
        <f>IF(COUNTIF($Q$3:Q31,Q31)=1,MAX($P$3:P30)+1,"")</f>
        <v/>
      </c>
      <c r="Q31" s="3" t="str">
        <f>IF(F13&gt;0,F13,"")</f>
        <v/>
      </c>
      <c r="R31" s="49" t="str">
        <f>IF(F13&gt;0,MONTH(F$10),"")</f>
        <v/>
      </c>
      <c r="S31" s="50" t="str">
        <f>IF(F13&gt;0,IF(G13="",32,15),"")</f>
        <v/>
      </c>
      <c r="T31" s="51" t="str">
        <f>IFERROR(IF(Q31&gt;0,DATE(2018,R31,H13),""),"")</f>
        <v/>
      </c>
      <c r="U31" s="91"/>
      <c r="V31" s="77" t="str">
        <f t="array" ref="V31">IFERROR(INDEX($R$4:$R$63,SMALL(IF($U$30=$Q$4:$Q$63,ROW($R$4:$R$63)-3,""),ROW()-29)),"")</f>
        <v/>
      </c>
      <c r="W31" s="89"/>
    </row>
    <row r="32" spans="2:23" x14ac:dyDescent="0.2">
      <c r="O32" s="78" t="str">
        <f t="shared" si="1"/>
        <v/>
      </c>
      <c r="P32" s="84" t="str">
        <f>IF(COUNTIF($Q$3:Q32,Q32)=1,MAX($P$3:P31)+1,"")</f>
        <v/>
      </c>
      <c r="Q32" s="3" t="str">
        <f>IF(F14&gt;0,F14,"")</f>
        <v/>
      </c>
      <c r="R32" s="49" t="str">
        <f>IF(F14&gt;0,MONTH(F$10),"")</f>
        <v/>
      </c>
      <c r="S32" s="50" t="str">
        <f>IF(F14&gt;0,IF(G14="",32,15),"")</f>
        <v/>
      </c>
      <c r="T32" s="51" t="str">
        <f>IFERROR(IF(Q32&gt;0,DATE(2018,R32,H14),""),"")</f>
        <v/>
      </c>
      <c r="U32" s="90" t="str">
        <f>IF(MAX(NameCount)&lt;ROW(15:15),"",VLOOKUP(ROW(15:15),NameList,2))</f>
        <v/>
      </c>
      <c r="V32" s="76" t="str">
        <f t="array" ref="V32">IFERROR(INDEX($R$4:$R$63,SMALL(IF($U$32=$Q$4:$Q$63,ROW($R$4:$R$63)-3,""),ROW()-31)),"")</f>
        <v/>
      </c>
      <c r="W32" s="88" t="str">
        <f t="shared" ref="W32" si="14">IF(RIGHT(IF(IFERROR(VLOOKUP(V32,$Z$4:$AA$15,2,0),"")&amp;"/"&amp;IFERROR(VLOOKUP(V33,$Z$4:$AA$15,2,0),"")="/","",IFERROR(VLOOKUP(V32,$Z$4:$AA$15,2,0),"")&amp;"/"&amp;IFERROR(VLOOKUP(V33,$Z$4:$AA$15,2,0),"")),1)="/",LEFT(IF(IFERROR(VLOOKUP(V32,$Z$4:$AA$15,2,0),"")&amp;"/"&amp;IFERROR(VLOOKUP(V33,$Z$4:$AA$15,2,0),"")="/","",IFERROR(VLOOKUP(V32,$Z$4:$AA$15,2,0),"")&amp;"/"&amp;IFERROR(VLOOKUP(V33,$Z$4:$AA$15,2,0),"")),FIND("/",IF(IFERROR(VLOOKUP(V32,$Z$4:$AA$15,2,0),"")&amp;"/"&amp;IFERROR(VLOOKUP(V33,$Z$4:$AA$15,2,0),"")="/","",IFERROR(VLOOKUP(V32,$Z$4:$AA$15,2,0),"")&amp;"/"&amp;IFERROR(VLOOKUP(V33,$Z$4:$AA$15,2,0),"")),1)-1),IF(IFERROR(VLOOKUP(V32,$Z$4:$AA$15,2,0),"")&amp;"/"&amp;IFERROR(VLOOKUP(V33,$Z$4:$AA$15,2,0),"")="/","",IFERROR(VLOOKUP(V32,$Z$4:$AA$15,2,0),"")&amp;"/"&amp;IFERROR(VLOOKUP(V33,$Z$4:$AA$15,2,0),"")))</f>
        <v/>
      </c>
    </row>
    <row r="33" spans="15:23" x14ac:dyDescent="0.2">
      <c r="O33" s="78" t="str">
        <f t="shared" si="1"/>
        <v/>
      </c>
      <c r="P33" s="84" t="str">
        <f>IF(COUNTIF($Q$3:Q33,Q33)=1,MAX($P$3:P32)+1,"")</f>
        <v/>
      </c>
      <c r="Q33" s="3" t="str">
        <f>IF(F15&gt;0,F15,"")</f>
        <v/>
      </c>
      <c r="R33" s="49" t="str">
        <f>IF(F15&gt;0,MONTH(F$10),"")</f>
        <v/>
      </c>
      <c r="S33" s="50" t="str">
        <f>IF(F15&gt;0,IF(G15="",32,15),"")</f>
        <v/>
      </c>
      <c r="T33" s="51" t="str">
        <f>IFERROR(IF(Q33&gt;0,DATE(2018,R33,H15),""),"")</f>
        <v/>
      </c>
      <c r="U33" s="91"/>
      <c r="V33" s="77" t="str">
        <f t="array" ref="V33">IFERROR(INDEX($R$4:$R$63,SMALL(IF($U$32=$Q$4:$Q$63,ROW($R$4:$R$63)-3,""),ROW()-31)),"")</f>
        <v/>
      </c>
      <c r="W33" s="89"/>
    </row>
    <row r="34" spans="15:23" x14ac:dyDescent="0.2">
      <c r="O34" s="78" t="str">
        <f t="shared" si="1"/>
        <v/>
      </c>
      <c r="P34" s="84" t="str">
        <f>IF(COUNTIF($Q$3:Q34,Q34)=1,MAX($P$3:P33)+1,"")</f>
        <v/>
      </c>
      <c r="Q34" s="3" t="str">
        <f>IF(F18&gt;0,F18,"")</f>
        <v/>
      </c>
      <c r="R34" s="49" t="str">
        <f>IF(F18&gt;0,MONTH(F$17),"")</f>
        <v/>
      </c>
      <c r="S34" s="50" t="str">
        <f>IF(F18&gt;0,IF(G18="",32,15),"")</f>
        <v/>
      </c>
      <c r="T34" s="51" t="str">
        <f>IFERROR(IF(Q34&gt;0,DATE(2018,R34,H18),""),"")</f>
        <v/>
      </c>
      <c r="U34" s="90" t="str">
        <f>IF(MAX(NameCount)&lt;ROW(16:16),"",VLOOKUP(ROW(16:16),NameList,2))</f>
        <v/>
      </c>
      <c r="V34" s="76" t="str">
        <f t="array" ref="V34">IFERROR(INDEX($R$4:$R$63,SMALL(IF($U$34=$Q$4:$Q$63,ROW($R$4:$R$63)-3,""),ROW()-33)),"")</f>
        <v/>
      </c>
      <c r="W34" s="88" t="str">
        <f t="shared" ref="W34" si="15">IF(RIGHT(IF(IFERROR(VLOOKUP(V34,$Z$4:$AA$15,2,0),"")&amp;"/"&amp;IFERROR(VLOOKUP(V35,$Z$4:$AA$15,2,0),"")="/","",IFERROR(VLOOKUP(V34,$Z$4:$AA$15,2,0),"")&amp;"/"&amp;IFERROR(VLOOKUP(V35,$Z$4:$AA$15,2,0),"")),1)="/",LEFT(IF(IFERROR(VLOOKUP(V34,$Z$4:$AA$15,2,0),"")&amp;"/"&amp;IFERROR(VLOOKUP(V35,$Z$4:$AA$15,2,0),"")="/","",IFERROR(VLOOKUP(V34,$Z$4:$AA$15,2,0),"")&amp;"/"&amp;IFERROR(VLOOKUP(V35,$Z$4:$AA$15,2,0),"")),FIND("/",IF(IFERROR(VLOOKUP(V34,$Z$4:$AA$15,2,0),"")&amp;"/"&amp;IFERROR(VLOOKUP(V35,$Z$4:$AA$15,2,0),"")="/","",IFERROR(VLOOKUP(V34,$Z$4:$AA$15,2,0),"")&amp;"/"&amp;IFERROR(VLOOKUP(V35,$Z$4:$AA$15,2,0),"")),1)-1),IF(IFERROR(VLOOKUP(V34,$Z$4:$AA$15,2,0),"")&amp;"/"&amp;IFERROR(VLOOKUP(V35,$Z$4:$AA$15,2,0),"")="/","",IFERROR(VLOOKUP(V34,$Z$4:$AA$15,2,0),"")&amp;"/"&amp;IFERROR(VLOOKUP(V35,$Z$4:$AA$15,2,0),"")))</f>
        <v/>
      </c>
    </row>
    <row r="35" spans="15:23" x14ac:dyDescent="0.2">
      <c r="O35" s="78" t="str">
        <f t="shared" si="1"/>
        <v/>
      </c>
      <c r="P35" s="84" t="str">
        <f>IF(COUNTIF($Q$3:Q35,Q35)=1,MAX($P$3:P34)+1,"")</f>
        <v/>
      </c>
      <c r="Q35" s="3" t="str">
        <f>IF(F19&gt;0,F19,"")</f>
        <v/>
      </c>
      <c r="R35" s="49" t="str">
        <f>IF(F19&gt;0,MONTH(F$17),"")</f>
        <v/>
      </c>
      <c r="S35" s="50" t="str">
        <f>IF(F19&gt;0,IF(G19="",32,15),"")</f>
        <v/>
      </c>
      <c r="T35" s="51" t="str">
        <f>IFERROR(IF(Q35&gt;0,DATE(2018,R35,H19),""),"")</f>
        <v/>
      </c>
      <c r="U35" s="91"/>
      <c r="V35" s="77" t="str">
        <f t="array" ref="V35">IFERROR(INDEX($R$4:$R$63,SMALL(IF($U$34=$Q$4:$Q$63,ROW($R$4:$R$63)-3,""),ROW()-33)),"")</f>
        <v/>
      </c>
      <c r="W35" s="89"/>
    </row>
    <row r="36" spans="15:23" x14ac:dyDescent="0.2">
      <c r="O36" s="78" t="str">
        <f t="shared" si="1"/>
        <v/>
      </c>
      <c r="P36" s="84" t="str">
        <f>IF(COUNTIF($Q$3:Q36,Q36)=1,MAX($P$3:P35)+1,"")</f>
        <v/>
      </c>
      <c r="Q36" s="3" t="str">
        <f>IF(F20&gt;0,F20,"")</f>
        <v/>
      </c>
      <c r="R36" s="49" t="str">
        <f>IF(F20&gt;0,MONTH(F$17),"")</f>
        <v/>
      </c>
      <c r="S36" s="50" t="str">
        <f>IF(F20&gt;0,IF(G20="",32,15),"")</f>
        <v/>
      </c>
      <c r="T36" s="51" t="str">
        <f>IFERROR(IF(Q36&gt;0,DATE(2018,R36,H20),""),"")</f>
        <v/>
      </c>
      <c r="U36" s="90" t="str">
        <f>IF(MAX(NameCount)&lt;ROW(17:17),"",VLOOKUP(ROW(17:17),NameList,2))</f>
        <v/>
      </c>
      <c r="V36" s="76" t="str">
        <f t="array" ref="V36">IFERROR(INDEX($R$4:$R$63,SMALL(IF($U$36=$Q$4:$Q$63,ROW($R$4:$R$63)-3,""),ROW()-35)),"")</f>
        <v/>
      </c>
      <c r="W36" s="88" t="str">
        <f t="shared" ref="W36" si="16">IF(RIGHT(IF(IFERROR(VLOOKUP(V36,$Z$4:$AA$15,2,0),"")&amp;"/"&amp;IFERROR(VLOOKUP(V37,$Z$4:$AA$15,2,0),"")="/","",IFERROR(VLOOKUP(V36,$Z$4:$AA$15,2,0),"")&amp;"/"&amp;IFERROR(VLOOKUP(V37,$Z$4:$AA$15,2,0),"")),1)="/",LEFT(IF(IFERROR(VLOOKUP(V36,$Z$4:$AA$15,2,0),"")&amp;"/"&amp;IFERROR(VLOOKUP(V37,$Z$4:$AA$15,2,0),"")="/","",IFERROR(VLOOKUP(V36,$Z$4:$AA$15,2,0),"")&amp;"/"&amp;IFERROR(VLOOKUP(V37,$Z$4:$AA$15,2,0),"")),FIND("/",IF(IFERROR(VLOOKUP(V36,$Z$4:$AA$15,2,0),"")&amp;"/"&amp;IFERROR(VLOOKUP(V37,$Z$4:$AA$15,2,0),"")="/","",IFERROR(VLOOKUP(V36,$Z$4:$AA$15,2,0),"")&amp;"/"&amp;IFERROR(VLOOKUP(V37,$Z$4:$AA$15,2,0),"")),1)-1),IF(IFERROR(VLOOKUP(V36,$Z$4:$AA$15,2,0),"")&amp;"/"&amp;IFERROR(VLOOKUP(V37,$Z$4:$AA$15,2,0),"")="/","",IFERROR(VLOOKUP(V36,$Z$4:$AA$15,2,0),"")&amp;"/"&amp;IFERROR(VLOOKUP(V37,$Z$4:$AA$15,2,0),"")))</f>
        <v/>
      </c>
    </row>
    <row r="37" spans="15:23" x14ac:dyDescent="0.2">
      <c r="O37" s="78" t="str">
        <f t="shared" si="1"/>
        <v/>
      </c>
      <c r="P37" s="84" t="str">
        <f>IF(COUNTIF($Q$3:Q37,Q37)=1,MAX($P$3:P36)+1,"")</f>
        <v/>
      </c>
      <c r="Q37" s="3" t="str">
        <f>IF(F21&gt;0,F21,"")</f>
        <v/>
      </c>
      <c r="R37" s="49" t="str">
        <f>IF(F21&gt;0,MONTH(F$17),"")</f>
        <v/>
      </c>
      <c r="S37" s="50" t="str">
        <f>IF(F21&gt;0,IF(G21="",32,15),"")</f>
        <v/>
      </c>
      <c r="T37" s="51" t="str">
        <f>IFERROR(IF(Q37&gt;0,DATE(2018,R37,H21),""),"")</f>
        <v/>
      </c>
      <c r="U37" s="91"/>
      <c r="V37" s="77" t="str">
        <f t="array" ref="V37">IFERROR(INDEX($R$4:$R$63,SMALL(IF($U$36=$Q$4:$Q$63,ROW($R$4:$R$63)-3,""),ROW()-35)),"")</f>
        <v/>
      </c>
      <c r="W37" s="89"/>
    </row>
    <row r="38" spans="15:23" x14ac:dyDescent="0.2">
      <c r="O38" s="78" t="str">
        <f t="shared" si="1"/>
        <v/>
      </c>
      <c r="P38" s="84" t="str">
        <f>IF(COUNTIF($Q$3:Q38,Q38)=1,MAX($P$3:P37)+1,"")</f>
        <v/>
      </c>
      <c r="Q38" s="3" t="str">
        <f>IF(F22&gt;0,F22,"")</f>
        <v/>
      </c>
      <c r="R38" s="49" t="str">
        <f>IF(F22&gt;0,MONTH(F$17),"")</f>
        <v/>
      </c>
      <c r="S38" s="50" t="str">
        <f>IF(F22&gt;0,IF(G22="",32,15),"")</f>
        <v/>
      </c>
      <c r="T38" s="51" t="str">
        <f>IFERROR(IF(Q38&gt;0,DATE(2018,R38,H22),""),"")</f>
        <v/>
      </c>
      <c r="U38" s="90" t="str">
        <f>IF(MAX(NameCount)&lt;ROW(18:18),"",VLOOKUP(ROW(18:18),NameList,2))</f>
        <v/>
      </c>
      <c r="V38" s="76" t="str">
        <f t="array" ref="V38">IFERROR(INDEX($R$4:$R$63,SMALL(IF($U$38=$Q$4:$Q$63,ROW($R$4:$R$63)-3,""),ROW()-37)),"")</f>
        <v/>
      </c>
      <c r="W38" s="88" t="str">
        <f t="shared" ref="W38" si="17">IF(RIGHT(IF(IFERROR(VLOOKUP(V38,$Z$4:$AA$15,2,0),"")&amp;"/"&amp;IFERROR(VLOOKUP(V39,$Z$4:$AA$15,2,0),"")="/","",IFERROR(VLOOKUP(V38,$Z$4:$AA$15,2,0),"")&amp;"/"&amp;IFERROR(VLOOKUP(V39,$Z$4:$AA$15,2,0),"")),1)="/",LEFT(IF(IFERROR(VLOOKUP(V38,$Z$4:$AA$15,2,0),"")&amp;"/"&amp;IFERROR(VLOOKUP(V39,$Z$4:$AA$15,2,0),"")="/","",IFERROR(VLOOKUP(V38,$Z$4:$AA$15,2,0),"")&amp;"/"&amp;IFERROR(VLOOKUP(V39,$Z$4:$AA$15,2,0),"")),FIND("/",IF(IFERROR(VLOOKUP(V38,$Z$4:$AA$15,2,0),"")&amp;"/"&amp;IFERROR(VLOOKUP(V39,$Z$4:$AA$15,2,0),"")="/","",IFERROR(VLOOKUP(V38,$Z$4:$AA$15,2,0),"")&amp;"/"&amp;IFERROR(VLOOKUP(V39,$Z$4:$AA$15,2,0),"")),1)-1),IF(IFERROR(VLOOKUP(V38,$Z$4:$AA$15,2,0),"")&amp;"/"&amp;IFERROR(VLOOKUP(V39,$Z$4:$AA$15,2,0),"")="/","",IFERROR(VLOOKUP(V38,$Z$4:$AA$15,2,0),"")&amp;"/"&amp;IFERROR(VLOOKUP(V39,$Z$4:$AA$15,2,0),"")))</f>
        <v/>
      </c>
    </row>
    <row r="39" spans="15:23" x14ac:dyDescent="0.2">
      <c r="O39" s="78" t="str">
        <f t="shared" si="1"/>
        <v/>
      </c>
      <c r="P39" s="84" t="str">
        <f>IF(COUNTIF($Q$3:Q39,Q39)=1,MAX($P$3:P38)+1,"")</f>
        <v/>
      </c>
      <c r="Q39" s="3" t="str">
        <f>IF(F25&gt;0,F25,"")</f>
        <v/>
      </c>
      <c r="R39" s="49" t="str">
        <f>IF(F25&gt;0,MONTH(F$24),"")</f>
        <v/>
      </c>
      <c r="S39" s="50" t="str">
        <f>IF(F25&gt;0,IF(G25="",32,15),"")</f>
        <v/>
      </c>
      <c r="T39" s="51" t="str">
        <f>IFERROR(IF(Q39&gt;0,DATE(2018,R39,H25),""),"")</f>
        <v/>
      </c>
      <c r="U39" s="91"/>
      <c r="V39" s="77" t="str">
        <f t="array" ref="V39">IFERROR(INDEX($R$4:$R$63,SMALL(IF($U$38=$Q$4:$Q$63,ROW($R$4:$R$63)-3,""),ROW()-37)),"")</f>
        <v/>
      </c>
      <c r="W39" s="89"/>
    </row>
    <row r="40" spans="15:23" x14ac:dyDescent="0.2">
      <c r="O40" s="78" t="str">
        <f t="shared" si="1"/>
        <v/>
      </c>
      <c r="P40" s="84" t="str">
        <f>IF(COUNTIF($Q$3:Q40,Q40)=1,MAX($P$3:P39)+1,"")</f>
        <v/>
      </c>
      <c r="Q40" s="3" t="str">
        <f>IF(F26&gt;0,F26,"")</f>
        <v/>
      </c>
      <c r="R40" s="49" t="str">
        <f>IF(F26&gt;0,MONTH(F$24),"")</f>
        <v/>
      </c>
      <c r="S40" s="50" t="str">
        <f>IF(F26&gt;0,IF(G26="",32,15),"")</f>
        <v/>
      </c>
      <c r="T40" s="51" t="str">
        <f>IFERROR(IF(Q40&gt;0,DATE(2018,R40,H26),""),"")</f>
        <v/>
      </c>
      <c r="U40" s="90" t="str">
        <f>IF(MAX(NameCount)&lt;ROW(19:19),"",VLOOKUP(ROW(19:19),NameList,2))</f>
        <v/>
      </c>
      <c r="V40" s="76" t="str">
        <f t="array" ref="V40">IFERROR(INDEX($R$4:$R$63,SMALL(IF($U$40=$Q$4:$Q$63,ROW($R$4:$R$63)-3,""),ROW()-39)),"")</f>
        <v/>
      </c>
      <c r="W40" s="88" t="str">
        <f t="shared" ref="W40" si="18">IF(RIGHT(IF(IFERROR(VLOOKUP(V40,$Z$4:$AA$15,2,0),"")&amp;"/"&amp;IFERROR(VLOOKUP(V41,$Z$4:$AA$15,2,0),"")="/","",IFERROR(VLOOKUP(V40,$Z$4:$AA$15,2,0),"")&amp;"/"&amp;IFERROR(VLOOKUP(V41,$Z$4:$AA$15,2,0),"")),1)="/",LEFT(IF(IFERROR(VLOOKUP(V40,$Z$4:$AA$15,2,0),"")&amp;"/"&amp;IFERROR(VLOOKUP(V41,$Z$4:$AA$15,2,0),"")="/","",IFERROR(VLOOKUP(V40,$Z$4:$AA$15,2,0),"")&amp;"/"&amp;IFERROR(VLOOKUP(V41,$Z$4:$AA$15,2,0),"")),FIND("/",IF(IFERROR(VLOOKUP(V40,$Z$4:$AA$15,2,0),"")&amp;"/"&amp;IFERROR(VLOOKUP(V41,$Z$4:$AA$15,2,0),"")="/","",IFERROR(VLOOKUP(V40,$Z$4:$AA$15,2,0),"")&amp;"/"&amp;IFERROR(VLOOKUP(V41,$Z$4:$AA$15,2,0),"")),1)-1),IF(IFERROR(VLOOKUP(V40,$Z$4:$AA$15,2,0),"")&amp;"/"&amp;IFERROR(VLOOKUP(V41,$Z$4:$AA$15,2,0),"")="/","",IFERROR(VLOOKUP(V40,$Z$4:$AA$15,2,0),"")&amp;"/"&amp;IFERROR(VLOOKUP(V41,$Z$4:$AA$15,2,0),"")))</f>
        <v/>
      </c>
    </row>
    <row r="41" spans="15:23" x14ac:dyDescent="0.2">
      <c r="O41" s="78" t="str">
        <f t="shared" si="1"/>
        <v/>
      </c>
      <c r="P41" s="84" t="str">
        <f>IF(COUNTIF($Q$3:Q41,Q41)=1,MAX($P$3:P40)+1,"")</f>
        <v/>
      </c>
      <c r="Q41" s="3" t="str">
        <f>IF(F27&gt;0,F27,"")</f>
        <v/>
      </c>
      <c r="R41" s="49" t="str">
        <f>IF(F27&gt;0,MONTH(F$24),"")</f>
        <v/>
      </c>
      <c r="S41" s="50" t="str">
        <f>IF(F27&gt;0,IF(G27="",32,15),"")</f>
        <v/>
      </c>
      <c r="T41" s="51" t="str">
        <f>IFERROR(IF(Q41&gt;0,DATE(2018,R41,H27),""),"")</f>
        <v/>
      </c>
      <c r="U41" s="91"/>
      <c r="V41" s="77" t="str">
        <f t="array" ref="V41">IFERROR(INDEX($R$4:$R$63,SMALL(IF($U$40=$Q$4:$Q$63,ROW($R$4:$R$63)-3,""),ROW()-39)),"")</f>
        <v/>
      </c>
      <c r="W41" s="89"/>
    </row>
    <row r="42" spans="15:23" x14ac:dyDescent="0.2">
      <c r="O42" s="78" t="str">
        <f t="shared" si="1"/>
        <v/>
      </c>
      <c r="P42" s="84" t="str">
        <f>IF(COUNTIF($Q$3:Q42,Q42)=1,MAX($P$3:P41)+1,"")</f>
        <v/>
      </c>
      <c r="Q42" s="3" t="str">
        <f>IF(F28&gt;0,F28,"")</f>
        <v/>
      </c>
      <c r="R42" s="49" t="str">
        <f>IF(F28&gt;0,MONTH(F$24),"")</f>
        <v/>
      </c>
      <c r="S42" s="50" t="str">
        <f>IF(F28&gt;0,IF(G28="",32,15),"")</f>
        <v/>
      </c>
      <c r="T42" s="51" t="str">
        <f>IFERROR(IF(Q42&gt;0,DATE(2018,R42,H28),""),"")</f>
        <v/>
      </c>
      <c r="U42" s="90" t="str">
        <f>IF(MAX(NameCount)&lt;ROW(20:20),"",VLOOKUP(ROW(20:20),NameList,2))</f>
        <v/>
      </c>
      <c r="V42" s="76" t="str">
        <f t="array" ref="V42">IFERROR(INDEX($R$4:$R$63,SMALL(IF($U$42=$Q$4:$Q$63,ROW($R$4:$R$63)-3,""),ROW()-41)),"")</f>
        <v/>
      </c>
      <c r="W42" s="88" t="str">
        <f t="shared" ref="W42" si="19">IF(RIGHT(IF(IFERROR(VLOOKUP(V42,$Z$4:$AA$15,2,0),"")&amp;"/"&amp;IFERROR(VLOOKUP(V43,$Z$4:$AA$15,2,0),"")="/","",IFERROR(VLOOKUP(V42,$Z$4:$AA$15,2,0),"")&amp;"/"&amp;IFERROR(VLOOKUP(V43,$Z$4:$AA$15,2,0),"")),1)="/",LEFT(IF(IFERROR(VLOOKUP(V42,$Z$4:$AA$15,2,0),"")&amp;"/"&amp;IFERROR(VLOOKUP(V43,$Z$4:$AA$15,2,0),"")="/","",IFERROR(VLOOKUP(V42,$Z$4:$AA$15,2,0),"")&amp;"/"&amp;IFERROR(VLOOKUP(V43,$Z$4:$AA$15,2,0),"")),FIND("/",IF(IFERROR(VLOOKUP(V42,$Z$4:$AA$15,2,0),"")&amp;"/"&amp;IFERROR(VLOOKUP(V43,$Z$4:$AA$15,2,0),"")="/","",IFERROR(VLOOKUP(V42,$Z$4:$AA$15,2,0),"")&amp;"/"&amp;IFERROR(VLOOKUP(V43,$Z$4:$AA$15,2,0),"")),1)-1),IF(IFERROR(VLOOKUP(V42,$Z$4:$AA$15,2,0),"")&amp;"/"&amp;IFERROR(VLOOKUP(V43,$Z$4:$AA$15,2,0),"")="/","",IFERROR(VLOOKUP(V42,$Z$4:$AA$15,2,0),"")&amp;"/"&amp;IFERROR(VLOOKUP(V43,$Z$4:$AA$15,2,0),"")))</f>
        <v/>
      </c>
    </row>
    <row r="43" spans="15:23" x14ac:dyDescent="0.2">
      <c r="O43" s="78" t="str">
        <f t="shared" si="1"/>
        <v/>
      </c>
      <c r="P43" s="84" t="str">
        <f>IF(COUNTIF($Q$3:Q43,Q43)=1,MAX($P$3:P42)+1,"")</f>
        <v/>
      </c>
      <c r="Q43" s="3" t="str">
        <f>IF(F29&gt;0,F29,"")</f>
        <v/>
      </c>
      <c r="R43" s="49" t="str">
        <f>IF(F29&gt;0,MONTH(F$24),"")</f>
        <v/>
      </c>
      <c r="S43" s="50" t="str">
        <f>IF(F29&gt;0,IF(G29="",32,15),"")</f>
        <v/>
      </c>
      <c r="T43" s="51" t="str">
        <f>IFERROR(IF(Q43&gt;0,DATE(2018,R43,H29),""),"")</f>
        <v/>
      </c>
      <c r="U43" s="91"/>
      <c r="V43" s="77" t="str">
        <f t="array" ref="V43">IFERROR(INDEX($R$4:$R$63,SMALL(IF($U$42=$Q$4:$Q$63,ROW($R$4:$R$63)-3,""),ROW()-41)),"")</f>
        <v/>
      </c>
      <c r="W43" s="89"/>
    </row>
    <row r="44" spans="15:23" x14ac:dyDescent="0.2">
      <c r="O44" s="78" t="str">
        <f t="shared" si="1"/>
        <v/>
      </c>
      <c r="P44" s="84" t="str">
        <f>IF(COUNTIF($Q$3:Q44,Q44)=1,MAX($P$3:P43)+1,"")</f>
        <v/>
      </c>
      <c r="Q44" s="3" t="str">
        <f>IF(J4&gt;0,J4,"")</f>
        <v/>
      </c>
      <c r="R44" s="49" t="str">
        <f>IF(J4&gt;0,MONTH(J$3),"")</f>
        <v/>
      </c>
      <c r="S44" s="50" t="str">
        <f t="shared" ref="S44:S48" si="20">IF(J4&gt;0,IF(K4="",32,15),"")</f>
        <v/>
      </c>
      <c r="T44" s="51" t="str">
        <f t="shared" ref="T44:T48" si="21">IFERROR(IF(Q44&gt;0,DATE(2018,R44,L4),""),"")</f>
        <v/>
      </c>
      <c r="U44" s="92" t="str">
        <f>IF(MAX(NameCount)&lt;ROW(21:21),"",VLOOKUP(ROW(21:21),NameList,2))</f>
        <v/>
      </c>
      <c r="V44" s="76" t="str">
        <f t="array" ref="V44">IFERROR(INDEX($R$4:$R$63,SMALL(IF($U$44=$Q$4:$Q$63,ROW($R$4:$R$63)-3,""),ROW()-43)),"")</f>
        <v/>
      </c>
      <c r="W44" s="88" t="str">
        <f t="shared" ref="W44" si="22">IF(RIGHT(IF(IFERROR(VLOOKUP(V44,$Z$4:$AA$15,2,0),"")&amp;"/"&amp;IFERROR(VLOOKUP(V45,$Z$4:$AA$15,2,0),"")="/","",IFERROR(VLOOKUP(V44,$Z$4:$AA$15,2,0),"")&amp;"/"&amp;IFERROR(VLOOKUP(V45,$Z$4:$AA$15,2,0),"")),1)="/",LEFT(IF(IFERROR(VLOOKUP(V44,$Z$4:$AA$15,2,0),"")&amp;"/"&amp;IFERROR(VLOOKUP(V45,$Z$4:$AA$15,2,0),"")="/","",IFERROR(VLOOKUP(V44,$Z$4:$AA$15,2,0),"")&amp;"/"&amp;IFERROR(VLOOKUP(V45,$Z$4:$AA$15,2,0),"")),FIND("/",IF(IFERROR(VLOOKUP(V44,$Z$4:$AA$15,2,0),"")&amp;"/"&amp;IFERROR(VLOOKUP(V45,$Z$4:$AA$15,2,0),"")="/","",IFERROR(VLOOKUP(V44,$Z$4:$AA$15,2,0),"")&amp;"/"&amp;IFERROR(VLOOKUP(V45,$Z$4:$AA$15,2,0),"")),1)-1),IF(IFERROR(VLOOKUP(V44,$Z$4:$AA$15,2,0),"")&amp;"/"&amp;IFERROR(VLOOKUP(V45,$Z$4:$AA$15,2,0),"")="/","",IFERROR(VLOOKUP(V44,$Z$4:$AA$15,2,0),"")&amp;"/"&amp;IFERROR(VLOOKUP(V45,$Z$4:$AA$15,2,0),"")))</f>
        <v/>
      </c>
    </row>
    <row r="45" spans="15:23" x14ac:dyDescent="0.2">
      <c r="O45" s="78" t="str">
        <f t="shared" si="1"/>
        <v/>
      </c>
      <c r="P45" s="84" t="str">
        <f>IF(COUNTIF($Q$3:Q45,Q45)=1,MAX($P$3:P44)+1,"")</f>
        <v/>
      </c>
      <c r="Q45" s="3" t="str">
        <f>IF(J5&gt;0,J5,"")</f>
        <v/>
      </c>
      <c r="R45" s="49" t="str">
        <f>IF(J5&gt;0,MONTH(J$3),"")</f>
        <v/>
      </c>
      <c r="S45" s="50" t="str">
        <f t="shared" si="20"/>
        <v/>
      </c>
      <c r="T45" s="51" t="str">
        <f t="shared" si="21"/>
        <v/>
      </c>
      <c r="U45" s="93"/>
      <c r="V45" s="77" t="str">
        <f t="array" ref="V45">IFERROR(INDEX($R$4:$R$63,SMALL(IF($U$44=$Q$4:$Q$63,ROW($R$4:$R$63)-3,""),ROW()-43)),"")</f>
        <v/>
      </c>
      <c r="W45" s="89"/>
    </row>
    <row r="46" spans="15:23" x14ac:dyDescent="0.2">
      <c r="O46" s="78" t="str">
        <f t="shared" si="1"/>
        <v/>
      </c>
      <c r="P46" s="84" t="str">
        <f>IF(COUNTIF($Q$3:Q46,Q46)=1,MAX($P$3:P45)+1,"")</f>
        <v/>
      </c>
      <c r="Q46" s="3" t="str">
        <f>IF(J6&gt;0,J6,"")</f>
        <v/>
      </c>
      <c r="R46" s="49" t="str">
        <f>IF(J6&gt;0,MONTH(J$3),"")</f>
        <v/>
      </c>
      <c r="S46" s="50" t="str">
        <f t="shared" si="20"/>
        <v/>
      </c>
      <c r="T46" s="51" t="str">
        <f t="shared" si="21"/>
        <v/>
      </c>
      <c r="U46" s="90" t="str">
        <f>IF(MAX(NameCount)&lt;ROW(22:22),"",VLOOKUP(ROW(22:22),NameList,2))</f>
        <v/>
      </c>
      <c r="V46" s="76" t="str">
        <f t="array" ref="V46">IFERROR(INDEX($R$4:$R$63,SMALL(IF($U$46=$Q$4:$Q$63,ROW($R$4:$R$63)-3,""),ROW()-45)),"")</f>
        <v/>
      </c>
      <c r="W46" s="88" t="str">
        <f t="shared" ref="W46" si="23">IF(RIGHT(IF(IFERROR(VLOOKUP(V46,$Z$4:$AA$15,2,0),"")&amp;"/"&amp;IFERROR(VLOOKUP(V47,$Z$4:$AA$15,2,0),"")="/","",IFERROR(VLOOKUP(V46,$Z$4:$AA$15,2,0),"")&amp;"/"&amp;IFERROR(VLOOKUP(V47,$Z$4:$AA$15,2,0),"")),1)="/",LEFT(IF(IFERROR(VLOOKUP(V46,$Z$4:$AA$15,2,0),"")&amp;"/"&amp;IFERROR(VLOOKUP(V47,$Z$4:$AA$15,2,0),"")="/","",IFERROR(VLOOKUP(V46,$Z$4:$AA$15,2,0),"")&amp;"/"&amp;IFERROR(VLOOKUP(V47,$Z$4:$AA$15,2,0),"")),FIND("/",IF(IFERROR(VLOOKUP(V46,$Z$4:$AA$15,2,0),"")&amp;"/"&amp;IFERROR(VLOOKUP(V47,$Z$4:$AA$15,2,0),"")="/","",IFERROR(VLOOKUP(V46,$Z$4:$AA$15,2,0),"")&amp;"/"&amp;IFERROR(VLOOKUP(V47,$Z$4:$AA$15,2,0),"")),1)-1),IF(IFERROR(VLOOKUP(V46,$Z$4:$AA$15,2,0),"")&amp;"/"&amp;IFERROR(VLOOKUP(V47,$Z$4:$AA$15,2,0),"")="/","",IFERROR(VLOOKUP(V46,$Z$4:$AA$15,2,0),"")&amp;"/"&amp;IFERROR(VLOOKUP(V47,$Z$4:$AA$15,2,0),"")))</f>
        <v/>
      </c>
    </row>
    <row r="47" spans="15:23" x14ac:dyDescent="0.2">
      <c r="O47" s="78" t="str">
        <f t="shared" si="1"/>
        <v/>
      </c>
      <c r="P47" s="84" t="str">
        <f>IF(COUNTIF($Q$3:Q47,Q47)=1,MAX($P$3:P46)+1,"")</f>
        <v/>
      </c>
      <c r="Q47" s="3" t="str">
        <f>IF(J7&gt;0,J7,"")</f>
        <v/>
      </c>
      <c r="R47" s="49" t="str">
        <f>IF(J7&gt;0,MONTH(J$3),"")</f>
        <v/>
      </c>
      <c r="S47" s="50" t="str">
        <f t="shared" si="20"/>
        <v/>
      </c>
      <c r="T47" s="51" t="str">
        <f t="shared" si="21"/>
        <v/>
      </c>
      <c r="U47" s="91"/>
      <c r="V47" s="77" t="str">
        <f t="array" ref="V47">IFERROR(INDEX($R$4:$R$63,SMALL(IF($U$46=$Q$4:$Q$63,ROW($R$4:$R$63)-3,""),ROW()-45)),"")</f>
        <v/>
      </c>
      <c r="W47" s="89"/>
    </row>
    <row r="48" spans="15:23" x14ac:dyDescent="0.2">
      <c r="O48" s="78" t="str">
        <f t="shared" si="1"/>
        <v/>
      </c>
      <c r="P48" s="84" t="str">
        <f>IF(COUNTIF($Q$3:Q48,Q48)=1,MAX($P$3:P47)+1,"")</f>
        <v/>
      </c>
      <c r="Q48" s="3" t="str">
        <f>IF(J8&gt;0,J8,"")</f>
        <v/>
      </c>
      <c r="R48" s="49" t="str">
        <f>IF(J8&gt;0,MONTH(J$3),"")</f>
        <v/>
      </c>
      <c r="S48" s="50" t="str">
        <f t="shared" si="20"/>
        <v/>
      </c>
      <c r="T48" s="51" t="str">
        <f t="shared" si="21"/>
        <v/>
      </c>
      <c r="U48" s="92" t="str">
        <f>IF(MAX(NameCount)&lt;ROW(23:23),"",VLOOKUP(ROW(23:23),NameList,2))</f>
        <v/>
      </c>
      <c r="V48" s="76" t="str">
        <f t="array" ref="V48">IFERROR(INDEX($R$4:$R$63,SMALL(IF($U$48=$Q$4:$Q$63,ROW($R$4:$R$63)-3,""),ROW()-47)),"")</f>
        <v/>
      </c>
      <c r="W48" s="88" t="str">
        <f t="shared" ref="W48" si="24">IF(RIGHT(IF(IFERROR(VLOOKUP(V48,$Z$4:$AA$15,2,0),"")&amp;"/"&amp;IFERROR(VLOOKUP(V49,$Z$4:$AA$15,2,0),"")="/","",IFERROR(VLOOKUP(V48,$Z$4:$AA$15,2,0),"")&amp;"/"&amp;IFERROR(VLOOKUP(V49,$Z$4:$AA$15,2,0),"")),1)="/",LEFT(IF(IFERROR(VLOOKUP(V48,$Z$4:$AA$15,2,0),"")&amp;"/"&amp;IFERROR(VLOOKUP(V49,$Z$4:$AA$15,2,0),"")="/","",IFERROR(VLOOKUP(V48,$Z$4:$AA$15,2,0),"")&amp;"/"&amp;IFERROR(VLOOKUP(V49,$Z$4:$AA$15,2,0),"")),FIND("/",IF(IFERROR(VLOOKUP(V48,$Z$4:$AA$15,2,0),"")&amp;"/"&amp;IFERROR(VLOOKUP(V49,$Z$4:$AA$15,2,0),"")="/","",IFERROR(VLOOKUP(V48,$Z$4:$AA$15,2,0),"")&amp;"/"&amp;IFERROR(VLOOKUP(V49,$Z$4:$AA$15,2,0),"")),1)-1),IF(IFERROR(VLOOKUP(V48,$Z$4:$AA$15,2,0),"")&amp;"/"&amp;IFERROR(VLOOKUP(V49,$Z$4:$AA$15,2,0),"")="/","",IFERROR(VLOOKUP(V48,$Z$4:$AA$15,2,0),"")&amp;"/"&amp;IFERROR(VLOOKUP(V49,$Z$4:$AA$15,2,0),"")))</f>
        <v/>
      </c>
    </row>
    <row r="49" spans="15:23" x14ac:dyDescent="0.2">
      <c r="O49" s="78" t="str">
        <f t="shared" si="1"/>
        <v/>
      </c>
      <c r="P49" s="84" t="str">
        <f>IF(COUNTIF($Q$3:Q49,Q49)=1,MAX($P$3:P48)+1,"")</f>
        <v/>
      </c>
      <c r="Q49" s="3" t="str">
        <f>IF(J11&gt;0,J11,"")</f>
        <v/>
      </c>
      <c r="R49" s="49" t="str">
        <f>IF(J11&gt;0,MONTH(J$10),"")</f>
        <v/>
      </c>
      <c r="S49" s="50" t="str">
        <f>IF(J11&gt;0,IF(K11="",32,15),"")</f>
        <v/>
      </c>
      <c r="T49" s="51" t="str">
        <f>IFERROR(IF(Q49&gt;0,DATE(2018,R49,L11),""),"")</f>
        <v/>
      </c>
      <c r="U49" s="93"/>
      <c r="V49" s="77" t="str">
        <f t="array" ref="V49">IFERROR(INDEX($R$4:$R$63,SMALL(IF($U$48=$Q$4:$Q$63,ROW($R$4:$R$63)-3,""),ROW()-47)),"")</f>
        <v/>
      </c>
      <c r="W49" s="89"/>
    </row>
    <row r="50" spans="15:23" x14ac:dyDescent="0.2">
      <c r="O50" s="78" t="str">
        <f t="shared" si="1"/>
        <v/>
      </c>
      <c r="P50" s="84" t="str">
        <f>IF(COUNTIF($Q$3:Q50,Q50)=1,MAX($P$3:P49)+1,"")</f>
        <v/>
      </c>
      <c r="Q50" s="3" t="str">
        <f>IF(J12&gt;0,J12,"")</f>
        <v/>
      </c>
      <c r="R50" s="49" t="str">
        <f>IF(J12&gt;0,MONTH(J$10),"")</f>
        <v/>
      </c>
      <c r="S50" s="50" t="str">
        <f>IF(J12&gt;0,IF(K12="",32,15),"")</f>
        <v/>
      </c>
      <c r="T50" s="51" t="str">
        <f>IFERROR(IF(Q50&gt;0,DATE(2018,R50,L12),""),"")</f>
        <v/>
      </c>
      <c r="U50" s="90" t="str">
        <f>IF(MAX(NameCount)&lt;ROW(24:24),"",VLOOKUP(ROW(24:24),NameList,2))</f>
        <v/>
      </c>
      <c r="V50" s="76" t="str">
        <f t="array" ref="V50">IFERROR(INDEX($R$4:$R$63,SMALL(IF($U$50=$Q$4:$Q$63,ROW($R$4:$R$63)-3,""),ROW()-49)),"")</f>
        <v/>
      </c>
      <c r="W50" s="88" t="str">
        <f t="shared" ref="W50" si="25">IF(RIGHT(IF(IFERROR(VLOOKUP(V50,$Z$4:$AA$15,2,0),"")&amp;"/"&amp;IFERROR(VLOOKUP(V51,$Z$4:$AA$15,2,0),"")="/","",IFERROR(VLOOKUP(V50,$Z$4:$AA$15,2,0),"")&amp;"/"&amp;IFERROR(VLOOKUP(V51,$Z$4:$AA$15,2,0),"")),1)="/",LEFT(IF(IFERROR(VLOOKUP(V50,$Z$4:$AA$15,2,0),"")&amp;"/"&amp;IFERROR(VLOOKUP(V51,$Z$4:$AA$15,2,0),"")="/","",IFERROR(VLOOKUP(V50,$Z$4:$AA$15,2,0),"")&amp;"/"&amp;IFERROR(VLOOKUP(V51,$Z$4:$AA$15,2,0),"")),FIND("/",IF(IFERROR(VLOOKUP(V50,$Z$4:$AA$15,2,0),"")&amp;"/"&amp;IFERROR(VLOOKUP(V51,$Z$4:$AA$15,2,0),"")="/","",IFERROR(VLOOKUP(V50,$Z$4:$AA$15,2,0),"")&amp;"/"&amp;IFERROR(VLOOKUP(V51,$Z$4:$AA$15,2,0),"")),1)-1),IF(IFERROR(VLOOKUP(V50,$Z$4:$AA$15,2,0),"")&amp;"/"&amp;IFERROR(VLOOKUP(V51,$Z$4:$AA$15,2,0),"")="/","",IFERROR(VLOOKUP(V50,$Z$4:$AA$15,2,0),"")&amp;"/"&amp;IFERROR(VLOOKUP(V51,$Z$4:$AA$15,2,0),"")))</f>
        <v/>
      </c>
    </row>
    <row r="51" spans="15:23" x14ac:dyDescent="0.2">
      <c r="O51" s="78" t="str">
        <f t="shared" si="1"/>
        <v/>
      </c>
      <c r="P51" s="84" t="str">
        <f>IF(COUNTIF($Q$3:Q51,Q51)=1,MAX($P$3:P50)+1,"")</f>
        <v/>
      </c>
      <c r="Q51" s="3" t="str">
        <f>IF(J13&gt;0,J13,"")</f>
        <v/>
      </c>
      <c r="R51" s="49" t="str">
        <f>IF(J13&gt;0,MONTH(J$10),"")</f>
        <v/>
      </c>
      <c r="S51" s="50" t="str">
        <f>IF(J13&gt;0,IF(K13="",32,15),"")</f>
        <v/>
      </c>
      <c r="T51" s="51" t="str">
        <f>IFERROR(IF(Q51&gt;0,DATE(2018,R51,L13),""),"")</f>
        <v/>
      </c>
      <c r="U51" s="91"/>
      <c r="V51" s="77" t="str">
        <f t="array" ref="V51">IFERROR(INDEX($R$4:$R$63,SMALL(IF($U$50=$Q$4:$Q$63,ROW($R$4:$R$63)-3,""),ROW()-49)),"")</f>
        <v/>
      </c>
      <c r="W51" s="89"/>
    </row>
    <row r="52" spans="15:23" x14ac:dyDescent="0.2">
      <c r="O52" s="78" t="str">
        <f t="shared" si="1"/>
        <v/>
      </c>
      <c r="P52" s="84" t="str">
        <f>IF(COUNTIF($Q$3:Q52,Q52)=1,MAX($P$3:P51)+1,"")</f>
        <v/>
      </c>
      <c r="Q52" s="3" t="str">
        <f>IF(J14&gt;0,J14,"")</f>
        <v/>
      </c>
      <c r="R52" s="49" t="str">
        <f>IF(J14&gt;0,MONTH(J$10),"")</f>
        <v/>
      </c>
      <c r="S52" s="50" t="str">
        <f>IF(J14&gt;0,IF(K14="",32,15),"")</f>
        <v/>
      </c>
      <c r="T52" s="51" t="str">
        <f>IFERROR(IF(Q52&gt;0,DATE(2018,R52,L14),""),"")</f>
        <v/>
      </c>
      <c r="U52" s="90" t="str">
        <f>IF(MAX(NameCount)&lt;ROW(25:25),"",VLOOKUP(ROW(25:25),NameList,2))</f>
        <v/>
      </c>
      <c r="V52" s="76" t="str">
        <f t="array" ref="V52">IFERROR(INDEX($R$4:$R$63,SMALL(IF($U$52=$Q$4:$Q$63,ROW($R$4:$R$63)-3,""),ROW()-51)),"")</f>
        <v/>
      </c>
      <c r="W52" s="88" t="str">
        <f t="shared" ref="W52" si="26">IF(RIGHT(IF(IFERROR(VLOOKUP(V52,$Z$4:$AA$15,2,0),"")&amp;"/"&amp;IFERROR(VLOOKUP(V53,$Z$4:$AA$15,2,0),"")="/","",IFERROR(VLOOKUP(V52,$Z$4:$AA$15,2,0),"")&amp;"/"&amp;IFERROR(VLOOKUP(V53,$Z$4:$AA$15,2,0),"")),1)="/",LEFT(IF(IFERROR(VLOOKUP(V52,$Z$4:$AA$15,2,0),"")&amp;"/"&amp;IFERROR(VLOOKUP(V53,$Z$4:$AA$15,2,0),"")="/","",IFERROR(VLOOKUP(V52,$Z$4:$AA$15,2,0),"")&amp;"/"&amp;IFERROR(VLOOKUP(V53,$Z$4:$AA$15,2,0),"")),FIND("/",IF(IFERROR(VLOOKUP(V52,$Z$4:$AA$15,2,0),"")&amp;"/"&amp;IFERROR(VLOOKUP(V53,$Z$4:$AA$15,2,0),"")="/","",IFERROR(VLOOKUP(V52,$Z$4:$AA$15,2,0),"")&amp;"/"&amp;IFERROR(VLOOKUP(V53,$Z$4:$AA$15,2,0),"")),1)-1),IF(IFERROR(VLOOKUP(V52,$Z$4:$AA$15,2,0),"")&amp;"/"&amp;IFERROR(VLOOKUP(V53,$Z$4:$AA$15,2,0),"")="/","",IFERROR(VLOOKUP(V52,$Z$4:$AA$15,2,0),"")&amp;"/"&amp;IFERROR(VLOOKUP(V53,$Z$4:$AA$15,2,0),"")))</f>
        <v/>
      </c>
    </row>
    <row r="53" spans="15:23" x14ac:dyDescent="0.2">
      <c r="O53" s="78" t="str">
        <f t="shared" si="1"/>
        <v/>
      </c>
      <c r="P53" s="84" t="str">
        <f>IF(COUNTIF($Q$3:Q53,Q53)=1,MAX($P$3:P52)+1,"")</f>
        <v/>
      </c>
      <c r="Q53" s="3" t="str">
        <f>IF(J15&gt;0,J15,"")</f>
        <v/>
      </c>
      <c r="R53" s="49" t="str">
        <f>IF(J15&gt;0,MONTH(J$10),"")</f>
        <v/>
      </c>
      <c r="S53" s="50" t="str">
        <f>IF(J15&gt;0,IF(K15="",32,15),"")</f>
        <v/>
      </c>
      <c r="T53" s="51" t="str">
        <f>IFERROR(IF(Q53&gt;0,DATE(2018,R53,L15),""),"")</f>
        <v/>
      </c>
      <c r="U53" s="91"/>
      <c r="V53" s="77" t="str">
        <f t="array" ref="V53">IFERROR(INDEX($R$4:$R$63,SMALL(IF($U$52=$Q$4:$Q$63,ROW($R$4:$R$63)-3,""),ROW()-51)),"")</f>
        <v/>
      </c>
      <c r="W53" s="89"/>
    </row>
    <row r="54" spans="15:23" x14ac:dyDescent="0.2">
      <c r="O54" s="78" t="str">
        <f t="shared" si="1"/>
        <v/>
      </c>
      <c r="P54" s="84" t="str">
        <f>IF(COUNTIF($Q$3:Q54,Q54)=1,MAX($P$3:P53)+1,"")</f>
        <v/>
      </c>
      <c r="Q54" s="3" t="str">
        <f>IF(J18&gt;0,J18,"")</f>
        <v/>
      </c>
      <c r="R54" s="49" t="str">
        <f>IF(J18&gt;0,MONTH(J$17),"")</f>
        <v/>
      </c>
      <c r="S54" s="50" t="str">
        <f>IF(J18&gt;0,IF(K18="",32,15),"")</f>
        <v/>
      </c>
      <c r="T54" s="51" t="str">
        <f>IFERROR(IF(Q54&gt;0,DATE(2018,R54,L18),""),"")</f>
        <v/>
      </c>
      <c r="U54" s="90" t="str">
        <f>IF(MAX(NameCount)&lt;ROW(26:26),"",VLOOKUP(ROW(26:26),NameList,2))</f>
        <v/>
      </c>
      <c r="V54" s="76" t="str">
        <f t="array" ref="V54">IFERROR(INDEX($R$4:$R$63,SMALL(IF($U$54=$Q$4:$Q$63,ROW($R$4:$R$63)-3,""),ROW()-53)),"")</f>
        <v/>
      </c>
      <c r="W54" s="88" t="str">
        <f t="shared" ref="W54" si="27">IF(RIGHT(IF(IFERROR(VLOOKUP(V54,$Z$4:$AA$15,2,0),"")&amp;"/"&amp;IFERROR(VLOOKUP(V55,$Z$4:$AA$15,2,0),"")="/","",IFERROR(VLOOKUP(V54,$Z$4:$AA$15,2,0),"")&amp;"/"&amp;IFERROR(VLOOKUP(V55,$Z$4:$AA$15,2,0),"")),1)="/",LEFT(IF(IFERROR(VLOOKUP(V54,$Z$4:$AA$15,2,0),"")&amp;"/"&amp;IFERROR(VLOOKUP(V55,$Z$4:$AA$15,2,0),"")="/","",IFERROR(VLOOKUP(V54,$Z$4:$AA$15,2,0),"")&amp;"/"&amp;IFERROR(VLOOKUP(V55,$Z$4:$AA$15,2,0),"")),FIND("/",IF(IFERROR(VLOOKUP(V54,$Z$4:$AA$15,2,0),"")&amp;"/"&amp;IFERROR(VLOOKUP(V55,$Z$4:$AA$15,2,0),"")="/","",IFERROR(VLOOKUP(V54,$Z$4:$AA$15,2,0),"")&amp;"/"&amp;IFERROR(VLOOKUP(V55,$Z$4:$AA$15,2,0),"")),1)-1),IF(IFERROR(VLOOKUP(V54,$Z$4:$AA$15,2,0),"")&amp;"/"&amp;IFERROR(VLOOKUP(V55,$Z$4:$AA$15,2,0),"")="/","",IFERROR(VLOOKUP(V54,$Z$4:$AA$15,2,0),"")&amp;"/"&amp;IFERROR(VLOOKUP(V55,$Z$4:$AA$15,2,0),"")))</f>
        <v/>
      </c>
    </row>
    <row r="55" spans="15:23" x14ac:dyDescent="0.2">
      <c r="O55" s="78" t="str">
        <f t="shared" si="1"/>
        <v/>
      </c>
      <c r="P55" s="84" t="str">
        <f>IF(COUNTIF($Q$3:Q55,Q55)=1,MAX($P$3:P54)+1,"")</f>
        <v/>
      </c>
      <c r="Q55" s="3" t="str">
        <f>IF(J19&gt;0,J19,"")</f>
        <v/>
      </c>
      <c r="R55" s="49" t="str">
        <f>IF(J19&gt;0,MONTH(J$17),"")</f>
        <v/>
      </c>
      <c r="S55" s="50" t="str">
        <f>IF(J19&gt;0,IF(K19="",32,15),"")</f>
        <v/>
      </c>
      <c r="T55" s="51" t="str">
        <f>IFERROR(IF(Q55&gt;0,DATE(2018,R55,L19),""),"")</f>
        <v/>
      </c>
      <c r="U55" s="91"/>
      <c r="V55" s="77" t="str">
        <f t="array" ref="V55">IFERROR(INDEX($R$4:$R$63,SMALL(IF($U$54=$Q$4:$Q$63,ROW($R$4:$R$63)-3,""),ROW()-53)),"")</f>
        <v/>
      </c>
      <c r="W55" s="89"/>
    </row>
    <row r="56" spans="15:23" x14ac:dyDescent="0.2">
      <c r="O56" s="78" t="str">
        <f t="shared" si="1"/>
        <v/>
      </c>
      <c r="P56" s="84" t="str">
        <f>IF(COUNTIF($Q$3:Q56,Q56)=1,MAX($P$3:P55)+1,"")</f>
        <v/>
      </c>
      <c r="Q56" s="3" t="str">
        <f>IF(J20&gt;0,J20,"")</f>
        <v/>
      </c>
      <c r="R56" s="49" t="str">
        <f>IF(J20&gt;0,MONTH(J$17),"")</f>
        <v/>
      </c>
      <c r="S56" s="50" t="str">
        <f>IF(J20&gt;0,IF(K20="",32,15),"")</f>
        <v/>
      </c>
      <c r="T56" s="51" t="str">
        <f>IFERROR(IF(Q56&gt;0,DATE(2018,R56,L20),""),"")</f>
        <v/>
      </c>
      <c r="U56" s="90" t="str">
        <f>IF(MAX(NameCount)&lt;ROW(27:27),"",VLOOKUP(ROW(27:27),NameList,2))</f>
        <v/>
      </c>
      <c r="V56" s="76" t="str">
        <f t="array" ref="V56">IFERROR(INDEX($R$4:$R$63,SMALL(IF($U$56=$Q$4:$Q$63,ROW($R$4:$R$63)-3,""),ROW()-55)),"")</f>
        <v/>
      </c>
      <c r="W56" s="88" t="str">
        <f t="shared" ref="W56" si="28">IF(RIGHT(IF(IFERROR(VLOOKUP(V56,$Z$4:$AA$15,2,0),"")&amp;"/"&amp;IFERROR(VLOOKUP(V57,$Z$4:$AA$15,2,0),"")="/","",IFERROR(VLOOKUP(V56,$Z$4:$AA$15,2,0),"")&amp;"/"&amp;IFERROR(VLOOKUP(V57,$Z$4:$AA$15,2,0),"")),1)="/",LEFT(IF(IFERROR(VLOOKUP(V56,$Z$4:$AA$15,2,0),"")&amp;"/"&amp;IFERROR(VLOOKUP(V57,$Z$4:$AA$15,2,0),"")="/","",IFERROR(VLOOKUP(V56,$Z$4:$AA$15,2,0),"")&amp;"/"&amp;IFERROR(VLOOKUP(V57,$Z$4:$AA$15,2,0),"")),FIND("/",IF(IFERROR(VLOOKUP(V56,$Z$4:$AA$15,2,0),"")&amp;"/"&amp;IFERROR(VLOOKUP(V57,$Z$4:$AA$15,2,0),"")="/","",IFERROR(VLOOKUP(V56,$Z$4:$AA$15,2,0),"")&amp;"/"&amp;IFERROR(VLOOKUP(V57,$Z$4:$AA$15,2,0),"")),1)-1),IF(IFERROR(VLOOKUP(V56,$Z$4:$AA$15,2,0),"")&amp;"/"&amp;IFERROR(VLOOKUP(V57,$Z$4:$AA$15,2,0),"")="/","",IFERROR(VLOOKUP(V56,$Z$4:$AA$15,2,0),"")&amp;"/"&amp;IFERROR(VLOOKUP(V57,$Z$4:$AA$15,2,0),"")))</f>
        <v/>
      </c>
    </row>
    <row r="57" spans="15:23" x14ac:dyDescent="0.2">
      <c r="O57" s="78" t="str">
        <f t="shared" si="1"/>
        <v/>
      </c>
      <c r="P57" s="84" t="str">
        <f>IF(COUNTIF($Q$3:Q57,Q57)=1,MAX($P$3:P56)+1,"")</f>
        <v/>
      </c>
      <c r="Q57" s="3" t="str">
        <f>IF(J21&gt;0,J21,"")</f>
        <v/>
      </c>
      <c r="R57" s="49" t="str">
        <f>IF(J21&gt;0,MONTH(J$17),"")</f>
        <v/>
      </c>
      <c r="S57" s="50" t="str">
        <f>IF(J21&gt;0,IF(K21="",32,15),"")</f>
        <v/>
      </c>
      <c r="T57" s="51" t="str">
        <f>IFERROR(IF(Q57&gt;0,DATE(2018,R57,L21),""),"")</f>
        <v/>
      </c>
      <c r="U57" s="91"/>
      <c r="V57" s="77" t="str">
        <f t="array" ref="V57">IFERROR(INDEX($R$4:$R$63,SMALL(IF($U$56=$Q$4:$Q$63,ROW($R$4:$R$63)-3,""),ROW()-55)),"")</f>
        <v/>
      </c>
      <c r="W57" s="89"/>
    </row>
    <row r="58" spans="15:23" x14ac:dyDescent="0.2">
      <c r="O58" s="78" t="str">
        <f t="shared" si="1"/>
        <v/>
      </c>
      <c r="P58" s="84" t="str">
        <f>IF(COUNTIF($Q$3:Q58,Q58)=1,MAX($P$3:P57)+1,"")</f>
        <v/>
      </c>
      <c r="Q58" s="3" t="str">
        <f>IF(J22&gt;0,J22,"")</f>
        <v/>
      </c>
      <c r="R58" s="49" t="str">
        <f>IF(J22&gt;0,MONTH(J$17),"")</f>
        <v/>
      </c>
      <c r="S58" s="50" t="str">
        <f>IF(J22&gt;0,IF(K22="",32,15),"")</f>
        <v/>
      </c>
      <c r="T58" s="51" t="str">
        <f>IFERROR(IF(Q58&gt;0,DATE(2018,R58,L22),""),"")</f>
        <v/>
      </c>
      <c r="U58" s="90" t="str">
        <f>IF(MAX(NameCount)&lt;ROW(28:28),"",VLOOKUP(ROW(28:28),NameList,2))</f>
        <v/>
      </c>
      <c r="V58" s="76" t="str">
        <f t="array" ref="V58">IFERROR(INDEX($R$4:$R$63,SMALL(IF($U$58=$Q$4:$Q$63,ROW($R$4:$R$63)-3,""),ROW()-57)),"")</f>
        <v/>
      </c>
      <c r="W58" s="88" t="str">
        <f t="shared" ref="W58" si="29">IF(RIGHT(IF(IFERROR(VLOOKUP(V58,$Z$4:$AA$15,2,0),"")&amp;"/"&amp;IFERROR(VLOOKUP(V59,$Z$4:$AA$15,2,0),"")="/","",IFERROR(VLOOKUP(V58,$Z$4:$AA$15,2,0),"")&amp;"/"&amp;IFERROR(VLOOKUP(V59,$Z$4:$AA$15,2,0),"")),1)="/",LEFT(IF(IFERROR(VLOOKUP(V58,$Z$4:$AA$15,2,0),"")&amp;"/"&amp;IFERROR(VLOOKUP(V59,$Z$4:$AA$15,2,0),"")="/","",IFERROR(VLOOKUP(V58,$Z$4:$AA$15,2,0),"")&amp;"/"&amp;IFERROR(VLOOKUP(V59,$Z$4:$AA$15,2,0),"")),FIND("/",IF(IFERROR(VLOOKUP(V58,$Z$4:$AA$15,2,0),"")&amp;"/"&amp;IFERROR(VLOOKUP(V59,$Z$4:$AA$15,2,0),"")="/","",IFERROR(VLOOKUP(V58,$Z$4:$AA$15,2,0),"")&amp;"/"&amp;IFERROR(VLOOKUP(V59,$Z$4:$AA$15,2,0),"")),1)-1),IF(IFERROR(VLOOKUP(V58,$Z$4:$AA$15,2,0),"")&amp;"/"&amp;IFERROR(VLOOKUP(V59,$Z$4:$AA$15,2,0),"")="/","",IFERROR(VLOOKUP(V58,$Z$4:$AA$15,2,0),"")&amp;"/"&amp;IFERROR(VLOOKUP(V59,$Z$4:$AA$15,2,0),"")))</f>
        <v/>
      </c>
    </row>
    <row r="59" spans="15:23" x14ac:dyDescent="0.2">
      <c r="O59" s="78" t="str">
        <f t="shared" si="1"/>
        <v/>
      </c>
      <c r="P59" s="84" t="str">
        <f>IF(COUNTIF($Q$3:Q59,Q59)=1,MAX($P$3:P58)+1,"")</f>
        <v/>
      </c>
      <c r="Q59" s="3" t="str">
        <f>IF(J25&gt;0,J25,"")</f>
        <v/>
      </c>
      <c r="R59" s="49" t="str">
        <f>IF(J25&gt;0,MONTH(J$24),"")</f>
        <v/>
      </c>
      <c r="S59" s="50" t="str">
        <f>IF(J25&gt;0,IF(K25="",32,15),"")</f>
        <v/>
      </c>
      <c r="T59" s="51" t="str">
        <f>IFERROR(IF(Q59&gt;0,DATE(2018,R59,L25),""),"")</f>
        <v/>
      </c>
      <c r="U59" s="91"/>
      <c r="V59" s="77" t="str">
        <f t="array" ref="V59">IFERROR(INDEX($R$4:$R$63,SMALL(IF($U$58=$Q$4:$Q$63,ROW($R$4:$R$63)-3,""),ROW()-57)),"")</f>
        <v/>
      </c>
      <c r="W59" s="89"/>
    </row>
    <row r="60" spans="15:23" x14ac:dyDescent="0.2">
      <c r="O60" s="78" t="str">
        <f t="shared" si="1"/>
        <v/>
      </c>
      <c r="P60" s="84" t="str">
        <f>IF(COUNTIF($Q$3:Q60,Q60)=1,MAX($P$3:P59)+1,"")</f>
        <v/>
      </c>
      <c r="Q60" s="3" t="str">
        <f>IF(J26&gt;0,J26,"")</f>
        <v/>
      </c>
      <c r="R60" s="49" t="str">
        <f>IF(J26&gt;0,MONTH(J$24),"")</f>
        <v/>
      </c>
      <c r="S60" s="50" t="str">
        <f>IF(J26&gt;0,IF(K26="",32,15),"")</f>
        <v/>
      </c>
      <c r="T60" s="51" t="str">
        <f>IFERROR(IF(Q60&gt;0,DATE(2018,R60,L26),""),"")</f>
        <v/>
      </c>
      <c r="U60" s="90" t="str">
        <f>IF(MAX(NameCount)&lt;ROW(29:29),"",VLOOKUP(ROW(29:29),NameList,2))</f>
        <v/>
      </c>
      <c r="V60" s="76" t="str">
        <f t="array" ref="V60">IFERROR(INDEX($R$4:$R$63,SMALL(IF($U$60=$Q$4:$Q$63,ROW($R$4:$R$63)-3,""),ROW()-59)),"")</f>
        <v/>
      </c>
      <c r="W60" s="88" t="str">
        <f t="shared" ref="W60" si="30">IF(RIGHT(IF(IFERROR(VLOOKUP(V60,$Z$4:$AA$15,2,0),"")&amp;"/"&amp;IFERROR(VLOOKUP(V61,$Z$4:$AA$15,2,0),"")="/","",IFERROR(VLOOKUP(V60,$Z$4:$AA$15,2,0),"")&amp;"/"&amp;IFERROR(VLOOKUP(V61,$Z$4:$AA$15,2,0),"")),1)="/",LEFT(IF(IFERROR(VLOOKUP(V60,$Z$4:$AA$15,2,0),"")&amp;"/"&amp;IFERROR(VLOOKUP(V61,$Z$4:$AA$15,2,0),"")="/","",IFERROR(VLOOKUP(V60,$Z$4:$AA$15,2,0),"")&amp;"/"&amp;IFERROR(VLOOKUP(V61,$Z$4:$AA$15,2,0),"")),FIND("/",IF(IFERROR(VLOOKUP(V60,$Z$4:$AA$15,2,0),"")&amp;"/"&amp;IFERROR(VLOOKUP(V61,$Z$4:$AA$15,2,0),"")="/","",IFERROR(VLOOKUP(V60,$Z$4:$AA$15,2,0),"")&amp;"/"&amp;IFERROR(VLOOKUP(V61,$Z$4:$AA$15,2,0),"")),1)-1),IF(IFERROR(VLOOKUP(V60,$Z$4:$AA$15,2,0),"")&amp;"/"&amp;IFERROR(VLOOKUP(V61,$Z$4:$AA$15,2,0),"")="/","",IFERROR(VLOOKUP(V60,$Z$4:$AA$15,2,0),"")&amp;"/"&amp;IFERROR(VLOOKUP(V61,$Z$4:$AA$15,2,0),"")))</f>
        <v/>
      </c>
    </row>
    <row r="61" spans="15:23" x14ac:dyDescent="0.2">
      <c r="O61" s="78" t="str">
        <f t="shared" si="1"/>
        <v/>
      </c>
      <c r="P61" s="84" t="str">
        <f>IF(COUNTIF($Q$3:Q61,Q61)=1,MAX($P$3:P60)+1,"")</f>
        <v/>
      </c>
      <c r="Q61" s="3" t="str">
        <f>IF(J27&gt;0,J27,"")</f>
        <v/>
      </c>
      <c r="R61" s="49" t="str">
        <f>IF(J27&gt;0,MONTH(J$24),"")</f>
        <v/>
      </c>
      <c r="S61" s="50" t="str">
        <f>IF(J27&gt;0,IF(K27="",32,15),"")</f>
        <v/>
      </c>
      <c r="T61" s="51" t="str">
        <f>IFERROR(IF(Q61&gt;0,DATE(2018,R61,L27),""),"")</f>
        <v/>
      </c>
      <c r="U61" s="91"/>
      <c r="V61" s="77" t="str">
        <f t="array" ref="V61">IFERROR(INDEX($R$4:$R$63,SMALL(IF($U$60=$Q$4:$Q$63,ROW($R$4:$R$63)-3,""),ROW()-59)),"")</f>
        <v/>
      </c>
      <c r="W61" s="89"/>
    </row>
    <row r="62" spans="15:23" x14ac:dyDescent="0.2">
      <c r="O62" s="78" t="str">
        <f t="shared" si="1"/>
        <v/>
      </c>
      <c r="P62" s="84" t="str">
        <f>IF(COUNTIF($Q$3:Q62,Q62)=1,MAX($P$3:P61)+1,"")</f>
        <v/>
      </c>
      <c r="Q62" s="3" t="str">
        <f>IF(J28&gt;0,J28,"")</f>
        <v/>
      </c>
      <c r="R62" s="49" t="str">
        <f>IF(J28&gt;0,MONTH(J$24),"")</f>
        <v/>
      </c>
      <c r="S62" s="50" t="str">
        <f>IF(J28&gt;0,IF(K28="",32,15),"")</f>
        <v/>
      </c>
      <c r="T62" s="51" t="str">
        <f>IFERROR(IF(Q62&gt;0,DATE(2018,R62,L28),""),"")</f>
        <v/>
      </c>
      <c r="U62" s="90" t="str">
        <f>IF(MAX(NameCount)&lt;ROW(30:30),"",VLOOKUP(ROW(30:30),NameList,2))</f>
        <v/>
      </c>
      <c r="V62" s="76" t="str">
        <f t="array" ref="V62">IFERROR(INDEX($R$4:$R$63,SMALL(IF($U$62=$Q$4:$Q$63,ROW($R$4:$R$63)-3,""),ROW()-61)),"")</f>
        <v/>
      </c>
      <c r="W62" s="88" t="str">
        <f t="shared" ref="W62" si="31">IF(RIGHT(IF(IFERROR(VLOOKUP(V62,$Z$4:$AA$15,2,0),"")&amp;"/"&amp;IFERROR(VLOOKUP(V63,$Z$4:$AA$15,2,0),"")="/","",IFERROR(VLOOKUP(V62,$Z$4:$AA$15,2,0),"")&amp;"/"&amp;IFERROR(VLOOKUP(V63,$Z$4:$AA$15,2,0),"")),1)="/",LEFT(IF(IFERROR(VLOOKUP(V62,$Z$4:$AA$15,2,0),"")&amp;"/"&amp;IFERROR(VLOOKUP(V63,$Z$4:$AA$15,2,0),"")="/","",IFERROR(VLOOKUP(V62,$Z$4:$AA$15,2,0),"")&amp;"/"&amp;IFERROR(VLOOKUP(V63,$Z$4:$AA$15,2,0),"")),FIND("/",IF(IFERROR(VLOOKUP(V62,$Z$4:$AA$15,2,0),"")&amp;"/"&amp;IFERROR(VLOOKUP(V63,$Z$4:$AA$15,2,0),"")="/","",IFERROR(VLOOKUP(V62,$Z$4:$AA$15,2,0),"")&amp;"/"&amp;IFERROR(VLOOKUP(V63,$Z$4:$AA$15,2,0),"")),1)-1),IF(IFERROR(VLOOKUP(V62,$Z$4:$AA$15,2,0),"")&amp;"/"&amp;IFERROR(VLOOKUP(V63,$Z$4:$AA$15,2,0),"")="/","",IFERROR(VLOOKUP(V62,$Z$4:$AA$15,2,0),"")&amp;"/"&amp;IFERROR(VLOOKUP(V63,$Z$4:$AA$15,2,0),"")))</f>
        <v/>
      </c>
    </row>
    <row r="63" spans="15:23" x14ac:dyDescent="0.2">
      <c r="O63" s="77" t="str">
        <f t="shared" si="1"/>
        <v/>
      </c>
      <c r="P63" s="85" t="str">
        <f>IF(COUNTIF($Q$3:Q63,Q63)=1,MAX($P$3:P62)+1,"")</f>
        <v/>
      </c>
      <c r="Q63" s="3" t="str">
        <f>IF(J29&gt;0,J29,"")</f>
        <v/>
      </c>
      <c r="R63" s="49" t="str">
        <f>IF(J29&gt;0,MONTH(J$24),"")</f>
        <v/>
      </c>
      <c r="S63" s="50" t="str">
        <f>IF(J29&gt;0,IF(K29="",32,15),"")</f>
        <v/>
      </c>
      <c r="T63" s="51" t="str">
        <f>IFERROR(IF(Q63&gt;0,DATE(2018,R63,L29),""),"")</f>
        <v/>
      </c>
      <c r="U63" s="91"/>
      <c r="V63" s="77" t="str">
        <f t="array" ref="V63">IFERROR(INDEX($R$4:$R$63,SMALL(IF($U$62=$Q$4:$Q$63,ROW($R$4:$R$63)-3,""),ROW()-61)),"")</f>
        <v/>
      </c>
      <c r="W63" s="89"/>
    </row>
    <row r="64" spans="15:23" x14ac:dyDescent="0.2">
      <c r="U64" s="90" t="str">
        <f>IF(MAX(NameCount)&lt;ROW(31:31),"",VLOOKUP(ROW(31:31),NameList,2))</f>
        <v/>
      </c>
      <c r="V64" s="76" t="str">
        <f t="array" ref="V64">IFERROR(INDEX($R$4:$R$63,SMALL(IF($U$64=$Q$4:$Q$63,ROW($R$4:$R$63)-3,""),ROW()-63)),"")</f>
        <v/>
      </c>
      <c r="W64" s="88" t="str">
        <f t="shared" ref="W64" si="32">IF(RIGHT(IF(IFERROR(VLOOKUP(V64,$Z$4:$AA$15,2,0),"")&amp;"/"&amp;IFERROR(VLOOKUP(V65,$Z$4:$AA$15,2,0),"")="/","",IFERROR(VLOOKUP(V64,$Z$4:$AA$15,2,0),"")&amp;"/"&amp;IFERROR(VLOOKUP(V65,$Z$4:$AA$15,2,0),"")),1)="/",LEFT(IF(IFERROR(VLOOKUP(V64,$Z$4:$AA$15,2,0),"")&amp;"/"&amp;IFERROR(VLOOKUP(V65,$Z$4:$AA$15,2,0),"")="/","",IFERROR(VLOOKUP(V64,$Z$4:$AA$15,2,0),"")&amp;"/"&amp;IFERROR(VLOOKUP(V65,$Z$4:$AA$15,2,0),"")),FIND("/",IF(IFERROR(VLOOKUP(V64,$Z$4:$AA$15,2,0),"")&amp;"/"&amp;IFERROR(VLOOKUP(V65,$Z$4:$AA$15,2,0),"")="/","",IFERROR(VLOOKUP(V64,$Z$4:$AA$15,2,0),"")&amp;"/"&amp;IFERROR(VLOOKUP(V65,$Z$4:$AA$15,2,0),"")),1)-1),IF(IFERROR(VLOOKUP(V64,$Z$4:$AA$15,2,0),"")&amp;"/"&amp;IFERROR(VLOOKUP(V65,$Z$4:$AA$15,2,0),"")="/","",IFERROR(VLOOKUP(V64,$Z$4:$AA$15,2,0),"")&amp;"/"&amp;IFERROR(VLOOKUP(V65,$Z$4:$AA$15,2,0),"")))</f>
        <v/>
      </c>
    </row>
    <row r="65" spans="21:23" x14ac:dyDescent="0.2">
      <c r="U65" s="91"/>
      <c r="V65" s="77" t="str">
        <f t="array" ref="V65">IFERROR(INDEX($R$4:$R$63,SMALL(IF($U$64=$Q$4:$Q$63,ROW($R$4:$R$63)-3,""),ROW()-63)),"")</f>
        <v/>
      </c>
      <c r="W65" s="89"/>
    </row>
    <row r="66" spans="21:23" x14ac:dyDescent="0.2">
      <c r="U66" s="90" t="str">
        <f>IF(MAX(NameCount)&lt;ROW(32:32),"",VLOOKUP(ROW(32:32),NameList,2))</f>
        <v/>
      </c>
      <c r="V66" s="76" t="str">
        <f t="array" ref="V66">IFERROR(INDEX($R$4:$R$63,SMALL(IF($U$66=$Q$4:$Q$63,ROW($R$4:$R$63)-3,""),ROW()-65)),"")</f>
        <v/>
      </c>
      <c r="W66" s="88" t="str">
        <f t="shared" ref="W66" si="33">IF(RIGHT(IF(IFERROR(VLOOKUP(V66,$Z$4:$AA$15,2,0),"")&amp;"/"&amp;IFERROR(VLOOKUP(V67,$Z$4:$AA$15,2,0),"")="/","",IFERROR(VLOOKUP(V66,$Z$4:$AA$15,2,0),"")&amp;"/"&amp;IFERROR(VLOOKUP(V67,$Z$4:$AA$15,2,0),"")),1)="/",LEFT(IF(IFERROR(VLOOKUP(V66,$Z$4:$AA$15,2,0),"")&amp;"/"&amp;IFERROR(VLOOKUP(V67,$Z$4:$AA$15,2,0),"")="/","",IFERROR(VLOOKUP(V66,$Z$4:$AA$15,2,0),"")&amp;"/"&amp;IFERROR(VLOOKUP(V67,$Z$4:$AA$15,2,0),"")),FIND("/",IF(IFERROR(VLOOKUP(V66,$Z$4:$AA$15,2,0),"")&amp;"/"&amp;IFERROR(VLOOKUP(V67,$Z$4:$AA$15,2,0),"")="/","",IFERROR(VLOOKUP(V66,$Z$4:$AA$15,2,0),"")&amp;"/"&amp;IFERROR(VLOOKUP(V67,$Z$4:$AA$15,2,0),"")),1)-1),IF(IFERROR(VLOOKUP(V66,$Z$4:$AA$15,2,0),"")&amp;"/"&amp;IFERROR(VLOOKUP(V67,$Z$4:$AA$15,2,0),"")="/","",IFERROR(VLOOKUP(V66,$Z$4:$AA$15,2,0),"")&amp;"/"&amp;IFERROR(VLOOKUP(V67,$Z$4:$AA$15,2,0),"")))</f>
        <v/>
      </c>
    </row>
    <row r="67" spans="21:23" x14ac:dyDescent="0.2">
      <c r="U67" s="91"/>
      <c r="V67" s="77" t="str">
        <f t="array" ref="V67">IFERROR(INDEX($R$4:$R$63,SMALL(IF($U$66=$Q$4:$Q$63,ROW($R$4:$R$63)-3,""),ROW()-65)),"")</f>
        <v/>
      </c>
      <c r="W67" s="89"/>
    </row>
    <row r="68" spans="21:23" x14ac:dyDescent="0.2">
      <c r="U68" s="90" t="str">
        <f>IF(MAX(NameCount)&lt;ROW(33:33),"",VLOOKUP(ROW(33:33),NameList,2))</f>
        <v/>
      </c>
      <c r="V68" s="76" t="str">
        <f t="array" ref="V68">IFERROR(INDEX($R$4:$R$63,SMALL(IF($U$68=$Q$4:$Q$63,ROW($R$4:$R$63)-3,""),ROW()-67)),"")</f>
        <v/>
      </c>
      <c r="W68" s="88" t="str">
        <f t="shared" ref="W68" si="34">IF(RIGHT(IF(IFERROR(VLOOKUP(V68,$Z$4:$AA$15,2,0),"")&amp;"/"&amp;IFERROR(VLOOKUP(V69,$Z$4:$AA$15,2,0),"")="/","",IFERROR(VLOOKUP(V68,$Z$4:$AA$15,2,0),"")&amp;"/"&amp;IFERROR(VLOOKUP(V69,$Z$4:$AA$15,2,0),"")),1)="/",LEFT(IF(IFERROR(VLOOKUP(V68,$Z$4:$AA$15,2,0),"")&amp;"/"&amp;IFERROR(VLOOKUP(V69,$Z$4:$AA$15,2,0),"")="/","",IFERROR(VLOOKUP(V68,$Z$4:$AA$15,2,0),"")&amp;"/"&amp;IFERROR(VLOOKUP(V69,$Z$4:$AA$15,2,0),"")),FIND("/",IF(IFERROR(VLOOKUP(V68,$Z$4:$AA$15,2,0),"")&amp;"/"&amp;IFERROR(VLOOKUP(V69,$Z$4:$AA$15,2,0),"")="/","",IFERROR(VLOOKUP(V68,$Z$4:$AA$15,2,0),"")&amp;"/"&amp;IFERROR(VLOOKUP(V69,$Z$4:$AA$15,2,0),"")),1)-1),IF(IFERROR(VLOOKUP(V68,$Z$4:$AA$15,2,0),"")&amp;"/"&amp;IFERROR(VLOOKUP(V69,$Z$4:$AA$15,2,0),"")="/","",IFERROR(VLOOKUP(V68,$Z$4:$AA$15,2,0),"")&amp;"/"&amp;IFERROR(VLOOKUP(V69,$Z$4:$AA$15,2,0),"")))</f>
        <v/>
      </c>
    </row>
    <row r="69" spans="21:23" x14ac:dyDescent="0.2">
      <c r="U69" s="91"/>
      <c r="V69" s="77" t="str">
        <f t="array" ref="V69">IFERROR(INDEX($R$4:$R$63,SMALL(IF($U$68=$Q$4:$Q$63,ROW($R$4:$R$63)-3,""),ROW()-67)),"")</f>
        <v/>
      </c>
      <c r="W69" s="89"/>
    </row>
    <row r="70" spans="21:23" x14ac:dyDescent="0.2">
      <c r="U70" s="90" t="str">
        <f>IF(MAX(NameCount)&lt;ROW(34:34),"",VLOOKUP(ROW(34:34),NameList,2))</f>
        <v/>
      </c>
      <c r="V70" s="76" t="str">
        <f t="array" ref="V70">IFERROR(INDEX($R$4:$R$63,SMALL(IF($U$70=$Q$4:$Q$63,ROW($R$4:$R$63)-3,""),ROW()-69)),"")</f>
        <v/>
      </c>
      <c r="W70" s="88" t="str">
        <f t="shared" ref="W70" si="35">IF(RIGHT(IF(IFERROR(VLOOKUP(V70,$Z$4:$AA$15,2,0),"")&amp;"/"&amp;IFERROR(VLOOKUP(V71,$Z$4:$AA$15,2,0),"")="/","",IFERROR(VLOOKUP(V70,$Z$4:$AA$15,2,0),"")&amp;"/"&amp;IFERROR(VLOOKUP(V71,$Z$4:$AA$15,2,0),"")),1)="/",LEFT(IF(IFERROR(VLOOKUP(V70,$Z$4:$AA$15,2,0),"")&amp;"/"&amp;IFERROR(VLOOKUP(V71,$Z$4:$AA$15,2,0),"")="/","",IFERROR(VLOOKUP(V70,$Z$4:$AA$15,2,0),"")&amp;"/"&amp;IFERROR(VLOOKUP(V71,$Z$4:$AA$15,2,0),"")),FIND("/",IF(IFERROR(VLOOKUP(V70,$Z$4:$AA$15,2,0),"")&amp;"/"&amp;IFERROR(VLOOKUP(V71,$Z$4:$AA$15,2,0),"")="/","",IFERROR(VLOOKUP(V70,$Z$4:$AA$15,2,0),"")&amp;"/"&amp;IFERROR(VLOOKUP(V71,$Z$4:$AA$15,2,0),"")),1)-1),IF(IFERROR(VLOOKUP(V70,$Z$4:$AA$15,2,0),"")&amp;"/"&amp;IFERROR(VLOOKUP(V71,$Z$4:$AA$15,2,0),"")="/","",IFERROR(VLOOKUP(V70,$Z$4:$AA$15,2,0),"")&amp;"/"&amp;IFERROR(VLOOKUP(V71,$Z$4:$AA$15,2,0),"")))</f>
        <v/>
      </c>
    </row>
    <row r="71" spans="21:23" x14ac:dyDescent="0.2">
      <c r="U71" s="91"/>
      <c r="V71" s="77" t="str">
        <f t="array" ref="V71">IFERROR(INDEX($R$4:$R$63,SMALL(IF($U$70=$Q$4:$Q$63,ROW($R$4:$R$63)-3,""),ROW()-69)),"")</f>
        <v/>
      </c>
      <c r="W71" s="89"/>
    </row>
    <row r="72" spans="21:23" x14ac:dyDescent="0.2">
      <c r="U72" s="90" t="str">
        <f>IF(MAX(NameCount)&lt;ROW(35:35),"",VLOOKUP(ROW(35:35),NameList,2))</f>
        <v/>
      </c>
      <c r="V72" s="76" t="str">
        <f t="array" ref="V72">IFERROR(INDEX($R$4:$R$63,SMALL(IF($U$72=$Q$4:$Q$63,ROW($R$4:$R$63)-3,""),ROW()-71)),"")</f>
        <v/>
      </c>
      <c r="W72" s="88" t="str">
        <f t="shared" ref="W72" si="36">IF(RIGHT(IF(IFERROR(VLOOKUP(V72,$Z$4:$AA$15,2,0),"")&amp;"/"&amp;IFERROR(VLOOKUP(V73,$Z$4:$AA$15,2,0),"")="/","",IFERROR(VLOOKUP(V72,$Z$4:$AA$15,2,0),"")&amp;"/"&amp;IFERROR(VLOOKUP(V73,$Z$4:$AA$15,2,0),"")),1)="/",LEFT(IF(IFERROR(VLOOKUP(V72,$Z$4:$AA$15,2,0),"")&amp;"/"&amp;IFERROR(VLOOKUP(V73,$Z$4:$AA$15,2,0),"")="/","",IFERROR(VLOOKUP(V72,$Z$4:$AA$15,2,0),"")&amp;"/"&amp;IFERROR(VLOOKUP(V73,$Z$4:$AA$15,2,0),"")),FIND("/",IF(IFERROR(VLOOKUP(V72,$Z$4:$AA$15,2,0),"")&amp;"/"&amp;IFERROR(VLOOKUP(V73,$Z$4:$AA$15,2,0),"")="/","",IFERROR(VLOOKUP(V72,$Z$4:$AA$15,2,0),"")&amp;"/"&amp;IFERROR(VLOOKUP(V73,$Z$4:$AA$15,2,0),"")),1)-1),IF(IFERROR(VLOOKUP(V72,$Z$4:$AA$15,2,0),"")&amp;"/"&amp;IFERROR(VLOOKUP(V73,$Z$4:$AA$15,2,0),"")="/","",IFERROR(VLOOKUP(V72,$Z$4:$AA$15,2,0),"")&amp;"/"&amp;IFERROR(VLOOKUP(V73,$Z$4:$AA$15,2,0),"")))</f>
        <v/>
      </c>
    </row>
    <row r="73" spans="21:23" x14ac:dyDescent="0.2">
      <c r="U73" s="91"/>
      <c r="V73" s="77" t="str">
        <f t="array" ref="V73">IFERROR(INDEX($R$4:$R$63,SMALL(IF($U$72=$Q$4:$Q$63,ROW($R$4:$R$63)-3,""),ROW()-71)),"")</f>
        <v/>
      </c>
      <c r="W73" s="89"/>
    </row>
    <row r="74" spans="21:23" x14ac:dyDescent="0.2">
      <c r="U74" s="90" t="str">
        <f>IF(MAX(NameCount)&lt;ROW(36:36),"",VLOOKUP(ROW(36:36),NameList,2))</f>
        <v/>
      </c>
      <c r="V74" s="76" t="str">
        <f t="array" ref="V74">IFERROR(INDEX($R$4:$R$63,SMALL(IF($U$74=$Q$4:$Q$63,ROW($R$4:$R$63)-3,""),ROW()-73)),"")</f>
        <v/>
      </c>
      <c r="W74" s="88" t="str">
        <f t="shared" ref="W74" si="37">IF(RIGHT(IF(IFERROR(VLOOKUP(V74,$Z$4:$AA$15,2,0),"")&amp;"/"&amp;IFERROR(VLOOKUP(V75,$Z$4:$AA$15,2,0),"")="/","",IFERROR(VLOOKUP(V74,$Z$4:$AA$15,2,0),"")&amp;"/"&amp;IFERROR(VLOOKUP(V75,$Z$4:$AA$15,2,0),"")),1)="/",LEFT(IF(IFERROR(VLOOKUP(V74,$Z$4:$AA$15,2,0),"")&amp;"/"&amp;IFERROR(VLOOKUP(V75,$Z$4:$AA$15,2,0),"")="/","",IFERROR(VLOOKUP(V74,$Z$4:$AA$15,2,0),"")&amp;"/"&amp;IFERROR(VLOOKUP(V75,$Z$4:$AA$15,2,0),"")),FIND("/",IF(IFERROR(VLOOKUP(V74,$Z$4:$AA$15,2,0),"")&amp;"/"&amp;IFERROR(VLOOKUP(V75,$Z$4:$AA$15,2,0),"")="/","",IFERROR(VLOOKUP(V74,$Z$4:$AA$15,2,0),"")&amp;"/"&amp;IFERROR(VLOOKUP(V75,$Z$4:$AA$15,2,0),"")),1)-1),IF(IFERROR(VLOOKUP(V74,$Z$4:$AA$15,2,0),"")&amp;"/"&amp;IFERROR(VLOOKUP(V75,$Z$4:$AA$15,2,0),"")="/","",IFERROR(VLOOKUP(V74,$Z$4:$AA$15,2,0),"")&amp;"/"&amp;IFERROR(VLOOKUP(V75,$Z$4:$AA$15,2,0),"")))</f>
        <v/>
      </c>
    </row>
    <row r="75" spans="21:23" x14ac:dyDescent="0.2">
      <c r="U75" s="91"/>
      <c r="V75" s="77" t="str">
        <f t="array" ref="V75">IFERROR(INDEX($R$4:$R$63,SMALL(IF($U$74=$Q$4:$Q$63,ROW($R$4:$R$63)-3,""),ROW()-73)),"")</f>
        <v/>
      </c>
      <c r="W75" s="89"/>
    </row>
    <row r="76" spans="21:23" x14ac:dyDescent="0.2">
      <c r="U76" s="90" t="str">
        <f>IF(MAX(NameCount)&lt;ROW(37:37),"",VLOOKUP(ROW(37:37),NameList,2))</f>
        <v/>
      </c>
      <c r="V76" s="76" t="str">
        <f t="array" ref="V76">IFERROR(INDEX($R$4:$R$63,SMALL(IF($U$76=$Q$4:$Q$63,ROW($R$4:$R$63)-3,""),ROW()-75)),"")</f>
        <v/>
      </c>
      <c r="W76" s="88" t="str">
        <f t="shared" ref="W76" si="38">IF(RIGHT(IF(IFERROR(VLOOKUP(V76,$Z$4:$AA$15,2,0),"")&amp;"/"&amp;IFERROR(VLOOKUP(V77,$Z$4:$AA$15,2,0),"")="/","",IFERROR(VLOOKUP(V76,$Z$4:$AA$15,2,0),"")&amp;"/"&amp;IFERROR(VLOOKUP(V77,$Z$4:$AA$15,2,0),"")),1)="/",LEFT(IF(IFERROR(VLOOKUP(V76,$Z$4:$AA$15,2,0),"")&amp;"/"&amp;IFERROR(VLOOKUP(V77,$Z$4:$AA$15,2,0),"")="/","",IFERROR(VLOOKUP(V76,$Z$4:$AA$15,2,0),"")&amp;"/"&amp;IFERROR(VLOOKUP(V77,$Z$4:$AA$15,2,0),"")),FIND("/",IF(IFERROR(VLOOKUP(V76,$Z$4:$AA$15,2,0),"")&amp;"/"&amp;IFERROR(VLOOKUP(V77,$Z$4:$AA$15,2,0),"")="/","",IFERROR(VLOOKUP(V76,$Z$4:$AA$15,2,0),"")&amp;"/"&amp;IFERROR(VLOOKUP(V77,$Z$4:$AA$15,2,0),"")),1)-1),IF(IFERROR(VLOOKUP(V76,$Z$4:$AA$15,2,0),"")&amp;"/"&amp;IFERROR(VLOOKUP(V77,$Z$4:$AA$15,2,0),"")="/","",IFERROR(VLOOKUP(V76,$Z$4:$AA$15,2,0),"")&amp;"/"&amp;IFERROR(VLOOKUP(V77,$Z$4:$AA$15,2,0),"")))</f>
        <v/>
      </c>
    </row>
    <row r="77" spans="21:23" x14ac:dyDescent="0.2">
      <c r="U77" s="91"/>
      <c r="V77" s="77" t="str">
        <f t="array" ref="V77">IFERROR(INDEX($R$4:$R$63,SMALL(IF($U$76=$Q$4:$Q$63,ROW($R$4:$R$63)-3,""),ROW()-75)),"")</f>
        <v/>
      </c>
      <c r="W77" s="89"/>
    </row>
    <row r="78" spans="21:23" x14ac:dyDescent="0.2">
      <c r="U78" s="90" t="str">
        <f>IF(MAX(NameCount)&lt;ROW(38:38),"",VLOOKUP(ROW(38:38),NameList,2))</f>
        <v/>
      </c>
      <c r="V78" s="76" t="str">
        <f t="array" ref="V78">IFERROR(INDEX($R$4:$R$63,SMALL(IF($U$78=$Q$4:$Q$63,ROW($R$4:$R$63)-3,""),ROW()-77)),"")</f>
        <v/>
      </c>
      <c r="W78" s="88" t="str">
        <f t="shared" ref="W78" si="39">IF(RIGHT(IF(IFERROR(VLOOKUP(V78,$Z$4:$AA$15,2,0),"")&amp;"/"&amp;IFERROR(VLOOKUP(V79,$Z$4:$AA$15,2,0),"")="/","",IFERROR(VLOOKUP(V78,$Z$4:$AA$15,2,0),"")&amp;"/"&amp;IFERROR(VLOOKUP(V79,$Z$4:$AA$15,2,0),"")),1)="/",LEFT(IF(IFERROR(VLOOKUP(V78,$Z$4:$AA$15,2,0),"")&amp;"/"&amp;IFERROR(VLOOKUP(V79,$Z$4:$AA$15,2,0),"")="/","",IFERROR(VLOOKUP(V78,$Z$4:$AA$15,2,0),"")&amp;"/"&amp;IFERROR(VLOOKUP(V79,$Z$4:$AA$15,2,0),"")),FIND("/",IF(IFERROR(VLOOKUP(V78,$Z$4:$AA$15,2,0),"")&amp;"/"&amp;IFERROR(VLOOKUP(V79,$Z$4:$AA$15,2,0),"")="/","",IFERROR(VLOOKUP(V78,$Z$4:$AA$15,2,0),"")&amp;"/"&amp;IFERROR(VLOOKUP(V79,$Z$4:$AA$15,2,0),"")),1)-1),IF(IFERROR(VLOOKUP(V78,$Z$4:$AA$15,2,0),"")&amp;"/"&amp;IFERROR(VLOOKUP(V79,$Z$4:$AA$15,2,0),"")="/","",IFERROR(VLOOKUP(V78,$Z$4:$AA$15,2,0),"")&amp;"/"&amp;IFERROR(VLOOKUP(V79,$Z$4:$AA$15,2,0),"")))</f>
        <v/>
      </c>
    </row>
    <row r="79" spans="21:23" x14ac:dyDescent="0.2">
      <c r="U79" s="91"/>
      <c r="V79" s="77" t="str">
        <f t="array" ref="V79">IFERROR(INDEX($R$4:$R$63,SMALL(IF($U$78=$Q$4:$Q$63,ROW($R$4:$R$63)-3,""),ROW()-77)),"")</f>
        <v/>
      </c>
      <c r="W79" s="89"/>
    </row>
    <row r="80" spans="21:23" x14ac:dyDescent="0.2">
      <c r="U80" s="90" t="str">
        <f>IF(MAX(NameCount)&lt;ROW(39:39),"",VLOOKUP(ROW(39:39),NameList,2))</f>
        <v/>
      </c>
      <c r="V80" s="76" t="str">
        <f t="array" ref="V80">IFERROR(INDEX($R$4:$R$63,SMALL(IF($U$80=$Q$4:$Q$63,ROW($R$4:$R$63)-3,""),ROW()-79)),"")</f>
        <v/>
      </c>
      <c r="W80" s="88" t="str">
        <f t="shared" ref="W80" si="40">IF(RIGHT(IF(IFERROR(VLOOKUP(V80,$Z$4:$AA$15,2,0),"")&amp;"/"&amp;IFERROR(VLOOKUP(V81,$Z$4:$AA$15,2,0),"")="/","",IFERROR(VLOOKUP(V80,$Z$4:$AA$15,2,0),"")&amp;"/"&amp;IFERROR(VLOOKUP(V81,$Z$4:$AA$15,2,0),"")),1)="/",LEFT(IF(IFERROR(VLOOKUP(V80,$Z$4:$AA$15,2,0),"")&amp;"/"&amp;IFERROR(VLOOKUP(V81,$Z$4:$AA$15,2,0),"")="/","",IFERROR(VLOOKUP(V80,$Z$4:$AA$15,2,0),"")&amp;"/"&amp;IFERROR(VLOOKUP(V81,$Z$4:$AA$15,2,0),"")),FIND("/",IF(IFERROR(VLOOKUP(V80,$Z$4:$AA$15,2,0),"")&amp;"/"&amp;IFERROR(VLOOKUP(V81,$Z$4:$AA$15,2,0),"")="/","",IFERROR(VLOOKUP(V80,$Z$4:$AA$15,2,0),"")&amp;"/"&amp;IFERROR(VLOOKUP(V81,$Z$4:$AA$15,2,0),"")),1)-1),IF(IFERROR(VLOOKUP(V80,$Z$4:$AA$15,2,0),"")&amp;"/"&amp;IFERROR(VLOOKUP(V81,$Z$4:$AA$15,2,0),"")="/","",IFERROR(VLOOKUP(V80,$Z$4:$AA$15,2,0),"")&amp;"/"&amp;IFERROR(VLOOKUP(V81,$Z$4:$AA$15,2,0),"")))</f>
        <v/>
      </c>
    </row>
    <row r="81" spans="21:23" x14ac:dyDescent="0.2">
      <c r="U81" s="91"/>
      <c r="V81" s="77" t="str">
        <f t="array" ref="V81">IFERROR(INDEX($R$4:$R$63,SMALL(IF($U$80=$Q$4:$Q$63,ROW($R$4:$R$63)-3,""),ROW()-79)),"")</f>
        <v/>
      </c>
      <c r="W81" s="89"/>
    </row>
    <row r="82" spans="21:23" x14ac:dyDescent="0.2">
      <c r="U82" s="90" t="str">
        <f>IF(MAX(NameCount)&lt;ROW(40:40),"",VLOOKUP(ROW(40:40),NameList,2))</f>
        <v/>
      </c>
      <c r="V82" s="71" t="str">
        <f t="shared" ref="V82:V123" si="41">IFERROR(INDEX($R$4:$R$63,SMALL(IF($U$8=$Q$4:$Q$63,ROW($R$4:$R$63)-3,""),ROW()-7)),"")</f>
        <v/>
      </c>
      <c r="W82" s="88" t="str">
        <f t="shared" ref="W82" si="42">IF(RIGHT(IF(IFERROR(VLOOKUP(V82,$Z$4:$AA$15,2,0),"")&amp;"/"&amp;IFERROR(VLOOKUP(V83,$Z$4:$AA$15,2,0),"")="/","",IFERROR(VLOOKUP(V82,$Z$4:$AA$15,2,0),"")&amp;"/"&amp;IFERROR(VLOOKUP(V83,$Z$4:$AA$15,2,0),"")),1)="/",LEFT(IF(IFERROR(VLOOKUP(V82,$Z$4:$AA$15,2,0),"")&amp;"/"&amp;IFERROR(VLOOKUP(V83,$Z$4:$AA$15,2,0),"")="/","",IFERROR(VLOOKUP(V82,$Z$4:$AA$15,2,0),"")&amp;"/"&amp;IFERROR(VLOOKUP(V83,$Z$4:$AA$15,2,0),"")),FIND("/",IF(IFERROR(VLOOKUP(V82,$Z$4:$AA$15,2,0),"")&amp;"/"&amp;IFERROR(VLOOKUP(V83,$Z$4:$AA$15,2,0),"")="/","",IFERROR(VLOOKUP(V82,$Z$4:$AA$15,2,0),"")&amp;"/"&amp;IFERROR(VLOOKUP(V83,$Z$4:$AA$15,2,0),"")),1)-1),IF(IFERROR(VLOOKUP(V82,$Z$4:$AA$15,2,0),"")&amp;"/"&amp;IFERROR(VLOOKUP(V83,$Z$4:$AA$15,2,0),"")="/","",IFERROR(VLOOKUP(V82,$Z$4:$AA$15,2,0),"")&amp;"/"&amp;IFERROR(VLOOKUP(V83,$Z$4:$AA$15,2,0),"")))</f>
        <v/>
      </c>
    </row>
    <row r="83" spans="21:23" x14ac:dyDescent="0.2">
      <c r="U83" s="91"/>
      <c r="V83" s="71" t="str">
        <f t="shared" si="41"/>
        <v/>
      </c>
      <c r="W83" s="89"/>
    </row>
    <row r="84" spans="21:23" x14ac:dyDescent="0.2">
      <c r="U84" s="90" t="str">
        <f>IF(MAX(NameCount)&lt;ROW(41:41),"",VLOOKUP(ROW(41:41),NameList,2))</f>
        <v/>
      </c>
      <c r="V84" s="71" t="str">
        <f t="shared" si="41"/>
        <v/>
      </c>
      <c r="W84" s="88" t="str">
        <f t="shared" ref="W84" si="43">IF(RIGHT(IF(IFERROR(VLOOKUP(V84,$Z$4:$AA$15,2,0),"")&amp;"/"&amp;IFERROR(VLOOKUP(V85,$Z$4:$AA$15,2,0),"")="/","",IFERROR(VLOOKUP(V84,$Z$4:$AA$15,2,0),"")&amp;"/"&amp;IFERROR(VLOOKUP(V85,$Z$4:$AA$15,2,0),"")),1)="/",LEFT(IF(IFERROR(VLOOKUP(V84,$Z$4:$AA$15,2,0),"")&amp;"/"&amp;IFERROR(VLOOKUP(V85,$Z$4:$AA$15,2,0),"")="/","",IFERROR(VLOOKUP(V84,$Z$4:$AA$15,2,0),"")&amp;"/"&amp;IFERROR(VLOOKUP(V85,$Z$4:$AA$15,2,0),"")),FIND("/",IF(IFERROR(VLOOKUP(V84,$Z$4:$AA$15,2,0),"")&amp;"/"&amp;IFERROR(VLOOKUP(V85,$Z$4:$AA$15,2,0),"")="/","",IFERROR(VLOOKUP(V84,$Z$4:$AA$15,2,0),"")&amp;"/"&amp;IFERROR(VLOOKUP(V85,$Z$4:$AA$15,2,0),"")),1)-1),IF(IFERROR(VLOOKUP(V84,$Z$4:$AA$15,2,0),"")&amp;"/"&amp;IFERROR(VLOOKUP(V85,$Z$4:$AA$15,2,0),"")="/","",IFERROR(VLOOKUP(V84,$Z$4:$AA$15,2,0),"")&amp;"/"&amp;IFERROR(VLOOKUP(V85,$Z$4:$AA$15,2,0),"")))</f>
        <v/>
      </c>
    </row>
    <row r="85" spans="21:23" x14ac:dyDescent="0.2">
      <c r="U85" s="91"/>
      <c r="V85" s="71" t="str">
        <f t="shared" si="41"/>
        <v/>
      </c>
      <c r="W85" s="89"/>
    </row>
    <row r="86" spans="21:23" x14ac:dyDescent="0.2">
      <c r="U86" s="90" t="str">
        <f>IF(MAX(NameCount)&lt;ROW(42:42),"",VLOOKUP(ROW(42:42),NameList,2))</f>
        <v/>
      </c>
      <c r="V86" s="71" t="str">
        <f t="shared" si="41"/>
        <v/>
      </c>
      <c r="W86" s="88" t="str">
        <f t="shared" ref="W86" si="44">IF(RIGHT(IF(IFERROR(VLOOKUP(V86,$Z$4:$AA$15,2,0),"")&amp;"/"&amp;IFERROR(VLOOKUP(V87,$Z$4:$AA$15,2,0),"")="/","",IFERROR(VLOOKUP(V86,$Z$4:$AA$15,2,0),"")&amp;"/"&amp;IFERROR(VLOOKUP(V87,$Z$4:$AA$15,2,0),"")),1)="/",LEFT(IF(IFERROR(VLOOKUP(V86,$Z$4:$AA$15,2,0),"")&amp;"/"&amp;IFERROR(VLOOKUP(V87,$Z$4:$AA$15,2,0),"")="/","",IFERROR(VLOOKUP(V86,$Z$4:$AA$15,2,0),"")&amp;"/"&amp;IFERROR(VLOOKUP(V87,$Z$4:$AA$15,2,0),"")),FIND("/",IF(IFERROR(VLOOKUP(V86,$Z$4:$AA$15,2,0),"")&amp;"/"&amp;IFERROR(VLOOKUP(V87,$Z$4:$AA$15,2,0),"")="/","",IFERROR(VLOOKUP(V86,$Z$4:$AA$15,2,0),"")&amp;"/"&amp;IFERROR(VLOOKUP(V87,$Z$4:$AA$15,2,0),"")),1)-1),IF(IFERROR(VLOOKUP(V86,$Z$4:$AA$15,2,0),"")&amp;"/"&amp;IFERROR(VLOOKUP(V87,$Z$4:$AA$15,2,0),"")="/","",IFERROR(VLOOKUP(V86,$Z$4:$AA$15,2,0),"")&amp;"/"&amp;IFERROR(VLOOKUP(V87,$Z$4:$AA$15,2,0),"")))</f>
        <v/>
      </c>
    </row>
    <row r="87" spans="21:23" x14ac:dyDescent="0.2">
      <c r="U87" s="91"/>
      <c r="V87" s="71" t="str">
        <f t="shared" si="41"/>
        <v/>
      </c>
      <c r="W87" s="89"/>
    </row>
    <row r="88" spans="21:23" x14ac:dyDescent="0.2">
      <c r="U88" s="90" t="str">
        <f>IF(MAX(NameCount)&lt;ROW(43:43),"",VLOOKUP(ROW(43:43),NameList,2))</f>
        <v/>
      </c>
      <c r="V88" s="71" t="str">
        <f t="shared" si="41"/>
        <v/>
      </c>
      <c r="W88" s="88" t="str">
        <f t="shared" ref="W88" si="45">IF(RIGHT(IF(IFERROR(VLOOKUP(V88,$Z$4:$AA$15,2,0),"")&amp;"/"&amp;IFERROR(VLOOKUP(V89,$Z$4:$AA$15,2,0),"")="/","",IFERROR(VLOOKUP(V88,$Z$4:$AA$15,2,0),"")&amp;"/"&amp;IFERROR(VLOOKUP(V89,$Z$4:$AA$15,2,0),"")),1)="/",LEFT(IF(IFERROR(VLOOKUP(V88,$Z$4:$AA$15,2,0),"")&amp;"/"&amp;IFERROR(VLOOKUP(V89,$Z$4:$AA$15,2,0),"")="/","",IFERROR(VLOOKUP(V88,$Z$4:$AA$15,2,0),"")&amp;"/"&amp;IFERROR(VLOOKUP(V89,$Z$4:$AA$15,2,0),"")),FIND("/",IF(IFERROR(VLOOKUP(V88,$Z$4:$AA$15,2,0),"")&amp;"/"&amp;IFERROR(VLOOKUP(V89,$Z$4:$AA$15,2,0),"")="/","",IFERROR(VLOOKUP(V88,$Z$4:$AA$15,2,0),"")&amp;"/"&amp;IFERROR(VLOOKUP(V89,$Z$4:$AA$15,2,0),"")),1)-1),IF(IFERROR(VLOOKUP(V88,$Z$4:$AA$15,2,0),"")&amp;"/"&amp;IFERROR(VLOOKUP(V89,$Z$4:$AA$15,2,0),"")="/","",IFERROR(VLOOKUP(V88,$Z$4:$AA$15,2,0),"")&amp;"/"&amp;IFERROR(VLOOKUP(V89,$Z$4:$AA$15,2,0),"")))</f>
        <v/>
      </c>
    </row>
    <row r="89" spans="21:23" x14ac:dyDescent="0.2">
      <c r="U89" s="91"/>
      <c r="V89" s="71" t="str">
        <f t="shared" si="41"/>
        <v/>
      </c>
      <c r="W89" s="89"/>
    </row>
    <row r="90" spans="21:23" x14ac:dyDescent="0.2">
      <c r="U90" s="90" t="str">
        <f>IF(MAX(NameCount)&lt;ROW(44:44),"",VLOOKUP(ROW(44:44),NameList,2))</f>
        <v/>
      </c>
      <c r="V90" s="71" t="str">
        <f t="shared" si="41"/>
        <v/>
      </c>
      <c r="W90" s="88" t="str">
        <f t="shared" ref="W90" si="46">IF(RIGHT(IF(IFERROR(VLOOKUP(V90,$Z$4:$AA$15,2,0),"")&amp;"/"&amp;IFERROR(VLOOKUP(V91,$Z$4:$AA$15,2,0),"")="/","",IFERROR(VLOOKUP(V90,$Z$4:$AA$15,2,0),"")&amp;"/"&amp;IFERROR(VLOOKUP(V91,$Z$4:$AA$15,2,0),"")),1)="/",LEFT(IF(IFERROR(VLOOKUP(V90,$Z$4:$AA$15,2,0),"")&amp;"/"&amp;IFERROR(VLOOKUP(V91,$Z$4:$AA$15,2,0),"")="/","",IFERROR(VLOOKUP(V90,$Z$4:$AA$15,2,0),"")&amp;"/"&amp;IFERROR(VLOOKUP(V91,$Z$4:$AA$15,2,0),"")),FIND("/",IF(IFERROR(VLOOKUP(V90,$Z$4:$AA$15,2,0),"")&amp;"/"&amp;IFERROR(VLOOKUP(V91,$Z$4:$AA$15,2,0),"")="/","",IFERROR(VLOOKUP(V90,$Z$4:$AA$15,2,0),"")&amp;"/"&amp;IFERROR(VLOOKUP(V91,$Z$4:$AA$15,2,0),"")),1)-1),IF(IFERROR(VLOOKUP(V90,$Z$4:$AA$15,2,0),"")&amp;"/"&amp;IFERROR(VLOOKUP(V91,$Z$4:$AA$15,2,0),"")="/","",IFERROR(VLOOKUP(V90,$Z$4:$AA$15,2,0),"")&amp;"/"&amp;IFERROR(VLOOKUP(V91,$Z$4:$AA$15,2,0),"")))</f>
        <v/>
      </c>
    </row>
    <row r="91" spans="21:23" x14ac:dyDescent="0.2">
      <c r="U91" s="91"/>
      <c r="V91" s="71" t="str">
        <f t="shared" si="41"/>
        <v/>
      </c>
      <c r="W91" s="89"/>
    </row>
    <row r="92" spans="21:23" x14ac:dyDescent="0.2">
      <c r="U92" s="90" t="str">
        <f>IF(MAX(NameCount)&lt;ROW(45:45),"",VLOOKUP(ROW(45:45),NameList,2))</f>
        <v/>
      </c>
      <c r="V92" s="71" t="str">
        <f t="shared" si="41"/>
        <v/>
      </c>
      <c r="W92" s="88" t="str">
        <f t="shared" ref="W92" si="47">IF(RIGHT(IF(IFERROR(VLOOKUP(V92,$Z$4:$AA$15,2,0),"")&amp;"/"&amp;IFERROR(VLOOKUP(V93,$Z$4:$AA$15,2,0),"")="/","",IFERROR(VLOOKUP(V92,$Z$4:$AA$15,2,0),"")&amp;"/"&amp;IFERROR(VLOOKUP(V93,$Z$4:$AA$15,2,0),"")),1)="/",LEFT(IF(IFERROR(VLOOKUP(V92,$Z$4:$AA$15,2,0),"")&amp;"/"&amp;IFERROR(VLOOKUP(V93,$Z$4:$AA$15,2,0),"")="/","",IFERROR(VLOOKUP(V92,$Z$4:$AA$15,2,0),"")&amp;"/"&amp;IFERROR(VLOOKUP(V93,$Z$4:$AA$15,2,0),"")),FIND("/",IF(IFERROR(VLOOKUP(V92,$Z$4:$AA$15,2,0),"")&amp;"/"&amp;IFERROR(VLOOKUP(V93,$Z$4:$AA$15,2,0),"")="/","",IFERROR(VLOOKUP(V92,$Z$4:$AA$15,2,0),"")&amp;"/"&amp;IFERROR(VLOOKUP(V93,$Z$4:$AA$15,2,0),"")),1)-1),IF(IFERROR(VLOOKUP(V92,$Z$4:$AA$15,2,0),"")&amp;"/"&amp;IFERROR(VLOOKUP(V93,$Z$4:$AA$15,2,0),"")="/","",IFERROR(VLOOKUP(V92,$Z$4:$AA$15,2,0),"")&amp;"/"&amp;IFERROR(VLOOKUP(V93,$Z$4:$AA$15,2,0),"")))</f>
        <v/>
      </c>
    </row>
    <row r="93" spans="21:23" x14ac:dyDescent="0.2">
      <c r="U93" s="91"/>
      <c r="V93" s="71" t="str">
        <f t="shared" si="41"/>
        <v/>
      </c>
      <c r="W93" s="89"/>
    </row>
    <row r="94" spans="21:23" x14ac:dyDescent="0.2">
      <c r="U94" s="90" t="str">
        <f>IF(MAX(NameCount)&lt;ROW(46:46),"",VLOOKUP(ROW(46:46),NameList,2))</f>
        <v/>
      </c>
      <c r="V94" s="71" t="str">
        <f t="shared" si="41"/>
        <v/>
      </c>
      <c r="W94" s="88" t="str">
        <f t="shared" ref="W94" si="48">IF(RIGHT(IF(IFERROR(VLOOKUP(V94,$Z$4:$AA$15,2,0),"")&amp;"/"&amp;IFERROR(VLOOKUP(V95,$Z$4:$AA$15,2,0),"")="/","",IFERROR(VLOOKUP(V94,$Z$4:$AA$15,2,0),"")&amp;"/"&amp;IFERROR(VLOOKUP(V95,$Z$4:$AA$15,2,0),"")),1)="/",LEFT(IF(IFERROR(VLOOKUP(V94,$Z$4:$AA$15,2,0),"")&amp;"/"&amp;IFERROR(VLOOKUP(V95,$Z$4:$AA$15,2,0),"")="/","",IFERROR(VLOOKUP(V94,$Z$4:$AA$15,2,0),"")&amp;"/"&amp;IFERROR(VLOOKUP(V95,$Z$4:$AA$15,2,0),"")),FIND("/",IF(IFERROR(VLOOKUP(V94,$Z$4:$AA$15,2,0),"")&amp;"/"&amp;IFERROR(VLOOKUP(V95,$Z$4:$AA$15,2,0),"")="/","",IFERROR(VLOOKUP(V94,$Z$4:$AA$15,2,0),"")&amp;"/"&amp;IFERROR(VLOOKUP(V95,$Z$4:$AA$15,2,0),"")),1)-1),IF(IFERROR(VLOOKUP(V94,$Z$4:$AA$15,2,0),"")&amp;"/"&amp;IFERROR(VLOOKUP(V95,$Z$4:$AA$15,2,0),"")="/","",IFERROR(VLOOKUP(V94,$Z$4:$AA$15,2,0),"")&amp;"/"&amp;IFERROR(VLOOKUP(V95,$Z$4:$AA$15,2,0),"")))</f>
        <v/>
      </c>
    </row>
    <row r="95" spans="21:23" x14ac:dyDescent="0.2">
      <c r="U95" s="91"/>
      <c r="V95" s="71" t="str">
        <f t="shared" si="41"/>
        <v/>
      </c>
      <c r="W95" s="89"/>
    </row>
    <row r="96" spans="21:23" x14ac:dyDescent="0.2">
      <c r="U96" s="90" t="str">
        <f>IF(MAX(NameCount)&lt;ROW(47:47),"",VLOOKUP(ROW(47:47),NameList,2))</f>
        <v/>
      </c>
      <c r="V96" s="71" t="str">
        <f t="shared" si="41"/>
        <v/>
      </c>
      <c r="W96" s="88" t="str">
        <f t="shared" ref="W96" si="49">IF(RIGHT(IF(IFERROR(VLOOKUP(V96,$Z$4:$AA$15,2,0),"")&amp;"/"&amp;IFERROR(VLOOKUP(V97,$Z$4:$AA$15,2,0),"")="/","",IFERROR(VLOOKUP(V96,$Z$4:$AA$15,2,0),"")&amp;"/"&amp;IFERROR(VLOOKUP(V97,$Z$4:$AA$15,2,0),"")),1)="/",LEFT(IF(IFERROR(VLOOKUP(V96,$Z$4:$AA$15,2,0),"")&amp;"/"&amp;IFERROR(VLOOKUP(V97,$Z$4:$AA$15,2,0),"")="/","",IFERROR(VLOOKUP(V96,$Z$4:$AA$15,2,0),"")&amp;"/"&amp;IFERROR(VLOOKUP(V97,$Z$4:$AA$15,2,0),"")),FIND("/",IF(IFERROR(VLOOKUP(V96,$Z$4:$AA$15,2,0),"")&amp;"/"&amp;IFERROR(VLOOKUP(V97,$Z$4:$AA$15,2,0),"")="/","",IFERROR(VLOOKUP(V96,$Z$4:$AA$15,2,0),"")&amp;"/"&amp;IFERROR(VLOOKUP(V97,$Z$4:$AA$15,2,0),"")),1)-1),IF(IFERROR(VLOOKUP(V96,$Z$4:$AA$15,2,0),"")&amp;"/"&amp;IFERROR(VLOOKUP(V97,$Z$4:$AA$15,2,0),"")="/","",IFERROR(VLOOKUP(V96,$Z$4:$AA$15,2,0),"")&amp;"/"&amp;IFERROR(VLOOKUP(V97,$Z$4:$AA$15,2,0),"")))</f>
        <v/>
      </c>
    </row>
    <row r="97" spans="21:23" x14ac:dyDescent="0.2">
      <c r="U97" s="91"/>
      <c r="V97" s="71" t="str">
        <f t="shared" si="41"/>
        <v/>
      </c>
      <c r="W97" s="89"/>
    </row>
    <row r="98" spans="21:23" x14ac:dyDescent="0.2">
      <c r="U98" s="90" t="str">
        <f>IF(MAX(NameCount)&lt;ROW(48:48),"",VLOOKUP(ROW(48:48),NameList,2))</f>
        <v/>
      </c>
      <c r="V98" s="71" t="str">
        <f t="shared" si="41"/>
        <v/>
      </c>
      <c r="W98" s="88" t="str">
        <f t="shared" ref="W98" si="50">IF(RIGHT(IF(IFERROR(VLOOKUP(V98,$Z$4:$AA$15,2,0),"")&amp;"/"&amp;IFERROR(VLOOKUP(V99,$Z$4:$AA$15,2,0),"")="/","",IFERROR(VLOOKUP(V98,$Z$4:$AA$15,2,0),"")&amp;"/"&amp;IFERROR(VLOOKUP(V99,$Z$4:$AA$15,2,0),"")),1)="/",LEFT(IF(IFERROR(VLOOKUP(V98,$Z$4:$AA$15,2,0),"")&amp;"/"&amp;IFERROR(VLOOKUP(V99,$Z$4:$AA$15,2,0),"")="/","",IFERROR(VLOOKUP(V98,$Z$4:$AA$15,2,0),"")&amp;"/"&amp;IFERROR(VLOOKUP(V99,$Z$4:$AA$15,2,0),"")),FIND("/",IF(IFERROR(VLOOKUP(V98,$Z$4:$AA$15,2,0),"")&amp;"/"&amp;IFERROR(VLOOKUP(V99,$Z$4:$AA$15,2,0),"")="/","",IFERROR(VLOOKUP(V98,$Z$4:$AA$15,2,0),"")&amp;"/"&amp;IFERROR(VLOOKUP(V99,$Z$4:$AA$15,2,0),"")),1)-1),IF(IFERROR(VLOOKUP(V98,$Z$4:$AA$15,2,0),"")&amp;"/"&amp;IFERROR(VLOOKUP(V99,$Z$4:$AA$15,2,0),"")="/","",IFERROR(VLOOKUP(V98,$Z$4:$AA$15,2,0),"")&amp;"/"&amp;IFERROR(VLOOKUP(V99,$Z$4:$AA$15,2,0),"")))</f>
        <v/>
      </c>
    </row>
    <row r="99" spans="21:23" x14ac:dyDescent="0.2">
      <c r="U99" s="91"/>
      <c r="V99" s="71" t="str">
        <f t="shared" si="41"/>
        <v/>
      </c>
      <c r="W99" s="89"/>
    </row>
    <row r="100" spans="21:23" x14ac:dyDescent="0.2">
      <c r="U100" s="90" t="str">
        <f>IF(MAX(NameCount)&lt;ROW(49:49),"",VLOOKUP(ROW(49:49),NameList,2))</f>
        <v/>
      </c>
      <c r="V100" s="71" t="str">
        <f t="shared" si="41"/>
        <v/>
      </c>
      <c r="W100" s="88" t="str">
        <f t="shared" ref="W100" si="51">IF(RIGHT(IF(IFERROR(VLOOKUP(V100,$Z$4:$AA$15,2,0),"")&amp;"/"&amp;IFERROR(VLOOKUP(V101,$Z$4:$AA$15,2,0),"")="/","",IFERROR(VLOOKUP(V100,$Z$4:$AA$15,2,0),"")&amp;"/"&amp;IFERROR(VLOOKUP(V101,$Z$4:$AA$15,2,0),"")),1)="/",LEFT(IF(IFERROR(VLOOKUP(V100,$Z$4:$AA$15,2,0),"")&amp;"/"&amp;IFERROR(VLOOKUP(V101,$Z$4:$AA$15,2,0),"")="/","",IFERROR(VLOOKUP(V100,$Z$4:$AA$15,2,0),"")&amp;"/"&amp;IFERROR(VLOOKUP(V101,$Z$4:$AA$15,2,0),"")),FIND("/",IF(IFERROR(VLOOKUP(V100,$Z$4:$AA$15,2,0),"")&amp;"/"&amp;IFERROR(VLOOKUP(V101,$Z$4:$AA$15,2,0),"")="/","",IFERROR(VLOOKUP(V100,$Z$4:$AA$15,2,0),"")&amp;"/"&amp;IFERROR(VLOOKUP(V101,$Z$4:$AA$15,2,0),"")),1)-1),IF(IFERROR(VLOOKUP(V100,$Z$4:$AA$15,2,0),"")&amp;"/"&amp;IFERROR(VLOOKUP(V101,$Z$4:$AA$15,2,0),"")="/","",IFERROR(VLOOKUP(V100,$Z$4:$AA$15,2,0),"")&amp;"/"&amp;IFERROR(VLOOKUP(V101,$Z$4:$AA$15,2,0),"")))</f>
        <v/>
      </c>
    </row>
    <row r="101" spans="21:23" x14ac:dyDescent="0.2">
      <c r="U101" s="91"/>
      <c r="V101" s="71" t="str">
        <f t="shared" si="41"/>
        <v/>
      </c>
      <c r="W101" s="89"/>
    </row>
    <row r="102" spans="21:23" x14ac:dyDescent="0.2">
      <c r="U102" s="90" t="str">
        <f>IF(MAX(NameCount)&lt;ROW(50:50),"",VLOOKUP(ROW(50:50),NameList,2))</f>
        <v/>
      </c>
      <c r="V102" s="71" t="str">
        <f t="shared" si="41"/>
        <v/>
      </c>
      <c r="W102" s="88" t="str">
        <f t="shared" ref="W102" si="52">IF(RIGHT(IF(IFERROR(VLOOKUP(V102,$Z$4:$AA$15,2,0),"")&amp;"/"&amp;IFERROR(VLOOKUP(V103,$Z$4:$AA$15,2,0),"")="/","",IFERROR(VLOOKUP(V102,$Z$4:$AA$15,2,0),"")&amp;"/"&amp;IFERROR(VLOOKUP(V103,$Z$4:$AA$15,2,0),"")),1)="/",LEFT(IF(IFERROR(VLOOKUP(V102,$Z$4:$AA$15,2,0),"")&amp;"/"&amp;IFERROR(VLOOKUP(V103,$Z$4:$AA$15,2,0),"")="/","",IFERROR(VLOOKUP(V102,$Z$4:$AA$15,2,0),"")&amp;"/"&amp;IFERROR(VLOOKUP(V103,$Z$4:$AA$15,2,0),"")),FIND("/",IF(IFERROR(VLOOKUP(V102,$Z$4:$AA$15,2,0),"")&amp;"/"&amp;IFERROR(VLOOKUP(V103,$Z$4:$AA$15,2,0),"")="/","",IFERROR(VLOOKUP(V102,$Z$4:$AA$15,2,0),"")&amp;"/"&amp;IFERROR(VLOOKUP(V103,$Z$4:$AA$15,2,0),"")),1)-1),IF(IFERROR(VLOOKUP(V102,$Z$4:$AA$15,2,0),"")&amp;"/"&amp;IFERROR(VLOOKUP(V103,$Z$4:$AA$15,2,0),"")="/","",IFERROR(VLOOKUP(V102,$Z$4:$AA$15,2,0),"")&amp;"/"&amp;IFERROR(VLOOKUP(V103,$Z$4:$AA$15,2,0),"")))</f>
        <v/>
      </c>
    </row>
    <row r="103" spans="21:23" x14ac:dyDescent="0.2">
      <c r="U103" s="91"/>
      <c r="V103" s="71" t="str">
        <f t="shared" si="41"/>
        <v/>
      </c>
      <c r="W103" s="89"/>
    </row>
    <row r="104" spans="21:23" x14ac:dyDescent="0.2">
      <c r="U104" s="90" t="str">
        <f>IF(MAX(NameCount)&lt;ROW(51:51),"",VLOOKUP(ROW(51:51),NameList,2))</f>
        <v/>
      </c>
      <c r="V104" s="71" t="str">
        <f t="shared" si="41"/>
        <v/>
      </c>
      <c r="W104" s="88" t="str">
        <f t="shared" ref="W104" si="53">IF(RIGHT(IF(IFERROR(VLOOKUP(V104,$Z$4:$AA$15,2,0),"")&amp;"/"&amp;IFERROR(VLOOKUP(V105,$Z$4:$AA$15,2,0),"")="/","",IFERROR(VLOOKUP(V104,$Z$4:$AA$15,2,0),"")&amp;"/"&amp;IFERROR(VLOOKUP(V105,$Z$4:$AA$15,2,0),"")),1)="/",LEFT(IF(IFERROR(VLOOKUP(V104,$Z$4:$AA$15,2,0),"")&amp;"/"&amp;IFERROR(VLOOKUP(V105,$Z$4:$AA$15,2,0),"")="/","",IFERROR(VLOOKUP(V104,$Z$4:$AA$15,2,0),"")&amp;"/"&amp;IFERROR(VLOOKUP(V105,$Z$4:$AA$15,2,0),"")),FIND("/",IF(IFERROR(VLOOKUP(V104,$Z$4:$AA$15,2,0),"")&amp;"/"&amp;IFERROR(VLOOKUP(V105,$Z$4:$AA$15,2,0),"")="/","",IFERROR(VLOOKUP(V104,$Z$4:$AA$15,2,0),"")&amp;"/"&amp;IFERROR(VLOOKUP(V105,$Z$4:$AA$15,2,0),"")),1)-1),IF(IFERROR(VLOOKUP(V104,$Z$4:$AA$15,2,0),"")&amp;"/"&amp;IFERROR(VLOOKUP(V105,$Z$4:$AA$15,2,0),"")="/","",IFERROR(VLOOKUP(V104,$Z$4:$AA$15,2,0),"")&amp;"/"&amp;IFERROR(VLOOKUP(V105,$Z$4:$AA$15,2,0),"")))</f>
        <v/>
      </c>
    </row>
    <row r="105" spans="21:23" x14ac:dyDescent="0.2">
      <c r="U105" s="91"/>
      <c r="V105" s="71" t="str">
        <f t="shared" si="41"/>
        <v/>
      </c>
      <c r="W105" s="89"/>
    </row>
    <row r="106" spans="21:23" x14ac:dyDescent="0.2">
      <c r="U106" s="90" t="str">
        <f>IF(MAX(NameCount)&lt;ROW(52:52),"",VLOOKUP(ROW(52:52),NameList,2))</f>
        <v/>
      </c>
      <c r="V106" s="71" t="str">
        <f t="shared" si="41"/>
        <v/>
      </c>
      <c r="W106" s="88" t="str">
        <f t="shared" ref="W106" si="54">IF(RIGHT(IF(IFERROR(VLOOKUP(V106,$Z$4:$AA$15,2,0),"")&amp;"/"&amp;IFERROR(VLOOKUP(V107,$Z$4:$AA$15,2,0),"")="/","",IFERROR(VLOOKUP(V106,$Z$4:$AA$15,2,0),"")&amp;"/"&amp;IFERROR(VLOOKUP(V107,$Z$4:$AA$15,2,0),"")),1)="/",LEFT(IF(IFERROR(VLOOKUP(V106,$Z$4:$AA$15,2,0),"")&amp;"/"&amp;IFERROR(VLOOKUP(V107,$Z$4:$AA$15,2,0),"")="/","",IFERROR(VLOOKUP(V106,$Z$4:$AA$15,2,0),"")&amp;"/"&amp;IFERROR(VLOOKUP(V107,$Z$4:$AA$15,2,0),"")),FIND("/",IF(IFERROR(VLOOKUP(V106,$Z$4:$AA$15,2,0),"")&amp;"/"&amp;IFERROR(VLOOKUP(V107,$Z$4:$AA$15,2,0),"")="/","",IFERROR(VLOOKUP(V106,$Z$4:$AA$15,2,0),"")&amp;"/"&amp;IFERROR(VLOOKUP(V107,$Z$4:$AA$15,2,0),"")),1)-1),IF(IFERROR(VLOOKUP(V106,$Z$4:$AA$15,2,0),"")&amp;"/"&amp;IFERROR(VLOOKUP(V107,$Z$4:$AA$15,2,0),"")="/","",IFERROR(VLOOKUP(V106,$Z$4:$AA$15,2,0),"")&amp;"/"&amp;IFERROR(VLOOKUP(V107,$Z$4:$AA$15,2,0),"")))</f>
        <v/>
      </c>
    </row>
    <row r="107" spans="21:23" x14ac:dyDescent="0.2">
      <c r="U107" s="91"/>
      <c r="V107" s="71" t="str">
        <f t="shared" si="41"/>
        <v/>
      </c>
      <c r="W107" s="89"/>
    </row>
    <row r="108" spans="21:23" x14ac:dyDescent="0.2">
      <c r="U108" s="90" t="str">
        <f>IF(MAX(NameCount)&lt;ROW(53:53),"",VLOOKUP(ROW(53:53),NameList,2))</f>
        <v/>
      </c>
      <c r="V108" s="71" t="str">
        <f t="shared" si="41"/>
        <v/>
      </c>
      <c r="W108" s="88" t="str">
        <f t="shared" ref="W108" si="55">IF(RIGHT(IF(IFERROR(VLOOKUP(V108,$Z$4:$AA$15,2,0),"")&amp;"/"&amp;IFERROR(VLOOKUP(V109,$Z$4:$AA$15,2,0),"")="/","",IFERROR(VLOOKUP(V108,$Z$4:$AA$15,2,0),"")&amp;"/"&amp;IFERROR(VLOOKUP(V109,$Z$4:$AA$15,2,0),"")),1)="/",LEFT(IF(IFERROR(VLOOKUP(V108,$Z$4:$AA$15,2,0),"")&amp;"/"&amp;IFERROR(VLOOKUP(V109,$Z$4:$AA$15,2,0),"")="/","",IFERROR(VLOOKUP(V108,$Z$4:$AA$15,2,0),"")&amp;"/"&amp;IFERROR(VLOOKUP(V109,$Z$4:$AA$15,2,0),"")),FIND("/",IF(IFERROR(VLOOKUP(V108,$Z$4:$AA$15,2,0),"")&amp;"/"&amp;IFERROR(VLOOKUP(V109,$Z$4:$AA$15,2,0),"")="/","",IFERROR(VLOOKUP(V108,$Z$4:$AA$15,2,0),"")&amp;"/"&amp;IFERROR(VLOOKUP(V109,$Z$4:$AA$15,2,0),"")),1)-1),IF(IFERROR(VLOOKUP(V108,$Z$4:$AA$15,2,0),"")&amp;"/"&amp;IFERROR(VLOOKUP(V109,$Z$4:$AA$15,2,0),"")="/","",IFERROR(VLOOKUP(V108,$Z$4:$AA$15,2,0),"")&amp;"/"&amp;IFERROR(VLOOKUP(V109,$Z$4:$AA$15,2,0),"")))</f>
        <v/>
      </c>
    </row>
    <row r="109" spans="21:23" x14ac:dyDescent="0.2">
      <c r="U109" s="91"/>
      <c r="V109" s="71" t="str">
        <f t="shared" si="41"/>
        <v/>
      </c>
      <c r="W109" s="89"/>
    </row>
    <row r="110" spans="21:23" x14ac:dyDescent="0.2">
      <c r="U110" s="90" t="str">
        <f>IF(MAX(NameCount)&lt;ROW(54:54),"",VLOOKUP(ROW(54:54),NameList,2))</f>
        <v/>
      </c>
      <c r="V110" s="71" t="str">
        <f t="shared" si="41"/>
        <v/>
      </c>
      <c r="W110" s="88" t="str">
        <f t="shared" ref="W110" si="56">IF(RIGHT(IF(IFERROR(VLOOKUP(V110,$Z$4:$AA$15,2,0),"")&amp;"/"&amp;IFERROR(VLOOKUP(V111,$Z$4:$AA$15,2,0),"")="/","",IFERROR(VLOOKUP(V110,$Z$4:$AA$15,2,0),"")&amp;"/"&amp;IFERROR(VLOOKUP(V111,$Z$4:$AA$15,2,0),"")),1)="/",LEFT(IF(IFERROR(VLOOKUP(V110,$Z$4:$AA$15,2,0),"")&amp;"/"&amp;IFERROR(VLOOKUP(V111,$Z$4:$AA$15,2,0),"")="/","",IFERROR(VLOOKUP(V110,$Z$4:$AA$15,2,0),"")&amp;"/"&amp;IFERROR(VLOOKUP(V111,$Z$4:$AA$15,2,0),"")),FIND("/",IF(IFERROR(VLOOKUP(V110,$Z$4:$AA$15,2,0),"")&amp;"/"&amp;IFERROR(VLOOKUP(V111,$Z$4:$AA$15,2,0),"")="/","",IFERROR(VLOOKUP(V110,$Z$4:$AA$15,2,0),"")&amp;"/"&amp;IFERROR(VLOOKUP(V111,$Z$4:$AA$15,2,0),"")),1)-1),IF(IFERROR(VLOOKUP(V110,$Z$4:$AA$15,2,0),"")&amp;"/"&amp;IFERROR(VLOOKUP(V111,$Z$4:$AA$15,2,0),"")="/","",IFERROR(VLOOKUP(V110,$Z$4:$AA$15,2,0),"")&amp;"/"&amp;IFERROR(VLOOKUP(V111,$Z$4:$AA$15,2,0),"")))</f>
        <v/>
      </c>
    </row>
    <row r="111" spans="21:23" x14ac:dyDescent="0.2">
      <c r="U111" s="91"/>
      <c r="V111" s="71" t="str">
        <f t="shared" si="41"/>
        <v/>
      </c>
      <c r="W111" s="89"/>
    </row>
    <row r="112" spans="21:23" x14ac:dyDescent="0.2">
      <c r="U112" s="90" t="str">
        <f>IF(MAX(NameCount)&lt;ROW(55:55),"",VLOOKUP(ROW(55:55),NameList,2))</f>
        <v/>
      </c>
      <c r="V112" s="71" t="str">
        <f t="shared" si="41"/>
        <v/>
      </c>
      <c r="W112" s="88" t="str">
        <f t="shared" ref="W112" si="57">IF(RIGHT(IF(IFERROR(VLOOKUP(V112,$Z$4:$AA$15,2,0),"")&amp;"/"&amp;IFERROR(VLOOKUP(V113,$Z$4:$AA$15,2,0),"")="/","",IFERROR(VLOOKUP(V112,$Z$4:$AA$15,2,0),"")&amp;"/"&amp;IFERROR(VLOOKUP(V113,$Z$4:$AA$15,2,0),"")),1)="/",LEFT(IF(IFERROR(VLOOKUP(V112,$Z$4:$AA$15,2,0),"")&amp;"/"&amp;IFERROR(VLOOKUP(V113,$Z$4:$AA$15,2,0),"")="/","",IFERROR(VLOOKUP(V112,$Z$4:$AA$15,2,0),"")&amp;"/"&amp;IFERROR(VLOOKUP(V113,$Z$4:$AA$15,2,0),"")),FIND("/",IF(IFERROR(VLOOKUP(V112,$Z$4:$AA$15,2,0),"")&amp;"/"&amp;IFERROR(VLOOKUP(V113,$Z$4:$AA$15,2,0),"")="/","",IFERROR(VLOOKUP(V112,$Z$4:$AA$15,2,0),"")&amp;"/"&amp;IFERROR(VLOOKUP(V113,$Z$4:$AA$15,2,0),"")),1)-1),IF(IFERROR(VLOOKUP(V112,$Z$4:$AA$15,2,0),"")&amp;"/"&amp;IFERROR(VLOOKUP(V113,$Z$4:$AA$15,2,0),"")="/","",IFERROR(VLOOKUP(V112,$Z$4:$AA$15,2,0),"")&amp;"/"&amp;IFERROR(VLOOKUP(V113,$Z$4:$AA$15,2,0),"")))</f>
        <v/>
      </c>
    </row>
    <row r="113" spans="21:23" x14ac:dyDescent="0.2">
      <c r="U113" s="91"/>
      <c r="V113" s="71" t="str">
        <f t="shared" si="41"/>
        <v/>
      </c>
      <c r="W113" s="89"/>
    </row>
    <row r="114" spans="21:23" x14ac:dyDescent="0.2">
      <c r="U114" s="90" t="str">
        <f>IF(MAX(NameCount)&lt;ROW(56:56),"",VLOOKUP(ROW(56:56),NameList,2))</f>
        <v/>
      </c>
      <c r="V114" s="71" t="str">
        <f t="shared" si="41"/>
        <v/>
      </c>
      <c r="W114" s="88" t="str">
        <f t="shared" ref="W114" si="58">IF(RIGHT(IF(IFERROR(VLOOKUP(V114,$Z$4:$AA$15,2,0),"")&amp;"/"&amp;IFERROR(VLOOKUP(V115,$Z$4:$AA$15,2,0),"")="/","",IFERROR(VLOOKUP(V114,$Z$4:$AA$15,2,0),"")&amp;"/"&amp;IFERROR(VLOOKUP(V115,$Z$4:$AA$15,2,0),"")),1)="/",LEFT(IF(IFERROR(VLOOKUP(V114,$Z$4:$AA$15,2,0),"")&amp;"/"&amp;IFERROR(VLOOKUP(V115,$Z$4:$AA$15,2,0),"")="/","",IFERROR(VLOOKUP(V114,$Z$4:$AA$15,2,0),"")&amp;"/"&amp;IFERROR(VLOOKUP(V115,$Z$4:$AA$15,2,0),"")),FIND("/",IF(IFERROR(VLOOKUP(V114,$Z$4:$AA$15,2,0),"")&amp;"/"&amp;IFERROR(VLOOKUP(V115,$Z$4:$AA$15,2,0),"")="/","",IFERROR(VLOOKUP(V114,$Z$4:$AA$15,2,0),"")&amp;"/"&amp;IFERROR(VLOOKUP(V115,$Z$4:$AA$15,2,0),"")),1)-1),IF(IFERROR(VLOOKUP(V114,$Z$4:$AA$15,2,0),"")&amp;"/"&amp;IFERROR(VLOOKUP(V115,$Z$4:$AA$15,2,0),"")="/","",IFERROR(VLOOKUP(V114,$Z$4:$AA$15,2,0),"")&amp;"/"&amp;IFERROR(VLOOKUP(V115,$Z$4:$AA$15,2,0),"")))</f>
        <v/>
      </c>
    </row>
    <row r="115" spans="21:23" x14ac:dyDescent="0.2">
      <c r="U115" s="91"/>
      <c r="V115" s="71" t="str">
        <f t="shared" si="41"/>
        <v/>
      </c>
      <c r="W115" s="89"/>
    </row>
    <row r="116" spans="21:23" x14ac:dyDescent="0.2">
      <c r="U116" s="90" t="str">
        <f>IF(MAX(NameCount)&lt;ROW(57:57),"",VLOOKUP(ROW(57:57),NameList,2))</f>
        <v/>
      </c>
      <c r="V116" s="71" t="str">
        <f t="shared" si="41"/>
        <v/>
      </c>
      <c r="W116" s="88" t="str">
        <f t="shared" ref="W116" si="59">IF(RIGHT(IF(IFERROR(VLOOKUP(V116,$Z$4:$AA$15,2,0),"")&amp;"/"&amp;IFERROR(VLOOKUP(V117,$Z$4:$AA$15,2,0),"")="/","",IFERROR(VLOOKUP(V116,$Z$4:$AA$15,2,0),"")&amp;"/"&amp;IFERROR(VLOOKUP(V117,$Z$4:$AA$15,2,0),"")),1)="/",LEFT(IF(IFERROR(VLOOKUP(V116,$Z$4:$AA$15,2,0),"")&amp;"/"&amp;IFERROR(VLOOKUP(V117,$Z$4:$AA$15,2,0),"")="/","",IFERROR(VLOOKUP(V116,$Z$4:$AA$15,2,0),"")&amp;"/"&amp;IFERROR(VLOOKUP(V117,$Z$4:$AA$15,2,0),"")),FIND("/",IF(IFERROR(VLOOKUP(V116,$Z$4:$AA$15,2,0),"")&amp;"/"&amp;IFERROR(VLOOKUP(V117,$Z$4:$AA$15,2,0),"")="/","",IFERROR(VLOOKUP(V116,$Z$4:$AA$15,2,0),"")&amp;"/"&amp;IFERROR(VLOOKUP(V117,$Z$4:$AA$15,2,0),"")),1)-1),IF(IFERROR(VLOOKUP(V116,$Z$4:$AA$15,2,0),"")&amp;"/"&amp;IFERROR(VLOOKUP(V117,$Z$4:$AA$15,2,0),"")="/","",IFERROR(VLOOKUP(V116,$Z$4:$AA$15,2,0),"")&amp;"/"&amp;IFERROR(VLOOKUP(V117,$Z$4:$AA$15,2,0),"")))</f>
        <v/>
      </c>
    </row>
    <row r="117" spans="21:23" x14ac:dyDescent="0.2">
      <c r="U117" s="91"/>
      <c r="V117" s="71" t="str">
        <f t="shared" si="41"/>
        <v/>
      </c>
      <c r="W117" s="89"/>
    </row>
    <row r="118" spans="21:23" x14ac:dyDescent="0.2">
      <c r="U118" s="90" t="str">
        <f>IF(MAX(NameCount)&lt;ROW(58:58),"",VLOOKUP(ROW(58:58),NameList,2))</f>
        <v/>
      </c>
      <c r="V118" s="71" t="str">
        <f t="shared" si="41"/>
        <v/>
      </c>
      <c r="W118" s="88" t="str">
        <f t="shared" ref="W118" si="60">IF(RIGHT(IF(IFERROR(VLOOKUP(V118,$Z$4:$AA$15,2,0),"")&amp;"/"&amp;IFERROR(VLOOKUP(V119,$Z$4:$AA$15,2,0),"")="/","",IFERROR(VLOOKUP(V118,$Z$4:$AA$15,2,0),"")&amp;"/"&amp;IFERROR(VLOOKUP(V119,$Z$4:$AA$15,2,0),"")),1)="/",LEFT(IF(IFERROR(VLOOKUP(V118,$Z$4:$AA$15,2,0),"")&amp;"/"&amp;IFERROR(VLOOKUP(V119,$Z$4:$AA$15,2,0),"")="/","",IFERROR(VLOOKUP(V118,$Z$4:$AA$15,2,0),"")&amp;"/"&amp;IFERROR(VLOOKUP(V119,$Z$4:$AA$15,2,0),"")),FIND("/",IF(IFERROR(VLOOKUP(V118,$Z$4:$AA$15,2,0),"")&amp;"/"&amp;IFERROR(VLOOKUP(V119,$Z$4:$AA$15,2,0),"")="/","",IFERROR(VLOOKUP(V118,$Z$4:$AA$15,2,0),"")&amp;"/"&amp;IFERROR(VLOOKUP(V119,$Z$4:$AA$15,2,0),"")),1)-1),IF(IFERROR(VLOOKUP(V118,$Z$4:$AA$15,2,0),"")&amp;"/"&amp;IFERROR(VLOOKUP(V119,$Z$4:$AA$15,2,0),"")="/","",IFERROR(VLOOKUP(V118,$Z$4:$AA$15,2,0),"")&amp;"/"&amp;IFERROR(VLOOKUP(V119,$Z$4:$AA$15,2,0),"")))</f>
        <v/>
      </c>
    </row>
    <row r="119" spans="21:23" x14ac:dyDescent="0.2">
      <c r="U119" s="91"/>
      <c r="V119" s="71" t="str">
        <f t="shared" si="41"/>
        <v/>
      </c>
      <c r="W119" s="89"/>
    </row>
    <row r="120" spans="21:23" x14ac:dyDescent="0.2">
      <c r="U120" s="90" t="str">
        <f>IF(MAX(NameCount)&lt;ROW(59:59),"",VLOOKUP(ROW(59:59),NameList,2))</f>
        <v/>
      </c>
      <c r="V120" s="71" t="str">
        <f t="shared" si="41"/>
        <v/>
      </c>
      <c r="W120" s="88" t="str">
        <f t="shared" ref="W120" si="61">IF(RIGHT(IF(IFERROR(VLOOKUP(V120,$Z$4:$AA$15,2,0),"")&amp;"/"&amp;IFERROR(VLOOKUP(V121,$Z$4:$AA$15,2,0),"")="/","",IFERROR(VLOOKUP(V120,$Z$4:$AA$15,2,0),"")&amp;"/"&amp;IFERROR(VLOOKUP(V121,$Z$4:$AA$15,2,0),"")),1)="/",LEFT(IF(IFERROR(VLOOKUP(V120,$Z$4:$AA$15,2,0),"")&amp;"/"&amp;IFERROR(VLOOKUP(V121,$Z$4:$AA$15,2,0),"")="/","",IFERROR(VLOOKUP(V120,$Z$4:$AA$15,2,0),"")&amp;"/"&amp;IFERROR(VLOOKUP(V121,$Z$4:$AA$15,2,0),"")),FIND("/",IF(IFERROR(VLOOKUP(V120,$Z$4:$AA$15,2,0),"")&amp;"/"&amp;IFERROR(VLOOKUP(V121,$Z$4:$AA$15,2,0),"")="/","",IFERROR(VLOOKUP(V120,$Z$4:$AA$15,2,0),"")&amp;"/"&amp;IFERROR(VLOOKUP(V121,$Z$4:$AA$15,2,0),"")),1)-1),IF(IFERROR(VLOOKUP(V120,$Z$4:$AA$15,2,0),"")&amp;"/"&amp;IFERROR(VLOOKUP(V121,$Z$4:$AA$15,2,0),"")="/","",IFERROR(VLOOKUP(V120,$Z$4:$AA$15,2,0),"")&amp;"/"&amp;IFERROR(VLOOKUP(V121,$Z$4:$AA$15,2,0),"")))</f>
        <v/>
      </c>
    </row>
    <row r="121" spans="21:23" x14ac:dyDescent="0.2">
      <c r="U121" s="91"/>
      <c r="V121" s="71" t="str">
        <f t="shared" si="41"/>
        <v/>
      </c>
      <c r="W121" s="89"/>
    </row>
    <row r="122" spans="21:23" x14ac:dyDescent="0.2">
      <c r="U122" s="90" t="str">
        <f>IF(MAX(NameCount)&lt;ROW(60:60),"",VLOOKUP(ROW(60:60),NameList,2))</f>
        <v/>
      </c>
      <c r="V122" s="71" t="str">
        <f t="shared" si="41"/>
        <v/>
      </c>
      <c r="W122" s="88" t="str">
        <f t="shared" ref="W122" si="62">IF(RIGHT(IF(IFERROR(VLOOKUP(V122,$Z$4:$AA$15,2,0),"")&amp;"/"&amp;IFERROR(VLOOKUP(V123,$Z$4:$AA$15,2,0),"")="/","",IFERROR(VLOOKUP(V122,$Z$4:$AA$15,2,0),"")&amp;"/"&amp;IFERROR(VLOOKUP(V123,$Z$4:$AA$15,2,0),"")),1)="/",LEFT(IF(IFERROR(VLOOKUP(V122,$Z$4:$AA$15,2,0),"")&amp;"/"&amp;IFERROR(VLOOKUP(V123,$Z$4:$AA$15,2,0),"")="/","",IFERROR(VLOOKUP(V122,$Z$4:$AA$15,2,0),"")&amp;"/"&amp;IFERROR(VLOOKUP(V123,$Z$4:$AA$15,2,0),"")),FIND("/",IF(IFERROR(VLOOKUP(V122,$Z$4:$AA$15,2,0),"")&amp;"/"&amp;IFERROR(VLOOKUP(V123,$Z$4:$AA$15,2,0),"")="/","",IFERROR(VLOOKUP(V122,$Z$4:$AA$15,2,0),"")&amp;"/"&amp;IFERROR(VLOOKUP(V123,$Z$4:$AA$15,2,0),"")),1)-1),IF(IFERROR(VLOOKUP(V122,$Z$4:$AA$15,2,0),"")&amp;"/"&amp;IFERROR(VLOOKUP(V123,$Z$4:$AA$15,2,0),"")="/","",IFERROR(VLOOKUP(V122,$Z$4:$AA$15,2,0),"")&amp;"/"&amp;IFERROR(VLOOKUP(V123,$Z$4:$AA$15,2,0),"")))</f>
        <v/>
      </c>
    </row>
    <row r="123" spans="21:23" x14ac:dyDescent="0.2">
      <c r="U123" s="91"/>
      <c r="V123" s="71" t="str">
        <f t="shared" si="41"/>
        <v/>
      </c>
      <c r="W123" s="89"/>
    </row>
  </sheetData>
  <mergeCells count="134">
    <mergeCell ref="W4:W5"/>
    <mergeCell ref="B24:D24"/>
    <mergeCell ref="F24:H24"/>
    <mergeCell ref="J24:L24"/>
    <mergeCell ref="B10:D10"/>
    <mergeCell ref="F10:H10"/>
    <mergeCell ref="J10:L10"/>
    <mergeCell ref="B17:D17"/>
    <mergeCell ref="F17:H17"/>
    <mergeCell ref="J17:L17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W6:W7"/>
    <mergeCell ref="W8:W9"/>
    <mergeCell ref="W10:W11"/>
    <mergeCell ref="W12:W13"/>
    <mergeCell ref="B1:L1"/>
    <mergeCell ref="B2:L2"/>
    <mergeCell ref="B3:D3"/>
    <mergeCell ref="F3:H3"/>
    <mergeCell ref="J3:L3"/>
    <mergeCell ref="U4:U5"/>
    <mergeCell ref="U38:U39"/>
    <mergeCell ref="U40:U41"/>
    <mergeCell ref="U42:U43"/>
    <mergeCell ref="U104:U105"/>
    <mergeCell ref="U44:U45"/>
    <mergeCell ref="U26:U27"/>
    <mergeCell ref="U28:U29"/>
    <mergeCell ref="U30:U31"/>
    <mergeCell ref="U32:U33"/>
    <mergeCell ref="U34:U35"/>
    <mergeCell ref="W24:W25"/>
    <mergeCell ref="W26:W27"/>
    <mergeCell ref="W28:W29"/>
    <mergeCell ref="U54:U55"/>
    <mergeCell ref="U36:U37"/>
    <mergeCell ref="W50:W51"/>
    <mergeCell ref="W52:W53"/>
    <mergeCell ref="W54:W55"/>
    <mergeCell ref="U86:U87"/>
    <mergeCell ref="U88:U89"/>
    <mergeCell ref="U90:U91"/>
    <mergeCell ref="U92:U93"/>
    <mergeCell ref="U76:U77"/>
    <mergeCell ref="U78:U79"/>
    <mergeCell ref="U80:U81"/>
    <mergeCell ref="U82:U83"/>
    <mergeCell ref="U84:U85"/>
    <mergeCell ref="W30:W31"/>
    <mergeCell ref="W32:W33"/>
    <mergeCell ref="W34:W35"/>
    <mergeCell ref="W36:W37"/>
    <mergeCell ref="W38:W39"/>
    <mergeCell ref="U46:U47"/>
    <mergeCell ref="U48:U49"/>
    <mergeCell ref="U50:U51"/>
    <mergeCell ref="U52:U53"/>
    <mergeCell ref="W14:W15"/>
    <mergeCell ref="W16:W17"/>
    <mergeCell ref="W18:W19"/>
    <mergeCell ref="W20:W21"/>
    <mergeCell ref="W22:W23"/>
    <mergeCell ref="U116:U117"/>
    <mergeCell ref="U118:U119"/>
    <mergeCell ref="U120:U121"/>
    <mergeCell ref="U122:U123"/>
    <mergeCell ref="U68:U69"/>
    <mergeCell ref="U70:U71"/>
    <mergeCell ref="U72:U73"/>
    <mergeCell ref="U74:U75"/>
    <mergeCell ref="U56:U57"/>
    <mergeCell ref="U58:U59"/>
    <mergeCell ref="U60:U61"/>
    <mergeCell ref="U62:U63"/>
    <mergeCell ref="U64:U65"/>
    <mergeCell ref="U66:U67"/>
    <mergeCell ref="U94:U95"/>
    <mergeCell ref="U106:U107"/>
    <mergeCell ref="U108:U109"/>
    <mergeCell ref="U110:U111"/>
    <mergeCell ref="U112:U113"/>
    <mergeCell ref="U114:U115"/>
    <mergeCell ref="U96:U97"/>
    <mergeCell ref="U98:U99"/>
    <mergeCell ref="U100:U101"/>
    <mergeCell ref="U102:U103"/>
    <mergeCell ref="W56:W57"/>
    <mergeCell ref="W58:W59"/>
    <mergeCell ref="W40:W41"/>
    <mergeCell ref="W42:W43"/>
    <mergeCell ref="W44:W45"/>
    <mergeCell ref="W46:W47"/>
    <mergeCell ref="W48:W49"/>
    <mergeCell ref="W70:W71"/>
    <mergeCell ref="W72:W73"/>
    <mergeCell ref="W74:W75"/>
    <mergeCell ref="W76:W77"/>
    <mergeCell ref="W78:W79"/>
    <mergeCell ref="W60:W61"/>
    <mergeCell ref="W62:W63"/>
    <mergeCell ref="W64:W65"/>
    <mergeCell ref="W66:W67"/>
    <mergeCell ref="W68:W69"/>
    <mergeCell ref="W90:W91"/>
    <mergeCell ref="W92:W93"/>
    <mergeCell ref="W94:W95"/>
    <mergeCell ref="W96:W97"/>
    <mergeCell ref="W98:W99"/>
    <mergeCell ref="W80:W81"/>
    <mergeCell ref="W82:W83"/>
    <mergeCell ref="W84:W85"/>
    <mergeCell ref="W86:W87"/>
    <mergeCell ref="W88:W89"/>
    <mergeCell ref="W120:W121"/>
    <mergeCell ref="W122:W123"/>
    <mergeCell ref="W110:W111"/>
    <mergeCell ref="W112:W113"/>
    <mergeCell ref="W114:W115"/>
    <mergeCell ref="W116:W117"/>
    <mergeCell ref="W118:W119"/>
    <mergeCell ref="W100:W101"/>
    <mergeCell ref="W102:W103"/>
    <mergeCell ref="W104:W105"/>
    <mergeCell ref="W106:W107"/>
    <mergeCell ref="W108:W109"/>
  </mergeCells>
  <conditionalFormatting sqref="B4:B29 F4:F29 J4:J29">
    <cfRule type="expression" dxfId="0" priority="1" stopIfTrue="1">
      <formula>COUNTIF($B:$J,B4)&gt;2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36"/>
  <sheetViews>
    <sheetView tabSelected="1" topLeftCell="D1" zoomScale="112" zoomScaleNormal="112" workbookViewId="0">
      <selection activeCell="AF10" sqref="AF10"/>
    </sheetView>
  </sheetViews>
  <sheetFormatPr defaultRowHeight="12.75" x14ac:dyDescent="0.2"/>
  <cols>
    <col min="1" max="1" width="4.5703125" style="13" customWidth="1"/>
    <col min="2" max="2" width="10" style="13" customWidth="1"/>
    <col min="3" max="3" width="16.28515625" style="12" customWidth="1"/>
    <col min="4" max="4" width="20.7109375" style="16" customWidth="1"/>
    <col min="5" max="5" width="12" style="12" hidden="1" customWidth="1"/>
    <col min="6" max="7" width="0.140625" style="12" customWidth="1"/>
    <col min="8" max="8" width="13" style="16" customWidth="1"/>
    <col min="9" max="10" width="10.7109375" style="16" customWidth="1"/>
    <col min="11" max="11" width="10.140625" style="12" hidden="1" customWidth="1"/>
    <col min="12" max="12" width="0.140625" style="12" customWidth="1"/>
    <col min="13" max="13" width="14.7109375" style="12" hidden="1" customWidth="1"/>
    <col min="14" max="14" width="16" style="12" hidden="1" customWidth="1"/>
    <col min="15" max="15" width="0.140625" style="12" customWidth="1"/>
    <col min="16" max="16" width="13.7109375" style="12" hidden="1" customWidth="1"/>
    <col min="17" max="28" width="10.7109375" style="12" customWidth="1"/>
    <col min="30" max="30" width="4.28515625" customWidth="1"/>
  </cols>
  <sheetData>
    <row r="1" spans="1:28" ht="17.25" customHeight="1" thickBot="1" x14ac:dyDescent="0.25">
      <c r="A1" s="97" t="str">
        <f ca="1">"Сетевой график отпусков смены В на "&amp;YEAR(TODAY())+1&amp;" год"</f>
        <v>Сетевой график отпусков смены В на 2018 год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s="1" customFormat="1" ht="48.75" customHeight="1" thickBot="1" x14ac:dyDescent="0.25">
      <c r="A2" s="60" t="s">
        <v>19</v>
      </c>
      <c r="B2" s="33" t="s">
        <v>21</v>
      </c>
      <c r="C2" s="57" t="s">
        <v>18</v>
      </c>
      <c r="D2" s="57" t="s">
        <v>20</v>
      </c>
      <c r="E2" s="58"/>
      <c r="F2" s="81"/>
      <c r="G2" s="81"/>
      <c r="H2" s="59">
        <f ca="1">DATE(YEAR(TODAY())-1,1,1)</f>
        <v>42370</v>
      </c>
      <c r="I2" s="59">
        <f ca="1">DATE(YEAR(TODAY()),1,1)</f>
        <v>42736</v>
      </c>
      <c r="J2" s="59">
        <f ca="1">DATE(YEAR(TODAY())+1,1,1)</f>
        <v>43101</v>
      </c>
      <c r="K2" s="34" t="s">
        <v>22</v>
      </c>
      <c r="L2" s="33" t="s">
        <v>0</v>
      </c>
      <c r="M2" s="33" t="s">
        <v>1</v>
      </c>
      <c r="N2" s="34" t="s">
        <v>22</v>
      </c>
      <c r="O2" s="33" t="s">
        <v>0</v>
      </c>
      <c r="P2" s="33" t="s">
        <v>1</v>
      </c>
      <c r="Q2" s="69" t="s">
        <v>6</v>
      </c>
      <c r="R2" s="69" t="s">
        <v>7</v>
      </c>
      <c r="S2" s="69" t="s">
        <v>8</v>
      </c>
      <c r="T2" s="69" t="s">
        <v>9</v>
      </c>
      <c r="U2" s="69" t="s">
        <v>10</v>
      </c>
      <c r="V2" s="69" t="s">
        <v>11</v>
      </c>
      <c r="W2" s="69" t="s">
        <v>12</v>
      </c>
      <c r="X2" s="69" t="s">
        <v>13</v>
      </c>
      <c r="Y2" s="69" t="s">
        <v>14</v>
      </c>
      <c r="Z2" s="69" t="s">
        <v>15</v>
      </c>
      <c r="AA2" s="69" t="s">
        <v>16</v>
      </c>
      <c r="AB2" s="70" t="s">
        <v>17</v>
      </c>
    </row>
    <row r="3" spans="1:28" ht="12.75" customHeight="1" x14ac:dyDescent="0.2">
      <c r="A3" s="61">
        <f>IF(C3&gt;0,1,"")</f>
        <v>1</v>
      </c>
      <c r="B3" s="53">
        <v>381890</v>
      </c>
      <c r="C3" s="65" t="s">
        <v>3</v>
      </c>
      <c r="D3" s="26" t="s">
        <v>23</v>
      </c>
      <c r="E3" s="27">
        <f t="shared" ref="E3:E24" ca="1" si="0">DATE(YEAR(TODAY())+1,1,1)</f>
        <v>43101</v>
      </c>
      <c r="F3" s="80">
        <f ca="1">IF(MONTH(K3)&gt;2,K3-E3+2,K3-E3+1)</f>
        <v>25</v>
      </c>
      <c r="G3" s="80">
        <f t="shared" ref="G3:G24" ca="1" si="1">IF(MONTH(N3)&gt;2,N3-E3+2,N3-E3+1)</f>
        <v>192</v>
      </c>
      <c r="H3" s="29" t="s">
        <v>60</v>
      </c>
      <c r="I3" s="29" t="s">
        <v>45</v>
      </c>
      <c r="J3" s="29" t="str">
        <f ca="1">IFERROR(VLOOKUP(C3,'График отпусков'!$U$4:$W$123,3,0),"")</f>
        <v>янв/июл</v>
      </c>
      <c r="K3" s="40">
        <f ca="1">IFERROR(IF(C3&gt;0,VLOOKUP(C3,'График отпусков'!$Q$4:$T$63,4,0),""),"")</f>
        <v>43125</v>
      </c>
      <c r="L3" s="29">
        <f>IFERROR(IF(C3&gt;0,VLOOKUP(C3,'График отпусков'!$Q$4:$T$63,3,0),""),"")</f>
        <v>15</v>
      </c>
      <c r="M3" s="30">
        <f ca="1">K3+L3</f>
        <v>43140</v>
      </c>
      <c r="N3" s="40">
        <f ca="1">IFERROR(IF(C3&gt;0,VLOOKUP(C3,'График отпусков'!$O$4:$T$63,6,0),""),"")</f>
        <v>43291</v>
      </c>
      <c r="O3" s="29">
        <f ca="1">IF(N3="","",IF(L3=15,15,""))</f>
        <v>15</v>
      </c>
      <c r="P3" s="30">
        <f ca="1">N3+O3</f>
        <v>43306</v>
      </c>
      <c r="Q3" s="31"/>
      <c r="R3" s="31"/>
      <c r="S3" s="31"/>
      <c r="T3" s="28"/>
      <c r="U3" s="28"/>
      <c r="V3" s="28"/>
      <c r="W3" s="28"/>
      <c r="X3" s="28"/>
      <c r="Y3" s="28"/>
      <c r="Z3" s="28"/>
      <c r="AA3" s="28"/>
      <c r="AB3" s="32"/>
    </row>
    <row r="4" spans="1:28" s="36" customFormat="1" ht="12.75" customHeight="1" x14ac:dyDescent="0.2">
      <c r="A4" s="62">
        <f>IF(C4&gt;0,A3+1,"")</f>
        <v>2</v>
      </c>
      <c r="B4" s="54">
        <v>14000</v>
      </c>
      <c r="C4" s="66" t="s">
        <v>24</v>
      </c>
      <c r="D4" s="37" t="s">
        <v>25</v>
      </c>
      <c r="E4" s="38">
        <f t="shared" ca="1" si="0"/>
        <v>43101</v>
      </c>
      <c r="F4" s="39" t="e">
        <f>IF(MONTH(K4)&gt;2,K4-E4+2,K4-E4+1)</f>
        <v>#VALUE!</v>
      </c>
      <c r="G4" s="80" t="e">
        <f t="shared" si="1"/>
        <v>#VALUE!</v>
      </c>
      <c r="H4" s="72" t="s">
        <v>61</v>
      </c>
      <c r="I4" s="72" t="s">
        <v>46</v>
      </c>
      <c r="J4" s="29" t="str">
        <f>IFERROR(VLOOKUP(C4,'График отпусков'!$U$4:$W$123,3,0),"")</f>
        <v/>
      </c>
      <c r="K4" s="40" t="str">
        <f>IFERROR(IF(C4&gt;0,VLOOKUP(C4,'График отпусков'!$Q$4:$T$63,4,0),""),"")</f>
        <v/>
      </c>
      <c r="L4" s="29" t="str">
        <f>IFERROR(IF(C4&gt;0,VLOOKUP(C4,'График отпусков'!$Q$4:$T$63,3,0),""),"")</f>
        <v/>
      </c>
      <c r="M4" s="41" t="e">
        <f>K4+L4</f>
        <v>#VALUE!</v>
      </c>
      <c r="N4" s="40" t="str">
        <f>IFERROR(IF(C4&gt;0,VLOOKUP(C4,'График отпусков'!$O$4:$T$63,6,0),""),"")</f>
        <v/>
      </c>
      <c r="O4" s="29" t="str">
        <f>IF(N4="","",IF(L4=15,15,""))</f>
        <v/>
      </c>
      <c r="P4" s="41" t="e">
        <f>N4+O4</f>
        <v>#VALUE!</v>
      </c>
      <c r="Q4" s="42"/>
      <c r="R4" s="42"/>
      <c r="S4" s="42"/>
      <c r="T4" s="39"/>
      <c r="U4" s="39"/>
      <c r="V4" s="39"/>
      <c r="W4" s="39"/>
      <c r="X4" s="39"/>
      <c r="Y4" s="39"/>
      <c r="Z4" s="39"/>
      <c r="AA4" s="39"/>
      <c r="AB4" s="43"/>
    </row>
    <row r="5" spans="1:28" ht="12.75" customHeight="1" x14ac:dyDescent="0.2">
      <c r="A5" s="63">
        <f t="shared" ref="A5:A24" si="2">IF(C5&gt;0,A4+1,"")</f>
        <v>3</v>
      </c>
      <c r="B5" s="55">
        <v>14068</v>
      </c>
      <c r="C5" s="67" t="s">
        <v>26</v>
      </c>
      <c r="D5" s="8" t="s">
        <v>25</v>
      </c>
      <c r="E5" s="9">
        <f t="shared" ca="1" si="0"/>
        <v>43101</v>
      </c>
      <c r="F5" s="39" t="e">
        <f>IF(MONTH(K5)&gt;2,K5-E5+2,K5-E5+1)</f>
        <v>#VALUE!</v>
      </c>
      <c r="G5" s="80" t="e">
        <f t="shared" si="1"/>
        <v>#VALUE!</v>
      </c>
      <c r="H5" s="73" t="s">
        <v>58</v>
      </c>
      <c r="I5" s="73" t="s">
        <v>47</v>
      </c>
      <c r="J5" s="29" t="str">
        <f>IFERROR(VLOOKUP(C5,'График отпусков'!$U$4:$W$123,3,0),"")</f>
        <v/>
      </c>
      <c r="K5" s="40" t="str">
        <f>IFERROR(IF(C5&gt;0,VLOOKUP(C5,'График отпусков'!$Q$4:$T$63,4,0),""),"")</f>
        <v/>
      </c>
      <c r="L5" s="29" t="str">
        <f>IFERROR(IF(C5&gt;0,VLOOKUP(C5,'График отпусков'!$Q$4:$T$63,3,0),""),"")</f>
        <v/>
      </c>
      <c r="M5" s="11" t="e">
        <f>K5+L5</f>
        <v>#VALUE!</v>
      </c>
      <c r="N5" s="40" t="str">
        <f>IFERROR(IF(C5&gt;0,VLOOKUP(C5,'График отпусков'!$O$4:$T$63,6,0),""),"")</f>
        <v/>
      </c>
      <c r="O5" s="29" t="str">
        <f>IF(N5="","",IF(L5=15,15,""))</f>
        <v/>
      </c>
      <c r="P5" s="11" t="e">
        <f>N5+O5</f>
        <v>#VALUE!</v>
      </c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9"/>
    </row>
    <row r="6" spans="1:28" ht="12.75" customHeight="1" x14ac:dyDescent="0.2">
      <c r="A6" s="63">
        <f t="shared" si="2"/>
        <v>4</v>
      </c>
      <c r="B6" s="55">
        <v>381124</v>
      </c>
      <c r="C6" s="67" t="s">
        <v>27</v>
      </c>
      <c r="D6" s="8" t="s">
        <v>25</v>
      </c>
      <c r="E6" s="9">
        <f t="shared" ca="1" si="0"/>
        <v>43101</v>
      </c>
      <c r="F6" s="39" t="e">
        <f>IF(MONTH(K6)&gt;2,K6-E6+2,K6-E6+1)</f>
        <v>#VALUE!</v>
      </c>
      <c r="G6" s="80" t="e">
        <f t="shared" si="1"/>
        <v>#VALUE!</v>
      </c>
      <c r="H6" s="73" t="s">
        <v>62</v>
      </c>
      <c r="I6" s="73" t="s">
        <v>48</v>
      </c>
      <c r="J6" s="29" t="str">
        <f>IFERROR(VLOOKUP(C6,'График отпусков'!$U$4:$W$123,3,0),"")</f>
        <v/>
      </c>
      <c r="K6" s="40" t="str">
        <f>IFERROR(IF(C6&gt;0,VLOOKUP(C6,'График отпусков'!$Q$4:$T$63,4,0),""),"")</f>
        <v/>
      </c>
      <c r="L6" s="29" t="str">
        <f>IFERROR(IF(C6&gt;0,VLOOKUP(C6,'График отпусков'!$Q$4:$T$63,3,0),""),"")</f>
        <v/>
      </c>
      <c r="M6" s="11" t="e">
        <f>K6+L6</f>
        <v>#VALUE!</v>
      </c>
      <c r="N6" s="40" t="str">
        <f>IFERROR(IF(C6&gt;0,VLOOKUP(C6,'График отпусков'!$O$4:$T$63,6,0),""),"")</f>
        <v/>
      </c>
      <c r="O6" s="29" t="str">
        <f>IF(N6="","",IF(L6=15,15,""))</f>
        <v/>
      </c>
      <c r="P6" s="11" t="e">
        <f>N6+O6</f>
        <v>#VALUE!</v>
      </c>
      <c r="Q6" s="18"/>
      <c r="R6" s="18"/>
      <c r="S6" s="18"/>
      <c r="T6" s="10"/>
      <c r="U6" s="10"/>
      <c r="V6" s="10"/>
      <c r="W6" s="10"/>
      <c r="X6" s="10"/>
      <c r="Y6" s="10"/>
      <c r="Z6" s="10"/>
      <c r="AA6" s="10"/>
      <c r="AB6" s="19"/>
    </row>
    <row r="7" spans="1:28" ht="12.75" customHeight="1" x14ac:dyDescent="0.2">
      <c r="A7" s="63">
        <f t="shared" si="2"/>
        <v>5</v>
      </c>
      <c r="B7" s="55">
        <v>113402</v>
      </c>
      <c r="C7" s="67" t="s">
        <v>28</v>
      </c>
      <c r="D7" s="8" t="s">
        <v>25</v>
      </c>
      <c r="E7" s="9">
        <f t="shared" ca="1" si="0"/>
        <v>43101</v>
      </c>
      <c r="F7" s="39" t="e">
        <f t="shared" ref="F7:F8" si="3">IF(MONTH(K7)&gt;2,K7-E7+2,K7-E7+1)</f>
        <v>#VALUE!</v>
      </c>
      <c r="G7" s="80" t="e">
        <f t="shared" si="1"/>
        <v>#VALUE!</v>
      </c>
      <c r="H7" s="73"/>
      <c r="I7" s="73" t="s">
        <v>49</v>
      </c>
      <c r="J7" s="29" t="str">
        <f>IFERROR(VLOOKUP(C7,'График отпусков'!$U$4:$W$123,3,0),"")</f>
        <v/>
      </c>
      <c r="K7" s="40" t="str">
        <f>IFERROR(IF(C7&gt;0,VLOOKUP(C7,'График отпусков'!$Q$4:$T$63,4,0),""),"")</f>
        <v/>
      </c>
      <c r="L7" s="29" t="str">
        <f>IFERROR(IF(C7&gt;0,VLOOKUP(C7,'График отпусков'!$Q$4:$T$63,3,0),""),"")</f>
        <v/>
      </c>
      <c r="M7" s="11" t="e">
        <f>K7+L7</f>
        <v>#VALUE!</v>
      </c>
      <c r="N7" s="40" t="str">
        <f>IFERROR(IF(C7&gt;0,VLOOKUP(C7,'График отпусков'!$O$4:$T$63,6,0),""),"")</f>
        <v/>
      </c>
      <c r="O7" s="29" t="str">
        <f t="shared" ref="O7:O8" si="4">IF(N7="","",IF(L7=15,15,""))</f>
        <v/>
      </c>
      <c r="P7" s="11" t="e">
        <f>N7+O7</f>
        <v>#VALUE!</v>
      </c>
      <c r="Q7" s="18"/>
      <c r="R7" s="18"/>
      <c r="S7" s="18"/>
      <c r="T7" s="10"/>
      <c r="U7" s="10"/>
      <c r="V7" s="10"/>
      <c r="W7" s="10"/>
      <c r="X7" s="10"/>
      <c r="Y7" s="10"/>
      <c r="Z7" s="10"/>
      <c r="AA7" s="10"/>
      <c r="AB7" s="19"/>
    </row>
    <row r="8" spans="1:28" ht="12.75" customHeight="1" x14ac:dyDescent="0.2">
      <c r="A8" s="63">
        <f t="shared" si="2"/>
        <v>6</v>
      </c>
      <c r="B8" s="55">
        <v>13114</v>
      </c>
      <c r="C8" s="67" t="s">
        <v>29</v>
      </c>
      <c r="D8" s="8" t="s">
        <v>25</v>
      </c>
      <c r="E8" s="9">
        <f t="shared" ca="1" si="0"/>
        <v>43101</v>
      </c>
      <c r="F8" s="39" t="e">
        <f t="shared" si="3"/>
        <v>#VALUE!</v>
      </c>
      <c r="G8" s="80" t="e">
        <f t="shared" si="1"/>
        <v>#VALUE!</v>
      </c>
      <c r="H8" s="73"/>
      <c r="I8" s="73" t="s">
        <v>50</v>
      </c>
      <c r="J8" s="29" t="str">
        <f>IFERROR(VLOOKUP(C8,'График отпусков'!$U$4:$W$123,3,0),"")</f>
        <v/>
      </c>
      <c r="K8" s="40" t="str">
        <f>IFERROR(IF(C8&gt;0,VLOOKUP(C8,'График отпусков'!$Q$4:$T$63,4,0),""),"")</f>
        <v/>
      </c>
      <c r="L8" s="29" t="str">
        <f>IFERROR(IF(C8&gt;0,VLOOKUP(C8,'График отпусков'!$Q$4:$T$63,3,0),""),"")</f>
        <v/>
      </c>
      <c r="M8" s="11" t="e">
        <f t="shared" ref="M8:M24" si="5">K8+L8</f>
        <v>#VALUE!</v>
      </c>
      <c r="N8" s="40" t="str">
        <f>IFERROR(IF(C8&gt;0,VLOOKUP(C8,'График отпусков'!$O$4:$T$63,6,0),""),"")</f>
        <v/>
      </c>
      <c r="O8" s="29" t="str">
        <f t="shared" si="4"/>
        <v/>
      </c>
      <c r="P8" s="11" t="e">
        <f t="shared" ref="P8" si="6">N8+O8</f>
        <v>#VALUE!</v>
      </c>
      <c r="Q8" s="18"/>
      <c r="R8" s="18"/>
      <c r="S8" s="18"/>
      <c r="T8" s="10"/>
      <c r="U8" s="10"/>
      <c r="V8" s="10"/>
      <c r="W8" s="10"/>
      <c r="X8" s="10"/>
      <c r="Y8" s="10"/>
      <c r="Z8" s="10"/>
      <c r="AA8" s="10"/>
      <c r="AB8" s="19"/>
    </row>
    <row r="9" spans="1:28" ht="12.75" customHeight="1" x14ac:dyDescent="0.2">
      <c r="A9" s="63">
        <f t="shared" si="2"/>
        <v>7</v>
      </c>
      <c r="B9" s="55">
        <v>111898</v>
      </c>
      <c r="C9" s="67" t="s">
        <v>30</v>
      </c>
      <c r="D9" s="8" t="s">
        <v>25</v>
      </c>
      <c r="E9" s="9">
        <f t="shared" ca="1" si="0"/>
        <v>43101</v>
      </c>
      <c r="F9" s="39" t="e">
        <f>IF(MONTH(K9)&gt;2,K9-E9+2,K9-E9+1)</f>
        <v>#VALUE!</v>
      </c>
      <c r="G9" s="80" t="e">
        <f t="shared" si="1"/>
        <v>#VALUE!</v>
      </c>
      <c r="H9" s="73" t="s">
        <v>63</v>
      </c>
      <c r="I9" s="73" t="s">
        <v>51</v>
      </c>
      <c r="J9" s="29" t="str">
        <f>IFERROR(VLOOKUP(C9,'График отпусков'!$U$4:$W$123,3,0),"")</f>
        <v/>
      </c>
      <c r="K9" s="40" t="str">
        <f>IFERROR(IF(C9&gt;0,VLOOKUP(C9,'График отпусков'!$Q$4:$T$63,4,0),""),"")</f>
        <v/>
      </c>
      <c r="L9" s="29" t="str">
        <f>IFERROR(IF(C9&gt;0,VLOOKUP(C9,'График отпусков'!$Q$4:$T$63,3,0),""),"")</f>
        <v/>
      </c>
      <c r="M9" s="11" t="e">
        <f>K9+L9</f>
        <v>#VALUE!</v>
      </c>
      <c r="N9" s="40" t="str">
        <f>IFERROR(IF(C9&gt;0,VLOOKUP(C9,'График отпусков'!$O$4:$T$63,6,0),""),"")</f>
        <v/>
      </c>
      <c r="O9" s="29" t="str">
        <f t="shared" ref="O9:O24" si="7">IF(N9="","",IF(L9=15,15,""))</f>
        <v/>
      </c>
      <c r="P9" s="11" t="e">
        <f>N9+O9</f>
        <v>#VALUE!</v>
      </c>
      <c r="Q9" s="18"/>
      <c r="R9" s="18"/>
      <c r="S9" s="18"/>
      <c r="T9" s="10"/>
      <c r="U9" s="10"/>
      <c r="V9" s="10"/>
      <c r="W9" s="10"/>
      <c r="X9" s="10"/>
      <c r="Y9" s="10"/>
      <c r="Z9" s="10"/>
      <c r="AA9" s="10"/>
      <c r="AB9" s="19"/>
    </row>
    <row r="10" spans="1:28" ht="12.75" customHeight="1" x14ac:dyDescent="0.2">
      <c r="A10" s="63">
        <f t="shared" si="2"/>
        <v>8</v>
      </c>
      <c r="B10" s="55">
        <v>11918</v>
      </c>
      <c r="C10" s="67" t="s">
        <v>31</v>
      </c>
      <c r="D10" s="15" t="s">
        <v>32</v>
      </c>
      <c r="E10" s="9">
        <f t="shared" ca="1" si="0"/>
        <v>43101</v>
      </c>
      <c r="F10" s="39" t="e">
        <f t="shared" ref="F10:F24" si="8">IF(MONTH(K10)&gt;2,K10-E10+2,K10-E10+1)</f>
        <v>#VALUE!</v>
      </c>
      <c r="G10" s="80" t="e">
        <f t="shared" si="1"/>
        <v>#VALUE!</v>
      </c>
      <c r="H10" s="73" t="s">
        <v>64</v>
      </c>
      <c r="I10" s="73" t="s">
        <v>52</v>
      </c>
      <c r="J10" s="29" t="str">
        <f>IFERROR(VLOOKUP(C10,'График отпусков'!$U$4:$W$123,3,0),"")</f>
        <v/>
      </c>
      <c r="K10" s="40" t="str">
        <f>IFERROR(IF(C10&gt;0,VLOOKUP(C10,'График отпусков'!$Q$4:$T$63,4,0),""),"")</f>
        <v/>
      </c>
      <c r="L10" s="29" t="str">
        <f>IFERROR(IF(C10&gt;0,VLOOKUP(C10,'График отпусков'!$Q$4:$T$63,3,0),""),"")</f>
        <v/>
      </c>
      <c r="M10" s="11" t="e">
        <f t="shared" si="5"/>
        <v>#VALUE!</v>
      </c>
      <c r="N10" s="40" t="str">
        <f>IFERROR(IF(C10&gt;0,VLOOKUP(C10,'График отпусков'!$O$4:$T$63,6,0),""),"")</f>
        <v/>
      </c>
      <c r="O10" s="29" t="str">
        <f t="shared" si="7"/>
        <v/>
      </c>
      <c r="P10" s="11" t="e">
        <f t="shared" ref="P10:P11" si="9">N10+O10</f>
        <v>#VALUE!</v>
      </c>
      <c r="Q10" s="18"/>
      <c r="R10" s="18"/>
      <c r="S10" s="18"/>
      <c r="T10" s="10"/>
      <c r="U10" s="10"/>
      <c r="V10" s="10"/>
      <c r="W10" s="10"/>
      <c r="X10" s="10"/>
      <c r="Y10" s="10"/>
      <c r="Z10" s="10"/>
      <c r="AA10" s="10"/>
      <c r="AB10" s="19"/>
    </row>
    <row r="11" spans="1:28" ht="12.75" customHeight="1" x14ac:dyDescent="0.2">
      <c r="A11" s="63">
        <f t="shared" si="2"/>
        <v>9</v>
      </c>
      <c r="B11" s="55">
        <v>12383</v>
      </c>
      <c r="C11" s="67" t="s">
        <v>33</v>
      </c>
      <c r="D11" s="15" t="s">
        <v>34</v>
      </c>
      <c r="E11" s="9">
        <f t="shared" ca="1" si="0"/>
        <v>43101</v>
      </c>
      <c r="F11" s="39" t="e">
        <f t="shared" si="8"/>
        <v>#VALUE!</v>
      </c>
      <c r="G11" s="80" t="e">
        <f t="shared" si="1"/>
        <v>#VALUE!</v>
      </c>
      <c r="H11" s="73" t="s">
        <v>53</v>
      </c>
      <c r="I11" s="73" t="s">
        <v>53</v>
      </c>
      <c r="J11" s="29" t="str">
        <f>IFERROR(VLOOKUP(C11,'График отпусков'!$U$4:$W$123,3,0),"")</f>
        <v/>
      </c>
      <c r="K11" s="40" t="str">
        <f>IFERROR(IF(C11&gt;0,VLOOKUP(C11,'График отпусков'!$Q$4:$T$63,4,0),""),"")</f>
        <v/>
      </c>
      <c r="L11" s="29" t="str">
        <f>IFERROR(IF(C11&gt;0,VLOOKUP(C11,'График отпусков'!$Q$4:$T$63,3,0),""),"")</f>
        <v/>
      </c>
      <c r="M11" s="11" t="e">
        <f t="shared" si="5"/>
        <v>#VALUE!</v>
      </c>
      <c r="N11" s="40" t="str">
        <f>IFERROR(IF(C11&gt;0,VLOOKUP(C11,'График отпусков'!$O$4:$T$63,6,0),""),"")</f>
        <v/>
      </c>
      <c r="O11" s="29" t="str">
        <f t="shared" si="7"/>
        <v/>
      </c>
      <c r="P11" s="11" t="e">
        <f t="shared" si="9"/>
        <v>#VALUE!</v>
      </c>
      <c r="Q11" s="18"/>
      <c r="R11" s="18"/>
      <c r="S11" s="18"/>
      <c r="T11" s="10"/>
      <c r="U11" s="10"/>
      <c r="V11" s="10"/>
      <c r="W11" s="10"/>
      <c r="X11" s="10"/>
      <c r="Y11" s="10"/>
      <c r="Z11" s="10"/>
      <c r="AA11" s="10"/>
      <c r="AB11" s="19"/>
    </row>
    <row r="12" spans="1:28" ht="12.75" customHeight="1" x14ac:dyDescent="0.2">
      <c r="A12" s="63">
        <f t="shared" si="2"/>
        <v>10</v>
      </c>
      <c r="B12" s="55">
        <v>382000</v>
      </c>
      <c r="C12" s="67" t="s">
        <v>35</v>
      </c>
      <c r="D12" s="15" t="s">
        <v>34</v>
      </c>
      <c r="E12" s="9">
        <f t="shared" ca="1" si="0"/>
        <v>43101</v>
      </c>
      <c r="F12" s="39" t="e">
        <f>IF(MONTH(K12)&gt;2,K12-E12+2,K12-E12+1)</f>
        <v>#VALUE!</v>
      </c>
      <c r="G12" s="80" t="e">
        <f t="shared" si="1"/>
        <v>#VALUE!</v>
      </c>
      <c r="H12" s="73" t="s">
        <v>52</v>
      </c>
      <c r="I12" s="73" t="s">
        <v>54</v>
      </c>
      <c r="J12" s="29" t="str">
        <f>IFERROR(VLOOKUP(C12,'График отпусков'!$U$4:$W$123,3,0),"")</f>
        <v/>
      </c>
      <c r="K12" s="40" t="str">
        <f>IFERROR(IF(C12&gt;0,VLOOKUP(C12,'График отпусков'!$Q$4:$T$63,4,0),""),"")</f>
        <v/>
      </c>
      <c r="L12" s="29" t="str">
        <f>IFERROR(IF(C12&gt;0,VLOOKUP(C12,'График отпусков'!$Q$4:$T$63,3,0),""),"")</f>
        <v/>
      </c>
      <c r="M12" s="11" t="e">
        <f>K12+L12</f>
        <v>#VALUE!</v>
      </c>
      <c r="N12" s="40" t="str">
        <f>IFERROR(IF(C12&gt;0,VLOOKUP(C12,'График отпусков'!$O$4:$T$63,6,0),""),"")</f>
        <v/>
      </c>
      <c r="O12" s="29" t="str">
        <f t="shared" si="7"/>
        <v/>
      </c>
      <c r="P12" s="11" t="e">
        <f>N12+O12</f>
        <v>#VALUE!</v>
      </c>
      <c r="Q12" s="18"/>
      <c r="R12" s="18"/>
      <c r="S12" s="18"/>
      <c r="T12" s="10"/>
      <c r="U12" s="10"/>
      <c r="V12" s="10"/>
      <c r="W12" s="10"/>
      <c r="X12" s="10"/>
      <c r="Y12" s="10"/>
      <c r="Z12" s="10"/>
      <c r="AA12" s="10"/>
      <c r="AB12" s="19"/>
    </row>
    <row r="13" spans="1:28" ht="12.75" customHeight="1" x14ac:dyDescent="0.2">
      <c r="A13" s="63">
        <f t="shared" si="2"/>
        <v>11</v>
      </c>
      <c r="B13" s="55">
        <v>50662</v>
      </c>
      <c r="C13" s="67" t="s">
        <v>36</v>
      </c>
      <c r="D13" s="8" t="s">
        <v>37</v>
      </c>
      <c r="E13" s="9">
        <f t="shared" ca="1" si="0"/>
        <v>43101</v>
      </c>
      <c r="F13" s="39" t="e">
        <f t="shared" si="8"/>
        <v>#VALUE!</v>
      </c>
      <c r="G13" s="80" t="e">
        <f t="shared" si="1"/>
        <v>#VALUE!</v>
      </c>
      <c r="H13" s="73" t="s">
        <v>54</v>
      </c>
      <c r="I13" s="73" t="s">
        <v>55</v>
      </c>
      <c r="J13" s="29" t="str">
        <f>IFERROR(VLOOKUP(C13,'График отпусков'!$U$4:$W$123,3,0),"")</f>
        <v/>
      </c>
      <c r="K13" s="40" t="str">
        <f>IFERROR(IF(C13&gt;0,VLOOKUP(C13,'График отпусков'!$Q$4:$T$63,4,0),""),"")</f>
        <v/>
      </c>
      <c r="L13" s="29" t="str">
        <f>IFERROR(IF(C13&gt;0,VLOOKUP(C13,'График отпусков'!$Q$4:$T$63,3,0),""),"")</f>
        <v/>
      </c>
      <c r="M13" s="11" t="e">
        <f t="shared" si="5"/>
        <v>#VALUE!</v>
      </c>
      <c r="N13" s="40" t="str">
        <f>IFERROR(IF(C13&gt;0,VLOOKUP(C13,'График отпусков'!$O$4:$T$63,6,0),""),"")</f>
        <v/>
      </c>
      <c r="O13" s="29" t="str">
        <f t="shared" si="7"/>
        <v/>
      </c>
      <c r="P13" s="11" t="e">
        <f t="shared" ref="P13:P16" si="10">N13+O13</f>
        <v>#VALUE!</v>
      </c>
      <c r="Q13" s="18"/>
      <c r="R13" s="18"/>
      <c r="S13" s="18"/>
      <c r="T13" s="10"/>
      <c r="U13" s="10"/>
      <c r="V13" s="10"/>
      <c r="W13" s="10"/>
      <c r="X13" s="10"/>
      <c r="Y13" s="10"/>
      <c r="Z13" s="10"/>
      <c r="AA13" s="10"/>
      <c r="AB13" s="19"/>
    </row>
    <row r="14" spans="1:28" ht="12.75" customHeight="1" x14ac:dyDescent="0.2">
      <c r="A14" s="63">
        <f t="shared" si="2"/>
        <v>12</v>
      </c>
      <c r="B14" s="55">
        <v>228574</v>
      </c>
      <c r="C14" s="67" t="s">
        <v>38</v>
      </c>
      <c r="D14" s="8" t="s">
        <v>37</v>
      </c>
      <c r="E14" s="9">
        <f t="shared" ca="1" si="0"/>
        <v>43101</v>
      </c>
      <c r="F14" s="39" t="e">
        <f t="shared" si="8"/>
        <v>#VALUE!</v>
      </c>
      <c r="G14" s="80" t="e">
        <f t="shared" si="1"/>
        <v>#VALUE!</v>
      </c>
      <c r="H14" s="73" t="s">
        <v>65</v>
      </c>
      <c r="I14" s="73" t="s">
        <v>56</v>
      </c>
      <c r="J14" s="29" t="str">
        <f>IFERROR(VLOOKUP(C14,'График отпусков'!$U$4:$W$123,3,0),"")</f>
        <v/>
      </c>
      <c r="K14" s="40" t="str">
        <f>IFERROR(IF(C14&gt;0,VLOOKUP(C14,'График отпусков'!$Q$4:$T$63,4,0),""),"")</f>
        <v/>
      </c>
      <c r="L14" s="29" t="str">
        <f>IFERROR(IF(C14&gt;0,VLOOKUP(C14,'График отпусков'!$Q$4:$T$63,3,0),""),"")</f>
        <v/>
      </c>
      <c r="M14" s="11" t="e">
        <f t="shared" si="5"/>
        <v>#VALUE!</v>
      </c>
      <c r="N14" s="40" t="str">
        <f>IFERROR(IF(C14&gt;0,VLOOKUP(C14,'График отпусков'!$O$4:$T$63,6,0),""),"")</f>
        <v/>
      </c>
      <c r="O14" s="29" t="str">
        <f t="shared" si="7"/>
        <v/>
      </c>
      <c r="P14" s="11" t="e">
        <f t="shared" si="10"/>
        <v>#VALUE!</v>
      </c>
      <c r="Q14" s="18"/>
      <c r="R14" s="18"/>
      <c r="S14" s="18"/>
      <c r="T14" s="10"/>
      <c r="U14" s="10"/>
      <c r="V14" s="10"/>
      <c r="W14" s="10"/>
      <c r="X14" s="10"/>
      <c r="Y14" s="10"/>
      <c r="Z14" s="10"/>
      <c r="AA14" s="10"/>
      <c r="AB14" s="19"/>
    </row>
    <row r="15" spans="1:28" ht="12.75" customHeight="1" x14ac:dyDescent="0.2">
      <c r="A15" s="63">
        <f t="shared" si="2"/>
        <v>13</v>
      </c>
      <c r="B15" s="55">
        <v>112423</v>
      </c>
      <c r="C15" s="67" t="s">
        <v>39</v>
      </c>
      <c r="D15" s="8" t="s">
        <v>40</v>
      </c>
      <c r="E15" s="9">
        <f t="shared" ca="1" si="0"/>
        <v>43101</v>
      </c>
      <c r="F15" s="39" t="e">
        <f t="shared" si="8"/>
        <v>#VALUE!</v>
      </c>
      <c r="G15" s="80" t="e">
        <f t="shared" si="1"/>
        <v>#VALUE!</v>
      </c>
      <c r="H15" s="73" t="s">
        <v>63</v>
      </c>
      <c r="I15" s="73" t="s">
        <v>57</v>
      </c>
      <c r="J15" s="29" t="str">
        <f>IFERROR(VLOOKUP(C15,'График отпусков'!$U$4:$W$123,3,0),"")</f>
        <v/>
      </c>
      <c r="K15" s="40" t="str">
        <f>IFERROR(IF(C15&gt;0,VLOOKUP(C15,'График отпусков'!$Q$4:$T$63,4,0),""),"")</f>
        <v/>
      </c>
      <c r="L15" s="29" t="str">
        <f>IFERROR(IF(C15&gt;0,VLOOKUP(C15,'График отпусков'!$Q$4:$T$63,3,0),""),"")</f>
        <v/>
      </c>
      <c r="M15" s="11" t="e">
        <f t="shared" si="5"/>
        <v>#VALUE!</v>
      </c>
      <c r="N15" s="40" t="str">
        <f>IFERROR(IF(C15&gt;0,VLOOKUP(C15,'График отпусков'!$O$4:$T$63,6,0),""),"")</f>
        <v/>
      </c>
      <c r="O15" s="29" t="str">
        <f t="shared" si="7"/>
        <v/>
      </c>
      <c r="P15" s="11" t="e">
        <f t="shared" si="10"/>
        <v>#VALUE!</v>
      </c>
      <c r="Q15" s="18"/>
      <c r="R15" s="18"/>
      <c r="S15" s="18"/>
      <c r="T15" s="10"/>
      <c r="U15" s="10"/>
      <c r="V15" s="10"/>
      <c r="W15" s="10"/>
      <c r="X15" s="10"/>
      <c r="Y15" s="10"/>
      <c r="Z15" s="10"/>
      <c r="AA15" s="10"/>
      <c r="AB15" s="19"/>
    </row>
    <row r="16" spans="1:28" ht="12.75" customHeight="1" x14ac:dyDescent="0.2">
      <c r="A16" s="63">
        <f t="shared" si="2"/>
        <v>14</v>
      </c>
      <c r="B16" s="55">
        <v>12368</v>
      </c>
      <c r="C16" s="67" t="s">
        <v>41</v>
      </c>
      <c r="D16" s="8" t="s">
        <v>40</v>
      </c>
      <c r="E16" s="9">
        <f t="shared" ca="1" si="0"/>
        <v>43101</v>
      </c>
      <c r="F16" s="39" t="e">
        <f t="shared" si="8"/>
        <v>#VALUE!</v>
      </c>
      <c r="G16" s="80" t="e">
        <f t="shared" si="1"/>
        <v>#VALUE!</v>
      </c>
      <c r="H16" s="73" t="s">
        <v>66</v>
      </c>
      <c r="I16" s="73" t="s">
        <v>58</v>
      </c>
      <c r="J16" s="29" t="str">
        <f>IFERROR(VLOOKUP(C16,'График отпусков'!$U$4:$W$123,3,0),"")</f>
        <v/>
      </c>
      <c r="K16" s="40" t="str">
        <f>IFERROR(IF(C16&gt;0,VLOOKUP(C16,'График отпусков'!$Q$4:$T$63,4,0),""),"")</f>
        <v/>
      </c>
      <c r="L16" s="29" t="str">
        <f>IFERROR(IF(C16&gt;0,VLOOKUP(C16,'График отпусков'!$Q$4:$T$63,3,0),""),"")</f>
        <v/>
      </c>
      <c r="M16" s="11" t="e">
        <f t="shared" si="5"/>
        <v>#VALUE!</v>
      </c>
      <c r="N16" s="40" t="str">
        <f>IFERROR(IF(C16&gt;0,VLOOKUP(C16,'График отпусков'!$O$4:$T$63,6,0),""),"")</f>
        <v/>
      </c>
      <c r="O16" s="29" t="str">
        <f t="shared" si="7"/>
        <v/>
      </c>
      <c r="P16" s="11" t="e">
        <f t="shared" si="10"/>
        <v>#VALUE!</v>
      </c>
      <c r="Q16" s="18"/>
      <c r="R16" s="18"/>
      <c r="S16" s="18"/>
      <c r="T16" s="10"/>
      <c r="U16" s="10"/>
      <c r="V16" s="10"/>
      <c r="W16" s="10"/>
      <c r="X16" s="10"/>
      <c r="Y16" s="10"/>
      <c r="Z16" s="10"/>
      <c r="AA16" s="10"/>
      <c r="AB16" s="19"/>
    </row>
    <row r="17" spans="1:28" ht="12.75" customHeight="1" x14ac:dyDescent="0.2">
      <c r="A17" s="63">
        <f t="shared" si="2"/>
        <v>15</v>
      </c>
      <c r="B17" s="55">
        <v>112419</v>
      </c>
      <c r="C17" s="67" t="s">
        <v>44</v>
      </c>
      <c r="D17" s="8" t="s">
        <v>40</v>
      </c>
      <c r="E17" s="9">
        <f t="shared" ca="1" si="0"/>
        <v>43101</v>
      </c>
      <c r="F17" s="39" t="e">
        <f>IF(MONTH(K17)&gt;2,K17-E17+2,K17-E17+1)</f>
        <v>#VALUE!</v>
      </c>
      <c r="G17" s="80" t="e">
        <f t="shared" si="1"/>
        <v>#VALUE!</v>
      </c>
      <c r="H17" s="73" t="s">
        <v>67</v>
      </c>
      <c r="I17" s="73" t="s">
        <v>52</v>
      </c>
      <c r="J17" s="29" t="str">
        <f>IFERROR(VLOOKUP(C17,'График отпусков'!$U$4:$W$123,3,0),"")</f>
        <v/>
      </c>
      <c r="K17" s="40" t="str">
        <f>IFERROR(IF(C17&gt;0,VLOOKUP(C17,'График отпусков'!$Q$4:$T$63,4,0),""),"")</f>
        <v/>
      </c>
      <c r="L17" s="29" t="str">
        <f>IFERROR(IF(C17&gt;0,VLOOKUP(C17,'График отпусков'!$Q$4:$T$63,3,0),""),"")</f>
        <v/>
      </c>
      <c r="M17" s="11" t="e">
        <f>K17+L17</f>
        <v>#VALUE!</v>
      </c>
      <c r="N17" s="40" t="str">
        <f>IFERROR(IF(C17&gt;0,VLOOKUP(C17,'График отпусков'!$O$4:$T$63,6,0),""),"")</f>
        <v/>
      </c>
      <c r="O17" s="29" t="str">
        <f t="shared" si="7"/>
        <v/>
      </c>
      <c r="P17" s="11" t="e">
        <f>N17+O17</f>
        <v>#VALUE!</v>
      </c>
      <c r="Q17" s="18"/>
      <c r="R17" s="18"/>
      <c r="S17" s="18"/>
      <c r="T17" s="10"/>
      <c r="U17" s="10"/>
      <c r="V17" s="10"/>
      <c r="W17" s="10"/>
      <c r="X17" s="10"/>
      <c r="Y17" s="10"/>
      <c r="Z17" s="10"/>
      <c r="AA17" s="10"/>
      <c r="AB17" s="19"/>
    </row>
    <row r="18" spans="1:28" ht="12.75" customHeight="1" x14ac:dyDescent="0.2">
      <c r="A18" s="63">
        <f t="shared" si="2"/>
        <v>16</v>
      </c>
      <c r="B18" s="55">
        <v>52049</v>
      </c>
      <c r="C18" s="67" t="s">
        <v>4</v>
      </c>
      <c r="D18" s="8" t="s">
        <v>42</v>
      </c>
      <c r="E18" s="9">
        <f t="shared" ca="1" si="0"/>
        <v>43101</v>
      </c>
      <c r="F18" s="39" t="e">
        <f>IF(MONTH(K18)&gt;2,K18-E18+2,K18-E18+1)</f>
        <v>#VALUE!</v>
      </c>
      <c r="G18" s="80" t="e">
        <f t="shared" si="1"/>
        <v>#VALUE!</v>
      </c>
      <c r="H18" s="73" t="s">
        <v>54</v>
      </c>
      <c r="I18" s="73" t="s">
        <v>54</v>
      </c>
      <c r="J18" s="29" t="str">
        <f>IFERROR(VLOOKUP(C18,'График отпусков'!$U$4:$W$123,3,0),"")</f>
        <v/>
      </c>
      <c r="K18" s="40" t="str">
        <f>IFERROR(IF(C18&gt;0,VLOOKUP(C18,'График отпусков'!$Q$4:$T$63,4,0),""),"")</f>
        <v/>
      </c>
      <c r="L18" s="29" t="str">
        <f>IFERROR(IF(C18&gt;0,VLOOKUP(C18,'График отпусков'!$Q$4:$T$63,3,0),""),"")</f>
        <v/>
      </c>
      <c r="M18" s="11" t="e">
        <f>K18+L18</f>
        <v>#VALUE!</v>
      </c>
      <c r="N18" s="40" t="str">
        <f>IFERROR(IF(C18&gt;0,VLOOKUP(C18,'График отпусков'!$O$4:$T$63,6,0),""),"")</f>
        <v/>
      </c>
      <c r="O18" s="29" t="str">
        <f t="shared" si="7"/>
        <v/>
      </c>
      <c r="P18" s="11" t="e">
        <f>N18+O18</f>
        <v>#VALUE!</v>
      </c>
      <c r="Q18" s="18"/>
      <c r="R18" s="18"/>
      <c r="S18" s="18"/>
      <c r="T18" s="10"/>
      <c r="U18" s="10"/>
      <c r="V18" s="10"/>
      <c r="W18" s="10"/>
      <c r="X18" s="10"/>
      <c r="Y18" s="10"/>
      <c r="Z18" s="10"/>
      <c r="AA18" s="10"/>
      <c r="AB18" s="19"/>
    </row>
    <row r="19" spans="1:28" ht="12.75" customHeight="1" x14ac:dyDescent="0.2">
      <c r="A19" s="63">
        <f t="shared" si="2"/>
        <v>17</v>
      </c>
      <c r="B19" s="55">
        <v>229485</v>
      </c>
      <c r="C19" s="67" t="s">
        <v>5</v>
      </c>
      <c r="D19" s="8" t="s">
        <v>42</v>
      </c>
      <c r="E19" s="9">
        <f t="shared" ca="1" si="0"/>
        <v>43101</v>
      </c>
      <c r="F19" s="39" t="e">
        <f>IF(MONTH(K19)&gt;2,K19-E19+2,K19-E19+1)</f>
        <v>#VALUE!</v>
      </c>
      <c r="G19" s="80" t="e">
        <f t="shared" si="1"/>
        <v>#VALUE!</v>
      </c>
      <c r="H19" s="73" t="s">
        <v>65</v>
      </c>
      <c r="I19" s="73" t="s">
        <v>59</v>
      </c>
      <c r="J19" s="29" t="str">
        <f>IFERROR(VLOOKUP(C19,'График отпусков'!$U$4:$W$123,3,0),"")</f>
        <v/>
      </c>
      <c r="K19" s="40" t="str">
        <f>IFERROR(IF(C19&gt;0,VLOOKUP(C19,'График отпусков'!$Q$4:$T$63,4,0),""),"")</f>
        <v/>
      </c>
      <c r="L19" s="29" t="str">
        <f>IFERROR(IF(C19&gt;0,VLOOKUP(C19,'График отпусков'!$Q$4:$T$63,3,0),""),"")</f>
        <v/>
      </c>
      <c r="M19" s="11" t="e">
        <f>K19+L19</f>
        <v>#VALUE!</v>
      </c>
      <c r="N19" s="40" t="str">
        <f>IFERROR(IF(C19&gt;0,VLOOKUP(C19,'График отпусков'!$O$4:$T$63,6,0),""),"")</f>
        <v/>
      </c>
      <c r="O19" s="29" t="str">
        <f t="shared" si="7"/>
        <v/>
      </c>
      <c r="P19" s="11" t="e">
        <f>N19+O19</f>
        <v>#VALUE!</v>
      </c>
      <c r="Q19" s="18"/>
      <c r="R19" s="18"/>
      <c r="S19" s="18"/>
      <c r="T19" s="10"/>
      <c r="U19" s="10"/>
      <c r="V19" s="10"/>
      <c r="W19" s="10"/>
      <c r="X19" s="10"/>
      <c r="Y19" s="10"/>
      <c r="Z19" s="10"/>
      <c r="AA19" s="10"/>
      <c r="AB19" s="19"/>
    </row>
    <row r="20" spans="1:28" ht="12.75" customHeight="1" x14ac:dyDescent="0.2">
      <c r="A20" s="63">
        <f t="shared" si="2"/>
        <v>18</v>
      </c>
      <c r="B20" s="55">
        <v>14195</v>
      </c>
      <c r="C20" s="67" t="s">
        <v>43</v>
      </c>
      <c r="D20" s="8" t="s">
        <v>42</v>
      </c>
      <c r="E20" s="9">
        <f t="shared" ca="1" si="0"/>
        <v>43101</v>
      </c>
      <c r="F20" s="39" t="e">
        <f t="shared" si="8"/>
        <v>#VALUE!</v>
      </c>
      <c r="G20" s="80" t="e">
        <f t="shared" si="1"/>
        <v>#VALUE!</v>
      </c>
      <c r="H20" s="73" t="s">
        <v>59</v>
      </c>
      <c r="I20" s="73" t="s">
        <v>53</v>
      </c>
      <c r="J20" s="29" t="str">
        <f>IFERROR(VLOOKUP(C20,'График отпусков'!$U$4:$W$123,3,0),"")</f>
        <v/>
      </c>
      <c r="K20" s="40" t="str">
        <f>IFERROR(IF(C20&gt;0,VLOOKUP(C20,'График отпусков'!$Q$4:$T$63,4,0),""),"")</f>
        <v/>
      </c>
      <c r="L20" s="29" t="str">
        <f>IFERROR(IF(C20&gt;0,VLOOKUP(C20,'График отпусков'!$Q$4:$T$63,3,0),""),"")</f>
        <v/>
      </c>
      <c r="M20" s="11" t="e">
        <f t="shared" si="5"/>
        <v>#VALUE!</v>
      </c>
      <c r="N20" s="40" t="str">
        <f>IFERROR(IF(C20&gt;0,VLOOKUP(C20,'График отпусков'!$O$4:$T$63,6,0),""),"")</f>
        <v/>
      </c>
      <c r="O20" s="29" t="str">
        <f t="shared" si="7"/>
        <v/>
      </c>
      <c r="P20" s="11" t="e">
        <f t="shared" ref="P20:P24" si="11">N20+O20</f>
        <v>#VALUE!</v>
      </c>
      <c r="Q20" s="18"/>
      <c r="R20" s="18"/>
      <c r="S20" s="18"/>
      <c r="T20" s="10"/>
      <c r="U20" s="10"/>
      <c r="V20" s="10"/>
      <c r="W20" s="10"/>
      <c r="X20" s="10"/>
      <c r="Y20" s="10"/>
      <c r="Z20" s="10"/>
      <c r="AA20" s="10"/>
      <c r="AB20" s="19"/>
    </row>
    <row r="21" spans="1:28" ht="12.75" customHeight="1" x14ac:dyDescent="0.2">
      <c r="A21" s="63" t="str">
        <f t="shared" si="2"/>
        <v/>
      </c>
      <c r="B21" s="55"/>
      <c r="C21" s="67"/>
      <c r="D21" s="8"/>
      <c r="E21" s="9">
        <f t="shared" ca="1" si="0"/>
        <v>43101</v>
      </c>
      <c r="F21" s="39" t="e">
        <f t="shared" si="8"/>
        <v>#VALUE!</v>
      </c>
      <c r="G21" s="80" t="e">
        <f t="shared" si="1"/>
        <v>#VALUE!</v>
      </c>
      <c r="H21" s="73"/>
      <c r="I21" s="73"/>
      <c r="J21" s="29" t="str">
        <f>IFERROR(VLOOKUP(C21,'График отпусков'!$U$4:$W$123,3,0),"")</f>
        <v/>
      </c>
      <c r="K21" s="40" t="str">
        <f>IFERROR(IF(C21&gt;0,VLOOKUP(C21,'График отпусков'!$Q$4:$T$63,4,0),""),"")</f>
        <v/>
      </c>
      <c r="L21" s="29" t="str">
        <f>IFERROR(IF(C21&gt;0,VLOOKUP(C21,'График отпусков'!$Q$4:$T$63,3,0),""),"")</f>
        <v/>
      </c>
      <c r="M21" s="11" t="e">
        <f t="shared" si="5"/>
        <v>#VALUE!</v>
      </c>
      <c r="N21" s="40" t="str">
        <f>IFERROR(IF(C21&gt;0,VLOOKUP(C21,'График отпусков'!$O$4:$T$63,6,0),""),"")</f>
        <v/>
      </c>
      <c r="O21" s="29" t="str">
        <f t="shared" si="7"/>
        <v/>
      </c>
      <c r="P21" s="11" t="e">
        <f t="shared" si="11"/>
        <v>#VALUE!</v>
      </c>
      <c r="Q21" s="18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9"/>
    </row>
    <row r="22" spans="1:28" ht="12.75" customHeight="1" x14ac:dyDescent="0.2">
      <c r="A22" s="63" t="str">
        <f t="shared" si="2"/>
        <v/>
      </c>
      <c r="B22" s="55"/>
      <c r="C22" s="67"/>
      <c r="D22" s="8"/>
      <c r="E22" s="9">
        <f t="shared" ca="1" si="0"/>
        <v>43101</v>
      </c>
      <c r="F22" s="39" t="e">
        <f t="shared" si="8"/>
        <v>#VALUE!</v>
      </c>
      <c r="G22" s="80" t="e">
        <f t="shared" si="1"/>
        <v>#VALUE!</v>
      </c>
      <c r="H22" s="73"/>
      <c r="I22" s="73"/>
      <c r="J22" s="29" t="str">
        <f>IFERROR(VLOOKUP(C22,'График отпусков'!$U$4:$W$123,3,0),"")</f>
        <v/>
      </c>
      <c r="K22" s="40" t="str">
        <f>IFERROR(IF(C22&gt;0,VLOOKUP(C22,'График отпусков'!$Q$4:$T$63,4,0),""),"")</f>
        <v/>
      </c>
      <c r="L22" s="29" t="str">
        <f>IFERROR(IF(C22&gt;0,VLOOKUP(C22,'График отпусков'!$Q$4:$T$63,3,0),""),"")</f>
        <v/>
      </c>
      <c r="M22" s="11" t="e">
        <f t="shared" si="5"/>
        <v>#VALUE!</v>
      </c>
      <c r="N22" s="40" t="str">
        <f>IFERROR(IF(C22&gt;0,VLOOKUP(C22,'График отпусков'!$O$4:$T$63,6,0),""),"")</f>
        <v/>
      </c>
      <c r="O22" s="29" t="str">
        <f t="shared" si="7"/>
        <v/>
      </c>
      <c r="P22" s="11" t="e">
        <f t="shared" si="11"/>
        <v>#VALUE!</v>
      </c>
      <c r="Q22" s="18"/>
      <c r="R22" s="18"/>
      <c r="S22" s="18"/>
      <c r="T22" s="10"/>
      <c r="U22" s="10"/>
      <c r="V22" s="10"/>
      <c r="W22" s="10"/>
      <c r="X22" s="10"/>
      <c r="Y22" s="10"/>
      <c r="Z22" s="10"/>
      <c r="AA22" s="10"/>
      <c r="AB22" s="19"/>
    </row>
    <row r="23" spans="1:28" ht="12.75" customHeight="1" x14ac:dyDescent="0.2">
      <c r="A23" s="63" t="str">
        <f t="shared" si="2"/>
        <v/>
      </c>
      <c r="B23" s="55"/>
      <c r="C23" s="67"/>
      <c r="D23" s="8"/>
      <c r="E23" s="9">
        <f t="shared" ca="1" si="0"/>
        <v>43101</v>
      </c>
      <c r="F23" s="39" t="e">
        <f t="shared" si="8"/>
        <v>#VALUE!</v>
      </c>
      <c r="G23" s="80" t="e">
        <f t="shared" si="1"/>
        <v>#VALUE!</v>
      </c>
      <c r="H23" s="73"/>
      <c r="I23" s="73"/>
      <c r="J23" s="29" t="str">
        <f>IFERROR(VLOOKUP(C23,'График отпусков'!$U$4:$W$123,3,0),"")</f>
        <v/>
      </c>
      <c r="K23" s="40" t="str">
        <f>IFERROR(IF(C23&gt;0,VLOOKUP(C23,'График отпусков'!$Q$4:$T$63,4,0),""),"")</f>
        <v/>
      </c>
      <c r="L23" s="29" t="str">
        <f>IFERROR(IF(C23&gt;0,VLOOKUP(C23,'График отпусков'!$Q$4:$T$63,3,0),""),"")</f>
        <v/>
      </c>
      <c r="M23" s="11" t="e">
        <f t="shared" si="5"/>
        <v>#VALUE!</v>
      </c>
      <c r="N23" s="40" t="str">
        <f>IFERROR(IF(C23&gt;0,VLOOKUP(C23,'График отпусков'!$O$4:$T$63,6,0),""),"")</f>
        <v/>
      </c>
      <c r="O23" s="29" t="str">
        <f t="shared" si="7"/>
        <v/>
      </c>
      <c r="P23" s="11" t="e">
        <f t="shared" si="11"/>
        <v>#VALUE!</v>
      </c>
      <c r="Q23" s="18"/>
      <c r="R23" s="18"/>
      <c r="S23" s="18"/>
      <c r="T23" s="10"/>
      <c r="U23" s="10"/>
      <c r="V23" s="10"/>
      <c r="W23" s="10"/>
      <c r="X23" s="10"/>
      <c r="Y23" s="10"/>
      <c r="Z23" s="10"/>
      <c r="AA23" s="10"/>
      <c r="AB23" s="19"/>
    </row>
    <row r="24" spans="1:28" ht="12.75" customHeight="1" thickBot="1" x14ac:dyDescent="0.25">
      <c r="A24" s="64" t="str">
        <f t="shared" si="2"/>
        <v/>
      </c>
      <c r="B24" s="56"/>
      <c r="C24" s="68"/>
      <c r="D24" s="20"/>
      <c r="E24" s="21">
        <f t="shared" ca="1" si="0"/>
        <v>43101</v>
      </c>
      <c r="F24" s="82" t="e">
        <f t="shared" si="8"/>
        <v>#VALUE!</v>
      </c>
      <c r="G24" s="80" t="e">
        <f t="shared" si="1"/>
        <v>#VALUE!</v>
      </c>
      <c r="H24" s="74"/>
      <c r="I24" s="74"/>
      <c r="J24" s="74" t="str">
        <f>IFERROR(VLOOKUP(C24,'График отпусков'!$U$4:$W$123,3,0),"")</f>
        <v/>
      </c>
      <c r="K24" s="79" t="str">
        <f>IFERROR(IF(C24&gt;0,VLOOKUP(C24,'График отпусков'!$Q$4:$T$63,4,0),""),"")</f>
        <v/>
      </c>
      <c r="L24" s="29" t="str">
        <f>IFERROR(IF(C24&gt;0,VLOOKUP(C24,'График отпусков'!$Q$4:$T$63,3,0),""),"")</f>
        <v/>
      </c>
      <c r="M24" s="23" t="e">
        <f t="shared" si="5"/>
        <v>#VALUE!</v>
      </c>
      <c r="N24" s="40" t="str">
        <f>IFERROR(IF(C24&gt;0,VLOOKUP(C24,'График отпусков'!$O$4:$T$63,6,0),""),"")</f>
        <v/>
      </c>
      <c r="O24" s="29" t="str">
        <f t="shared" si="7"/>
        <v/>
      </c>
      <c r="P24" s="23" t="e">
        <f t="shared" si="11"/>
        <v>#VALUE!</v>
      </c>
      <c r="Q24" s="24"/>
      <c r="R24" s="24"/>
      <c r="S24" s="24"/>
      <c r="T24" s="22"/>
      <c r="U24" s="22"/>
      <c r="V24" s="22"/>
      <c r="W24" s="22"/>
      <c r="X24" s="22"/>
      <c r="Y24" s="22"/>
      <c r="Z24" s="22"/>
      <c r="AA24" s="22"/>
      <c r="AB24" s="25"/>
    </row>
    <row r="26" spans="1:28" x14ac:dyDescent="0.2">
      <c r="G26" s="86"/>
    </row>
    <row r="28" spans="1:28" x14ac:dyDescent="0.2">
      <c r="J28" s="75"/>
    </row>
    <row r="29" spans="1:28" x14ac:dyDescent="0.2">
      <c r="J29" s="75"/>
    </row>
    <row r="30" spans="1:28" x14ac:dyDescent="0.2">
      <c r="Q30" s="13"/>
      <c r="R30" s="13"/>
      <c r="S30" s="13"/>
    </row>
    <row r="36" spans="3:7" x14ac:dyDescent="0.2">
      <c r="C36" s="14"/>
      <c r="D36" s="17"/>
      <c r="E36" s="14"/>
      <c r="F36" s="14"/>
      <c r="G36" s="14"/>
    </row>
  </sheetData>
  <mergeCells count="1">
    <mergeCell ref="A1:AB1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отпусков</vt:lpstr>
      <vt:lpstr>Сетевой график</vt:lpstr>
      <vt:lpstr>NameCount</vt:lpstr>
      <vt:lpstr>NameList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Boroda</cp:lastModifiedBy>
  <dcterms:created xsi:type="dcterms:W3CDTF">2014-08-08T19:00:37Z</dcterms:created>
  <dcterms:modified xsi:type="dcterms:W3CDTF">2017-08-13T11:21:24Z</dcterms:modified>
</cp:coreProperties>
</file>