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пробный" sheetId="1" r:id="rId1"/>
  </sheets>
  <calcPr calcId="125725"/>
</workbook>
</file>

<file path=xl/calcChain.xml><?xml version="1.0" encoding="utf-8"?>
<calcChain xmlns="http://schemas.openxmlformats.org/spreadsheetml/2006/main">
  <c r="AK25" i="1"/>
  <c r="AJ25"/>
  <c r="AI25"/>
  <c r="AF25"/>
  <c r="AE25"/>
  <c r="AK24"/>
  <c r="AI24"/>
  <c r="AF24"/>
  <c r="AK23"/>
  <c r="AJ23"/>
  <c r="AI23"/>
  <c r="AF23"/>
  <c r="AE23"/>
  <c r="AK22"/>
  <c r="AJ22"/>
  <c r="AI22"/>
  <c r="AF22"/>
  <c r="AE22"/>
  <c r="AD22"/>
  <c r="AD24"/>
  <c r="AK21"/>
  <c r="AJ21"/>
  <c r="AI21"/>
  <c r="AF21"/>
  <c r="AE21"/>
  <c r="AD21"/>
  <c r="AD23"/>
  <c r="AD25"/>
  <c r="N15"/>
  <c r="K15"/>
  <c r="S14"/>
  <c r="T14"/>
  <c r="R14"/>
  <c r="P14"/>
  <c r="M14"/>
  <c r="J14"/>
  <c r="AC14"/>
  <c r="AD14"/>
  <c r="H14"/>
  <c r="G14"/>
  <c r="AI13"/>
  <c r="AJ13"/>
  <c r="V13"/>
  <c r="W13"/>
  <c r="X13"/>
  <c r="T13"/>
  <c r="S13"/>
  <c r="R13"/>
  <c r="Q13"/>
  <c r="P13"/>
  <c r="AC13"/>
  <c r="AD13"/>
  <c r="M13"/>
  <c r="J13"/>
  <c r="H13"/>
  <c r="G13"/>
  <c r="S12"/>
  <c r="T12"/>
  <c r="R12"/>
  <c r="P12"/>
  <c r="M12"/>
  <c r="J12"/>
  <c r="AC12"/>
  <c r="AD12"/>
  <c r="H12"/>
  <c r="G12"/>
  <c r="AI11"/>
  <c r="AJ11"/>
  <c r="V11"/>
  <c r="W11"/>
  <c r="X11"/>
  <c r="T11"/>
  <c r="S11"/>
  <c r="R11"/>
  <c r="Q11"/>
  <c r="P11"/>
  <c r="AC11"/>
  <c r="AD11"/>
  <c r="M11"/>
  <c r="J11"/>
  <c r="H11"/>
  <c r="G11"/>
  <c r="S10"/>
  <c r="T10"/>
  <c r="R10"/>
  <c r="P10"/>
  <c r="M10"/>
  <c r="J10"/>
  <c r="AC10"/>
  <c r="AD10"/>
  <c r="H10"/>
  <c r="G10"/>
  <c r="AI9"/>
  <c r="AJ9"/>
  <c r="V9"/>
  <c r="W9"/>
  <c r="X9"/>
  <c r="T9"/>
  <c r="S9"/>
  <c r="R9"/>
  <c r="Q9"/>
  <c r="P9"/>
  <c r="AC9"/>
  <c r="AD9"/>
  <c r="M9"/>
  <c r="J9"/>
  <c r="H9"/>
  <c r="G9"/>
  <c r="S8"/>
  <c r="T8"/>
  <c r="R8"/>
  <c r="P8"/>
  <c r="M8"/>
  <c r="J8"/>
  <c r="J15"/>
  <c r="H8"/>
  <c r="G8"/>
  <c r="AI7"/>
  <c r="AJ7"/>
  <c r="V7"/>
  <c r="W7"/>
  <c r="T7"/>
  <c r="S7"/>
  <c r="S15"/>
  <c r="T15"/>
  <c r="R7"/>
  <c r="R15"/>
  <c r="A4"/>
  <c r="Q7"/>
  <c r="P7"/>
  <c r="P15"/>
  <c r="M7"/>
  <c r="M15"/>
  <c r="J7"/>
  <c r="H7"/>
  <c r="G7"/>
  <c r="X7"/>
  <c r="AL9"/>
  <c r="AK9"/>
  <c r="AM9"/>
  <c r="AE11"/>
  <c r="AG11"/>
  <c r="AF11"/>
  <c r="AL13"/>
  <c r="AK13"/>
  <c r="AM13"/>
  <c r="AE10"/>
  <c r="AG10"/>
  <c r="AF10"/>
  <c r="AL7"/>
  <c r="AK7"/>
  <c r="AE9"/>
  <c r="AG9"/>
  <c r="AF9"/>
  <c r="AL11"/>
  <c r="AK11"/>
  <c r="AM11"/>
  <c r="AE13"/>
  <c r="AG13"/>
  <c r="AF13"/>
  <c r="AE12"/>
  <c r="AG12"/>
  <c r="AF12"/>
  <c r="AE14"/>
  <c r="AG14"/>
  <c r="AF14"/>
  <c r="Q8"/>
  <c r="Q15"/>
  <c r="AI8"/>
  <c r="AJ8"/>
  <c r="Q10"/>
  <c r="V10"/>
  <c r="W10"/>
  <c r="X10"/>
  <c r="AI10"/>
  <c r="AJ10"/>
  <c r="Q12"/>
  <c r="V12"/>
  <c r="W12"/>
  <c r="X12"/>
  <c r="AI12"/>
  <c r="AJ12"/>
  <c r="Q14"/>
  <c r="V14"/>
  <c r="W14"/>
  <c r="X14"/>
  <c r="AI14"/>
  <c r="AJ14"/>
  <c r="AC7"/>
  <c r="V8"/>
  <c r="W8"/>
  <c r="X8"/>
  <c r="AC8"/>
  <c r="AD8"/>
  <c r="AC15"/>
  <c r="AE24"/>
  <c r="AD7"/>
  <c r="AL12"/>
  <c r="AK12"/>
  <c r="AM12"/>
  <c r="AK10"/>
  <c r="AM10"/>
  <c r="AL10"/>
  <c r="AE8"/>
  <c r="AG8"/>
  <c r="AF8"/>
  <c r="AK8"/>
  <c r="AM8"/>
  <c r="AL8"/>
  <c r="AK14"/>
  <c r="AM14"/>
  <c r="AL14"/>
  <c r="AI15"/>
  <c r="AJ24"/>
  <c r="AL15"/>
  <c r="AJ15"/>
  <c r="AK15"/>
  <c r="V15"/>
  <c r="AM7"/>
  <c r="W15"/>
  <c r="X15"/>
  <c r="AD15"/>
  <c r="AE15"/>
  <c r="AG15"/>
  <c r="AE7"/>
  <c r="AG7"/>
  <c r="AF7"/>
  <c r="AF15"/>
  <c r="AM15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AB7" authorId="0">
      <text>
        <r>
          <rPr>
            <b/>
            <sz val="9"/>
            <color indexed="81"/>
            <rFont val="Tahoma"/>
            <charset val="1"/>
          </rPr>
          <t>Пользователь:
Необходимо, чтобы в ячейку AB7 автоматически проставлялся такой минимальный %, чтобы значение в ячейке AD7 было не меньше ячейки S7 И значение в ячейке АЕ7 было не меньше значения в ячейке Т7</t>
        </r>
        <r>
          <rPr>
            <sz val="9"/>
            <color indexed="81"/>
            <rFont val="Tahoma"/>
            <charset val="1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<sst xmlns="http://schemas.openxmlformats.org/spreadsheetml/2006/main" count="68" uniqueCount="41">
  <si>
    <t>Реквизиты доп.соглашения</t>
  </si>
  <si>
    <t>Минимальная стоимость заказа</t>
  </si>
  <si>
    <t>Количество дней отсрочки</t>
  </si>
  <si>
    <t>Предоплата</t>
  </si>
  <si>
    <t xml:space="preserve">Наименование </t>
  </si>
  <si>
    <t>Расчет дат</t>
  </si>
  <si>
    <t>Условия сделки</t>
  </si>
  <si>
    <t>Минимальная стоимость сделки</t>
  </si>
  <si>
    <t>Стоимость сделки за вычетом аванса</t>
  </si>
  <si>
    <t>Отгрузка от поставщика в кредит</t>
  </si>
  <si>
    <t>Оплата поставщику авансом</t>
  </si>
  <si>
    <t>Поставщик</t>
  </si>
  <si>
    <t>Номенклатура</t>
  </si>
  <si>
    <t>шт</t>
  </si>
  <si>
    <t>Дата заказа поставщику</t>
  </si>
  <si>
    <t>Дата возникновения обязательств перед поставщиком</t>
  </si>
  <si>
    <t xml:space="preserve">Дата поставки </t>
  </si>
  <si>
    <t>Дата реализации клиенту</t>
  </si>
  <si>
    <t>Срок отвлечения денежных средств</t>
  </si>
  <si>
    <t>Розничная цена товара из 1С за вычетом аванса</t>
  </si>
  <si>
    <t>Розничная цена основная</t>
  </si>
  <si>
    <t>Входная скидка от производителя</t>
  </si>
  <si>
    <t>Закупочная стоимость поставщика  за вычетом аванса</t>
  </si>
  <si>
    <t>Закупочная стоимость основная</t>
  </si>
  <si>
    <t>Скидка покупателю</t>
  </si>
  <si>
    <t>Стоимость реализации клиенту от предоплаты</t>
  </si>
  <si>
    <t>Наценка от предоплаты</t>
  </si>
  <si>
    <t>Стоимость реализации клиенту основная</t>
  </si>
  <si>
    <t>Наценка основная</t>
  </si>
  <si>
    <t>Рентабельность основная</t>
  </si>
  <si>
    <t>Стоимость реализации клиенту</t>
  </si>
  <si>
    <t>Наценка</t>
  </si>
  <si>
    <t>Рентабельность</t>
  </si>
  <si>
    <t>%%</t>
  </si>
  <si>
    <t>Кол-во дней кредитного лимита</t>
  </si>
  <si>
    <t>Уменшение скидки</t>
  </si>
  <si>
    <t>Потеря</t>
  </si>
  <si>
    <t>Потеря в процентах</t>
  </si>
  <si>
    <t>Уменьшение скидки</t>
  </si>
  <si>
    <t>ИТОГО</t>
  </si>
  <si>
    <t>Рассрочка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</si>
</sst>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>
      <alignment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0" xfId="0" applyNumberFormat="1"/>
    <xf numFmtId="0" fontId="0" fillId="3" borderId="1" xfId="0" applyFill="1" applyBorder="1"/>
    <xf numFmtId="14" fontId="0" fillId="3" borderId="1" xfId="0" applyNumberFormat="1" applyFill="1" applyBorder="1"/>
    <xf numFmtId="0" fontId="0" fillId="3" borderId="0" xfId="0" applyFill="1" applyBorder="1"/>
    <xf numFmtId="14" fontId="0" fillId="3" borderId="0" xfId="0" applyNumberFormat="1" applyFill="1" applyBorder="1"/>
    <xf numFmtId="0" fontId="0" fillId="4" borderId="1" xfId="0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9" fontId="0" fillId="0" borderId="0" xfId="0" applyNumberFormat="1"/>
    <xf numFmtId="0" fontId="3" fillId="4" borderId="3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3" fillId="0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4" borderId="3" xfId="0" applyFont="1" applyFill="1" applyBorder="1" applyAlignment="1"/>
    <xf numFmtId="0" fontId="3" fillId="4" borderId="4" xfId="0" applyFont="1" applyFill="1" applyBorder="1" applyAlignment="1"/>
    <xf numFmtId="0" fontId="3" fillId="4" borderId="5" xfId="0" applyFont="1" applyFill="1" applyBorder="1" applyAlignment="1"/>
    <xf numFmtId="0" fontId="3" fillId="0" borderId="4" xfId="0" applyFont="1" applyFill="1" applyBorder="1" applyAlignment="1"/>
    <xf numFmtId="0" fontId="3" fillId="4" borderId="4" xfId="0" applyFont="1" applyFill="1" applyBorder="1" applyAlignment="1">
      <alignment wrapText="1"/>
    </xf>
    <xf numFmtId="0" fontId="3" fillId="4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9" borderId="0" xfId="0" applyFill="1"/>
    <xf numFmtId="14" fontId="0" fillId="0" borderId="0" xfId="0" applyNumberFormat="1" applyFill="1"/>
    <xf numFmtId="14" fontId="0" fillId="9" borderId="0" xfId="0" applyNumberFormat="1" applyFill="1"/>
    <xf numFmtId="2" fontId="0" fillId="9" borderId="0" xfId="0" applyNumberFormat="1" applyFill="1"/>
    <xf numFmtId="2" fontId="0" fillId="0" borderId="0" xfId="0" applyNumberFormat="1" applyFill="1"/>
    <xf numFmtId="4" fontId="0" fillId="9" borderId="0" xfId="0" applyNumberFormat="1" applyFill="1"/>
    <xf numFmtId="10" fontId="0" fillId="0" borderId="0" xfId="0" applyNumberFormat="1"/>
    <xf numFmtId="4" fontId="4" fillId="9" borderId="0" xfId="0" applyNumberFormat="1" applyFont="1" applyFill="1"/>
    <xf numFmtId="10" fontId="4" fillId="9" borderId="0" xfId="0" applyNumberFormat="1" applyFont="1" applyFill="1"/>
    <xf numFmtId="10" fontId="4" fillId="0" borderId="0" xfId="0" applyNumberFormat="1" applyFont="1" applyFill="1"/>
    <xf numFmtId="10" fontId="0" fillId="9" borderId="0" xfId="0" applyNumberFormat="1" applyFill="1"/>
    <xf numFmtId="10" fontId="0" fillId="0" borderId="0" xfId="0" applyNumberFormat="1" applyFill="1"/>
    <xf numFmtId="1" fontId="0" fillId="0" borderId="0" xfId="0" applyNumberFormat="1"/>
    <xf numFmtId="0" fontId="3" fillId="4" borderId="1" xfId="0" applyFont="1" applyFill="1" applyBorder="1"/>
    <xf numFmtId="0" fontId="3" fillId="0" borderId="1" xfId="0" applyFont="1" applyFill="1" applyBorder="1"/>
    <xf numFmtId="4" fontId="3" fillId="4" borderId="1" xfId="0" applyNumberFormat="1" applyFont="1" applyFill="1" applyBorder="1"/>
    <xf numFmtId="4" fontId="4" fillId="4" borderId="1" xfId="0" applyNumberFormat="1" applyFont="1" applyFill="1" applyBorder="1"/>
    <xf numFmtId="10" fontId="4" fillId="4" borderId="1" xfId="0" applyNumberFormat="1" applyFont="1" applyFill="1" applyBorder="1"/>
    <xf numFmtId="10" fontId="4" fillId="0" borderId="1" xfId="0" applyNumberFormat="1" applyFont="1" applyFill="1" applyBorder="1"/>
    <xf numFmtId="10" fontId="3" fillId="4" borderId="1" xfId="0" applyNumberFormat="1" applyFont="1" applyFill="1" applyBorder="1"/>
    <xf numFmtId="10" fontId="3" fillId="0" borderId="1" xfId="0" applyNumberFormat="1" applyFont="1" applyFill="1" applyBorder="1"/>
    <xf numFmtId="0" fontId="3" fillId="0" borderId="0" xfId="0" applyFont="1"/>
    <xf numFmtId="4" fontId="0" fillId="0" borderId="0" xfId="0" applyNumberFormat="1"/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1" xfId="0" applyFont="1" applyFill="1" applyBorder="1"/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9" fontId="3" fillId="3" borderId="1" xfId="0" applyNumberFormat="1" applyFont="1" applyFill="1" applyBorder="1" applyAlignment="1">
      <alignment horizontal="center" vertical="center"/>
    </xf>
    <xf numFmtId="4" fontId="0" fillId="0" borderId="1" xfId="0" applyNumberFormat="1" applyBorder="1"/>
    <xf numFmtId="0" fontId="3" fillId="3" borderId="0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</cellXfs>
  <cellStyles count="1">
    <cellStyle name="Обычный" xfId="0" builtinId="0"/>
  </cellStyles>
  <dxfs count="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7"/>
  <sheetViews>
    <sheetView tabSelected="1" workbookViewId="0">
      <pane xSplit="3" ySplit="3" topLeftCell="Q4" activePane="bottomRight" state="frozen"/>
      <selection pane="topRight" activeCell="D1" sqref="D1"/>
      <selection pane="bottomLeft" activeCell="A3" sqref="A3"/>
      <selection pane="bottomRight" activeCell="AF1" sqref="AF1"/>
    </sheetView>
  </sheetViews>
  <sheetFormatPr defaultRowHeight="15" outlineLevelCol="1"/>
  <cols>
    <col min="1" max="1" width="17.85546875" customWidth="1"/>
    <col min="2" max="2" width="46.5703125" customWidth="1"/>
    <col min="3" max="3" width="12.140625" customWidth="1"/>
    <col min="4" max="4" width="11.85546875" customWidth="1" outlineLevel="1"/>
    <col min="5" max="5" width="12.5703125" customWidth="1" outlineLevel="1"/>
    <col min="6" max="6" width="12.140625" customWidth="1" outlineLevel="1"/>
    <col min="7" max="8" width="16.42578125" customWidth="1" outlineLevel="1"/>
    <col min="9" max="9" width="3.28515625" style="3" customWidth="1"/>
    <col min="10" max="10" width="13.28515625" customWidth="1" outlineLevel="1" collapsed="1"/>
    <col min="11" max="11" width="13.28515625" customWidth="1" outlineLevel="1"/>
    <col min="12" max="12" width="9.7109375" customWidth="1" outlineLevel="1"/>
    <col min="13" max="15" width="11.7109375" customWidth="1" outlineLevel="1"/>
    <col min="16" max="16" width="13.7109375" customWidth="1" outlineLevel="1" collapsed="1"/>
    <col min="17" max="17" width="14.42578125" customWidth="1" outlineLevel="1"/>
    <col min="18" max="18" width="13.7109375" customWidth="1"/>
    <col min="19" max="20" width="14.42578125" customWidth="1"/>
    <col min="21" max="21" width="0.5703125" style="3" customWidth="1"/>
    <col min="22" max="22" width="10.140625" customWidth="1" outlineLevel="1"/>
    <col min="23" max="23" width="10.28515625" customWidth="1" outlineLevel="1"/>
    <col min="24" max="24" width="9.140625" customWidth="1" outlineLevel="1"/>
    <col min="25" max="25" width="0.5703125" style="3" customWidth="1"/>
    <col min="26" max="26" width="10" customWidth="1" outlineLevel="1"/>
    <col min="27" max="27" width="10.140625" customWidth="1" outlineLevel="1"/>
    <col min="28" max="28" width="11.7109375" customWidth="1"/>
    <col min="29" max="29" width="10.140625" bestFit="1" customWidth="1"/>
    <col min="30" max="30" width="11" customWidth="1"/>
    <col min="31" max="31" width="10.28515625" customWidth="1"/>
    <col min="32" max="32" width="11.28515625" customWidth="1"/>
    <col min="34" max="34" width="13.85546875" customWidth="1"/>
    <col min="35" max="35" width="10.140625" bestFit="1" customWidth="1"/>
    <col min="36" max="36" width="10.7109375" customWidth="1"/>
    <col min="37" max="37" width="10.5703125" customWidth="1"/>
  </cols>
  <sheetData>
    <row r="1" spans="1:39" ht="30">
      <c r="A1" s="1" t="s">
        <v>0</v>
      </c>
      <c r="B1" s="2"/>
      <c r="C1" s="1"/>
      <c r="V1" s="4"/>
      <c r="AC1" s="4"/>
      <c r="AI1" s="4"/>
    </row>
    <row r="2" spans="1:39">
      <c r="A2" s="1"/>
      <c r="B2" s="5"/>
      <c r="C2" s="6"/>
      <c r="D2" s="7"/>
      <c r="E2" s="8"/>
      <c r="V2" s="4"/>
      <c r="AC2" s="4"/>
      <c r="AI2" s="4"/>
    </row>
    <row r="3" spans="1:39" ht="30" customHeight="1">
      <c r="A3" s="9" t="s">
        <v>1</v>
      </c>
      <c r="B3" s="9" t="s">
        <v>2</v>
      </c>
      <c r="C3" s="9" t="s">
        <v>3</v>
      </c>
    </row>
    <row r="4" spans="1:39">
      <c r="A4" s="10">
        <f>R15</f>
        <v>255615.34367100004</v>
      </c>
      <c r="B4" s="11">
        <v>30</v>
      </c>
      <c r="C4" s="12">
        <v>0.5</v>
      </c>
      <c r="D4" s="13"/>
    </row>
    <row r="5" spans="1:39">
      <c r="A5" s="14" t="s">
        <v>4</v>
      </c>
      <c r="B5" s="15"/>
      <c r="C5" s="16"/>
      <c r="D5" s="16"/>
      <c r="E5" s="73" t="s">
        <v>5</v>
      </c>
      <c r="F5" s="74"/>
      <c r="G5" s="74"/>
      <c r="H5" s="74"/>
      <c r="I5" s="17"/>
      <c r="J5" s="74" t="s">
        <v>6</v>
      </c>
      <c r="K5" s="74"/>
      <c r="L5" s="74"/>
      <c r="M5" s="74"/>
      <c r="N5" s="75"/>
      <c r="O5" s="75"/>
      <c r="P5" s="18"/>
      <c r="Q5" s="18"/>
      <c r="R5" s="19" t="s">
        <v>7</v>
      </c>
      <c r="S5" s="18"/>
      <c r="T5" s="18"/>
      <c r="U5" s="20"/>
      <c r="V5" s="21" t="s">
        <v>8</v>
      </c>
      <c r="W5" s="22"/>
      <c r="X5" s="23"/>
      <c r="Y5" s="24"/>
      <c r="Z5" s="22"/>
      <c r="AA5" s="25"/>
      <c r="AB5" s="25"/>
      <c r="AC5" s="22" t="s">
        <v>9</v>
      </c>
      <c r="AD5" s="25"/>
      <c r="AE5" s="25"/>
      <c r="AF5" s="25"/>
      <c r="AG5" s="25"/>
      <c r="AH5" s="21" t="s">
        <v>10</v>
      </c>
      <c r="AI5" s="25"/>
      <c r="AJ5" s="26"/>
      <c r="AK5" s="26"/>
      <c r="AL5" s="26"/>
      <c r="AM5" s="27"/>
    </row>
    <row r="6" spans="1:39" ht="105">
      <c r="A6" s="28" t="s">
        <v>11</v>
      </c>
      <c r="B6" s="28" t="s">
        <v>12</v>
      </c>
      <c r="C6" s="28" t="s">
        <v>13</v>
      </c>
      <c r="D6" s="29" t="s">
        <v>14</v>
      </c>
      <c r="E6" s="29" t="s">
        <v>15</v>
      </c>
      <c r="F6" s="29" t="s">
        <v>16</v>
      </c>
      <c r="G6" s="29" t="s">
        <v>17</v>
      </c>
      <c r="H6" s="29" t="s">
        <v>18</v>
      </c>
      <c r="I6" s="30"/>
      <c r="J6" s="29" t="s">
        <v>19</v>
      </c>
      <c r="K6" s="29" t="s">
        <v>20</v>
      </c>
      <c r="L6" s="29" t="s">
        <v>21</v>
      </c>
      <c r="M6" s="29" t="s">
        <v>22</v>
      </c>
      <c r="N6" s="29" t="s">
        <v>23</v>
      </c>
      <c r="O6" s="29" t="s">
        <v>24</v>
      </c>
      <c r="P6" s="31" t="s">
        <v>25</v>
      </c>
      <c r="Q6" s="31" t="s">
        <v>26</v>
      </c>
      <c r="R6" s="31" t="s">
        <v>27</v>
      </c>
      <c r="S6" s="32" t="s">
        <v>28</v>
      </c>
      <c r="T6" s="32" t="s">
        <v>29</v>
      </c>
      <c r="U6" s="33"/>
      <c r="V6" s="34" t="s">
        <v>30</v>
      </c>
      <c r="W6" s="34" t="s">
        <v>31</v>
      </c>
      <c r="X6" s="34" t="s">
        <v>32</v>
      </c>
      <c r="Y6" s="35"/>
      <c r="Z6" s="36" t="s">
        <v>33</v>
      </c>
      <c r="AA6" s="36" t="s">
        <v>34</v>
      </c>
      <c r="AB6" s="36" t="s">
        <v>35</v>
      </c>
      <c r="AC6" s="36" t="s">
        <v>30</v>
      </c>
      <c r="AD6" s="37" t="s">
        <v>31</v>
      </c>
      <c r="AE6" s="37" t="s">
        <v>32</v>
      </c>
      <c r="AF6" s="36" t="s">
        <v>36</v>
      </c>
      <c r="AG6" s="36" t="s">
        <v>37</v>
      </c>
      <c r="AH6" s="38" t="s">
        <v>38</v>
      </c>
      <c r="AI6" s="38" t="s">
        <v>30</v>
      </c>
      <c r="AJ6" s="38" t="s">
        <v>31</v>
      </c>
      <c r="AK6" s="38" t="s">
        <v>32</v>
      </c>
      <c r="AL6" s="38" t="s">
        <v>36</v>
      </c>
      <c r="AM6" s="38" t="s">
        <v>37</v>
      </c>
    </row>
    <row r="7" spans="1:39" ht="15.75">
      <c r="A7" t="s">
        <v>11</v>
      </c>
      <c r="B7" s="39" t="s">
        <v>12</v>
      </c>
      <c r="C7" s="39">
        <v>1</v>
      </c>
      <c r="D7" s="40">
        <v>42962</v>
      </c>
      <c r="E7" s="40">
        <v>42962</v>
      </c>
      <c r="F7" s="40">
        <v>42969</v>
      </c>
      <c r="G7" s="41">
        <f>F7+5</f>
        <v>42974</v>
      </c>
      <c r="H7" s="42">
        <f t="shared" ref="H7:H14" si="0">G7+$B$4-E7</f>
        <v>42</v>
      </c>
      <c r="I7" s="43"/>
      <c r="J7" s="44">
        <f>IF($C$4=0%,K7,(K7-K7*$C$4))</f>
        <v>79641.735000000001</v>
      </c>
      <c r="K7" s="44">
        <v>159283.47</v>
      </c>
      <c r="L7" s="45">
        <v>0.48502251991371115</v>
      </c>
      <c r="M7" s="44">
        <f>IF($C$4=0%,N7,(N7-N7*$C$4))</f>
        <v>41013.699999999997</v>
      </c>
      <c r="N7" s="44">
        <v>82027.399999999994</v>
      </c>
      <c r="O7" s="45">
        <v>0.45069999999999999</v>
      </c>
      <c r="P7" s="44">
        <f>K7*$C$4-K7*O7*$C$4</f>
        <v>43747.205035500003</v>
      </c>
      <c r="Q7" s="44">
        <f t="shared" ref="Q7:Q14" si="1">S7*$C$4</f>
        <v>2733.5050355000058</v>
      </c>
      <c r="R7" s="44">
        <f>K7-K7*O7</f>
        <v>87494.410071000006</v>
      </c>
      <c r="S7" s="46">
        <f>K7-K7*O7-N7</f>
        <v>5467.0100710000115</v>
      </c>
      <c r="T7" s="47">
        <f>S7/R7</f>
        <v>6.2484106888241658E-2</v>
      </c>
      <c r="U7" s="48"/>
      <c r="V7" s="44">
        <f>J7-J7*O7</f>
        <v>43747.205035500003</v>
      </c>
      <c r="W7" s="44">
        <f t="shared" ref="W7:W14" si="2">V7-M7</f>
        <v>2733.5050355000058</v>
      </c>
      <c r="X7" s="49">
        <f>W7/V7</f>
        <v>6.2484106888241658E-2</v>
      </c>
      <c r="Y7" s="50"/>
      <c r="Z7" s="13">
        <v>0.04</v>
      </c>
      <c r="AA7">
        <v>60</v>
      </c>
      <c r="AB7" s="45"/>
      <c r="AC7" s="44">
        <f>J7-J7*(O7-AB7)+P7</f>
        <v>87494.410071000006</v>
      </c>
      <c r="AD7" s="46">
        <f t="shared" ref="AD7:AD14" si="3">AC7-N7-N7*(100%-$C$4)*Z7*H7/AA7</f>
        <v>4318.6264710000114</v>
      </c>
      <c r="AE7" s="47">
        <f t="shared" ref="AE7:AE15" si="4">AD7/AC7</f>
        <v>4.9358884384677039E-2</v>
      </c>
      <c r="AF7" s="44">
        <f t="shared" ref="AF7:AG14" si="5">AD7-S7</f>
        <v>-1148.3836000000001</v>
      </c>
      <c r="AG7" s="49">
        <f t="shared" si="5"/>
        <v>-1.3125222503564619E-2</v>
      </c>
      <c r="AH7" s="45"/>
      <c r="AI7" s="44">
        <f t="shared" ref="AI7:AI14" si="6">J7-J7*(O7-AH7)+P7</f>
        <v>87494.410071000006</v>
      </c>
      <c r="AJ7" s="44">
        <f t="shared" ref="AJ7:AJ14" si="7">AI7-N7-((N7-(N7*$C$4))*7.7%*H7/365)</f>
        <v>5103.6174523698746</v>
      </c>
      <c r="AK7" s="49">
        <f>AJ7/AI7</f>
        <v>5.8330783054921891E-2</v>
      </c>
      <c r="AL7" s="44">
        <f>AJ7-S7</f>
        <v>-363.39261863013689</v>
      </c>
      <c r="AM7" s="49">
        <f t="shared" ref="AM7:AM14" si="8">AK7-X7</f>
        <v>-4.1533238333197678E-3</v>
      </c>
    </row>
    <row r="8" spans="1:39" ht="15.75">
      <c r="A8" t="s">
        <v>11</v>
      </c>
      <c r="B8" s="39" t="s">
        <v>12</v>
      </c>
      <c r="C8" s="39">
        <v>2</v>
      </c>
      <c r="D8" s="40">
        <v>42962</v>
      </c>
      <c r="E8" s="40">
        <v>42962</v>
      </c>
      <c r="F8" s="40">
        <v>42969</v>
      </c>
      <c r="G8" s="41">
        <f t="shared" ref="G8:G14" si="9">F8+5</f>
        <v>42974</v>
      </c>
      <c r="H8" s="42">
        <f t="shared" si="0"/>
        <v>42</v>
      </c>
      <c r="I8" s="43"/>
      <c r="J8" s="44">
        <f t="shared" ref="J8:J14" si="10">IF($C$4=0%,K8,(K8-K8*$C$4))</f>
        <v>44462.27</v>
      </c>
      <c r="K8" s="44">
        <v>88924.54</v>
      </c>
      <c r="L8" s="45">
        <v>0.56259205839018112</v>
      </c>
      <c r="M8" s="44">
        <f t="shared" ref="M8:M14" si="11">IF($C$4=0%,N8,(N8-N8*$C$4))</f>
        <v>19448.150000000001</v>
      </c>
      <c r="N8" s="44">
        <v>38896.300000000003</v>
      </c>
      <c r="O8" s="45">
        <v>0.52</v>
      </c>
      <c r="P8" s="44">
        <f t="shared" ref="P8:P14" si="12">K8*$C$4-K8*O8*$C$4</f>
        <v>21341.889599999999</v>
      </c>
      <c r="Q8" s="44">
        <f t="shared" si="1"/>
        <v>1893.7395999999972</v>
      </c>
      <c r="R8" s="44">
        <f t="shared" ref="R8:R14" si="13">K8-K8*O8</f>
        <v>42683.779199999997</v>
      </c>
      <c r="S8" s="46">
        <f t="shared" ref="S8:S14" si="14">K8-K8*O8-N8</f>
        <v>3787.4791999999943</v>
      </c>
      <c r="T8" s="47">
        <f t="shared" ref="T8:T15" si="15">S8/R8</f>
        <v>8.8733454979543949E-2</v>
      </c>
      <c r="U8" s="48"/>
      <c r="V8" s="44">
        <f t="shared" ref="V8:V14" si="16">J8-J8*O8</f>
        <v>21341.889599999999</v>
      </c>
      <c r="W8" s="44">
        <f t="shared" si="2"/>
        <v>1893.7395999999972</v>
      </c>
      <c r="X8" s="49">
        <f t="shared" ref="X8:X15" si="17">W8/V8</f>
        <v>8.8733454979543949E-2</v>
      </c>
      <c r="Y8" s="50"/>
      <c r="Z8" s="13">
        <v>0.04</v>
      </c>
      <c r="AA8">
        <v>60</v>
      </c>
      <c r="AB8" s="45"/>
      <c r="AC8" s="44">
        <f t="shared" ref="AC8:AC14" si="18">J8-J8*(O8-AB8)+P8</f>
        <v>42683.779199999997</v>
      </c>
      <c r="AD8" s="46">
        <f t="shared" si="3"/>
        <v>3242.9309999999941</v>
      </c>
      <c r="AE8" s="47">
        <f t="shared" si="4"/>
        <v>7.5975723349257562E-2</v>
      </c>
      <c r="AF8" s="44">
        <f t="shared" si="5"/>
        <v>-544.54820000000018</v>
      </c>
      <c r="AG8" s="49">
        <f t="shared" si="5"/>
        <v>-1.2757731630286387E-2</v>
      </c>
      <c r="AH8" s="45"/>
      <c r="AI8" s="44">
        <f t="shared" si="6"/>
        <v>42683.779199999997</v>
      </c>
      <c r="AJ8" s="44">
        <f t="shared" si="7"/>
        <v>3615.1632627397203</v>
      </c>
      <c r="AK8" s="49">
        <f t="shared" ref="AK8:AK15" si="19">AJ8/AI8</f>
        <v>8.4696419354069769E-2</v>
      </c>
      <c r="AL8" s="44">
        <f t="shared" ref="AL8:AL14" si="20">AJ8-S8</f>
        <v>-172.31593726027404</v>
      </c>
      <c r="AM8" s="49">
        <f t="shared" si="8"/>
        <v>-4.0370356254741807E-3</v>
      </c>
    </row>
    <row r="9" spans="1:39" ht="15.75">
      <c r="A9" t="s">
        <v>11</v>
      </c>
      <c r="B9" s="39" t="s">
        <v>12</v>
      </c>
      <c r="C9" s="39">
        <v>1</v>
      </c>
      <c r="D9" s="40">
        <v>42962</v>
      </c>
      <c r="E9" s="40">
        <v>42962</v>
      </c>
      <c r="F9" s="40">
        <v>42969</v>
      </c>
      <c r="G9" s="41">
        <f t="shared" si="9"/>
        <v>42974</v>
      </c>
      <c r="H9" s="42">
        <f t="shared" si="0"/>
        <v>42</v>
      </c>
      <c r="I9" s="43"/>
      <c r="J9" s="44">
        <f t="shared" si="10"/>
        <v>25193.564999999999</v>
      </c>
      <c r="K9" s="44">
        <v>50387.13</v>
      </c>
      <c r="L9" s="45">
        <v>0.56259346384681952</v>
      </c>
      <c r="M9" s="44">
        <f t="shared" si="11"/>
        <v>11019.830000000002</v>
      </c>
      <c r="N9" s="44">
        <v>22039.660000000003</v>
      </c>
      <c r="O9" s="45">
        <v>0.52</v>
      </c>
      <c r="P9" s="44">
        <f t="shared" si="12"/>
        <v>12092.911199999999</v>
      </c>
      <c r="Q9" s="44">
        <f t="shared" si="1"/>
        <v>1073.0811999999969</v>
      </c>
      <c r="R9" s="44">
        <f t="shared" si="13"/>
        <v>24185.822399999997</v>
      </c>
      <c r="S9" s="46">
        <f t="shared" si="14"/>
        <v>2146.1623999999938</v>
      </c>
      <c r="T9" s="47">
        <f t="shared" si="15"/>
        <v>8.873638301420729E-2</v>
      </c>
      <c r="U9" s="48"/>
      <c r="V9" s="44">
        <f t="shared" si="16"/>
        <v>12092.911199999999</v>
      </c>
      <c r="W9" s="44">
        <f t="shared" si="2"/>
        <v>1073.0811999999969</v>
      </c>
      <c r="X9" s="49">
        <f t="shared" si="17"/>
        <v>8.873638301420729E-2</v>
      </c>
      <c r="Y9" s="50"/>
      <c r="Z9" s="13">
        <v>0.04</v>
      </c>
      <c r="AA9">
        <v>60</v>
      </c>
      <c r="AB9" s="45"/>
      <c r="AC9" s="44">
        <f t="shared" si="18"/>
        <v>24185.822399999997</v>
      </c>
      <c r="AD9" s="46">
        <f t="shared" si="3"/>
        <v>1837.6071599999937</v>
      </c>
      <c r="AE9" s="47">
        <f t="shared" si="4"/>
        <v>7.5978692376406184E-2</v>
      </c>
      <c r="AF9" s="44">
        <f t="shared" si="5"/>
        <v>-308.55524000000014</v>
      </c>
      <c r="AG9" s="49">
        <f t="shared" si="5"/>
        <v>-1.2757690637801106E-2</v>
      </c>
      <c r="AH9" s="45"/>
      <c r="AI9" s="44">
        <f t="shared" si="6"/>
        <v>24185.822399999997</v>
      </c>
      <c r="AJ9" s="44">
        <f t="shared" si="7"/>
        <v>2048.5236870684871</v>
      </c>
      <c r="AK9" s="49">
        <f t="shared" si="19"/>
        <v>8.4699360360327769E-2</v>
      </c>
      <c r="AL9" s="44">
        <f t="shared" si="20"/>
        <v>-97.638712931506689</v>
      </c>
      <c r="AM9" s="49">
        <f t="shared" si="8"/>
        <v>-4.0370226538795212E-3</v>
      </c>
    </row>
    <row r="10" spans="1:39" ht="15.75">
      <c r="A10" t="s">
        <v>11</v>
      </c>
      <c r="B10" s="39" t="s">
        <v>12</v>
      </c>
      <c r="C10" s="39">
        <v>1</v>
      </c>
      <c r="D10" s="40">
        <v>42962</v>
      </c>
      <c r="E10" s="40">
        <v>42962</v>
      </c>
      <c r="F10" s="40">
        <v>42969</v>
      </c>
      <c r="G10" s="41">
        <f t="shared" si="9"/>
        <v>42974</v>
      </c>
      <c r="H10" s="42">
        <f t="shared" si="0"/>
        <v>42</v>
      </c>
      <c r="I10" s="43"/>
      <c r="J10" s="44">
        <f t="shared" si="10"/>
        <v>31607.105</v>
      </c>
      <c r="K10" s="44">
        <v>63214.21</v>
      </c>
      <c r="L10" s="45">
        <v>0.56259581508651291</v>
      </c>
      <c r="M10" s="44">
        <f t="shared" si="11"/>
        <v>13825.080000000002</v>
      </c>
      <c r="N10" s="44">
        <v>27650.160000000003</v>
      </c>
      <c r="O10" s="45">
        <v>0.52</v>
      </c>
      <c r="P10" s="44">
        <f t="shared" si="12"/>
        <v>15171.410400000001</v>
      </c>
      <c r="Q10" s="44">
        <f t="shared" si="1"/>
        <v>1346.3303999999989</v>
      </c>
      <c r="R10" s="44">
        <f t="shared" si="13"/>
        <v>30342.820800000001</v>
      </c>
      <c r="S10" s="46">
        <f t="shared" si="14"/>
        <v>2692.6607999999978</v>
      </c>
      <c r="T10" s="47">
        <f t="shared" si="15"/>
        <v>8.8741281430235311E-2</v>
      </c>
      <c r="U10" s="48"/>
      <c r="V10" s="44">
        <f t="shared" si="16"/>
        <v>15171.410400000001</v>
      </c>
      <c r="W10" s="44">
        <f t="shared" si="2"/>
        <v>1346.3303999999989</v>
      </c>
      <c r="X10" s="49">
        <f t="shared" si="17"/>
        <v>8.8741281430235311E-2</v>
      </c>
      <c r="Y10" s="50"/>
      <c r="Z10" s="13">
        <v>0.04</v>
      </c>
      <c r="AA10">
        <v>60</v>
      </c>
      <c r="AB10" s="45"/>
      <c r="AC10" s="44">
        <f t="shared" si="18"/>
        <v>30342.820800000001</v>
      </c>
      <c r="AD10" s="46">
        <f t="shared" si="3"/>
        <v>2305.5585599999977</v>
      </c>
      <c r="AE10" s="47">
        <f t="shared" si="4"/>
        <v>7.5983659370258597E-2</v>
      </c>
      <c r="AF10" s="44">
        <f t="shared" si="5"/>
        <v>-387.10224000000017</v>
      </c>
      <c r="AG10" s="49">
        <f t="shared" si="5"/>
        <v>-1.2757622059976714E-2</v>
      </c>
      <c r="AH10" s="45"/>
      <c r="AI10" s="44">
        <f t="shared" si="6"/>
        <v>30342.820800000001</v>
      </c>
      <c r="AJ10" s="44">
        <f t="shared" si="7"/>
        <v>2570.1668035068469</v>
      </c>
      <c r="AK10" s="49">
        <f t="shared" si="19"/>
        <v>8.47042804770098E-2</v>
      </c>
      <c r="AL10" s="44">
        <f t="shared" si="20"/>
        <v>-122.49399649315092</v>
      </c>
      <c r="AM10" s="49">
        <f t="shared" si="8"/>
        <v>-4.0370009532255113E-3</v>
      </c>
    </row>
    <row r="11" spans="1:39" ht="15.75">
      <c r="A11" t="s">
        <v>11</v>
      </c>
      <c r="B11" s="39" t="s">
        <v>12</v>
      </c>
      <c r="C11" s="39">
        <v>1</v>
      </c>
      <c r="D11" s="40">
        <v>42962</v>
      </c>
      <c r="E11" s="40">
        <v>42962</v>
      </c>
      <c r="F11" s="40">
        <v>42969</v>
      </c>
      <c r="G11" s="41">
        <f t="shared" si="9"/>
        <v>42974</v>
      </c>
      <c r="H11" s="42">
        <f t="shared" si="0"/>
        <v>42</v>
      </c>
      <c r="I11" s="43"/>
      <c r="J11" s="44">
        <f t="shared" si="10"/>
        <v>35708.095000000001</v>
      </c>
      <c r="K11" s="44">
        <v>71416.19</v>
      </c>
      <c r="L11" s="45">
        <v>0.57104572506598295</v>
      </c>
      <c r="M11" s="44">
        <f t="shared" si="11"/>
        <v>15317.14</v>
      </c>
      <c r="N11" s="44">
        <v>30634.28</v>
      </c>
      <c r="O11" s="45">
        <v>0.52</v>
      </c>
      <c r="P11" s="44">
        <f t="shared" si="12"/>
        <v>17139.885600000001</v>
      </c>
      <c r="Q11" s="44">
        <f t="shared" si="1"/>
        <v>1822.745600000002</v>
      </c>
      <c r="R11" s="44">
        <f t="shared" si="13"/>
        <v>34279.771200000003</v>
      </c>
      <c r="S11" s="46">
        <f t="shared" si="14"/>
        <v>3645.491200000004</v>
      </c>
      <c r="T11" s="47">
        <f t="shared" si="15"/>
        <v>0.10634526055413122</v>
      </c>
      <c r="U11" s="48"/>
      <c r="V11" s="44">
        <f t="shared" si="16"/>
        <v>17139.885600000001</v>
      </c>
      <c r="W11" s="44">
        <f t="shared" si="2"/>
        <v>1822.745600000002</v>
      </c>
      <c r="X11" s="49">
        <f t="shared" si="17"/>
        <v>0.10634526055413122</v>
      </c>
      <c r="Y11" s="50"/>
      <c r="Z11" s="13">
        <v>0.04</v>
      </c>
      <c r="AA11">
        <v>60</v>
      </c>
      <c r="AB11" s="45"/>
      <c r="AC11" s="44">
        <f t="shared" si="18"/>
        <v>34279.771200000003</v>
      </c>
      <c r="AD11" s="46">
        <f t="shared" si="3"/>
        <v>3216.6112800000042</v>
      </c>
      <c r="AE11" s="47">
        <f t="shared" si="4"/>
        <v>9.3834094201889068E-2</v>
      </c>
      <c r="AF11" s="44">
        <f t="shared" si="5"/>
        <v>-428.87991999999986</v>
      </c>
      <c r="AG11" s="49">
        <f t="shared" si="5"/>
        <v>-1.2511166352242156E-2</v>
      </c>
      <c r="AH11" s="45"/>
      <c r="AI11" s="44">
        <f t="shared" si="6"/>
        <v>34279.771200000003</v>
      </c>
      <c r="AJ11" s="44">
        <f t="shared" si="7"/>
        <v>3509.7771431232918</v>
      </c>
      <c r="AK11" s="49">
        <f t="shared" si="19"/>
        <v>0.10238624763992857</v>
      </c>
      <c r="AL11" s="44">
        <f t="shared" si="20"/>
        <v>-135.71405687671222</v>
      </c>
      <c r="AM11" s="49">
        <f t="shared" si="8"/>
        <v>-3.9590129142026559E-3</v>
      </c>
    </row>
    <row r="12" spans="1:39" ht="15.75">
      <c r="A12" t="s">
        <v>11</v>
      </c>
      <c r="B12" s="39" t="s">
        <v>12</v>
      </c>
      <c r="C12" s="39">
        <v>3</v>
      </c>
      <c r="D12" s="40">
        <v>42962</v>
      </c>
      <c r="E12" s="40">
        <v>42962</v>
      </c>
      <c r="F12" s="40">
        <v>42969</v>
      </c>
      <c r="G12" s="41">
        <f t="shared" si="9"/>
        <v>42974</v>
      </c>
      <c r="H12" s="42">
        <f t="shared" si="0"/>
        <v>42</v>
      </c>
      <c r="I12" s="43"/>
      <c r="J12" s="44">
        <f t="shared" si="10"/>
        <v>8369.1</v>
      </c>
      <c r="K12" s="44">
        <v>16738.2</v>
      </c>
      <c r="L12" s="45">
        <v>0.55368797122749158</v>
      </c>
      <c r="M12" s="44">
        <f t="shared" si="11"/>
        <v>3735.2300000000005</v>
      </c>
      <c r="N12" s="44">
        <v>7470.4600000000009</v>
      </c>
      <c r="O12" s="45">
        <v>0.52</v>
      </c>
      <c r="P12" s="44">
        <f t="shared" si="12"/>
        <v>4017.1679999999997</v>
      </c>
      <c r="Q12" s="44">
        <f t="shared" si="1"/>
        <v>281.93799999999919</v>
      </c>
      <c r="R12" s="44">
        <f t="shared" si="13"/>
        <v>8034.3359999999993</v>
      </c>
      <c r="S12" s="46">
        <f t="shared" si="14"/>
        <v>563.87599999999838</v>
      </c>
      <c r="T12" s="47">
        <f t="shared" si="15"/>
        <v>7.0183273390607315E-2</v>
      </c>
      <c r="U12" s="48"/>
      <c r="V12" s="44">
        <f t="shared" si="16"/>
        <v>4017.1679999999997</v>
      </c>
      <c r="W12" s="44">
        <f t="shared" si="2"/>
        <v>281.93799999999919</v>
      </c>
      <c r="X12" s="49">
        <f t="shared" si="17"/>
        <v>7.0183273390607315E-2</v>
      </c>
      <c r="Y12" s="50"/>
      <c r="Z12" s="13">
        <v>0.04</v>
      </c>
      <c r="AA12">
        <v>60</v>
      </c>
      <c r="AB12" s="45"/>
      <c r="AC12" s="44">
        <f t="shared" si="18"/>
        <v>8034.3359999999993</v>
      </c>
      <c r="AD12" s="46">
        <f t="shared" si="3"/>
        <v>459.28955999999835</v>
      </c>
      <c r="AE12" s="47">
        <f t="shared" si="4"/>
        <v>5.7165839218075817E-2</v>
      </c>
      <c r="AF12" s="44">
        <f t="shared" si="5"/>
        <v>-104.58644000000004</v>
      </c>
      <c r="AG12" s="49">
        <f t="shared" si="5"/>
        <v>-1.3017434172531497E-2</v>
      </c>
      <c r="AH12" s="45"/>
      <c r="AI12" s="44">
        <f t="shared" si="6"/>
        <v>8034.3359999999993</v>
      </c>
      <c r="AJ12" s="44">
        <f t="shared" si="7"/>
        <v>530.78083884931345</v>
      </c>
      <c r="AK12" s="49">
        <f t="shared" si="19"/>
        <v>6.6064057919573385E-2</v>
      </c>
      <c r="AL12" s="44">
        <f t="shared" si="20"/>
        <v>-33.09516115068493</v>
      </c>
      <c r="AM12" s="49">
        <f t="shared" si="8"/>
        <v>-4.1192154710339296E-3</v>
      </c>
    </row>
    <row r="13" spans="1:39" ht="15.75">
      <c r="A13" t="s">
        <v>11</v>
      </c>
      <c r="B13" s="39" t="s">
        <v>12</v>
      </c>
      <c r="C13" s="39">
        <v>1</v>
      </c>
      <c r="D13" s="40">
        <v>42962</v>
      </c>
      <c r="E13" s="40">
        <v>42962</v>
      </c>
      <c r="F13" s="40">
        <v>42969</v>
      </c>
      <c r="G13" s="41">
        <f t="shared" si="9"/>
        <v>42974</v>
      </c>
      <c r="H13" s="42">
        <f t="shared" si="0"/>
        <v>42</v>
      </c>
      <c r="I13" s="43"/>
      <c r="J13" s="44">
        <f t="shared" si="10"/>
        <v>5932.3450000000003</v>
      </c>
      <c r="K13" s="44">
        <v>11864.69</v>
      </c>
      <c r="L13" s="45">
        <v>0.19570169974942464</v>
      </c>
      <c r="M13" s="44">
        <f t="shared" si="11"/>
        <v>4771.375</v>
      </c>
      <c r="N13" s="44">
        <v>9542.75</v>
      </c>
      <c r="O13" s="45">
        <v>0.1</v>
      </c>
      <c r="P13" s="44">
        <f t="shared" si="12"/>
        <v>5339.1105000000007</v>
      </c>
      <c r="Q13" s="44">
        <f t="shared" si="1"/>
        <v>567.73550000000068</v>
      </c>
      <c r="R13" s="44">
        <f t="shared" si="13"/>
        <v>10678.221000000001</v>
      </c>
      <c r="S13" s="46">
        <f t="shared" si="14"/>
        <v>1135.4710000000014</v>
      </c>
      <c r="T13" s="47">
        <f t="shared" si="15"/>
        <v>0.10633522194380517</v>
      </c>
      <c r="U13" s="48"/>
      <c r="V13" s="44">
        <f t="shared" si="16"/>
        <v>5339.1105000000007</v>
      </c>
      <c r="W13" s="44">
        <f t="shared" si="2"/>
        <v>567.73550000000068</v>
      </c>
      <c r="X13" s="49">
        <f t="shared" si="17"/>
        <v>0.10633522194380517</v>
      </c>
      <c r="Y13" s="50"/>
      <c r="Z13" s="13">
        <v>0.04</v>
      </c>
      <c r="AA13">
        <v>60</v>
      </c>
      <c r="AB13" s="45"/>
      <c r="AC13" s="44">
        <f t="shared" si="18"/>
        <v>10678.221000000001</v>
      </c>
      <c r="AD13" s="46">
        <f t="shared" si="3"/>
        <v>1001.8725000000013</v>
      </c>
      <c r="AE13" s="47">
        <f t="shared" si="4"/>
        <v>9.3823915051018447E-2</v>
      </c>
      <c r="AF13" s="44">
        <f t="shared" si="5"/>
        <v>-133.59850000000006</v>
      </c>
      <c r="AG13" s="49">
        <f t="shared" si="5"/>
        <v>-1.2511306892786719E-2</v>
      </c>
      <c r="AH13" s="45"/>
      <c r="AI13" s="44">
        <f t="shared" si="6"/>
        <v>10678.221000000001</v>
      </c>
      <c r="AJ13" s="44">
        <f t="shared" si="7"/>
        <v>1093.195310273974</v>
      </c>
      <c r="AK13" s="49">
        <f t="shared" si="19"/>
        <v>0.10237616455718362</v>
      </c>
      <c r="AL13" s="44">
        <f t="shared" si="20"/>
        <v>-42.275689726027394</v>
      </c>
      <c r="AM13" s="49">
        <f t="shared" si="8"/>
        <v>-3.9590573866215423E-3</v>
      </c>
    </row>
    <row r="14" spans="1:39" ht="15.75">
      <c r="A14" t="s">
        <v>11</v>
      </c>
      <c r="B14" s="39" t="s">
        <v>12</v>
      </c>
      <c r="C14" s="39">
        <v>1</v>
      </c>
      <c r="D14" s="40">
        <v>42962</v>
      </c>
      <c r="E14" s="40">
        <v>42962</v>
      </c>
      <c r="F14" s="40">
        <v>42969</v>
      </c>
      <c r="G14" s="41">
        <f t="shared" si="9"/>
        <v>42974</v>
      </c>
      <c r="H14" s="42">
        <f t="shared" si="0"/>
        <v>42</v>
      </c>
      <c r="I14" s="43"/>
      <c r="J14" s="44">
        <f t="shared" si="10"/>
        <v>9953.4349999999995</v>
      </c>
      <c r="K14" s="44">
        <v>19906.87</v>
      </c>
      <c r="L14" s="45">
        <v>0.19571032512896303</v>
      </c>
      <c r="M14" s="44">
        <f t="shared" si="11"/>
        <v>8005.4449999999997</v>
      </c>
      <c r="N14" s="44">
        <v>16010.89</v>
      </c>
      <c r="O14" s="45">
        <v>0.1</v>
      </c>
      <c r="P14" s="44">
        <f t="shared" si="12"/>
        <v>8958.0914999999986</v>
      </c>
      <c r="Q14" s="44">
        <f t="shared" si="1"/>
        <v>952.64649999999892</v>
      </c>
      <c r="R14" s="44">
        <f t="shared" si="13"/>
        <v>17916.182999999997</v>
      </c>
      <c r="S14" s="46">
        <f t="shared" si="14"/>
        <v>1905.2929999999978</v>
      </c>
      <c r="T14" s="47">
        <f t="shared" si="15"/>
        <v>0.10634480569884769</v>
      </c>
      <c r="U14" s="48"/>
      <c r="V14" s="44">
        <f t="shared" si="16"/>
        <v>8958.0914999999986</v>
      </c>
      <c r="W14" s="44">
        <f t="shared" si="2"/>
        <v>952.64649999999892</v>
      </c>
      <c r="X14" s="49">
        <f t="shared" si="17"/>
        <v>0.10634480569884769</v>
      </c>
      <c r="Y14" s="50"/>
      <c r="Z14" s="13">
        <v>0.04</v>
      </c>
      <c r="AA14" s="51">
        <v>60</v>
      </c>
      <c r="AB14" s="45"/>
      <c r="AC14" s="44">
        <f t="shared" si="18"/>
        <v>17916.182999999997</v>
      </c>
      <c r="AD14" s="46">
        <f t="shared" si="3"/>
        <v>1681.1405399999978</v>
      </c>
      <c r="AE14" s="47">
        <f t="shared" si="4"/>
        <v>9.3833632978631565E-2</v>
      </c>
      <c r="AF14" s="44">
        <f t="shared" si="5"/>
        <v>-224.15246000000002</v>
      </c>
      <c r="AG14" s="49">
        <f t="shared" si="5"/>
        <v>-1.2511172720216124E-2</v>
      </c>
      <c r="AH14" s="45"/>
      <c r="AI14" s="44">
        <f t="shared" si="6"/>
        <v>17916.182999999997</v>
      </c>
      <c r="AJ14" s="44">
        <f t="shared" si="7"/>
        <v>1834.3625640273951</v>
      </c>
      <c r="AK14" s="49">
        <f t="shared" si="19"/>
        <v>0.10238579076957383</v>
      </c>
      <c r="AL14" s="44">
        <f t="shared" si="20"/>
        <v>-70.930435972602709</v>
      </c>
      <c r="AM14" s="49">
        <f t="shared" si="8"/>
        <v>-3.959014929273863E-3</v>
      </c>
    </row>
    <row r="15" spans="1:39" s="60" customFormat="1" ht="15.75">
      <c r="A15" s="52" t="s">
        <v>39</v>
      </c>
      <c r="B15" s="52"/>
      <c r="C15" s="52"/>
      <c r="D15" s="52"/>
      <c r="E15" s="52"/>
      <c r="F15" s="52"/>
      <c r="G15" s="52"/>
      <c r="H15" s="52"/>
      <c r="I15" s="53"/>
      <c r="J15" s="54">
        <f>SUM(J7:J14)</f>
        <v>240867.65000000002</v>
      </c>
      <c r="K15" s="54">
        <f>SUM(K7:K14)</f>
        <v>481735.30000000005</v>
      </c>
      <c r="L15" s="52"/>
      <c r="M15" s="54">
        <f>SUM(M7:M14)</f>
        <v>117135.94999999998</v>
      </c>
      <c r="N15" s="54">
        <f>SUM(N7:N14)</f>
        <v>234271.89999999997</v>
      </c>
      <c r="O15" s="52"/>
      <c r="P15" s="54">
        <f>SUM(P7:P14)</f>
        <v>127807.67183550002</v>
      </c>
      <c r="Q15" s="54">
        <f>SUM(Q7:Q14)</f>
        <v>10671.721835499999</v>
      </c>
      <c r="R15" s="54">
        <f>SUM(R7:R14)</f>
        <v>255615.34367100004</v>
      </c>
      <c r="S15" s="55">
        <f>SUM(S7:S14)</f>
        <v>21343.443670999997</v>
      </c>
      <c r="T15" s="56">
        <f t="shared" si="15"/>
        <v>8.3498288344032001E-2</v>
      </c>
      <c r="U15" s="57"/>
      <c r="V15" s="54">
        <f>SUM(V7:V14)</f>
        <v>127807.67183550002</v>
      </c>
      <c r="W15" s="54">
        <f>SUM(W7:W14)</f>
        <v>10671.721835499999</v>
      </c>
      <c r="X15" s="58">
        <f t="shared" si="17"/>
        <v>8.3498288344032001E-2</v>
      </c>
      <c r="Y15" s="59"/>
      <c r="Z15" s="52"/>
      <c r="AA15" s="52"/>
      <c r="AB15" s="52"/>
      <c r="AC15" s="54">
        <f>SUM(AC7:AC14)</f>
        <v>255615.34367100004</v>
      </c>
      <c r="AD15" s="55">
        <f>SUM(AD7:AD14)</f>
        <v>18063.637070999997</v>
      </c>
      <c r="AE15" s="56">
        <f t="shared" si="4"/>
        <v>7.0667264380848457E-2</v>
      </c>
      <c r="AF15" s="54">
        <f>SUM(AF7:AF14)</f>
        <v>-3279.8066000000008</v>
      </c>
      <c r="AG15" s="58">
        <f>AE15-X15</f>
        <v>-1.2831023963183544E-2</v>
      </c>
      <c r="AH15" s="58"/>
      <c r="AI15" s="54">
        <f>SUM(AI7:AI14)</f>
        <v>255615.34367100004</v>
      </c>
      <c r="AJ15" s="54">
        <f>SUM(AJ7:AJ14)</f>
        <v>20305.587061958908</v>
      </c>
      <c r="AK15" s="58">
        <f t="shared" si="19"/>
        <v>7.9438060213216408E-2</v>
      </c>
      <c r="AL15" s="54">
        <f>SUM(AL7:AL14)</f>
        <v>-1037.8566090410959</v>
      </c>
      <c r="AM15" s="58">
        <f>AK15-X15</f>
        <v>-4.0602281308155935E-3</v>
      </c>
    </row>
    <row r="17" spans="7:37">
      <c r="AJ17" s="61"/>
    </row>
    <row r="18" spans="7:37">
      <c r="AB18" s="62"/>
    </row>
    <row r="19" spans="7:37">
      <c r="AC19" s="63" t="s">
        <v>40</v>
      </c>
      <c r="AD19" s="64">
        <v>14</v>
      </c>
      <c r="AE19" s="65">
        <v>30</v>
      </c>
      <c r="AF19" s="65">
        <v>60</v>
      </c>
      <c r="AH19" s="63" t="s">
        <v>40</v>
      </c>
      <c r="AI19" s="66">
        <v>14</v>
      </c>
      <c r="AJ19" s="66">
        <v>30</v>
      </c>
      <c r="AK19" s="66">
        <v>60</v>
      </c>
    </row>
    <row r="20" spans="7:37">
      <c r="G20" s="4"/>
      <c r="AC20" s="67" t="s">
        <v>3</v>
      </c>
      <c r="AD20" s="68"/>
      <c r="AE20" s="65"/>
      <c r="AF20" s="65"/>
      <c r="AH20" s="67" t="s">
        <v>3</v>
      </c>
      <c r="AI20" s="69"/>
      <c r="AJ20" s="69"/>
      <c r="AK20" s="69"/>
    </row>
    <row r="21" spans="7:37">
      <c r="AC21" s="70">
        <v>0</v>
      </c>
      <c r="AD21" s="71">
        <f>IF(AND($C$4=AC21,$B$4=AD19),AC15,0)</f>
        <v>0</v>
      </c>
      <c r="AE21" s="71">
        <f>IF(AND($C$4=AC21,$B$4=AE19),AC15,0)</f>
        <v>0</v>
      </c>
      <c r="AF21" s="71">
        <f>IF(AND($C$4=AC21,$B$4=AF19),AC15,0)</f>
        <v>0</v>
      </c>
      <c r="AH21" s="70">
        <v>0</v>
      </c>
      <c r="AI21" s="71">
        <f>IF(AND($C$4=AH21,$B$4=AI19),AI15,0)</f>
        <v>0</v>
      </c>
      <c r="AJ21" s="71">
        <f>IF(AND($C$4=AH21,$B$4=AJ19),AI15,0)</f>
        <v>0</v>
      </c>
      <c r="AK21" s="71">
        <f>IF(AND($C$4=AH21,$B$4=AK19),AI15,0)</f>
        <v>0</v>
      </c>
    </row>
    <row r="22" spans="7:37">
      <c r="AC22" s="70">
        <v>0.1</v>
      </c>
      <c r="AD22" s="71">
        <f>IF(AND($C$4=AC22,$B$4=AD20),AC16,0)</f>
        <v>0</v>
      </c>
      <c r="AE22" s="71">
        <f>IF(AND($C$4=AC22,$B$4=AE19),AC15,0)</f>
        <v>0</v>
      </c>
      <c r="AF22" s="71">
        <f>IF(AND($C$4=AC22,$B$4=AF19),AC15,0)</f>
        <v>0</v>
      </c>
      <c r="AH22" s="70">
        <v>0.1</v>
      </c>
      <c r="AI22" s="71">
        <f>IF(AND($C$4=AH22,$B$4=AI19),AI15,0)</f>
        <v>0</v>
      </c>
      <c r="AJ22" s="71">
        <f>IF(AND($C$4=AH22,$B$4=AJ19),AI15,0)</f>
        <v>0</v>
      </c>
      <c r="AK22" s="71">
        <f>IF(AND($C$4=AH22,$B$4=AK19),$AI$15,0)</f>
        <v>0</v>
      </c>
    </row>
    <row r="23" spans="7:37">
      <c r="AC23" s="70">
        <v>0.3</v>
      </c>
      <c r="AD23" s="71">
        <f>IF(AND($C$4=AC23,$B$4=AD21),AC17,0)</f>
        <v>0</v>
      </c>
      <c r="AE23" s="71">
        <f>IF(AND($C$4=AC23,$B$4=AE19),AC15,0)</f>
        <v>0</v>
      </c>
      <c r="AF23" s="71">
        <f>IF(AND($C$4=AC23,$B$4=AF19),AC15,0)</f>
        <v>0</v>
      </c>
      <c r="AH23" s="70">
        <v>0.3</v>
      </c>
      <c r="AI23" s="71">
        <f>IF(AND($C$4=AH23,$B$4=AI19),AI15,0)</f>
        <v>0</v>
      </c>
      <c r="AJ23" s="71">
        <f>IF(AND($C$4=AH23,$B$4=AJ19),AI15,0)</f>
        <v>0</v>
      </c>
      <c r="AK23" s="71">
        <f>IF(AND($C$4=AH23,$B$4=AK19),$AI$15,0)</f>
        <v>0</v>
      </c>
    </row>
    <row r="24" spans="7:37">
      <c r="AC24" s="70">
        <v>0.5</v>
      </c>
      <c r="AD24" s="71">
        <f>IF(AND($C$4=AC24,$B$4=AD22),AC18,0)</f>
        <v>0</v>
      </c>
      <c r="AE24" s="71">
        <f>IF(AND($C$4=AC24,$B$4=AE19),AC15,0)</f>
        <v>255615.34367100004</v>
      </c>
      <c r="AF24" s="71">
        <f>IF(AND($C$4=AC24,$B$4=AF19),AC15,0)</f>
        <v>0</v>
      </c>
      <c r="AH24" s="70">
        <v>0.5</v>
      </c>
      <c r="AI24" s="71">
        <f>IF(AND($C$4=AH24,$B$4=AI19),AI15,0)</f>
        <v>0</v>
      </c>
      <c r="AJ24" s="71">
        <f>IF(AND($C$4=AH24,$B$4=AJ19),AI15,0)</f>
        <v>255615.34367100004</v>
      </c>
      <c r="AK24" s="71">
        <f>IF(AND($C$4=AH24,$B$4=AK19),$AI$15,0)</f>
        <v>0</v>
      </c>
    </row>
    <row r="25" spans="7:37">
      <c r="AC25" s="70">
        <v>1</v>
      </c>
      <c r="AD25" s="71">
        <f>IF(AND($C$4=AC25,$B$4=AD23),AC19,0)</f>
        <v>0</v>
      </c>
      <c r="AE25" s="71">
        <f>IF(AND($C$4=AC25,$B$4=AE19),AD19,0)</f>
        <v>0</v>
      </c>
      <c r="AF25" s="71">
        <f>IF(AND($C$4=AC25,$B$4=AF19),AC15,0)</f>
        <v>0</v>
      </c>
      <c r="AH25" s="70">
        <v>1</v>
      </c>
      <c r="AI25" s="71">
        <f>IF(AND($C$4=AH25,$B$4=AI19),AI15,0)</f>
        <v>0</v>
      </c>
      <c r="AJ25" s="71">
        <f>IF(AND($C$4=AH25,$B$4=AJ19),AI15,0)</f>
        <v>0</v>
      </c>
      <c r="AK25" s="71">
        <f>IF(AND($C$4=AH25,$B$4=AK19),$AI$15,0)</f>
        <v>0</v>
      </c>
    </row>
    <row r="26" spans="7:37">
      <c r="W26" s="61"/>
    </row>
    <row r="27" spans="7:37">
      <c r="AH27" s="72"/>
    </row>
  </sheetData>
  <mergeCells count="2">
    <mergeCell ref="E5:H5"/>
    <mergeCell ref="J5:O5"/>
  </mergeCells>
  <conditionalFormatting sqref="S15:U15">
    <cfRule type="cellIs" dxfId="4" priority="5" operator="greaterThan">
      <formula>0</formula>
    </cfRule>
  </conditionalFormatting>
  <conditionalFormatting sqref="AD15 AJ15">
    <cfRule type="cellIs" dxfId="3" priority="3" operator="lessThan">
      <formula>$S$15</formula>
    </cfRule>
    <cfRule type="cellIs" dxfId="2" priority="4" operator="greaterThan">
      <formula>$S$15</formula>
    </cfRule>
  </conditionalFormatting>
  <conditionalFormatting sqref="AE15 AK15">
    <cfRule type="cellIs" dxfId="1" priority="1" operator="lessThan">
      <formula>$X$15</formula>
    </cfRule>
    <cfRule type="cellIs" dxfId="0" priority="2" operator="greaterThan">
      <formula>$X$15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пробный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2017-09-08T08:24:32Z</dcterms:created>
  <dcterms:modified xsi:type="dcterms:W3CDTF">2017-09-08T08:47:01Z</dcterms:modified>
</cp:coreProperties>
</file>