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пробный" sheetId="1" r:id="rId1"/>
  </sheets>
  <calcPr calcId="152511"/>
</workbook>
</file>

<file path=xl/calcChain.xml><?xml version="1.0" encoding="utf-8"?>
<calcChain xmlns="http://schemas.openxmlformats.org/spreadsheetml/2006/main">
  <c r="AB7" i="1" l="1"/>
  <c r="AB8" i="1"/>
  <c r="AB9" i="1"/>
  <c r="AB10" i="1"/>
  <c r="AB11" i="1"/>
  <c r="AB12" i="1"/>
  <c r="AB13" i="1"/>
  <c r="AB14" i="1"/>
  <c r="AC7" i="1" l="1"/>
  <c r="S7" i="1"/>
  <c r="AK25" i="1"/>
  <c r="AJ25" i="1"/>
  <c r="AI25" i="1"/>
  <c r="AF25" i="1"/>
  <c r="AE25" i="1"/>
  <c r="AK24" i="1"/>
  <c r="AI24" i="1"/>
  <c r="AF24" i="1"/>
  <c r="AK23" i="1"/>
  <c r="AJ23" i="1"/>
  <c r="AI23" i="1"/>
  <c r="AF23" i="1"/>
  <c r="AE23" i="1"/>
  <c r="AK22" i="1"/>
  <c r="AJ22" i="1"/>
  <c r="AI22" i="1"/>
  <c r="AF22" i="1"/>
  <c r="AE22" i="1"/>
  <c r="AD22" i="1"/>
  <c r="AD24" i="1" s="1"/>
  <c r="AK21" i="1"/>
  <c r="AJ21" i="1"/>
  <c r="AI21" i="1"/>
  <c r="AF21" i="1"/>
  <c r="AE21" i="1"/>
  <c r="AD21" i="1"/>
  <c r="AD23" i="1" s="1"/>
  <c r="AD25" i="1" s="1"/>
  <c r="N15" i="1"/>
  <c r="K15" i="1"/>
  <c r="S14" i="1"/>
  <c r="T14" i="1"/>
  <c r="R14" i="1"/>
  <c r="P14" i="1"/>
  <c r="M14" i="1"/>
  <c r="J14" i="1"/>
  <c r="AC14" i="1"/>
  <c r="AD14" i="1" s="1"/>
  <c r="G14" i="1"/>
  <c r="H14" i="1" s="1"/>
  <c r="AI13" i="1"/>
  <c r="S13" i="1"/>
  <c r="R13" i="1"/>
  <c r="T13" i="1" s="1"/>
  <c r="Q13" i="1"/>
  <c r="P13" i="1"/>
  <c r="M13" i="1"/>
  <c r="J13" i="1"/>
  <c r="V13" i="1" s="1"/>
  <c r="W13" i="1" s="1"/>
  <c r="X13" i="1" s="1"/>
  <c r="G13" i="1"/>
  <c r="H13" i="1" s="1"/>
  <c r="S12" i="1"/>
  <c r="T12" i="1" s="1"/>
  <c r="R12" i="1"/>
  <c r="P12" i="1"/>
  <c r="M12" i="1"/>
  <c r="J12" i="1"/>
  <c r="AC12" i="1" s="1"/>
  <c r="AD12" i="1" s="1"/>
  <c r="H12" i="1"/>
  <c r="G12" i="1"/>
  <c r="T11" i="1"/>
  <c r="S11" i="1"/>
  <c r="Q11" i="1" s="1"/>
  <c r="R11" i="1"/>
  <c r="P11" i="1"/>
  <c r="M11" i="1"/>
  <c r="J11" i="1"/>
  <c r="AI11" i="1" s="1"/>
  <c r="AJ11" i="1" s="1"/>
  <c r="H11" i="1"/>
  <c r="G11" i="1"/>
  <c r="S10" i="1"/>
  <c r="T10" i="1" s="1"/>
  <c r="R10" i="1"/>
  <c r="P10" i="1"/>
  <c r="M10" i="1"/>
  <c r="J10" i="1"/>
  <c r="AC10" i="1" s="1"/>
  <c r="AD10" i="1" s="1"/>
  <c r="H10" i="1"/>
  <c r="G10" i="1"/>
  <c r="AI9" i="1"/>
  <c r="AJ9" i="1" s="1"/>
  <c r="S9" i="1"/>
  <c r="T9" i="1" s="1"/>
  <c r="R9" i="1"/>
  <c r="Q9" i="1"/>
  <c r="P9" i="1"/>
  <c r="M9" i="1"/>
  <c r="J9" i="1"/>
  <c r="V9" i="1" s="1"/>
  <c r="W9" i="1" s="1"/>
  <c r="X9" i="1" s="1"/>
  <c r="H9" i="1"/>
  <c r="G9" i="1"/>
  <c r="S8" i="1"/>
  <c r="T8" i="1" s="1"/>
  <c r="R8" i="1"/>
  <c r="P8" i="1"/>
  <c r="AI8" i="1" s="1"/>
  <c r="M8" i="1"/>
  <c r="J8" i="1"/>
  <c r="G8" i="1"/>
  <c r="H8" i="1" s="1"/>
  <c r="V7" i="1"/>
  <c r="W7" i="1" s="1"/>
  <c r="T7" i="1"/>
  <c r="R7" i="1"/>
  <c r="R15" i="1" s="1"/>
  <c r="A4" i="1" s="1"/>
  <c r="Q7" i="1"/>
  <c r="P7" i="1"/>
  <c r="M7" i="1"/>
  <c r="M15" i="1"/>
  <c r="J7" i="1"/>
  <c r="J15" i="1" s="1"/>
  <c r="G7" i="1"/>
  <c r="H7" i="1" s="1"/>
  <c r="Q10" i="1"/>
  <c r="Q12" i="1"/>
  <c r="V12" i="1"/>
  <c r="W12" i="1" s="1"/>
  <c r="X12" i="1" s="1"/>
  <c r="AI12" i="1"/>
  <c r="AJ12" i="1" s="1"/>
  <c r="Q14" i="1"/>
  <c r="V14" i="1"/>
  <c r="W14" i="1" s="1"/>
  <c r="X14" i="1" s="1"/>
  <c r="AI14" i="1"/>
  <c r="AJ14" i="1" s="1"/>
  <c r="V8" i="1"/>
  <c r="W8" i="1" s="1"/>
  <c r="X8" i="1" s="1"/>
  <c r="AE10" i="1" l="1"/>
  <c r="AG10" i="1" s="1"/>
  <c r="AF10" i="1"/>
  <c r="AL12" i="1"/>
  <c r="AK12" i="1"/>
  <c r="AM12" i="1" s="1"/>
  <c r="AJ8" i="1"/>
  <c r="AL11" i="1"/>
  <c r="AK11" i="1"/>
  <c r="AM11" i="1" s="1"/>
  <c r="AJ13" i="1"/>
  <c r="AE12" i="1"/>
  <c r="AG12" i="1" s="1"/>
  <c r="AF12" i="1"/>
  <c r="AK14" i="1"/>
  <c r="AM14" i="1" s="1"/>
  <c r="AL14" i="1"/>
  <c r="AL9" i="1"/>
  <c r="AK9" i="1"/>
  <c r="AM9" i="1" s="1"/>
  <c r="AE14" i="1"/>
  <c r="AG14" i="1" s="1"/>
  <c r="AF14" i="1"/>
  <c r="X7" i="1"/>
  <c r="AI10" i="1"/>
  <c r="AJ10" i="1" s="1"/>
  <c r="Q8" i="1"/>
  <c r="Q15" i="1" s="1"/>
  <c r="AC9" i="1"/>
  <c r="AD9" i="1" s="1"/>
  <c r="AI7" i="1"/>
  <c r="AC11" i="1"/>
  <c r="AD11" i="1" s="1"/>
  <c r="V11" i="1"/>
  <c r="W11" i="1" s="1"/>
  <c r="X11" i="1" s="1"/>
  <c r="V10" i="1"/>
  <c r="W10" i="1" s="1"/>
  <c r="X10" i="1" s="1"/>
  <c r="S15" i="1"/>
  <c r="T15" i="1" s="1"/>
  <c r="P15" i="1"/>
  <c r="AC13" i="1"/>
  <c r="AD13" i="1" s="1"/>
  <c r="V15" i="1"/>
  <c r="AC8" i="1"/>
  <c r="AD8" i="1" s="1"/>
  <c r="AD7" i="1" l="1"/>
  <c r="AK13" i="1"/>
  <c r="AM13" i="1" s="1"/>
  <c r="AL13" i="1"/>
  <c r="AF13" i="1"/>
  <c r="AE13" i="1"/>
  <c r="AG13" i="1" s="1"/>
  <c r="W15" i="1"/>
  <c r="X15" i="1" s="1"/>
  <c r="AL8" i="1"/>
  <c r="AK8" i="1"/>
  <c r="AM8" i="1" s="1"/>
  <c r="AI15" i="1"/>
  <c r="AJ24" i="1" s="1"/>
  <c r="AJ7" i="1"/>
  <c r="AC15" i="1"/>
  <c r="AE24" i="1" s="1"/>
  <c r="AF9" i="1"/>
  <c r="AE9" i="1"/>
  <c r="AG9" i="1" s="1"/>
  <c r="AK10" i="1"/>
  <c r="AM10" i="1" s="1"/>
  <c r="AL10" i="1"/>
  <c r="AE8" i="1"/>
  <c r="AG8" i="1" s="1"/>
  <c r="AF8" i="1"/>
  <c r="AE11" i="1"/>
  <c r="AG11" i="1" s="1"/>
  <c r="AF11" i="1"/>
  <c r="AF7" i="1" l="1"/>
  <c r="AF15" i="1" s="1"/>
  <c r="AE7" i="1"/>
  <c r="AG7" i="1" s="1"/>
  <c r="AD15" i="1"/>
  <c r="AE15" i="1" s="1"/>
  <c r="AG15" i="1" s="1"/>
  <c r="AJ15" i="1"/>
  <c r="AK15" i="1" s="1"/>
  <c r="AM15" i="1" s="1"/>
  <c r="AL7" i="1"/>
  <c r="AL15" i="1" s="1"/>
  <c r="AK7" i="1"/>
  <c r="AM7" i="1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AB7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
Необходимо, чтобы в ячейку AB7 автоматически проставлялся такой минимальный %, чтобы значение в ячейке AD7 было не меньше ячейки S7 И значение в ячейке АЕ7 было не меньше значения в ячейке Т7</t>
        </r>
        <r>
          <rPr>
            <sz val="9"/>
            <color indexed="81"/>
            <rFont val="Tahoma"/>
            <family val="2"/>
            <charset val="20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<sst xmlns="http://schemas.openxmlformats.org/spreadsheetml/2006/main" count="68" uniqueCount="41">
  <si>
    <t>Реквизиты доп.соглашения</t>
  </si>
  <si>
    <t>Минимальная стоимость заказа</t>
  </si>
  <si>
    <t>Количество дней отсрочки</t>
  </si>
  <si>
    <t>Предоплата</t>
  </si>
  <si>
    <t xml:space="preserve">Наименование </t>
  </si>
  <si>
    <t>Расчет дат</t>
  </si>
  <si>
    <t>Условия сделки</t>
  </si>
  <si>
    <t>Минимальная стоимость сделки</t>
  </si>
  <si>
    <t>Стоимость сделки за вычетом аванса</t>
  </si>
  <si>
    <t>Отгрузка от поставщика в кредит</t>
  </si>
  <si>
    <t>Оплата поставщику авансом</t>
  </si>
  <si>
    <t>Поставщик</t>
  </si>
  <si>
    <t>Номенклатура</t>
  </si>
  <si>
    <t>шт</t>
  </si>
  <si>
    <t>Дата заказа поставщику</t>
  </si>
  <si>
    <t>Дата возникновения обязательств перед поставщиком</t>
  </si>
  <si>
    <t xml:space="preserve">Дата поставки </t>
  </si>
  <si>
    <t>Дата реализации клиенту</t>
  </si>
  <si>
    <t>Срок отвлечения денежных средств</t>
  </si>
  <si>
    <t>Розничная цена товара из 1С за вычетом аванса</t>
  </si>
  <si>
    <t>Розничная цена основная</t>
  </si>
  <si>
    <t>Входная скидка от производителя</t>
  </si>
  <si>
    <t>Закупочная стоимость поставщика  за вычетом аванса</t>
  </si>
  <si>
    <t>Закупочная стоимость основная</t>
  </si>
  <si>
    <t>Скидка покупателю</t>
  </si>
  <si>
    <t>Стоимость реализации клиенту от предоплаты</t>
  </si>
  <si>
    <t>Наценка от предоплаты</t>
  </si>
  <si>
    <t>Стоимость реализации клиенту основная</t>
  </si>
  <si>
    <t>Наценка основная</t>
  </si>
  <si>
    <t>Рентабельность основная</t>
  </si>
  <si>
    <t>Стоимость реализации клиенту</t>
  </si>
  <si>
    <t>Наценка</t>
  </si>
  <si>
    <t>Рентабельность</t>
  </si>
  <si>
    <t>%%</t>
  </si>
  <si>
    <t>Кол-во дней кредитного лимита</t>
  </si>
  <si>
    <t>Уменшение скидки</t>
  </si>
  <si>
    <t>Потеря</t>
  </si>
  <si>
    <t>Потеря в процентах</t>
  </si>
  <si>
    <t>Уменьшение скидки</t>
  </si>
  <si>
    <t>ИТОГО</t>
  </si>
  <si>
    <t>Рассрочка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</si>
</sst>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0000000%"/>
    <numFmt numFmtId="172" formatCode="0.00000000000%"/>
  </numFmts>
  <fonts count="5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1" xfId="0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/>
    <xf numFmtId="0" fontId="0" fillId="3" borderId="1" xfId="0" applyFill="1" applyBorder="1"/>
    <xf numFmtId="14" fontId="0" fillId="3" borderId="1" xfId="0" applyNumberFormat="1" applyFill="1" applyBorder="1"/>
    <xf numFmtId="0" fontId="0" fillId="3" borderId="0" xfId="0" applyFill="1" applyBorder="1"/>
    <xf numFmtId="14" fontId="0" fillId="3" borderId="0" xfId="0" applyNumberFormat="1" applyFill="1" applyBorder="1"/>
    <xf numFmtId="0" fontId="0" fillId="4" borderId="1" xfId="0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0" fillId="0" borderId="0" xfId="0" applyNumberFormat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0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4" borderId="3" xfId="0" applyFont="1" applyFill="1" applyBorder="1" applyAlignment="1"/>
    <xf numFmtId="0" fontId="3" fillId="4" borderId="4" xfId="0" applyFont="1" applyFill="1" applyBorder="1" applyAlignment="1"/>
    <xf numFmtId="0" fontId="3" fillId="4" borderId="5" xfId="0" applyFont="1" applyFill="1" applyBorder="1" applyAlignment="1"/>
    <xf numFmtId="0" fontId="3" fillId="0" borderId="4" xfId="0" applyFont="1" applyFill="1" applyBorder="1" applyAlignment="1"/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0" xfId="0" applyFill="1"/>
    <xf numFmtId="14" fontId="0" fillId="0" borderId="0" xfId="0" applyNumberFormat="1" applyFill="1"/>
    <xf numFmtId="14" fontId="0" fillId="9" borderId="0" xfId="0" applyNumberFormat="1" applyFill="1"/>
    <xf numFmtId="2" fontId="0" fillId="9" borderId="0" xfId="0" applyNumberFormat="1" applyFill="1"/>
    <xf numFmtId="2" fontId="0" fillId="0" borderId="0" xfId="0" applyNumberFormat="1" applyFill="1"/>
    <xf numFmtId="4" fontId="0" fillId="9" borderId="0" xfId="0" applyNumberFormat="1" applyFill="1"/>
    <xf numFmtId="10" fontId="0" fillId="0" borderId="0" xfId="0" applyNumberFormat="1"/>
    <xf numFmtId="4" fontId="4" fillId="9" borderId="0" xfId="0" applyNumberFormat="1" applyFont="1" applyFill="1"/>
    <xf numFmtId="10" fontId="4" fillId="9" borderId="0" xfId="0" applyNumberFormat="1" applyFont="1" applyFill="1"/>
    <xf numFmtId="10" fontId="4" fillId="0" borderId="0" xfId="0" applyNumberFormat="1" applyFont="1" applyFill="1"/>
    <xf numFmtId="10" fontId="0" fillId="9" borderId="0" xfId="0" applyNumberFormat="1" applyFill="1"/>
    <xf numFmtId="10" fontId="0" fillId="0" borderId="0" xfId="0" applyNumberFormat="1" applyFill="1"/>
    <xf numFmtId="1" fontId="0" fillId="0" borderId="0" xfId="0" applyNumberFormat="1"/>
    <xf numFmtId="0" fontId="3" fillId="4" borderId="1" xfId="0" applyFont="1" applyFill="1" applyBorder="1"/>
    <xf numFmtId="0" fontId="3" fillId="0" borderId="1" xfId="0" applyFont="1" applyFill="1" applyBorder="1"/>
    <xf numFmtId="4" fontId="3" fillId="4" borderId="1" xfId="0" applyNumberFormat="1" applyFont="1" applyFill="1" applyBorder="1"/>
    <xf numFmtId="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0" borderId="1" xfId="0" applyNumberFormat="1" applyFont="1" applyFill="1" applyBorder="1"/>
    <xf numFmtId="10" fontId="3" fillId="4" borderId="1" xfId="0" applyNumberFormat="1" applyFont="1" applyFill="1" applyBorder="1"/>
    <xf numFmtId="10" fontId="3" fillId="0" borderId="1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9" fontId="3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0" fontId="3" fillId="3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" fontId="4" fillId="10" borderId="0" xfId="0" applyNumberFormat="1" applyFont="1" applyFill="1"/>
    <xf numFmtId="10" fontId="4" fillId="13" borderId="0" xfId="0" applyNumberFormat="1" applyFont="1" applyFill="1"/>
    <xf numFmtId="0" fontId="0" fillId="12" borderId="0" xfId="0" applyFill="1"/>
    <xf numFmtId="0" fontId="0" fillId="11" borderId="0" xfId="0" applyFill="1"/>
    <xf numFmtId="14" fontId="0" fillId="11" borderId="0" xfId="0" applyNumberFormat="1" applyFill="1"/>
    <xf numFmtId="169" fontId="0" fillId="0" borderId="0" xfId="0" applyNumberFormat="1"/>
    <xf numFmtId="172" fontId="0" fillId="0" borderId="0" xfId="0" applyNumberFormat="1"/>
  </cellXfs>
  <cellStyles count="1">
    <cellStyle name="Обычный" xfId="0" builtinId="0"/>
  </cellStyles>
  <dxfs count="17"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M29"/>
  <sheetViews>
    <sheetView tabSelected="1" zoomScale="80" zoomScaleNormal="80" workbookViewId="0">
      <pane xSplit="3" ySplit="3" topLeftCell="J4" activePane="bottomRight" state="frozen"/>
      <selection pane="topRight" activeCell="D1" sqref="D1"/>
      <selection pane="bottomLeft" activeCell="A3" sqref="A3"/>
      <selection pane="bottomRight" activeCell="AB8" sqref="AB8"/>
    </sheetView>
  </sheetViews>
  <sheetFormatPr defaultRowHeight="15" outlineLevelCol="1" x14ac:dyDescent="0.25"/>
  <cols>
    <col min="1" max="1" width="17.85546875" customWidth="1"/>
    <col min="2" max="2" width="46.5703125" customWidth="1"/>
    <col min="3" max="3" width="12.140625" customWidth="1"/>
    <col min="4" max="4" width="11.85546875" customWidth="1" outlineLevel="1"/>
    <col min="5" max="5" width="12.5703125" customWidth="1" outlineLevel="1"/>
    <col min="6" max="6" width="12.140625" customWidth="1" outlineLevel="1"/>
    <col min="7" max="8" width="16.42578125" customWidth="1" outlineLevel="1"/>
    <col min="9" max="9" width="3.28515625" style="3" customWidth="1"/>
    <col min="10" max="10" width="13.28515625" customWidth="1" outlineLevel="1" collapsed="1"/>
    <col min="11" max="11" width="13.28515625" customWidth="1" outlineLevel="1"/>
    <col min="12" max="12" width="9.7109375" customWidth="1" outlineLevel="1"/>
    <col min="13" max="15" width="11.7109375" customWidth="1" outlineLevel="1"/>
    <col min="16" max="16" width="13.7109375" customWidth="1" outlineLevel="1" collapsed="1"/>
    <col min="17" max="17" width="14.42578125" customWidth="1" outlineLevel="1"/>
    <col min="18" max="18" width="13.7109375" customWidth="1"/>
    <col min="19" max="20" width="14.42578125" customWidth="1"/>
    <col min="21" max="21" width="0.5703125" style="3" customWidth="1"/>
    <col min="22" max="22" width="10.140625" customWidth="1" outlineLevel="1"/>
    <col min="23" max="23" width="10.28515625" customWidth="1" outlineLevel="1"/>
    <col min="24" max="24" width="9.140625" customWidth="1" outlineLevel="1"/>
    <col min="25" max="25" width="0.5703125" style="3" customWidth="1"/>
    <col min="26" max="26" width="10" customWidth="1" outlineLevel="1"/>
    <col min="27" max="27" width="10.140625" customWidth="1" outlineLevel="1"/>
    <col min="28" max="28" width="11.7109375" customWidth="1"/>
    <col min="29" max="29" width="10.140625" bestFit="1" customWidth="1"/>
    <col min="30" max="30" width="11" customWidth="1"/>
    <col min="31" max="31" width="10.28515625" customWidth="1"/>
    <col min="32" max="32" width="11.28515625" customWidth="1"/>
    <col min="34" max="34" width="13.85546875" customWidth="1"/>
    <col min="35" max="35" width="10.140625" bestFit="1" customWidth="1"/>
    <col min="36" max="36" width="10.7109375" customWidth="1"/>
    <col min="37" max="37" width="10.5703125" customWidth="1"/>
  </cols>
  <sheetData>
    <row r="1" spans="1:39" ht="30" x14ac:dyDescent="0.25">
      <c r="A1" s="1" t="s">
        <v>0</v>
      </c>
      <c r="B1" s="2"/>
      <c r="C1" s="1"/>
      <c r="V1" s="4"/>
      <c r="AC1" s="4"/>
      <c r="AI1" s="4"/>
    </row>
    <row r="2" spans="1:39" x14ac:dyDescent="0.25">
      <c r="A2" s="1"/>
      <c r="B2" s="5"/>
      <c r="C2" s="6"/>
      <c r="D2" s="7"/>
      <c r="E2" s="8"/>
      <c r="J2" s="79"/>
      <c r="K2" s="79"/>
      <c r="N2" s="79"/>
      <c r="O2" s="79"/>
      <c r="P2" s="79"/>
      <c r="V2" s="4"/>
      <c r="Z2" s="79"/>
      <c r="AA2" s="79"/>
      <c r="AC2" s="80"/>
      <c r="AI2" s="4"/>
    </row>
    <row r="3" spans="1:39" ht="30" customHeight="1" x14ac:dyDescent="0.25">
      <c r="A3" s="9" t="s">
        <v>1</v>
      </c>
      <c r="B3" s="9" t="s">
        <v>2</v>
      </c>
      <c r="C3" s="9" t="s">
        <v>3</v>
      </c>
      <c r="K3" s="78"/>
      <c r="N3" s="78"/>
      <c r="O3" s="78"/>
    </row>
    <row r="4" spans="1:39" x14ac:dyDescent="0.25">
      <c r="A4" s="10">
        <f>R15</f>
        <v>255615.34367100004</v>
      </c>
      <c r="B4" s="11">
        <v>30</v>
      </c>
      <c r="C4" s="12">
        <v>0.5</v>
      </c>
      <c r="D4" s="13"/>
    </row>
    <row r="5" spans="1:39" x14ac:dyDescent="0.25">
      <c r="A5" s="14" t="s">
        <v>4</v>
      </c>
      <c r="B5" s="15"/>
      <c r="C5" s="16"/>
      <c r="D5" s="16"/>
      <c r="E5" s="73" t="s">
        <v>5</v>
      </c>
      <c r="F5" s="74"/>
      <c r="G5" s="74"/>
      <c r="H5" s="74"/>
      <c r="I5" s="17"/>
      <c r="J5" s="74" t="s">
        <v>6</v>
      </c>
      <c r="K5" s="74"/>
      <c r="L5" s="74"/>
      <c r="M5" s="74"/>
      <c r="N5" s="75"/>
      <c r="O5" s="75"/>
      <c r="P5" s="18"/>
      <c r="Q5" s="18"/>
      <c r="R5" s="19" t="s">
        <v>7</v>
      </c>
      <c r="S5" s="18"/>
      <c r="T5" s="18"/>
      <c r="U5" s="20"/>
      <c r="V5" s="21" t="s">
        <v>8</v>
      </c>
      <c r="W5" s="22"/>
      <c r="X5" s="23"/>
      <c r="Y5" s="24"/>
      <c r="Z5" s="22"/>
      <c r="AA5" s="25"/>
      <c r="AB5" s="25"/>
      <c r="AC5" s="22" t="s">
        <v>9</v>
      </c>
      <c r="AD5" s="25"/>
      <c r="AE5" s="25"/>
      <c r="AF5" s="25"/>
      <c r="AG5" s="25"/>
      <c r="AH5" s="21" t="s">
        <v>10</v>
      </c>
      <c r="AI5" s="25"/>
      <c r="AJ5" s="26"/>
      <c r="AK5" s="26"/>
      <c r="AL5" s="26"/>
      <c r="AM5" s="27"/>
    </row>
    <row r="6" spans="1:39" ht="105" x14ac:dyDescent="0.25">
      <c r="A6" s="28" t="s">
        <v>11</v>
      </c>
      <c r="B6" s="28" t="s">
        <v>12</v>
      </c>
      <c r="C6" s="28" t="s">
        <v>13</v>
      </c>
      <c r="D6" s="29" t="s">
        <v>14</v>
      </c>
      <c r="E6" s="29" t="s">
        <v>15</v>
      </c>
      <c r="F6" s="29" t="s">
        <v>16</v>
      </c>
      <c r="G6" s="29" t="s">
        <v>17</v>
      </c>
      <c r="H6" s="29" t="s">
        <v>18</v>
      </c>
      <c r="I6" s="30"/>
      <c r="J6" s="29" t="s">
        <v>19</v>
      </c>
      <c r="K6" s="29" t="s">
        <v>20</v>
      </c>
      <c r="L6" s="29" t="s">
        <v>21</v>
      </c>
      <c r="M6" s="29" t="s">
        <v>22</v>
      </c>
      <c r="N6" s="29" t="s">
        <v>23</v>
      </c>
      <c r="O6" s="29" t="s">
        <v>24</v>
      </c>
      <c r="P6" s="31" t="s">
        <v>25</v>
      </c>
      <c r="Q6" s="31" t="s">
        <v>26</v>
      </c>
      <c r="R6" s="31" t="s">
        <v>27</v>
      </c>
      <c r="S6" s="32" t="s">
        <v>28</v>
      </c>
      <c r="T6" s="32" t="s">
        <v>29</v>
      </c>
      <c r="U6" s="33"/>
      <c r="V6" s="34" t="s">
        <v>30</v>
      </c>
      <c r="W6" s="34" t="s">
        <v>31</v>
      </c>
      <c r="X6" s="34" t="s">
        <v>32</v>
      </c>
      <c r="Y6" s="35"/>
      <c r="Z6" s="36" t="s">
        <v>33</v>
      </c>
      <c r="AA6" s="36" t="s">
        <v>34</v>
      </c>
      <c r="AB6" s="36" t="s">
        <v>35</v>
      </c>
      <c r="AC6" s="36" t="s">
        <v>30</v>
      </c>
      <c r="AD6" s="37" t="s">
        <v>31</v>
      </c>
      <c r="AE6" s="37" t="s">
        <v>32</v>
      </c>
      <c r="AF6" s="36" t="s">
        <v>36</v>
      </c>
      <c r="AG6" s="36" t="s">
        <v>37</v>
      </c>
      <c r="AH6" s="38" t="s">
        <v>38</v>
      </c>
      <c r="AI6" s="38" t="s">
        <v>30</v>
      </c>
      <c r="AJ6" s="38" t="s">
        <v>31</v>
      </c>
      <c r="AK6" s="38" t="s">
        <v>32</v>
      </c>
      <c r="AL6" s="38" t="s">
        <v>36</v>
      </c>
      <c r="AM6" s="38" t="s">
        <v>37</v>
      </c>
    </row>
    <row r="7" spans="1:39" ht="15.75" x14ac:dyDescent="0.25">
      <c r="A7" t="s">
        <v>11</v>
      </c>
      <c r="B7" s="39" t="s">
        <v>12</v>
      </c>
      <c r="C7" s="39">
        <v>1</v>
      </c>
      <c r="D7" s="40">
        <v>42962</v>
      </c>
      <c r="E7" s="40">
        <v>42962</v>
      </c>
      <c r="F7" s="40">
        <v>42969</v>
      </c>
      <c r="G7" s="41">
        <f>F7+5</f>
        <v>42974</v>
      </c>
      <c r="H7" s="42">
        <f t="shared" ref="H7:H14" si="0">G7+$B$4-E7</f>
        <v>42</v>
      </c>
      <c r="I7" s="43"/>
      <c r="J7" s="44">
        <f>IF($C$4=0%,K7,(K7-K7*$C$4))</f>
        <v>79641.735000000001</v>
      </c>
      <c r="K7" s="44">
        <v>159283.47</v>
      </c>
      <c r="L7" s="45">
        <v>0.48502251991371115</v>
      </c>
      <c r="M7" s="44">
        <f>IF($C$4=0%,N7,(N7-N7*$C$4))</f>
        <v>41013.699999999997</v>
      </c>
      <c r="N7" s="44">
        <v>82027.399999999994</v>
      </c>
      <c r="O7" s="45">
        <v>0.45069999999999999</v>
      </c>
      <c r="P7" s="44">
        <f>K7*$C$4-K7*O7*$C$4</f>
        <v>43747.205035500003</v>
      </c>
      <c r="Q7" s="44">
        <f t="shared" ref="Q7:Q14" si="1">S7*$C$4</f>
        <v>2733.5050355000058</v>
      </c>
      <c r="R7" s="44">
        <f>K7-K7*O7</f>
        <v>87494.410071000006</v>
      </c>
      <c r="S7" s="76">
        <f>K7-K7*O7-N7</f>
        <v>5467.0100710000115</v>
      </c>
      <c r="T7" s="77">
        <f>S7/R7</f>
        <v>6.2484106888241658E-2</v>
      </c>
      <c r="U7" s="48"/>
      <c r="V7" s="44">
        <f>J7-J7*O7</f>
        <v>43747.205035500003</v>
      </c>
      <c r="W7" s="44">
        <f t="shared" ref="W7:W14" si="2">V7-M7</f>
        <v>2733.5050355000058</v>
      </c>
      <c r="X7" s="49">
        <f>W7/V7</f>
        <v>6.2484106888241658E-2</v>
      </c>
      <c r="Y7" s="50"/>
      <c r="Z7" s="13">
        <v>0.04</v>
      </c>
      <c r="AA7">
        <v>60</v>
      </c>
      <c r="AB7" s="45">
        <f>O7-(IF($C$4=0,K7,K7-K7*$C$4)+K7*$C$4-K7*O7*$C$4-MAX(S7+N7+N7*(1-$C$4)*Z7*H7/AA7,(N7+N7*(1-$C$4)*Z7*H7/AA7)/(1-T7)))/IF($C$4=0,K7,K7-K7*$C$4)</f>
        <v>1.5380399999999961E-2</v>
      </c>
      <c r="AC7" s="44">
        <f>(J7-J7*(O7-AB7)+P7)</f>
        <v>88719.331811993994</v>
      </c>
      <c r="AD7" s="76">
        <f>AC7-N7-N7*(100%-$C$4)*Z7*H7/AA7</f>
        <v>5543.5482119939998</v>
      </c>
      <c r="AE7" s="77">
        <f>AD7/AC7</f>
        <v>6.2484106888241527E-2</v>
      </c>
      <c r="AF7" s="44">
        <f t="shared" ref="AF7:AG14" si="3">AD7-S7</f>
        <v>76.538140993988236</v>
      </c>
      <c r="AG7" s="49">
        <f t="shared" si="3"/>
        <v>-1.3183898417423734E-16</v>
      </c>
      <c r="AH7" s="45"/>
      <c r="AI7" s="44">
        <f t="shared" ref="AI7:AI14" si="4">J7-J7*(O7-AH7)+P7</f>
        <v>87494.410071000006</v>
      </c>
      <c r="AJ7" s="44">
        <f t="shared" ref="AJ7:AJ14" si="5">AI7-N7-((N7-(N7*$C$4))*7.7%*H7/365)</f>
        <v>5103.6174523698746</v>
      </c>
      <c r="AK7" s="49">
        <f>AJ7/AI7</f>
        <v>5.8330783054921891E-2</v>
      </c>
      <c r="AL7" s="44">
        <f>AJ7-S7</f>
        <v>-363.39261863013689</v>
      </c>
      <c r="AM7" s="49">
        <f t="shared" ref="AM7:AM14" si="6">AK7-X7</f>
        <v>-4.1533238333197678E-3</v>
      </c>
    </row>
    <row r="8" spans="1:39" ht="15.75" x14ac:dyDescent="0.25">
      <c r="A8" t="s">
        <v>11</v>
      </c>
      <c r="B8" s="39" t="s">
        <v>12</v>
      </c>
      <c r="C8" s="39">
        <v>2</v>
      </c>
      <c r="D8" s="40">
        <v>42962</v>
      </c>
      <c r="E8" s="40">
        <v>42962</v>
      </c>
      <c r="F8" s="40">
        <v>42969</v>
      </c>
      <c r="G8" s="41">
        <f t="shared" ref="G8:G14" si="7">F8+5</f>
        <v>42974</v>
      </c>
      <c r="H8" s="42">
        <f t="shared" si="0"/>
        <v>42</v>
      </c>
      <c r="I8" s="43"/>
      <c r="J8" s="44">
        <f t="shared" ref="J8:J14" si="8">IF($C$4=0%,K8,(K8-K8*$C$4))</f>
        <v>44462.27</v>
      </c>
      <c r="K8" s="44">
        <v>88924.54</v>
      </c>
      <c r="L8" s="45">
        <v>0.56259205839018112</v>
      </c>
      <c r="M8" s="44">
        <f t="shared" ref="M8:M14" si="9">IF($C$4=0%,N8,(N8-N8*$C$4))</f>
        <v>19448.150000000001</v>
      </c>
      <c r="N8" s="44">
        <v>38896.300000000003</v>
      </c>
      <c r="O8" s="45">
        <v>0.52</v>
      </c>
      <c r="P8" s="44">
        <f t="shared" ref="P8:P14" si="10">K8*$C$4-K8*O8*$C$4</f>
        <v>21341.889599999999</v>
      </c>
      <c r="Q8" s="44">
        <f t="shared" si="1"/>
        <v>1893.7395999999972</v>
      </c>
      <c r="R8" s="44">
        <f t="shared" ref="R8:R14" si="11">K8-K8*O8</f>
        <v>42683.779199999997</v>
      </c>
      <c r="S8" s="46">
        <f t="shared" ref="S8:S14" si="12">K8-K8*O8-N8</f>
        <v>3787.4791999999943</v>
      </c>
      <c r="T8" s="47">
        <f t="shared" ref="T8:T15" si="13">S8/R8</f>
        <v>8.8733454979543949E-2</v>
      </c>
      <c r="U8" s="48"/>
      <c r="V8" s="44">
        <f t="shared" ref="V8:V14" si="14">J8-J8*O8</f>
        <v>21341.889599999999</v>
      </c>
      <c r="W8" s="44">
        <f t="shared" si="2"/>
        <v>1893.7395999999972</v>
      </c>
      <c r="X8" s="49">
        <f t="shared" ref="X8:X15" si="15">W8/V8</f>
        <v>8.8733454979543949E-2</v>
      </c>
      <c r="Y8" s="50"/>
      <c r="Z8" s="13">
        <v>0.04</v>
      </c>
      <c r="AA8">
        <v>60</v>
      </c>
      <c r="AB8" s="45">
        <f t="shared" ref="AB8:AB14" si="16">O8-(IF($C$4=0,K8,K8-K8*$C$4)+K8*$C$4-K8*O8*$C$4-MAX(S8+N8+N8*(1-$C$4)*Z8*H8/AA8,(N8+N8*(1-$C$4)*Z8*H8/AA8)/(1-T8)))/IF($C$4=0,K8,K8-K8*$C$4)</f>
        <v>1.3440000000000007E-2</v>
      </c>
      <c r="AC8" s="44">
        <f t="shared" ref="AC8:AC14" si="17">J8-J8*(O8-AB8)+P8</f>
        <v>43281.352108799998</v>
      </c>
      <c r="AD8" s="46">
        <f t="shared" ref="AD7:AD14" si="18">AC8-N8-N8*(100%-$C$4)*Z8*H8/AA8</f>
        <v>3840.5039087999949</v>
      </c>
      <c r="AE8" s="47">
        <f t="shared" ref="AE7:AE15" si="19">AD8/AC8</f>
        <v>8.8733454979543963E-2</v>
      </c>
      <c r="AF8" s="44">
        <f t="shared" si="3"/>
        <v>53.024708800000553</v>
      </c>
      <c r="AG8" s="49">
        <f t="shared" si="3"/>
        <v>0</v>
      </c>
      <c r="AH8" s="45"/>
      <c r="AI8" s="44">
        <f t="shared" si="4"/>
        <v>42683.779199999997</v>
      </c>
      <c r="AJ8" s="44">
        <f t="shared" si="5"/>
        <v>3615.1632627397203</v>
      </c>
      <c r="AK8" s="49">
        <f t="shared" ref="AK8:AK15" si="20">AJ8/AI8</f>
        <v>8.4696419354069769E-2</v>
      </c>
      <c r="AL8" s="44">
        <f t="shared" ref="AL8:AL14" si="21">AJ8-S8</f>
        <v>-172.31593726027404</v>
      </c>
      <c r="AM8" s="49">
        <f t="shared" si="6"/>
        <v>-4.0370356254741807E-3</v>
      </c>
    </row>
    <row r="9" spans="1:39" ht="15.75" x14ac:dyDescent="0.25">
      <c r="A9" t="s">
        <v>11</v>
      </c>
      <c r="B9" s="39" t="s">
        <v>12</v>
      </c>
      <c r="C9" s="39">
        <v>1</v>
      </c>
      <c r="D9" s="40">
        <v>42962</v>
      </c>
      <c r="E9" s="40">
        <v>42962</v>
      </c>
      <c r="F9" s="40">
        <v>42969</v>
      </c>
      <c r="G9" s="41">
        <f t="shared" si="7"/>
        <v>42974</v>
      </c>
      <c r="H9" s="42">
        <f t="shared" si="0"/>
        <v>42</v>
      </c>
      <c r="I9" s="43"/>
      <c r="J9" s="44">
        <f t="shared" si="8"/>
        <v>25193.564999999999</v>
      </c>
      <c r="K9" s="44">
        <v>50387.13</v>
      </c>
      <c r="L9" s="45">
        <v>0.56259346384681952</v>
      </c>
      <c r="M9" s="44">
        <f t="shared" si="9"/>
        <v>11019.830000000002</v>
      </c>
      <c r="N9" s="44">
        <v>22039.660000000003</v>
      </c>
      <c r="O9" s="45">
        <v>0.52</v>
      </c>
      <c r="P9" s="44">
        <f t="shared" si="10"/>
        <v>12092.911199999999</v>
      </c>
      <c r="Q9" s="44">
        <f t="shared" si="1"/>
        <v>1073.0811999999969</v>
      </c>
      <c r="R9" s="44">
        <f t="shared" si="11"/>
        <v>24185.822399999997</v>
      </c>
      <c r="S9" s="46">
        <f t="shared" si="12"/>
        <v>2146.1623999999938</v>
      </c>
      <c r="T9" s="47">
        <f t="shared" si="13"/>
        <v>8.873638301420729E-2</v>
      </c>
      <c r="U9" s="48"/>
      <c r="V9" s="44">
        <f t="shared" si="14"/>
        <v>12092.911199999999</v>
      </c>
      <c r="W9" s="44">
        <f t="shared" si="2"/>
        <v>1073.0811999999969</v>
      </c>
      <c r="X9" s="49">
        <f t="shared" si="15"/>
        <v>8.873638301420729E-2</v>
      </c>
      <c r="Y9" s="50"/>
      <c r="Z9" s="13">
        <v>0.04</v>
      </c>
      <c r="AA9">
        <v>60</v>
      </c>
      <c r="AB9" s="45">
        <f t="shared" si="16"/>
        <v>1.3440000000000119E-2</v>
      </c>
      <c r="AC9" s="44">
        <f t="shared" si="17"/>
        <v>24524.4239136</v>
      </c>
      <c r="AD9" s="46">
        <f t="shared" si="18"/>
        <v>2176.208673599996</v>
      </c>
      <c r="AE9" s="47">
        <f t="shared" si="19"/>
        <v>8.8736383014207373E-2</v>
      </c>
      <c r="AF9" s="44">
        <f t="shared" si="3"/>
        <v>30.046273600002223</v>
      </c>
      <c r="AG9" s="49">
        <f t="shared" si="3"/>
        <v>0</v>
      </c>
      <c r="AH9" s="45"/>
      <c r="AI9" s="44">
        <f t="shared" si="4"/>
        <v>24185.822399999997</v>
      </c>
      <c r="AJ9" s="44">
        <f t="shared" si="5"/>
        <v>2048.5236870684871</v>
      </c>
      <c r="AK9" s="49">
        <f t="shared" si="20"/>
        <v>8.4699360360327769E-2</v>
      </c>
      <c r="AL9" s="44">
        <f t="shared" si="21"/>
        <v>-97.638712931506689</v>
      </c>
      <c r="AM9" s="49">
        <f t="shared" si="6"/>
        <v>-4.0370226538795212E-3</v>
      </c>
    </row>
    <row r="10" spans="1:39" ht="15.75" x14ac:dyDescent="0.25">
      <c r="A10" t="s">
        <v>11</v>
      </c>
      <c r="B10" s="39" t="s">
        <v>12</v>
      </c>
      <c r="C10" s="39">
        <v>1</v>
      </c>
      <c r="D10" s="40">
        <v>42962</v>
      </c>
      <c r="E10" s="40">
        <v>42962</v>
      </c>
      <c r="F10" s="40">
        <v>42969</v>
      </c>
      <c r="G10" s="41">
        <f t="shared" si="7"/>
        <v>42974</v>
      </c>
      <c r="H10" s="42">
        <f t="shared" si="0"/>
        <v>42</v>
      </c>
      <c r="I10" s="43"/>
      <c r="J10" s="44">
        <f t="shared" si="8"/>
        <v>31607.105</v>
      </c>
      <c r="K10" s="44">
        <v>63214.21</v>
      </c>
      <c r="L10" s="45">
        <v>0.56259581508651291</v>
      </c>
      <c r="M10" s="44">
        <f t="shared" si="9"/>
        <v>13825.080000000002</v>
      </c>
      <c r="N10" s="44">
        <v>27650.160000000003</v>
      </c>
      <c r="O10" s="45">
        <v>0.52</v>
      </c>
      <c r="P10" s="44">
        <f t="shared" si="10"/>
        <v>15171.410400000001</v>
      </c>
      <c r="Q10" s="44">
        <f t="shared" si="1"/>
        <v>1346.3303999999989</v>
      </c>
      <c r="R10" s="44">
        <f t="shared" si="11"/>
        <v>30342.820800000001</v>
      </c>
      <c r="S10" s="46">
        <f t="shared" si="12"/>
        <v>2692.6607999999978</v>
      </c>
      <c r="T10" s="47">
        <f t="shared" si="13"/>
        <v>8.8741281430235311E-2</v>
      </c>
      <c r="U10" s="48"/>
      <c r="V10" s="44">
        <f t="shared" si="14"/>
        <v>15171.410400000001</v>
      </c>
      <c r="W10" s="44">
        <f t="shared" si="2"/>
        <v>1346.3303999999989</v>
      </c>
      <c r="X10" s="49">
        <f t="shared" si="15"/>
        <v>8.8741281430235311E-2</v>
      </c>
      <c r="Y10" s="50"/>
      <c r="Z10" s="13">
        <v>0.04</v>
      </c>
      <c r="AA10">
        <v>60</v>
      </c>
      <c r="AB10" s="45">
        <f t="shared" si="16"/>
        <v>1.3439999999999896E-2</v>
      </c>
      <c r="AC10" s="44">
        <f t="shared" si="17"/>
        <v>30767.620291199997</v>
      </c>
      <c r="AD10" s="46">
        <f t="shared" si="18"/>
        <v>2730.3580511999935</v>
      </c>
      <c r="AE10" s="47">
        <f t="shared" si="19"/>
        <v>8.8741281430235186E-2</v>
      </c>
      <c r="AF10" s="44">
        <f t="shared" si="3"/>
        <v>37.697251199995662</v>
      </c>
      <c r="AG10" s="49">
        <f t="shared" si="3"/>
        <v>-1.2490009027033011E-16</v>
      </c>
      <c r="AH10" s="45"/>
      <c r="AI10" s="44">
        <f t="shared" si="4"/>
        <v>30342.820800000001</v>
      </c>
      <c r="AJ10" s="44">
        <f t="shared" si="5"/>
        <v>2570.1668035068469</v>
      </c>
      <c r="AK10" s="49">
        <f t="shared" si="20"/>
        <v>8.47042804770098E-2</v>
      </c>
      <c r="AL10" s="44">
        <f t="shared" si="21"/>
        <v>-122.49399649315092</v>
      </c>
      <c r="AM10" s="49">
        <f t="shared" si="6"/>
        <v>-4.0370009532255113E-3</v>
      </c>
    </row>
    <row r="11" spans="1:39" ht="15.75" x14ac:dyDescent="0.25">
      <c r="A11" t="s">
        <v>11</v>
      </c>
      <c r="B11" s="39" t="s">
        <v>12</v>
      </c>
      <c r="C11" s="39">
        <v>1</v>
      </c>
      <c r="D11" s="40">
        <v>42962</v>
      </c>
      <c r="E11" s="40">
        <v>42962</v>
      </c>
      <c r="F11" s="40">
        <v>42969</v>
      </c>
      <c r="G11" s="41">
        <f t="shared" si="7"/>
        <v>42974</v>
      </c>
      <c r="H11" s="42">
        <f t="shared" si="0"/>
        <v>42</v>
      </c>
      <c r="I11" s="43"/>
      <c r="J11" s="44">
        <f t="shared" si="8"/>
        <v>35708.095000000001</v>
      </c>
      <c r="K11" s="44">
        <v>71416.19</v>
      </c>
      <c r="L11" s="45">
        <v>0.57104572506598295</v>
      </c>
      <c r="M11" s="44">
        <f t="shared" si="9"/>
        <v>15317.14</v>
      </c>
      <c r="N11" s="44">
        <v>30634.28</v>
      </c>
      <c r="O11" s="45">
        <v>0.52</v>
      </c>
      <c r="P11" s="44">
        <f t="shared" si="10"/>
        <v>17139.885600000001</v>
      </c>
      <c r="Q11" s="44">
        <f t="shared" si="1"/>
        <v>1822.745600000002</v>
      </c>
      <c r="R11" s="44">
        <f t="shared" si="11"/>
        <v>34279.771200000003</v>
      </c>
      <c r="S11" s="46">
        <f t="shared" si="12"/>
        <v>3645.491200000004</v>
      </c>
      <c r="T11" s="47">
        <f t="shared" si="13"/>
        <v>0.10634526055413122</v>
      </c>
      <c r="U11" s="48"/>
      <c r="V11" s="44">
        <f t="shared" si="14"/>
        <v>17139.885600000001</v>
      </c>
      <c r="W11" s="44">
        <f t="shared" si="2"/>
        <v>1822.745600000002</v>
      </c>
      <c r="X11" s="49">
        <f t="shared" si="15"/>
        <v>0.10634526055413122</v>
      </c>
      <c r="Y11" s="50"/>
      <c r="Z11" s="13">
        <v>0.04</v>
      </c>
      <c r="AA11">
        <v>60</v>
      </c>
      <c r="AB11" s="45">
        <f t="shared" si="16"/>
        <v>1.3439999999999896E-2</v>
      </c>
      <c r="AC11" s="44">
        <f t="shared" si="17"/>
        <v>34759.687996799999</v>
      </c>
      <c r="AD11" s="46">
        <f t="shared" si="18"/>
        <v>3696.5280768000007</v>
      </c>
      <c r="AE11" s="47">
        <f t="shared" si="19"/>
        <v>0.10634526055413114</v>
      </c>
      <c r="AF11" s="44">
        <f t="shared" si="3"/>
        <v>51.036876799996662</v>
      </c>
      <c r="AG11" s="49">
        <f t="shared" si="3"/>
        <v>0</v>
      </c>
      <c r="AH11" s="45"/>
      <c r="AI11" s="44">
        <f t="shared" si="4"/>
        <v>34279.771200000003</v>
      </c>
      <c r="AJ11" s="44">
        <f t="shared" si="5"/>
        <v>3509.7771431232918</v>
      </c>
      <c r="AK11" s="49">
        <f t="shared" si="20"/>
        <v>0.10238624763992857</v>
      </c>
      <c r="AL11" s="44">
        <f t="shared" si="21"/>
        <v>-135.71405687671222</v>
      </c>
      <c r="AM11" s="49">
        <f t="shared" si="6"/>
        <v>-3.9590129142026559E-3</v>
      </c>
    </row>
    <row r="12" spans="1:39" ht="15.75" x14ac:dyDescent="0.25">
      <c r="A12" t="s">
        <v>11</v>
      </c>
      <c r="B12" s="39" t="s">
        <v>12</v>
      </c>
      <c r="C12" s="39">
        <v>3</v>
      </c>
      <c r="D12" s="40">
        <v>42962</v>
      </c>
      <c r="E12" s="40">
        <v>42962</v>
      </c>
      <c r="F12" s="40">
        <v>42969</v>
      </c>
      <c r="G12" s="41">
        <f t="shared" si="7"/>
        <v>42974</v>
      </c>
      <c r="H12" s="42">
        <f t="shared" si="0"/>
        <v>42</v>
      </c>
      <c r="I12" s="43"/>
      <c r="J12" s="44">
        <f t="shared" si="8"/>
        <v>8369.1</v>
      </c>
      <c r="K12" s="44">
        <v>16738.2</v>
      </c>
      <c r="L12" s="45">
        <v>0.55368797122749158</v>
      </c>
      <c r="M12" s="44">
        <f t="shared" si="9"/>
        <v>3735.2300000000005</v>
      </c>
      <c r="N12" s="44">
        <v>7470.4600000000009</v>
      </c>
      <c r="O12" s="45">
        <v>0.52</v>
      </c>
      <c r="P12" s="44">
        <f t="shared" si="10"/>
        <v>4017.1679999999997</v>
      </c>
      <c r="Q12" s="44">
        <f t="shared" si="1"/>
        <v>281.93799999999919</v>
      </c>
      <c r="R12" s="44">
        <f t="shared" si="11"/>
        <v>8034.3359999999993</v>
      </c>
      <c r="S12" s="46">
        <f t="shared" si="12"/>
        <v>563.87599999999838</v>
      </c>
      <c r="T12" s="47">
        <f t="shared" si="13"/>
        <v>7.0183273390607315E-2</v>
      </c>
      <c r="U12" s="48"/>
      <c r="V12" s="44">
        <f t="shared" si="14"/>
        <v>4017.1679999999997</v>
      </c>
      <c r="W12" s="44">
        <f t="shared" si="2"/>
        <v>281.93799999999919</v>
      </c>
      <c r="X12" s="49">
        <f t="shared" si="15"/>
        <v>7.0183273390607315E-2</v>
      </c>
      <c r="Y12" s="50"/>
      <c r="Z12" s="13">
        <v>0.04</v>
      </c>
      <c r="AA12">
        <v>60</v>
      </c>
      <c r="AB12" s="45">
        <f t="shared" si="16"/>
        <v>1.3440000000000007E-2</v>
      </c>
      <c r="AC12" s="44">
        <f t="shared" si="17"/>
        <v>8146.8167039999998</v>
      </c>
      <c r="AD12" s="46">
        <f t="shared" si="18"/>
        <v>571.77026399999886</v>
      </c>
      <c r="AE12" s="47">
        <f t="shared" si="19"/>
        <v>7.018327339060737E-2</v>
      </c>
      <c r="AF12" s="44">
        <f t="shared" si="3"/>
        <v>7.8942640000004758</v>
      </c>
      <c r="AG12" s="49">
        <f t="shared" si="3"/>
        <v>0</v>
      </c>
      <c r="AH12" s="45"/>
      <c r="AI12" s="44">
        <f t="shared" si="4"/>
        <v>8034.3359999999993</v>
      </c>
      <c r="AJ12" s="44">
        <f t="shared" si="5"/>
        <v>530.78083884931345</v>
      </c>
      <c r="AK12" s="49">
        <f t="shared" si="20"/>
        <v>6.6064057919573385E-2</v>
      </c>
      <c r="AL12" s="44">
        <f t="shared" si="21"/>
        <v>-33.09516115068493</v>
      </c>
      <c r="AM12" s="49">
        <f t="shared" si="6"/>
        <v>-4.1192154710339296E-3</v>
      </c>
    </row>
    <row r="13" spans="1:39" ht="15.75" x14ac:dyDescent="0.25">
      <c r="A13" t="s">
        <v>11</v>
      </c>
      <c r="B13" s="39" t="s">
        <v>12</v>
      </c>
      <c r="C13" s="39">
        <v>1</v>
      </c>
      <c r="D13" s="40">
        <v>42962</v>
      </c>
      <c r="E13" s="40">
        <v>42962</v>
      </c>
      <c r="F13" s="40">
        <v>42969</v>
      </c>
      <c r="G13" s="41">
        <f t="shared" si="7"/>
        <v>42974</v>
      </c>
      <c r="H13" s="42">
        <f t="shared" si="0"/>
        <v>42</v>
      </c>
      <c r="I13" s="43"/>
      <c r="J13" s="44">
        <f t="shared" si="8"/>
        <v>5932.3450000000003</v>
      </c>
      <c r="K13" s="44">
        <v>11864.69</v>
      </c>
      <c r="L13" s="45">
        <v>0.19570169974942464</v>
      </c>
      <c r="M13" s="44">
        <f t="shared" si="9"/>
        <v>4771.375</v>
      </c>
      <c r="N13" s="44">
        <v>9542.75</v>
      </c>
      <c r="O13" s="45">
        <v>0.1</v>
      </c>
      <c r="P13" s="44">
        <f t="shared" si="10"/>
        <v>5339.1105000000007</v>
      </c>
      <c r="Q13" s="44">
        <f t="shared" si="1"/>
        <v>567.73550000000068</v>
      </c>
      <c r="R13" s="44">
        <f t="shared" si="11"/>
        <v>10678.221000000001</v>
      </c>
      <c r="S13" s="46">
        <f t="shared" si="12"/>
        <v>1135.4710000000014</v>
      </c>
      <c r="T13" s="47">
        <f t="shared" si="13"/>
        <v>0.10633522194380517</v>
      </c>
      <c r="U13" s="48"/>
      <c r="V13" s="44">
        <f t="shared" si="14"/>
        <v>5339.1105000000007</v>
      </c>
      <c r="W13" s="44">
        <f t="shared" si="2"/>
        <v>567.73550000000068</v>
      </c>
      <c r="X13" s="49">
        <f t="shared" si="15"/>
        <v>0.10633522194380517</v>
      </c>
      <c r="Y13" s="50"/>
      <c r="Z13" s="13">
        <v>0.04</v>
      </c>
      <c r="AA13">
        <v>60</v>
      </c>
      <c r="AB13" s="45">
        <f t="shared" si="16"/>
        <v>2.5200000000000208E-2</v>
      </c>
      <c r="AC13" s="44">
        <f t="shared" si="17"/>
        <v>10827.716094000003</v>
      </c>
      <c r="AD13" s="46">
        <f t="shared" si="18"/>
        <v>1151.367594000003</v>
      </c>
      <c r="AE13" s="47">
        <f t="shared" si="19"/>
        <v>0.10633522194380531</v>
      </c>
      <c r="AF13" s="44">
        <f t="shared" si="3"/>
        <v>15.896594000001642</v>
      </c>
      <c r="AG13" s="49">
        <f t="shared" si="3"/>
        <v>1.3877787807814457E-16</v>
      </c>
      <c r="AH13" s="45"/>
      <c r="AI13" s="44">
        <f t="shared" si="4"/>
        <v>10678.221000000001</v>
      </c>
      <c r="AJ13" s="44">
        <f t="shared" si="5"/>
        <v>1093.195310273974</v>
      </c>
      <c r="AK13" s="49">
        <f t="shared" si="20"/>
        <v>0.10237616455718362</v>
      </c>
      <c r="AL13" s="44">
        <f t="shared" si="21"/>
        <v>-42.275689726027394</v>
      </c>
      <c r="AM13" s="49">
        <f t="shared" si="6"/>
        <v>-3.9590573866215423E-3</v>
      </c>
    </row>
    <row r="14" spans="1:39" ht="15.75" x14ac:dyDescent="0.25">
      <c r="A14" t="s">
        <v>11</v>
      </c>
      <c r="B14" s="39" t="s">
        <v>12</v>
      </c>
      <c r="C14" s="39">
        <v>1</v>
      </c>
      <c r="D14" s="40">
        <v>42962</v>
      </c>
      <c r="E14" s="40">
        <v>42962</v>
      </c>
      <c r="F14" s="40">
        <v>42969</v>
      </c>
      <c r="G14" s="41">
        <f t="shared" si="7"/>
        <v>42974</v>
      </c>
      <c r="H14" s="42">
        <f t="shared" si="0"/>
        <v>42</v>
      </c>
      <c r="I14" s="43"/>
      <c r="J14" s="44">
        <f t="shared" si="8"/>
        <v>9953.4349999999995</v>
      </c>
      <c r="K14" s="44">
        <v>19906.87</v>
      </c>
      <c r="L14" s="45">
        <v>0.19571032512896303</v>
      </c>
      <c r="M14" s="44">
        <f t="shared" si="9"/>
        <v>8005.4449999999997</v>
      </c>
      <c r="N14" s="44">
        <v>16010.89</v>
      </c>
      <c r="O14" s="45">
        <v>0.1</v>
      </c>
      <c r="P14" s="44">
        <f t="shared" si="10"/>
        <v>8958.0914999999986</v>
      </c>
      <c r="Q14" s="44">
        <f t="shared" si="1"/>
        <v>952.64649999999892</v>
      </c>
      <c r="R14" s="44">
        <f t="shared" si="11"/>
        <v>17916.182999999997</v>
      </c>
      <c r="S14" s="46">
        <f t="shared" si="12"/>
        <v>1905.2929999999978</v>
      </c>
      <c r="T14" s="47">
        <f t="shared" si="13"/>
        <v>0.10634480569884769</v>
      </c>
      <c r="U14" s="48"/>
      <c r="V14" s="44">
        <f t="shared" si="14"/>
        <v>8958.0914999999986</v>
      </c>
      <c r="W14" s="44">
        <f t="shared" si="2"/>
        <v>952.64649999999892</v>
      </c>
      <c r="X14" s="49">
        <f t="shared" si="15"/>
        <v>0.10634480569884769</v>
      </c>
      <c r="Y14" s="50"/>
      <c r="Z14" s="13">
        <v>0.04</v>
      </c>
      <c r="AA14" s="51">
        <v>60</v>
      </c>
      <c r="AB14" s="45">
        <f t="shared" si="16"/>
        <v>2.519999999999957E-2</v>
      </c>
      <c r="AC14" s="44">
        <f t="shared" si="17"/>
        <v>18167.009561999992</v>
      </c>
      <c r="AD14" s="46">
        <f t="shared" si="18"/>
        <v>1931.9671019999926</v>
      </c>
      <c r="AE14" s="47">
        <f t="shared" si="19"/>
        <v>0.10634480569884744</v>
      </c>
      <c r="AF14" s="44">
        <f t="shared" si="3"/>
        <v>26.674101999994718</v>
      </c>
      <c r="AG14" s="49">
        <f t="shared" si="3"/>
        <v>-2.4980018054066022E-16</v>
      </c>
      <c r="AH14" s="45"/>
      <c r="AI14" s="44">
        <f t="shared" si="4"/>
        <v>17916.182999999997</v>
      </c>
      <c r="AJ14" s="44">
        <f t="shared" si="5"/>
        <v>1834.3625640273951</v>
      </c>
      <c r="AK14" s="49">
        <f t="shared" si="20"/>
        <v>0.10238579076957383</v>
      </c>
      <c r="AL14" s="44">
        <f t="shared" si="21"/>
        <v>-70.930435972602709</v>
      </c>
      <c r="AM14" s="49">
        <f t="shared" si="6"/>
        <v>-3.959014929273863E-3</v>
      </c>
    </row>
    <row r="15" spans="1:39" s="60" customFormat="1" ht="15.75" x14ac:dyDescent="0.25">
      <c r="A15" s="52" t="s">
        <v>39</v>
      </c>
      <c r="B15" s="52"/>
      <c r="C15" s="52"/>
      <c r="D15" s="52"/>
      <c r="E15" s="52"/>
      <c r="F15" s="52"/>
      <c r="G15" s="52"/>
      <c r="H15" s="52"/>
      <c r="I15" s="53"/>
      <c r="J15" s="54">
        <f>SUM(J7:J14)</f>
        <v>240867.65000000002</v>
      </c>
      <c r="K15" s="54">
        <f>SUM(K7:K14)</f>
        <v>481735.30000000005</v>
      </c>
      <c r="L15" s="52"/>
      <c r="M15" s="54">
        <f>SUM(M7:M14)</f>
        <v>117135.94999999998</v>
      </c>
      <c r="N15" s="54">
        <f>SUM(N7:N14)</f>
        <v>234271.89999999997</v>
      </c>
      <c r="O15" s="52"/>
      <c r="P15" s="54">
        <f>SUM(P7:P14)</f>
        <v>127807.67183550002</v>
      </c>
      <c r="Q15" s="54">
        <f>SUM(Q7:Q14)</f>
        <v>10671.721835499999</v>
      </c>
      <c r="R15" s="54">
        <f>SUM(R7:R14)</f>
        <v>255615.34367100004</v>
      </c>
      <c r="S15" s="55">
        <f>SUM(S7:S14)</f>
        <v>21343.443670999997</v>
      </c>
      <c r="T15" s="56">
        <f t="shared" si="13"/>
        <v>8.3498288344032001E-2</v>
      </c>
      <c r="U15" s="57"/>
      <c r="V15" s="54">
        <f>SUM(V7:V14)</f>
        <v>127807.67183550002</v>
      </c>
      <c r="W15" s="54">
        <f>SUM(W7:W14)</f>
        <v>10671.721835499999</v>
      </c>
      <c r="X15" s="58">
        <f t="shared" si="15"/>
        <v>8.3498288344032001E-2</v>
      </c>
      <c r="Y15" s="59"/>
      <c r="Z15" s="52"/>
      <c r="AA15" s="52"/>
      <c r="AB15" s="52"/>
      <c r="AC15" s="54">
        <f>SUM(AC7:AC14)</f>
        <v>259193.95848239399</v>
      </c>
      <c r="AD15" s="55">
        <f>SUM(AD7:AD14)</f>
        <v>21642.251882393979</v>
      </c>
      <c r="AE15" s="56">
        <f t="shared" si="19"/>
        <v>8.3498288344031946E-2</v>
      </c>
      <c r="AF15" s="54">
        <f>SUM(AF7:AF14)</f>
        <v>298.80821139398017</v>
      </c>
      <c r="AG15" s="58">
        <f>AE15-X15</f>
        <v>0</v>
      </c>
      <c r="AH15" s="58"/>
      <c r="AI15" s="54">
        <f>SUM(AI7:AI14)</f>
        <v>255615.34367100004</v>
      </c>
      <c r="AJ15" s="54">
        <f>SUM(AJ7:AJ14)</f>
        <v>20305.587061958908</v>
      </c>
      <c r="AK15" s="58">
        <f t="shared" si="20"/>
        <v>7.9438060213216408E-2</v>
      </c>
      <c r="AL15" s="54">
        <f>SUM(AL7:AL14)</f>
        <v>-1037.8566090410959</v>
      </c>
      <c r="AM15" s="58">
        <f>AK15-X15</f>
        <v>-4.0602281308155935E-3</v>
      </c>
    </row>
    <row r="17" spans="7:37" x14ac:dyDescent="0.25">
      <c r="AJ17" s="61"/>
    </row>
    <row r="18" spans="7:37" x14ac:dyDescent="0.25">
      <c r="AB18" s="62"/>
    </row>
    <row r="19" spans="7:37" x14ac:dyDescent="0.25">
      <c r="R19" s="81"/>
      <c r="S19" s="81"/>
      <c r="AC19" s="63" t="s">
        <v>40</v>
      </c>
      <c r="AD19" s="64">
        <v>14</v>
      </c>
      <c r="AE19" s="65">
        <v>30</v>
      </c>
      <c r="AF19" s="65">
        <v>60</v>
      </c>
      <c r="AH19" s="63" t="s">
        <v>40</v>
      </c>
      <c r="AI19" s="66">
        <v>14</v>
      </c>
      <c r="AJ19" s="66">
        <v>30</v>
      </c>
      <c r="AK19" s="66">
        <v>60</v>
      </c>
    </row>
    <row r="20" spans="7:37" x14ac:dyDescent="0.25">
      <c r="G20" s="4"/>
      <c r="AC20" s="67" t="s">
        <v>3</v>
      </c>
      <c r="AD20" s="68"/>
      <c r="AE20" s="65"/>
      <c r="AF20" s="65"/>
      <c r="AH20" s="67" t="s">
        <v>3</v>
      </c>
      <c r="AI20" s="69"/>
      <c r="AJ20" s="69"/>
      <c r="AK20" s="69"/>
    </row>
    <row r="21" spans="7:37" x14ac:dyDescent="0.25">
      <c r="AC21" s="70">
        <v>0</v>
      </c>
      <c r="AD21" s="71">
        <f>IF(AND($C$4=AC21,$B$4=AD19),AC15,0)</f>
        <v>0</v>
      </c>
      <c r="AE21" s="71">
        <f>IF(AND($C$4=AC21,$B$4=AE19),AC15,0)</f>
        <v>0</v>
      </c>
      <c r="AF21" s="71">
        <f>IF(AND($C$4=AC21,$B$4=AF19),AC15,0)</f>
        <v>0</v>
      </c>
      <c r="AH21" s="70">
        <v>0</v>
      </c>
      <c r="AI21" s="71">
        <f>IF(AND($C$4=AH21,$B$4=AI19),AI15,0)</f>
        <v>0</v>
      </c>
      <c r="AJ21" s="71">
        <f>IF(AND($C$4=AH21,$B$4=AJ19),AI15,0)</f>
        <v>0</v>
      </c>
      <c r="AK21" s="71">
        <f>IF(AND($C$4=AH21,$B$4=AK19),AI15,0)</f>
        <v>0</v>
      </c>
    </row>
    <row r="22" spans="7:37" x14ac:dyDescent="0.25">
      <c r="AC22" s="70">
        <v>0.1</v>
      </c>
      <c r="AD22" s="71">
        <f>IF(AND($C$4=AC22,$B$4=AD20),AC16,0)</f>
        <v>0</v>
      </c>
      <c r="AE22" s="71">
        <f>IF(AND($C$4=AC22,$B$4=AE19),AC15,0)</f>
        <v>0</v>
      </c>
      <c r="AF22" s="71">
        <f>IF(AND($C$4=AC22,$B$4=AF19),AC15,0)</f>
        <v>0</v>
      </c>
      <c r="AH22" s="70">
        <v>0.1</v>
      </c>
      <c r="AI22" s="71">
        <f>IF(AND($C$4=AH22,$B$4=AI19),AI15,0)</f>
        <v>0</v>
      </c>
      <c r="AJ22" s="71">
        <f>IF(AND($C$4=AH22,$B$4=AJ19),AI15,0)</f>
        <v>0</v>
      </c>
      <c r="AK22" s="71">
        <f>IF(AND($C$4=AH22,$B$4=AK19),$AI$15,0)</f>
        <v>0</v>
      </c>
    </row>
    <row r="23" spans="7:37" x14ac:dyDescent="0.25">
      <c r="AC23" s="70">
        <v>0.3</v>
      </c>
      <c r="AD23" s="71">
        <f>IF(AND($C$4=AC23,$B$4=AD21),AC17,0)</f>
        <v>0</v>
      </c>
      <c r="AE23" s="71">
        <f>IF(AND($C$4=AC23,$B$4=AE19),AC15,0)</f>
        <v>0</v>
      </c>
      <c r="AF23" s="71">
        <f>IF(AND($C$4=AC23,$B$4=AF19),AC15,0)</f>
        <v>0</v>
      </c>
      <c r="AH23" s="70">
        <v>0.3</v>
      </c>
      <c r="AI23" s="71">
        <f>IF(AND($C$4=AH23,$B$4=AI19),AI15,0)</f>
        <v>0</v>
      </c>
      <c r="AJ23" s="71">
        <f>IF(AND($C$4=AH23,$B$4=AJ19),AI15,0)</f>
        <v>0</v>
      </c>
      <c r="AK23" s="71">
        <f>IF(AND($C$4=AH23,$B$4=AK19),$AI$15,0)</f>
        <v>0</v>
      </c>
    </row>
    <row r="24" spans="7:37" x14ac:dyDescent="0.25">
      <c r="AC24" s="70">
        <v>0.5</v>
      </c>
      <c r="AD24" s="71">
        <f>IF(AND($C$4=AC24,$B$4=AD22),AC18,0)</f>
        <v>0</v>
      </c>
      <c r="AE24" s="71">
        <f>IF(AND($C$4=AC24,$B$4=AE19),AC15,0)</f>
        <v>259193.95848239399</v>
      </c>
      <c r="AF24" s="71">
        <f>IF(AND($C$4=AC24,$B$4=AF19),AC15,0)</f>
        <v>0</v>
      </c>
      <c r="AH24" s="70">
        <v>0.5</v>
      </c>
      <c r="AI24" s="71">
        <f>IF(AND($C$4=AH24,$B$4=AI19),AI15,0)</f>
        <v>0</v>
      </c>
      <c r="AJ24" s="71">
        <f>IF(AND($C$4=AH24,$B$4=AJ19),AI15,0)</f>
        <v>255615.34367100004</v>
      </c>
      <c r="AK24" s="71">
        <f>IF(AND($C$4=AH24,$B$4=AK19),$AI$15,0)</f>
        <v>0</v>
      </c>
    </row>
    <row r="25" spans="7:37" x14ac:dyDescent="0.25">
      <c r="S25" s="45"/>
      <c r="AC25" s="70">
        <v>1</v>
      </c>
      <c r="AD25" s="71">
        <f>IF(AND($C$4=AC25,$B$4=AD23),AC19,0)</f>
        <v>0</v>
      </c>
      <c r="AE25" s="71">
        <f>IF(AND($C$4=AC25,$B$4=AE19),AD19,0)</f>
        <v>0</v>
      </c>
      <c r="AF25" s="71">
        <f>IF(AND($C$4=AC25,$B$4=AF19),AC15,0)</f>
        <v>0</v>
      </c>
      <c r="AH25" s="70">
        <v>1</v>
      </c>
      <c r="AI25" s="71">
        <f>IF(AND($C$4=AH25,$B$4=AI19),AI15,0)</f>
        <v>0</v>
      </c>
      <c r="AJ25" s="71">
        <f>IF(AND($C$4=AH25,$B$4=AJ19),AI15,0)</f>
        <v>0</v>
      </c>
      <c r="AK25" s="71">
        <f>IF(AND($C$4=AH25,$B$4=AK19),$AI$15,0)</f>
        <v>0</v>
      </c>
    </row>
    <row r="26" spans="7:37" x14ac:dyDescent="0.25">
      <c r="W26" s="61"/>
    </row>
    <row r="27" spans="7:37" x14ac:dyDescent="0.25">
      <c r="AH27" s="72"/>
    </row>
    <row r="29" spans="7:37" x14ac:dyDescent="0.25">
      <c r="R29" s="82"/>
    </row>
  </sheetData>
  <mergeCells count="2">
    <mergeCell ref="E5:H5"/>
    <mergeCell ref="J5:O5"/>
  </mergeCells>
  <conditionalFormatting sqref="S15:U15">
    <cfRule type="cellIs" dxfId="11" priority="6" operator="greaterThan">
      <formula>0</formula>
    </cfRule>
  </conditionalFormatting>
  <conditionalFormatting sqref="AD15 AJ15">
    <cfRule type="cellIs" dxfId="10" priority="4" operator="lessThan">
      <formula>$S$15</formula>
    </cfRule>
    <cfRule type="cellIs" dxfId="9" priority="5" operator="greaterThan">
      <formula>$S$15</formula>
    </cfRule>
  </conditionalFormatting>
  <conditionalFormatting sqref="AE15 AK15">
    <cfRule type="cellIs" dxfId="8" priority="2" operator="lessThan">
      <formula>$X$15</formula>
    </cfRule>
    <cfRule type="cellIs" dxfId="7" priority="3" operator="greaterThan">
      <formula>$X$15</formula>
    </cfRule>
  </conditionalFormatting>
  <conditionalFormatting sqref="AD7:AE14">
    <cfRule type="expression" dxfId="6" priority="1">
      <formula>ROUND(AD7,8)&lt;ROUND(S7,8)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пробный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2017-09-08T08:24:32Z</dcterms:created>
  <dcterms:modified xsi:type="dcterms:W3CDTF">2017-09-08T10:28:16Z</dcterms:modified>
</cp:coreProperties>
</file>