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hidePivotFieldList="1" defaultThemeVersion="124226"/>
  <bookViews>
    <workbookView xWindow="-15" yWindow="-15" windowWidth="12720" windowHeight="11760"/>
  </bookViews>
  <sheets>
    <sheet name="База" sheetId="2" r:id="rId1"/>
    <sheet name="Пояснения" sheetId="8" r:id="rId2"/>
    <sheet name="Списки материалов" sheetId="1" r:id="rId3"/>
  </sheets>
  <definedNames>
    <definedName name="Материалы">'Списки материалов'!$C$2:$C$35</definedName>
  </definedNames>
  <calcPr calcId="124519"/>
</workbook>
</file>

<file path=xl/calcChain.xml><?xml version="1.0" encoding="utf-8"?>
<calcChain xmlns="http://schemas.openxmlformats.org/spreadsheetml/2006/main">
  <c r="F26" i="2"/>
  <c r="F30"/>
  <c r="F31"/>
  <c r="F32"/>
  <c r="F33"/>
  <c r="F34"/>
  <c r="F35"/>
  <c r="F36"/>
  <c r="F37"/>
  <c r="F38"/>
  <c r="F39"/>
  <c r="F40"/>
  <c r="F25"/>
  <c r="F21"/>
  <c r="F22"/>
  <c r="F23"/>
  <c r="F24"/>
  <c r="F17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9"/>
  <c r="H9"/>
  <c r="F10"/>
  <c r="F11"/>
  <c r="F12"/>
  <c r="F13"/>
  <c r="F14"/>
  <c r="F15"/>
  <c r="F16"/>
  <c r="F9"/>
  <c r="N3"/>
  <c r="P3"/>
  <c r="Q3" s="1"/>
  <c r="R3"/>
  <c r="S3"/>
  <c r="T3"/>
  <c r="U3"/>
  <c r="V3"/>
  <c r="N4"/>
  <c r="P4"/>
  <c r="Q4" s="1"/>
  <c r="R4"/>
  <c r="S4"/>
  <c r="T4"/>
  <c r="U4"/>
  <c r="V4"/>
  <c r="N5"/>
  <c r="P5"/>
  <c r="Q5" s="1"/>
  <c r="R5"/>
  <c r="S5"/>
  <c r="T5"/>
  <c r="U5"/>
  <c r="V5"/>
  <c r="N6"/>
  <c r="P6"/>
  <c r="Q6" s="1"/>
  <c r="R6"/>
  <c r="S6"/>
  <c r="T6"/>
  <c r="U6"/>
  <c r="V6"/>
  <c r="N7"/>
  <c r="P7"/>
  <c r="Q7" s="1"/>
  <c r="R7"/>
  <c r="S7"/>
  <c r="T7"/>
  <c r="U7"/>
  <c r="V7"/>
  <c r="N8"/>
  <c r="P8"/>
  <c r="Q8" s="1"/>
  <c r="R8"/>
  <c r="S8"/>
  <c r="T8"/>
  <c r="U8"/>
  <c r="V8"/>
  <c r="N9"/>
  <c r="P9"/>
  <c r="Q9" s="1"/>
  <c r="R9"/>
  <c r="S9"/>
  <c r="T9"/>
  <c r="U9"/>
  <c r="V9"/>
  <c r="N10"/>
  <c r="P10"/>
  <c r="Q10" s="1"/>
  <c r="R10"/>
  <c r="S10"/>
  <c r="T10"/>
  <c r="U10"/>
  <c r="V10"/>
  <c r="F27"/>
  <c r="F29"/>
  <c r="F28"/>
  <c r="F19"/>
  <c r="F18"/>
  <c r="F20"/>
  <c r="O6"/>
  <c r="O3"/>
  <c r="O7"/>
  <c r="O8"/>
  <c r="O5"/>
  <c r="O9"/>
  <c r="O4"/>
  <c r="O10"/>
  <c r="AF11" l="1"/>
  <c r="AE11"/>
  <c r="AG11"/>
</calcChain>
</file>

<file path=xl/sharedStrings.xml><?xml version="1.0" encoding="utf-8"?>
<sst xmlns="http://schemas.openxmlformats.org/spreadsheetml/2006/main" count="203" uniqueCount="124">
  <si>
    <t>№ п/п</t>
  </si>
  <si>
    <t>Наименование</t>
  </si>
  <si>
    <t>Номенклатурный №</t>
  </si>
  <si>
    <t>Наименование 
материала</t>
  </si>
  <si>
    <t>Сидерит</t>
  </si>
  <si>
    <t>Известняк</t>
  </si>
  <si>
    <t>Анодная масса</t>
  </si>
  <si>
    <t>Леточная масса</t>
  </si>
  <si>
    <t>Сталь тонколистовая б=3мм (без обрези)</t>
  </si>
  <si>
    <t>Сталь среднесортная,Ø=25мм</t>
  </si>
  <si>
    <t>Кирпич ША №5</t>
  </si>
  <si>
    <t>Стержни графитированные</t>
  </si>
  <si>
    <t>Асбокартон</t>
  </si>
  <si>
    <t>Изложницы</t>
  </si>
  <si>
    <t>Сетка №4</t>
  </si>
  <si>
    <t>Сетка №5</t>
  </si>
  <si>
    <t>Сетка №6</t>
  </si>
  <si>
    <t>Сетка №8</t>
  </si>
  <si>
    <t>Сетка №10</t>
  </si>
  <si>
    <t>Сетка №12</t>
  </si>
  <si>
    <t>Сетка №16</t>
  </si>
  <si>
    <t>Сетка №18</t>
  </si>
  <si>
    <t>Сетка №20</t>
  </si>
  <si>
    <t>Сетка №25</t>
  </si>
  <si>
    <t>Сетка №32</t>
  </si>
  <si>
    <t>Сетка №35</t>
  </si>
  <si>
    <t>Сетка №3</t>
  </si>
  <si>
    <t>Доска фумигированная 40х150х2400</t>
  </si>
  <si>
    <t>Доска фумигированная 40х150х1500(брусок)</t>
  </si>
  <si>
    <t>Доска обрезная 40*150х2400 м³</t>
  </si>
  <si>
    <t>Доска обрезная 40*150х4200 м³</t>
  </si>
  <si>
    <t>ЗПУ "Клещ-60 СЦ", шт</t>
  </si>
  <si>
    <t>ЗПУ "Спрут 777", шт</t>
  </si>
  <si>
    <t>Пломба свинцовая, кг</t>
  </si>
  <si>
    <t>Поддон фумигированный 1000х1000</t>
  </si>
  <si>
    <t>Скоба ORP 2100 №16, шт.</t>
  </si>
  <si>
    <t>Лента ПЭТ 16мм, м</t>
  </si>
  <si>
    <t>Лента битумная</t>
  </si>
  <si>
    <t>Краска аэрозольная, бл.</t>
  </si>
  <si>
    <t>Гофрокартон, шт.</t>
  </si>
  <si>
    <t>Биг-беги для ФС  ППР1,2 с нижней выгрузкой по России</t>
  </si>
  <si>
    <t>Биг-беги под МКУ Микросилика с верхней сборкой</t>
  </si>
  <si>
    <t>Биг-беги под МКУ Микросилика б/у</t>
  </si>
  <si>
    <t>Биг-беги под МКУ Микросилика</t>
  </si>
  <si>
    <t>Биг-беги под МКУ 1250 Л4 экспорт 600кг с нижней выгрузкой</t>
  </si>
  <si>
    <t>Биг-беги под МКУ ЛСКР экспорт 600кг</t>
  </si>
  <si>
    <t>Биг-беги под МКУ 1900 Л4 экспорт 1300 кг</t>
  </si>
  <si>
    <t>Биг-беги под МК 1350 Л4 экспорт 500 кг</t>
  </si>
  <si>
    <t>Биг-беги под МКУ АРУ</t>
  </si>
  <si>
    <t>Дробящие плиты комплект  (1 подвиж.+1неподвиж.)</t>
  </si>
  <si>
    <t>Сито Ǿ 48</t>
  </si>
  <si>
    <t>Сито Ǿ 53</t>
  </si>
  <si>
    <t>Сито Ǿ 55</t>
  </si>
  <si>
    <t>Сито Ǿ 59</t>
  </si>
  <si>
    <t>13.17.1</t>
  </si>
  <si>
    <t>Глина огнеупорная</t>
  </si>
  <si>
    <t>13.78.6.1</t>
  </si>
  <si>
    <t>Кирпич нормальный ШАК №5</t>
  </si>
  <si>
    <t>12.29.17</t>
  </si>
  <si>
    <t>12.29.64</t>
  </si>
  <si>
    <t>Масса электродная Р 8 Т</t>
  </si>
  <si>
    <t>13.17.2</t>
  </si>
  <si>
    <t>Песок формовочный тощий</t>
  </si>
  <si>
    <t>13.17.3</t>
  </si>
  <si>
    <t>13.78.5.3</t>
  </si>
  <si>
    <t>Масса электродная брикетированная</t>
  </si>
  <si>
    <t>Цемент высокоглинозёмистый ВГКЦ  75-05</t>
  </si>
  <si>
    <t>Щебень фр. 5-10</t>
  </si>
  <si>
    <t>12.26.201</t>
  </si>
  <si>
    <t>Биг-беги для ФС  без Черепа</t>
  </si>
  <si>
    <t xml:space="preserve">Биг-беги для ФС с Черепом </t>
  </si>
  <si>
    <t>17.49.74</t>
  </si>
  <si>
    <t>Биг-беги для ФС с Черепом с нижней выгрузкой</t>
  </si>
  <si>
    <t>Дата</t>
  </si>
  <si>
    <t>Номенк. №</t>
  </si>
  <si>
    <t>Приход</t>
  </si>
  <si>
    <t>Открытый склад</t>
  </si>
  <si>
    <t>Приход/расход/на 1 число</t>
  </si>
  <si>
    <t>Место нахождение материала</t>
  </si>
  <si>
    <t xml:space="preserve">Расход </t>
  </si>
  <si>
    <t>Норма расхода</t>
  </si>
  <si>
    <t>Ст. Юрга - 1</t>
  </si>
  <si>
    <t>Примечание</t>
  </si>
  <si>
    <t>Трамбовка Ø 70</t>
  </si>
  <si>
    <t>Трамбовка Ø 90</t>
  </si>
  <si>
    <t>Трамбовка Ø 50</t>
  </si>
  <si>
    <t>Фактический средний расход с начала месяца (с учётом отсевов)</t>
  </si>
  <si>
    <t>Инвентаризация</t>
  </si>
  <si>
    <t>месяц</t>
  </si>
  <si>
    <t>1</t>
  </si>
  <si>
    <t>октябрь</t>
  </si>
  <si>
    <t>Расход</t>
  </si>
  <si>
    <t>Инвентаризация на 1 число</t>
  </si>
  <si>
    <t>Инвентаризация2</t>
  </si>
  <si>
    <t>Инвентаризация3</t>
  </si>
  <si>
    <t>Желтое - входные данные на начало периода</t>
  </si>
  <si>
    <t>Приход/
расход</t>
  </si>
  <si>
    <t>ОСТАТОК</t>
  </si>
  <si>
    <t>Инвент.1</t>
  </si>
  <si>
    <t>Инвент.2</t>
  </si>
  <si>
    <t>Инвент.3</t>
  </si>
  <si>
    <t>Для списка</t>
  </si>
  <si>
    <t>F$14:F$16</t>
  </si>
  <si>
    <t>B$14:B$16</t>
  </si>
  <si>
    <t>D$14:D$16</t>
  </si>
  <si>
    <t xml:space="preserve"> - формула</t>
  </si>
  <si>
    <t xml:space="preserve"> - значения Инв.1</t>
  </si>
  <si>
    <t>F$22:F$24</t>
  </si>
  <si>
    <t>B$22:B$24</t>
  </si>
  <si>
    <t>D$22:D$24</t>
  </si>
  <si>
    <t xml:space="preserve"> - значения Инв.2</t>
  </si>
  <si>
    <t>1. Есть начальные данные (желтые) - от них отталкиваемся и пишем приход-расход до первой инвентаризации</t>
  </si>
  <si>
    <t>2.После первой инвентаризации вносим данные, от нее полученные</t>
  </si>
  <si>
    <t xml:space="preserve">   (пишем в этот же столбец, что и приход-расход)</t>
  </si>
  <si>
    <t>5. Продолжаем дальше писать приход - расход до следующей инвентаризации, после которой</t>
  </si>
  <si>
    <t xml:space="preserve"> все повторяем - копируем формулу, сохраняем как значения и вносим изменения с ДВССЫЛ</t>
  </si>
  <si>
    <t>Конечно, танцы с бубном получаются, но другого пока не смог придумать.</t>
  </si>
  <si>
    <t>3. Копируем три оранжевых ячейки с формулой для диапазонов и вставляем ее спец. вставкой как значения</t>
  </si>
  <si>
    <t xml:space="preserve">   вместо старых диапазонов заносим через ДВССЫЛ новые, в которых у нас итоги инвентаризации</t>
  </si>
  <si>
    <t>Столбцы H и G скрыл, в них определяются строки для диапазона инвентаризации</t>
  </si>
  <si>
    <t>Лист защитил просто для наглядности, пароля нет :)</t>
  </si>
  <si>
    <t xml:space="preserve">Говорят, что с ДВССЫЛ на больших объемах тормозит здорово, </t>
  </si>
  <si>
    <t>но я сам не знаю, не пробовал</t>
  </si>
  <si>
    <t xml:space="preserve">4. Вносим изменения в первоначальную формулу СУММЕСЛИМН, которая считала от желтого диапазона -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</si>
</sst>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left" vertical="center"/>
    </xf>
    <xf numFmtId="0" fontId="0" fillId="4" borderId="0" xfId="0" applyFill="1"/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0" fillId="3" borderId="0" xfId="0" applyFill="1"/>
    <xf numFmtId="0" fontId="0" fillId="6" borderId="0" xfId="0" applyFill="1"/>
    <xf numFmtId="0" fontId="2" fillId="5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0" fillId="7" borderId="0" xfId="0" applyFill="1"/>
    <xf numFmtId="14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4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7" borderId="0" xfId="0" applyFont="1" applyFill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H54"/>
  <sheetViews>
    <sheetView showZeros="0" tabSelected="1" zoomScale="85" zoomScaleNormal="85" workbookViewId="0">
      <pane ySplit="1" topLeftCell="A2" activePane="bottomLeft" state="frozen"/>
      <selection pane="bottomLeft" activeCell="F9" sqref="F9"/>
    </sheetView>
  </sheetViews>
  <sheetFormatPr defaultRowHeight="15.75" outlineLevelCol="1"/>
  <cols>
    <col min="1" max="1" width="11.28515625" style="1" bestFit="1" customWidth="1"/>
    <col min="2" max="2" width="41.7109375" style="1" bestFit="1" customWidth="1"/>
    <col min="3" max="3" width="9.140625" style="1" customWidth="1"/>
    <col min="4" max="4" width="23.85546875" style="1" customWidth="1"/>
    <col min="5" max="5" width="9.42578125" style="1" customWidth="1"/>
    <col min="6" max="6" width="12.85546875" customWidth="1"/>
    <col min="7" max="7" width="5.7109375" style="28" hidden="1" customWidth="1"/>
    <col min="8" max="8" width="5.42578125" style="28" hidden="1" customWidth="1"/>
    <col min="9" max="9" width="12.7109375" style="28" hidden="1" customWidth="1"/>
    <col min="10" max="10" width="10" style="28" hidden="1" customWidth="1"/>
    <col min="11" max="11" width="17.42578125" style="1" hidden="1" customWidth="1"/>
    <col min="12" max="12" width="27.140625" style="1" hidden="1" customWidth="1"/>
    <col min="13" max="13" width="29.42578125" style="1" hidden="1" customWidth="1"/>
    <col min="14" max="14" width="15.28515625" style="1" hidden="1" customWidth="1"/>
    <col min="15" max="15" width="29.42578125" style="1" hidden="1" customWidth="1"/>
    <col min="16" max="17" width="10" style="16" hidden="1" customWidth="1"/>
    <col min="18" max="24" width="13.42578125" style="1" hidden="1" customWidth="1"/>
    <col min="25" max="25" width="9.140625" style="1" hidden="1" customWidth="1"/>
    <col min="26" max="26" width="23.42578125" style="1" hidden="1" customWidth="1" outlineLevel="1"/>
    <col min="27" max="27" width="15.5703125" style="1" hidden="1" customWidth="1" outlineLevel="1"/>
    <col min="28" max="29" width="9.140625" style="1" hidden="1" customWidth="1" outlineLevel="1"/>
    <col min="30" max="30" width="9.140625" style="1" collapsed="1"/>
    <col min="31" max="31" width="13.7109375" style="1" customWidth="1"/>
    <col min="32" max="32" width="13.42578125" style="1" customWidth="1"/>
    <col min="33" max="33" width="16.42578125" style="1" bestFit="1" customWidth="1"/>
    <col min="34" max="16384" width="9.140625" style="1"/>
  </cols>
  <sheetData>
    <row r="1" spans="1:34" s="21" customFormat="1" ht="45">
      <c r="A1" s="8" t="s">
        <v>73</v>
      </c>
      <c r="B1" s="8" t="s">
        <v>1</v>
      </c>
      <c r="C1" s="8"/>
      <c r="D1" s="8" t="s">
        <v>78</v>
      </c>
      <c r="E1" s="8" t="s">
        <v>96</v>
      </c>
      <c r="F1" s="24" t="s">
        <v>97</v>
      </c>
      <c r="G1" s="25"/>
      <c r="H1" s="25"/>
      <c r="I1" s="25"/>
      <c r="J1" s="25"/>
      <c r="K1" s="8"/>
      <c r="L1" s="8" t="s">
        <v>77</v>
      </c>
      <c r="M1" s="21" t="s">
        <v>82</v>
      </c>
      <c r="N1" s="8" t="s">
        <v>74</v>
      </c>
      <c r="O1" s="21" t="s">
        <v>86</v>
      </c>
      <c r="P1" s="21" t="s">
        <v>89</v>
      </c>
      <c r="Q1" s="21" t="s">
        <v>88</v>
      </c>
      <c r="R1" s="21" t="s">
        <v>87</v>
      </c>
      <c r="S1" s="21" t="s">
        <v>93</v>
      </c>
      <c r="T1" s="21" t="s">
        <v>94</v>
      </c>
      <c r="U1" s="21" t="s">
        <v>75</v>
      </c>
      <c r="V1" s="1" t="s">
        <v>91</v>
      </c>
      <c r="Z1" s="11" t="s">
        <v>78</v>
      </c>
      <c r="AA1" s="12" t="s">
        <v>77</v>
      </c>
      <c r="AB1" s="21" t="s">
        <v>88</v>
      </c>
      <c r="AC1" s="21" t="s">
        <v>88</v>
      </c>
    </row>
    <row r="2" spans="1:34" s="21" customFormat="1" ht="18.75">
      <c r="A2" s="8"/>
      <c r="B2" s="8"/>
      <c r="C2" s="20" t="s">
        <v>95</v>
      </c>
      <c r="D2" s="8"/>
      <c r="E2" s="8"/>
      <c r="G2" s="26"/>
      <c r="H2" s="26"/>
      <c r="I2" s="26"/>
      <c r="J2" s="26"/>
      <c r="K2" s="8"/>
      <c r="L2" s="8"/>
      <c r="N2" s="8"/>
      <c r="V2" s="1"/>
      <c r="Z2" s="19"/>
      <c r="AA2" s="19"/>
      <c r="AE2" s="32" t="s">
        <v>101</v>
      </c>
    </row>
    <row r="3" spans="1:34" ht="15">
      <c r="A3" s="9">
        <v>43007</v>
      </c>
      <c r="B3" s="1" t="s">
        <v>57</v>
      </c>
      <c r="C3" s="17" t="s">
        <v>75</v>
      </c>
      <c r="D3" s="18" t="s">
        <v>76</v>
      </c>
      <c r="E3" s="18"/>
      <c r="F3" s="18">
        <v>20</v>
      </c>
      <c r="G3" s="27"/>
      <c r="H3" s="27"/>
      <c r="I3" s="27"/>
      <c r="J3" s="27"/>
      <c r="L3" s="10" t="s">
        <v>92</v>
      </c>
      <c r="N3" s="15" t="str">
        <f>IFERROR(INDEX('Списки материалов'!$B$2:$B$35,MATCH(База!$B$3:$B$54,'Списки материалов'!$C$2:$C$35,0)),"")</f>
        <v>12.29.17</v>
      </c>
      <c r="O3" s="13" t="str">
        <f ca="1">IFERROR(INDEX('Списки материалов'!$D$2:$D$35,MATCH(База!$B3,'Списки материалов'!$C$2:$C$35,0))/DAY(КОНМЕСЯЦА(База!$A3,0)),"")</f>
        <v/>
      </c>
      <c r="P3" s="1">
        <f>MONTH(База!$A3)</f>
        <v>9</v>
      </c>
      <c r="Q3" s="1" t="e">
        <f>INDEX($AC$3:$AC$3,MATCH(P3,$AB$3:$AB$3,0))</f>
        <v>#N/A</v>
      </c>
      <c r="R3" s="1">
        <f>IF(База!$L3="Инвентаризация на 1 число",База!$E3,0)</f>
        <v>0</v>
      </c>
      <c r="S3" s="1">
        <f>IF(База!$L3="Инвентаризация на 1 декаду",База!$E3,0)</f>
        <v>0</v>
      </c>
      <c r="T3" s="1">
        <f>IF(База!$L3="Инвентаризация на 2 декаду",База!$E3,0)</f>
        <v>0</v>
      </c>
      <c r="U3" s="1">
        <f>IF(База!$L3="Приход",База!$E3,0)</f>
        <v>0</v>
      </c>
      <c r="V3" s="1">
        <f>IF(База!$L3="Расход ",База!$E3,0)</f>
        <v>0</v>
      </c>
      <c r="AB3" s="1">
        <v>10</v>
      </c>
      <c r="AC3" s="1" t="s">
        <v>90</v>
      </c>
      <c r="AE3" s="31" t="s">
        <v>75</v>
      </c>
      <c r="AG3" s="1" t="s">
        <v>76</v>
      </c>
    </row>
    <row r="4" spans="1:34" ht="15">
      <c r="A4" s="9">
        <v>43007</v>
      </c>
      <c r="B4" s="1" t="s">
        <v>23</v>
      </c>
      <c r="C4" s="17" t="s">
        <v>75</v>
      </c>
      <c r="D4" s="18" t="s">
        <v>76</v>
      </c>
      <c r="E4" s="18"/>
      <c r="F4" s="18">
        <v>1</v>
      </c>
      <c r="G4" s="27"/>
      <c r="H4" s="27"/>
      <c r="I4" s="27"/>
      <c r="J4" s="27"/>
      <c r="L4" s="10" t="s">
        <v>92</v>
      </c>
      <c r="N4" s="15">
        <f>IFERROR(INDEX('Списки материалов'!$B$2:$B$35,MATCH(База!$B$3:$B$54,'Списки материалов'!$C$2:$C$35,0)),"")</f>
        <v>0</v>
      </c>
      <c r="O4" s="13" t="str">
        <f ca="1">IFERROR(INDEX('Списки материалов'!$D$2:$D$35,MATCH(База!$B4,'Списки материалов'!$C$2:$C$35,0))/DAY(КОНМЕСЯЦА(База!$A4,0)),"")</f>
        <v/>
      </c>
      <c r="P4" s="1">
        <f>MONTH(База!$A4)</f>
        <v>9</v>
      </c>
      <c r="Q4" s="1" t="e">
        <f>INDEX($AC$3:$AC$3,MATCH(P4,$AB$3:$AB$3,0))</f>
        <v>#N/A</v>
      </c>
      <c r="R4" s="1">
        <f>IF(База!$L4="Инвентаризация на 1 число",База!$E4,0)</f>
        <v>0</v>
      </c>
      <c r="S4" s="1">
        <f>IF(База!$L4="Инвентаризация на 1 декаду",База!$E4,0)</f>
        <v>0</v>
      </c>
      <c r="T4" s="1">
        <f>IF(База!$L4="Инвентаризация на 2 декаду",База!$E4,0)</f>
        <v>0</v>
      </c>
      <c r="U4" s="1">
        <f>IF(База!$L4="Приход",База!$E4,0)</f>
        <v>0</v>
      </c>
      <c r="V4" s="1">
        <f>IF(База!$L4="Расход ",База!$E4,0)</f>
        <v>0</v>
      </c>
      <c r="AE4" s="31" t="s">
        <v>91</v>
      </c>
      <c r="AG4" s="1" t="s">
        <v>81</v>
      </c>
    </row>
    <row r="5" spans="1:34" ht="15">
      <c r="A5" s="9">
        <v>43007</v>
      </c>
      <c r="B5" s="1" t="s">
        <v>24</v>
      </c>
      <c r="C5" s="17" t="s">
        <v>75</v>
      </c>
      <c r="D5" s="18" t="s">
        <v>81</v>
      </c>
      <c r="E5" s="18"/>
      <c r="F5" s="18">
        <v>5</v>
      </c>
      <c r="G5" s="27"/>
      <c r="H5" s="27"/>
      <c r="I5" s="27"/>
      <c r="J5" s="27"/>
      <c r="L5" s="10" t="s">
        <v>92</v>
      </c>
      <c r="N5" s="15">
        <f>IFERROR(INDEX('Списки материалов'!$B$2:$B$35,MATCH(База!$B$3:$B$54,'Списки материалов'!$C$2:$C$35,0)),"")</f>
        <v>0</v>
      </c>
      <c r="O5" s="13" t="str">
        <f ca="1">IFERROR(INDEX('Списки материалов'!$D$2:$D$35,MATCH(База!$B5,'Списки материалов'!$C$2:$C$35,0))/DAY(КОНМЕСЯЦА(База!$A5,0)),"")</f>
        <v/>
      </c>
      <c r="P5" s="1">
        <f>MONTH(База!$A5)</f>
        <v>9</v>
      </c>
      <c r="Q5" s="1" t="e">
        <f>INDEX($AC$3:$AC$3,MATCH(P5,$AB$3:$AB$3,0))</f>
        <v>#N/A</v>
      </c>
      <c r="R5" s="1">
        <f>IF(База!$L5="Инвентаризация на 1 число",База!$E5,0)</f>
        <v>0</v>
      </c>
      <c r="S5" s="1">
        <f>IF(База!$L5="Инвентаризация на 1 декаду",База!$E5,0)</f>
        <v>0</v>
      </c>
      <c r="T5" s="1">
        <f>IF(База!$L5="Инвентаризация на 2 декаду",База!$E5,0)</f>
        <v>0</v>
      </c>
      <c r="U5" s="1">
        <f>IF(База!$L5="Приход",База!$E5,0)</f>
        <v>0</v>
      </c>
      <c r="V5" s="1">
        <f>IF(База!$L5="Расход ",База!$E5,0)</f>
        <v>0</v>
      </c>
      <c r="AE5" s="31" t="s">
        <v>98</v>
      </c>
    </row>
    <row r="6" spans="1:34" ht="15">
      <c r="A6" s="9">
        <v>43007</v>
      </c>
      <c r="B6" s="1" t="s">
        <v>11</v>
      </c>
      <c r="C6" s="17" t="s">
        <v>75</v>
      </c>
      <c r="D6" s="18" t="s">
        <v>76</v>
      </c>
      <c r="E6" s="18"/>
      <c r="F6" s="18">
        <v>9.9000000000000005E-2</v>
      </c>
      <c r="G6" s="27"/>
      <c r="H6" s="27"/>
      <c r="I6" s="27"/>
      <c r="J6" s="27"/>
      <c r="L6" s="10" t="s">
        <v>92</v>
      </c>
      <c r="N6" s="15">
        <f>IFERROR(INDEX('Списки материалов'!$B$2:$B$35,MATCH(База!$B$3:$B$54,'Списки материалов'!$C$2:$C$35,0)),"")</f>
        <v>0</v>
      </c>
      <c r="O6" s="13" t="str">
        <f ca="1">IFERROR(INDEX('Списки материалов'!$D$2:$D$35,MATCH(База!$B6,'Списки материалов'!$C$2:$C$35,0))/DAY(КОНМЕСЯЦА(База!$A6,0)),"")</f>
        <v/>
      </c>
      <c r="P6" s="1">
        <f>MONTH(База!$A6)</f>
        <v>9</v>
      </c>
      <c r="Q6" s="1" t="e">
        <f>INDEX($AC$3:$AC$3,MATCH(P6,$AB$3:$AB$3,0))</f>
        <v>#N/A</v>
      </c>
      <c r="R6" s="1">
        <f>IF(База!$L6="Инвентаризация на 1 число",База!$E6,0)</f>
        <v>0</v>
      </c>
      <c r="S6" s="1">
        <f>IF(База!$L6="Инвентаризация на 1 декаду",База!$E6,0)</f>
        <v>0</v>
      </c>
      <c r="T6" s="1">
        <f>IF(База!$L6="Инвентаризация на 2 декаду",База!$E6,0)</f>
        <v>0</v>
      </c>
      <c r="U6" s="1">
        <f>IF(База!$L6="Приход",База!$E6,0)</f>
        <v>0</v>
      </c>
      <c r="V6" s="1">
        <f>IF(База!$L6="Расход ",База!$E6,0)</f>
        <v>0</v>
      </c>
      <c r="AE6" s="31" t="s">
        <v>99</v>
      </c>
    </row>
    <row r="7" spans="1:34" ht="15">
      <c r="A7" s="9">
        <v>43007</v>
      </c>
      <c r="B7" s="1" t="s">
        <v>85</v>
      </c>
      <c r="C7" s="17" t="s">
        <v>75</v>
      </c>
      <c r="D7" s="18" t="s">
        <v>81</v>
      </c>
      <c r="E7" s="18"/>
      <c r="F7" s="18">
        <v>200</v>
      </c>
      <c r="G7" s="27"/>
      <c r="H7" s="27"/>
      <c r="I7" s="27"/>
      <c r="J7" s="27"/>
      <c r="L7" s="10" t="s">
        <v>92</v>
      </c>
      <c r="N7" s="15">
        <f>IFERROR(INDEX('Списки материалов'!$B$2:$B$35,MATCH(База!$B$3:$B$54,'Списки материалов'!$C$2:$C$35,0)),"")</f>
        <v>0</v>
      </c>
      <c r="O7" s="13" t="str">
        <f ca="1">IFERROR(INDEX('Списки материалов'!$D$2:$D$35,MATCH(База!$B7,'Списки материалов'!$C$2:$C$35,0))/DAY(КОНМЕСЯЦА(База!$A7,0)),"")</f>
        <v/>
      </c>
      <c r="P7" s="1">
        <f>MONTH(База!$A7)</f>
        <v>9</v>
      </c>
      <c r="Q7" s="1" t="e">
        <f>INDEX($AC$3:$AC$3,MATCH(P7,$AB$3:$AB$3,0))</f>
        <v>#N/A</v>
      </c>
      <c r="R7" s="1">
        <f>IF(База!$L7="Инвентаризация на 1 число",База!$E7,0)</f>
        <v>0</v>
      </c>
      <c r="S7" s="1">
        <f>IF(База!$L7="Инвентаризация на 1 декаду",База!$E7,0)</f>
        <v>0</v>
      </c>
      <c r="T7" s="1">
        <f>IF(База!$L7="Инвентаризация на 2 декаду",База!$E7,0)</f>
        <v>0</v>
      </c>
      <c r="U7" s="1">
        <f>IF(База!$L7="Приход",База!$E7,0)</f>
        <v>0</v>
      </c>
      <c r="V7" s="1">
        <f>IF(База!$L7="Расход ",База!$E7,0)</f>
        <v>0</v>
      </c>
      <c r="AE7" s="31" t="s">
        <v>100</v>
      </c>
    </row>
    <row r="8" spans="1:34" ht="15">
      <c r="A8" s="22"/>
      <c r="N8" s="15" t="str">
        <f>IFERROR(INDEX('Списки материалов'!$B$2:$B$35,MATCH(База!$B$3:$B$54,'Списки материалов'!$C$2:$C$35,0)),"")</f>
        <v/>
      </c>
      <c r="O8" s="14" t="str">
        <f ca="1">IFERROR(INDEX('Списки материалов'!$D$2:$D$35,MATCH(База!$B8,'Списки материалов'!$C$2:$C$35,0))/DAY(КОНМЕСЯЦА(База!$A8,0)),"")</f>
        <v/>
      </c>
      <c r="P8" s="1">
        <f>MONTH(База!$A8)</f>
        <v>1</v>
      </c>
      <c r="Q8" s="1" t="e">
        <f>INDEX($AC$3:$AC$3,MATCH(P8,$AB$3:$AB$3,0))</f>
        <v>#N/A</v>
      </c>
      <c r="R8" s="1">
        <f>IF(База!$L8="Инвентаризация на 1 число",База!$E8,0)</f>
        <v>0</v>
      </c>
      <c r="S8" s="1">
        <f>IF(База!$L8="Инвентаризация на 1 декаду",База!$E8,0)</f>
        <v>0</v>
      </c>
      <c r="T8" s="1">
        <f>IF(База!$L8="Инвентаризация на 2 декаду",База!$E8,0)</f>
        <v>0</v>
      </c>
      <c r="U8" s="1">
        <f>IF(База!$L8="Приход",База!$E8,0)</f>
        <v>0</v>
      </c>
      <c r="V8" s="1">
        <f>IF(База!$L8="Расход ",База!$E8,0)</f>
        <v>0</v>
      </c>
    </row>
    <row r="9" spans="1:34" ht="15">
      <c r="A9" s="9">
        <v>43008</v>
      </c>
      <c r="B9" s="1" t="s">
        <v>11</v>
      </c>
      <c r="C9" s="1" t="s">
        <v>75</v>
      </c>
      <c r="D9" s="1" t="s">
        <v>76</v>
      </c>
      <c r="E9" s="1">
        <v>1</v>
      </c>
      <c r="F9" s="29">
        <f>IF(C9="Приход",SUMIFS(F$3:F$7,B$3:B$7,B9,D$3:D$7,D9)+E9,IF(C9="Расход",SUMIFS(F$3:F$7,B$3:B$7,B9,D$3:D$7,D9)-E9,E9))</f>
        <v>1.099</v>
      </c>
      <c r="G9" s="30" t="str">
        <f>IF(LEFT(C9,7)="Инвент.",ROW(),"")</f>
        <v/>
      </c>
      <c r="H9" s="30" t="str">
        <f>IF(AND(IF(LEFT(C9,7)="Инвент.",ROW(),"")&lt;&gt;"",G8=""),ROW(),"")</f>
        <v/>
      </c>
      <c r="L9" s="10" t="s">
        <v>79</v>
      </c>
      <c r="N9" s="15">
        <f>IFERROR(INDEX('Списки материалов'!$B$2:$B$35,MATCH(База!$B$3:$B$54,'Списки материалов'!$C$2:$C$35,0)),"")</f>
        <v>0</v>
      </c>
      <c r="O9" s="13" t="str">
        <f ca="1">IFERROR(INDEX('Списки материалов'!$D$2:$D$35,MATCH(База!$B9,'Списки материалов'!$C$2:$C$35,0))/DAY(КОНМЕСЯЦА(База!$A9,0)),"")</f>
        <v/>
      </c>
      <c r="P9" s="1">
        <f>MONTH(База!$A9)</f>
        <v>9</v>
      </c>
      <c r="Q9" s="1" t="e">
        <f>INDEX($AC$3:$AC$3,MATCH(P9,$AB$3:$AB$3,0))</f>
        <v>#N/A</v>
      </c>
      <c r="R9" s="1">
        <f>IF(База!$L9="Инвентаризация на 1 число",База!$E9,0)</f>
        <v>0</v>
      </c>
      <c r="S9" s="1">
        <f>IF(База!$L9="Инвентаризация на 1 декаду",База!$E9,0)</f>
        <v>0</v>
      </c>
      <c r="T9" s="1">
        <f>IF(База!$L9="Инвентаризация на 2 декаду",База!$E9,0)</f>
        <v>0</v>
      </c>
      <c r="U9" s="1">
        <f>IF(База!$L9="Приход",База!$E9,0)</f>
        <v>0</v>
      </c>
      <c r="V9" s="1">
        <f>IF(База!$L9="Расход ",База!$E9,0)</f>
        <v>1</v>
      </c>
    </row>
    <row r="10" spans="1:34" thickBot="1">
      <c r="A10" s="9">
        <v>43008</v>
      </c>
      <c r="B10" s="1" t="s">
        <v>85</v>
      </c>
      <c r="C10" s="1" t="s">
        <v>91</v>
      </c>
      <c r="D10" s="1" t="s">
        <v>81</v>
      </c>
      <c r="E10" s="1">
        <v>50</v>
      </c>
      <c r="F10" s="29">
        <f>IF(C10="Приход",SUMIFS(F$3:F$7,B$3:B$7,B10,D$3:D$7,D10)+E10,IF(C10="Расход",SUMIFS(F$3:F$7,B$3:B$7,B10,D$3:D$7,D10)-E10,E10))</f>
        <v>150</v>
      </c>
      <c r="G10" s="30" t="str">
        <f t="shared" ref="G10:G40" si="0">IF(LEFT(C10,7)="Инвент.",ROW(),"")</f>
        <v/>
      </c>
      <c r="H10" s="30" t="str">
        <f t="shared" ref="H10:H40" si="1">IF(AND(IF(LEFT(C10,7)="Инвент.",ROW(),"")&lt;&gt;"",G9=""),ROW(),"")</f>
        <v/>
      </c>
      <c r="L10" s="10" t="s">
        <v>79</v>
      </c>
      <c r="N10" s="15">
        <f>IFERROR(INDEX('Списки материалов'!$B$2:$B$35,MATCH(База!$B$3:$B$54,'Списки материалов'!$C$2:$C$35,0)),"")</f>
        <v>0</v>
      </c>
      <c r="O10" s="13" t="str">
        <f ca="1">IFERROR(INDEX('Списки материалов'!$D$2:$D$35,MATCH(База!$B10,'Списки материалов'!$C$2:$C$35,0))/DAY(КОНМЕСЯЦА(База!$A10,0)),"")</f>
        <v/>
      </c>
      <c r="P10" s="1">
        <f>MONTH(База!$A10)</f>
        <v>9</v>
      </c>
      <c r="Q10" s="1" t="e">
        <f>INDEX($AC$3:$AC$3,MATCH(P10,$AB$3:$AB$3,0))</f>
        <v>#N/A</v>
      </c>
      <c r="R10" s="1">
        <f>IF(База!$L10="Инвентаризация на 1 число",База!$E10,0)</f>
        <v>0</v>
      </c>
      <c r="S10" s="1">
        <f>IF(База!$L10="Инвентаризация на 1 декаду",База!$E10,0)</f>
        <v>0</v>
      </c>
      <c r="T10" s="1">
        <f>IF(База!$L10="Инвентаризация на 2 декаду",База!$E10,0)</f>
        <v>0</v>
      </c>
      <c r="U10" s="1">
        <f>IF(База!$L10="Приход",База!$E10,0)</f>
        <v>0</v>
      </c>
      <c r="V10" s="1">
        <f>IF(База!$L10="Расход ",База!$E10,0)</f>
        <v>50</v>
      </c>
    </row>
    <row r="11" spans="1:34" ht="15">
      <c r="A11" s="40">
        <v>43008</v>
      </c>
      <c r="B11" s="41" t="s">
        <v>23</v>
      </c>
      <c r="C11" s="41" t="s">
        <v>75</v>
      </c>
      <c r="D11" s="41" t="s">
        <v>76</v>
      </c>
      <c r="E11" s="41">
        <v>1</v>
      </c>
      <c r="F11" s="29">
        <f>IF(C11="Приход",SUMIFS(F$3:F$7,B$3:B$7,B11,D$3:D$7,D11)+E11,IF(C11="Расход",SUMIFS(F$3:F$7,B$3:B$7,B11,D$3:D$7,D11)-E11,E11))</f>
        <v>2</v>
      </c>
      <c r="G11" s="30" t="str">
        <f t="shared" si="0"/>
        <v/>
      </c>
      <c r="H11" s="30" t="str">
        <f t="shared" si="1"/>
        <v/>
      </c>
      <c r="L11" s="10"/>
      <c r="N11" s="15"/>
      <c r="O11" s="13"/>
      <c r="P11" s="1"/>
      <c r="Q11" s="1"/>
      <c r="AE11" s="34" t="str">
        <f>"F$"&amp;LARGE(H:H,1)&amp;":F$"&amp;LARGE(G:G,1)</f>
        <v>F$22:F$24</v>
      </c>
      <c r="AF11" s="35" t="str">
        <f>"B$"&amp;LARGE(H:H,1)&amp;":B$"&amp;LARGE(G:G,1)</f>
        <v>B$22:B$24</v>
      </c>
      <c r="AG11" s="36" t="str">
        <f>"D$"&amp;LARGE(H:H,1)&amp;":D$"&amp;LARGE(G:G,1)</f>
        <v>D$22:D$24</v>
      </c>
      <c r="AH11" s="33" t="s">
        <v>105</v>
      </c>
    </row>
    <row r="12" spans="1:34" ht="15">
      <c r="A12" s="40">
        <v>43008</v>
      </c>
      <c r="B12" s="41" t="s">
        <v>24</v>
      </c>
      <c r="C12" s="41" t="s">
        <v>75</v>
      </c>
      <c r="D12" s="41" t="s">
        <v>81</v>
      </c>
      <c r="E12" s="41">
        <v>1</v>
      </c>
      <c r="F12" s="29">
        <f>IF(C12="Приход",SUMIFS(F$3:F$7,B$3:B$7,B12,D$3:D$7,D12)+E12,IF(C12="Расход",SUMIFS(F$3:F$7,B$3:B$7,B12,D$3:D$7,D12)-E12,E12))</f>
        <v>6</v>
      </c>
      <c r="G12" s="30" t="str">
        <f t="shared" si="0"/>
        <v/>
      </c>
      <c r="H12" s="30" t="str">
        <f t="shared" si="1"/>
        <v/>
      </c>
      <c r="L12" s="10"/>
      <c r="N12" s="15"/>
      <c r="O12" s="13"/>
      <c r="P12" s="1"/>
      <c r="Q12" s="1"/>
    </row>
    <row r="13" spans="1:34" ht="15">
      <c r="A13" s="40"/>
      <c r="B13" s="41"/>
      <c r="C13" s="41"/>
      <c r="D13" s="41"/>
      <c r="E13" s="41"/>
      <c r="F13" s="29">
        <f>IF(C13="Приход",SUMIFS(F$3:F$7,B$3:B$7,B13,D$3:D$7,D13)+E13,IF(C13="Расход",SUMIFS(F$3:F$7,B$3:B$7,B13,D$3:D$7,D13)-E13,E13))</f>
        <v>0</v>
      </c>
      <c r="G13" s="30" t="str">
        <f t="shared" si="0"/>
        <v/>
      </c>
      <c r="H13" s="30" t="str">
        <f t="shared" si="1"/>
        <v/>
      </c>
      <c r="L13" s="10"/>
      <c r="N13" s="15"/>
      <c r="O13" s="13"/>
      <c r="P13" s="1"/>
      <c r="Q13" s="1"/>
    </row>
    <row r="14" spans="1:34" ht="15">
      <c r="A14" s="42">
        <v>43009</v>
      </c>
      <c r="B14" s="41" t="s">
        <v>57</v>
      </c>
      <c r="C14" s="45" t="s">
        <v>98</v>
      </c>
      <c r="D14" s="41" t="s">
        <v>76</v>
      </c>
      <c r="E14" s="41">
        <v>20</v>
      </c>
      <c r="F14" s="29">
        <f>IF(C14="Приход",SUMIFS(F$3:F$7,B$3:B$7,B14,D$3:D$7,D14)+E14,IF(C14="Расход",SUMIFS(F$3:F$7,B$3:B$7,B14,D$3:D$7,D14)-E14,E14))</f>
        <v>20</v>
      </c>
      <c r="G14" s="30">
        <f t="shared" si="0"/>
        <v>14</v>
      </c>
      <c r="H14" s="30">
        <f t="shared" si="1"/>
        <v>14</v>
      </c>
      <c r="N14" s="15"/>
      <c r="O14" s="14"/>
      <c r="P14" s="1"/>
      <c r="Q14" s="1"/>
    </row>
    <row r="15" spans="1:34" ht="15">
      <c r="A15" s="42">
        <v>43009</v>
      </c>
      <c r="B15" s="43" t="s">
        <v>23</v>
      </c>
      <c r="C15" s="45" t="s">
        <v>98</v>
      </c>
      <c r="D15" s="41" t="s">
        <v>76</v>
      </c>
      <c r="E15" s="43">
        <v>3</v>
      </c>
      <c r="F15" s="29">
        <f>IF(C15="Приход",SUMIFS(F$3:F$7,B$3:B$7,B15,D$3:D$7,D15)+E15,IF(C15="Расход",SUMIFS(F$3:F$7,B$3:B$7,B15,D$3:D$7,D15)-E15,E15))</f>
        <v>3</v>
      </c>
      <c r="G15" s="30">
        <f t="shared" si="0"/>
        <v>15</v>
      </c>
      <c r="H15" s="30" t="str">
        <f t="shared" si="1"/>
        <v/>
      </c>
      <c r="K15" s="10"/>
      <c r="L15" s="10"/>
      <c r="N15" s="15"/>
      <c r="O15" s="14"/>
      <c r="P15" s="1"/>
      <c r="Q15" s="1"/>
    </row>
    <row r="16" spans="1:34" ht="15">
      <c r="A16" s="42">
        <v>43009</v>
      </c>
      <c r="B16" s="41" t="s">
        <v>24</v>
      </c>
      <c r="C16" s="45" t="s">
        <v>98</v>
      </c>
      <c r="D16" s="41" t="s">
        <v>81</v>
      </c>
      <c r="E16" s="41">
        <v>3</v>
      </c>
      <c r="F16" s="29">
        <f>IF(C16="Приход",SUMIFS(F$3:F$7,B$3:B$7,B16,D$3:D$7,D16)+E16,IF(C16="Расход",SUMIFS(F$3:F$7,B$3:B$7,B16,D$3:D$7,D16)-E16,E16))</f>
        <v>3</v>
      </c>
      <c r="G16" s="30">
        <f t="shared" si="0"/>
        <v>16</v>
      </c>
      <c r="H16" s="30" t="str">
        <f t="shared" si="1"/>
        <v/>
      </c>
      <c r="L16" s="10"/>
      <c r="N16" s="15"/>
      <c r="O16" s="13"/>
      <c r="P16" s="1"/>
      <c r="Q16" s="1"/>
    </row>
    <row r="17" spans="1:34" ht="15">
      <c r="A17" s="40"/>
      <c r="B17" s="41"/>
      <c r="C17" s="41"/>
      <c r="D17" s="41"/>
      <c r="E17" s="41"/>
      <c r="F17" s="23">
        <f ca="1">IF(C17="Приход",SUMIFS(INDIRECT(AE$17),INDIRECT(AF$17),B17,INDIRECT(AG$17),D17)+E17,IF(C17="Расход",SUMIFS(INDIRECT(AE$17),INDIRECT(AF$17),B17,INDIRECT(AG$17),D17)-E17,E17))</f>
        <v>0</v>
      </c>
      <c r="G17" s="30" t="str">
        <f t="shared" si="0"/>
        <v/>
      </c>
      <c r="H17" s="30" t="str">
        <f t="shared" si="1"/>
        <v/>
      </c>
      <c r="L17" s="10"/>
      <c r="N17" s="15"/>
      <c r="O17" s="13"/>
      <c r="P17" s="1"/>
      <c r="Q17" s="1"/>
      <c r="AE17" s="37" t="s">
        <v>102</v>
      </c>
      <c r="AF17" s="37" t="s">
        <v>103</v>
      </c>
      <c r="AG17" s="37" t="s">
        <v>104</v>
      </c>
      <c r="AH17" s="33" t="s">
        <v>106</v>
      </c>
    </row>
    <row r="18" spans="1:34" ht="15">
      <c r="A18" s="40">
        <v>43010</v>
      </c>
      <c r="B18" s="41" t="s">
        <v>57</v>
      </c>
      <c r="C18" s="41" t="s">
        <v>75</v>
      </c>
      <c r="D18" s="41" t="s">
        <v>76</v>
      </c>
      <c r="E18" s="41">
        <v>5</v>
      </c>
      <c r="F18" s="23">
        <f ca="1">IF(C18="Приход",SUMIFS(INDIRECT(AE$17),INDIRECT(AF$17),B18,INDIRECT(AG$17),D18)+E18,IF(C18="Расход",SUMIFS(INDIRECT(AE$17),INDIRECT(AF$17),B18,INDIRECT(AG$17),D18)-E18,E18))</f>
        <v>25</v>
      </c>
      <c r="G18" s="30" t="str">
        <f t="shared" si="0"/>
        <v/>
      </c>
      <c r="H18" s="30" t="str">
        <f t="shared" si="1"/>
        <v/>
      </c>
      <c r="L18" s="10"/>
      <c r="N18" s="15"/>
      <c r="O18" s="13"/>
      <c r="P18" s="1"/>
      <c r="Q18" s="1"/>
    </row>
    <row r="19" spans="1:34" ht="15">
      <c r="A19" s="40">
        <v>43010</v>
      </c>
      <c r="B19" s="41" t="s">
        <v>23</v>
      </c>
      <c r="C19" s="41" t="s">
        <v>91</v>
      </c>
      <c r="D19" s="41" t="s">
        <v>76</v>
      </c>
      <c r="E19" s="41">
        <v>1</v>
      </c>
      <c r="F19" s="23">
        <f ca="1">IF(C19="Приход",SUMIFS(INDIRECT(AE$17),INDIRECT(AF$17),B19,INDIRECT(AG$17),D19)+E19,IF(C19="Расход",SUMIFS(INDIRECT(AE$17),INDIRECT(AF$17),B19,INDIRECT(AG$17),D19)-E19,E19))</f>
        <v>2</v>
      </c>
      <c r="G19" s="30" t="str">
        <f t="shared" si="0"/>
        <v/>
      </c>
      <c r="H19" s="30" t="str">
        <f t="shared" si="1"/>
        <v/>
      </c>
      <c r="L19" s="10"/>
      <c r="N19" s="15"/>
      <c r="O19" s="13"/>
      <c r="P19" s="1"/>
      <c r="Q19" s="1"/>
    </row>
    <row r="20" spans="1:34" ht="15">
      <c r="A20" s="40">
        <v>43010</v>
      </c>
      <c r="B20" s="41" t="s">
        <v>24</v>
      </c>
      <c r="C20" s="41" t="s">
        <v>91</v>
      </c>
      <c r="D20" s="41" t="s">
        <v>81</v>
      </c>
      <c r="E20" s="41">
        <v>1</v>
      </c>
      <c r="F20" s="23">
        <f ca="1">IF(C20="Приход",SUMIFS(INDIRECT(AE$17),INDIRECT(AF$17),B20,INDIRECT(AG$17),D20)+E20,IF(C20="Расход",SUMIFS(INDIRECT(AE$17),INDIRECT(AF$17),B20,INDIRECT(AG$17),D20)-E20,E20))</f>
        <v>2</v>
      </c>
      <c r="G20" s="30" t="str">
        <f t="shared" si="0"/>
        <v/>
      </c>
      <c r="H20" s="30" t="str">
        <f t="shared" si="1"/>
        <v/>
      </c>
      <c r="L20" s="10"/>
      <c r="N20" s="15"/>
      <c r="O20" s="13"/>
      <c r="P20" s="1"/>
      <c r="Q20" s="1"/>
    </row>
    <row r="21" spans="1:34" ht="15">
      <c r="A21" s="40"/>
      <c r="B21" s="41"/>
      <c r="C21" s="41"/>
      <c r="D21" s="41"/>
      <c r="E21" s="41"/>
      <c r="F21" s="23">
        <f ca="1">IF(C21="Приход",SUMIFS(INDIRECT(AE$17),INDIRECT(AF$17),B21,INDIRECT(AG$17),D21)+E21,IF(C21="Расход",SUMIFS(INDIRECT(AE$17),INDIRECT(AF$17),B21,INDIRECT(AG$17),D21)-E21,E21))</f>
        <v>0</v>
      </c>
      <c r="G21" s="30" t="str">
        <f t="shared" si="0"/>
        <v/>
      </c>
      <c r="H21" s="30" t="str">
        <f t="shared" si="1"/>
        <v/>
      </c>
      <c r="L21" s="10"/>
      <c r="N21" s="15"/>
      <c r="O21" s="13"/>
      <c r="P21" s="1"/>
      <c r="Q21" s="1"/>
    </row>
    <row r="22" spans="1:34" ht="15">
      <c r="A22" s="40">
        <v>43011</v>
      </c>
      <c r="B22" s="41" t="s">
        <v>57</v>
      </c>
      <c r="C22" s="44" t="s">
        <v>99</v>
      </c>
      <c r="D22" s="41" t="s">
        <v>76</v>
      </c>
      <c r="E22" s="41">
        <v>24</v>
      </c>
      <c r="F22" s="23">
        <f ca="1">IF(C22="Приход",SUMIFS(INDIRECT(AE$17),INDIRECT(AF$17),B22,INDIRECT(AG$17),D22)+E22,IF(C22="Расход",SUMIFS(INDIRECT(AE$17),INDIRECT(AF$17),B22,INDIRECT(AG$17),D22)-E22,E22))</f>
        <v>24</v>
      </c>
      <c r="G22" s="30">
        <f t="shared" si="0"/>
        <v>22</v>
      </c>
      <c r="H22" s="30">
        <f t="shared" si="1"/>
        <v>22</v>
      </c>
      <c r="L22" s="10"/>
      <c r="N22" s="15"/>
      <c r="O22" s="13"/>
      <c r="P22" s="1"/>
      <c r="Q22" s="1"/>
    </row>
    <row r="23" spans="1:34" ht="15">
      <c r="A23" s="40">
        <v>43011</v>
      </c>
      <c r="B23" s="41" t="s">
        <v>23</v>
      </c>
      <c r="C23" s="44" t="s">
        <v>99</v>
      </c>
      <c r="D23" s="41" t="s">
        <v>76</v>
      </c>
      <c r="E23" s="41">
        <v>3</v>
      </c>
      <c r="F23" s="23">
        <f ca="1">IF(C23="Приход",SUMIFS(INDIRECT(AE$17),INDIRECT(AF$17),B23,INDIRECT(AG$17),D23)+E23,IF(C23="Расход",SUMIFS(INDIRECT(AE$17),INDIRECT(AF$17),B23,INDIRECT(AG$17),D23)-E23,E23))</f>
        <v>3</v>
      </c>
      <c r="G23" s="30">
        <f t="shared" si="0"/>
        <v>23</v>
      </c>
      <c r="H23" s="30" t="str">
        <f t="shared" si="1"/>
        <v/>
      </c>
      <c r="L23" s="10"/>
      <c r="N23" s="15"/>
      <c r="O23" s="13"/>
      <c r="P23" s="1"/>
      <c r="Q23" s="1"/>
    </row>
    <row r="24" spans="1:34" ht="15">
      <c r="A24" s="40">
        <v>43011</v>
      </c>
      <c r="B24" s="41" t="s">
        <v>24</v>
      </c>
      <c r="C24" s="44" t="s">
        <v>99</v>
      </c>
      <c r="D24" s="41" t="s">
        <v>81</v>
      </c>
      <c r="E24" s="41">
        <v>1</v>
      </c>
      <c r="F24" s="23">
        <f ca="1">IF(C24="Приход",SUMIFS(INDIRECT(AE$17),INDIRECT(AF$17),B24,INDIRECT(AG$17),D24)+E24,IF(C24="Расход",SUMIFS(INDIRECT(AE$17),INDIRECT(AF$17),B24,INDIRECT(AG$17),D24)-E24,E24))</f>
        <v>1</v>
      </c>
      <c r="G24" s="30">
        <f t="shared" si="0"/>
        <v>24</v>
      </c>
      <c r="H24" s="30" t="str">
        <f t="shared" si="1"/>
        <v/>
      </c>
      <c r="L24" s="10"/>
      <c r="N24" s="15"/>
      <c r="O24" s="13"/>
      <c r="P24" s="1"/>
      <c r="Q24" s="1"/>
    </row>
    <row r="25" spans="1:34" ht="15">
      <c r="A25" s="40"/>
      <c r="B25" s="41"/>
      <c r="C25" s="41"/>
      <c r="D25" s="41"/>
      <c r="E25" s="41"/>
      <c r="F25" s="39">
        <f ca="1">IF(C25="Приход",SUMIFS(INDIRECT(AE$25),INDIRECT(AF$25),B25,INDIRECT(AG$25),D25)+E25,IF(C25="Расход",SUMIFS(INDIRECT(AE$25),INDIRECT(AF$25),B25,INDIRECT(AG$25),D25)-E25,E25))</f>
        <v>0</v>
      </c>
      <c r="G25" s="30" t="str">
        <f t="shared" si="0"/>
        <v/>
      </c>
      <c r="H25" s="30" t="str">
        <f t="shared" si="1"/>
        <v/>
      </c>
      <c r="L25" s="10"/>
      <c r="N25" s="15"/>
      <c r="O25" s="13"/>
      <c r="P25" s="1"/>
      <c r="Q25" s="1"/>
      <c r="AE25" s="38" t="s">
        <v>107</v>
      </c>
      <c r="AF25" s="38" t="s">
        <v>108</v>
      </c>
      <c r="AG25" s="38" t="s">
        <v>109</v>
      </c>
      <c r="AH25" s="33" t="s">
        <v>110</v>
      </c>
    </row>
    <row r="26" spans="1:34" ht="15">
      <c r="A26" s="40"/>
      <c r="B26" s="41"/>
      <c r="C26" s="41"/>
      <c r="D26" s="41"/>
      <c r="E26" s="41"/>
      <c r="F26" s="39">
        <f t="shared" ref="F26:F40" ca="1" si="2">IF(C26="Приход",SUMIFS(INDIRECT(AE$25),INDIRECT(AF$25),B26,INDIRECT(AG$25),D26)+E26,IF(C26="Расход",SUMIFS(INDIRECT(AE$25),INDIRECT(AF$25),B26,INDIRECT(AG$25),D26)-E26,E26))</f>
        <v>0</v>
      </c>
      <c r="G26" s="30" t="str">
        <f t="shared" si="0"/>
        <v/>
      </c>
      <c r="H26" s="30" t="str">
        <f t="shared" si="1"/>
        <v/>
      </c>
      <c r="L26" s="10"/>
      <c r="N26" s="15"/>
      <c r="O26" s="13"/>
      <c r="P26" s="1"/>
      <c r="Q26" s="1"/>
    </row>
    <row r="27" spans="1:34" ht="15">
      <c r="A27" s="40">
        <v>43012</v>
      </c>
      <c r="B27" s="41" t="s">
        <v>57</v>
      </c>
      <c r="C27" s="41" t="s">
        <v>75</v>
      </c>
      <c r="D27" s="41" t="s">
        <v>76</v>
      </c>
      <c r="E27" s="41">
        <v>5</v>
      </c>
      <c r="F27" s="39">
        <f t="shared" ca="1" si="2"/>
        <v>29</v>
      </c>
      <c r="G27" s="30" t="str">
        <f t="shared" si="0"/>
        <v/>
      </c>
      <c r="H27" s="30" t="str">
        <f t="shared" si="1"/>
        <v/>
      </c>
      <c r="L27" s="10"/>
      <c r="N27" s="15"/>
      <c r="O27" s="13"/>
      <c r="P27" s="1"/>
      <c r="Q27" s="1"/>
    </row>
    <row r="28" spans="1:34" ht="15">
      <c r="A28" s="40">
        <v>43012</v>
      </c>
      <c r="B28" s="41" t="s">
        <v>23</v>
      </c>
      <c r="C28" s="41" t="s">
        <v>91</v>
      </c>
      <c r="D28" s="41" t="s">
        <v>76</v>
      </c>
      <c r="E28" s="41">
        <v>1</v>
      </c>
      <c r="F28" s="39">
        <f t="shared" ca="1" si="2"/>
        <v>2</v>
      </c>
      <c r="G28" s="30" t="str">
        <f t="shared" si="0"/>
        <v/>
      </c>
      <c r="H28" s="30" t="str">
        <f t="shared" si="1"/>
        <v/>
      </c>
      <c r="L28" s="10"/>
      <c r="N28" s="15"/>
      <c r="O28" s="13"/>
      <c r="P28" s="1"/>
      <c r="Q28" s="1"/>
    </row>
    <row r="29" spans="1:34" ht="15">
      <c r="A29" s="40">
        <v>43012</v>
      </c>
      <c r="B29" s="41" t="s">
        <v>24</v>
      </c>
      <c r="C29" s="41" t="s">
        <v>75</v>
      </c>
      <c r="D29" s="41" t="s">
        <v>81</v>
      </c>
      <c r="E29" s="41">
        <v>1</v>
      </c>
      <c r="F29" s="39">
        <f t="shared" ca="1" si="2"/>
        <v>2</v>
      </c>
      <c r="G29" s="30" t="str">
        <f t="shared" si="0"/>
        <v/>
      </c>
      <c r="H29" s="30" t="str">
        <f t="shared" si="1"/>
        <v/>
      </c>
      <c r="L29" s="10"/>
      <c r="N29" s="15"/>
      <c r="O29" s="13"/>
      <c r="P29" s="1"/>
      <c r="Q29" s="1"/>
    </row>
    <row r="30" spans="1:34" ht="15">
      <c r="A30" s="40"/>
      <c r="B30" s="41"/>
      <c r="C30" s="41"/>
      <c r="D30" s="41"/>
      <c r="E30" s="41"/>
      <c r="F30" s="39">
        <f t="shared" ca="1" si="2"/>
        <v>0</v>
      </c>
      <c r="G30" s="30" t="str">
        <f t="shared" si="0"/>
        <v/>
      </c>
      <c r="H30" s="30" t="str">
        <f t="shared" si="1"/>
        <v/>
      </c>
      <c r="L30" s="10"/>
      <c r="N30" s="15"/>
      <c r="O30" s="13"/>
      <c r="P30" s="1"/>
      <c r="Q30" s="1"/>
    </row>
    <row r="31" spans="1:34" ht="15">
      <c r="A31" s="40"/>
      <c r="B31" s="41"/>
      <c r="C31" s="41"/>
      <c r="D31" s="41"/>
      <c r="E31" s="41"/>
      <c r="F31" s="39">
        <f t="shared" ca="1" si="2"/>
        <v>0</v>
      </c>
      <c r="G31" s="30" t="str">
        <f t="shared" si="0"/>
        <v/>
      </c>
      <c r="H31" s="30" t="str">
        <f t="shared" si="1"/>
        <v/>
      </c>
      <c r="L31" s="10"/>
      <c r="N31" s="15"/>
      <c r="O31" s="13"/>
      <c r="P31" s="1"/>
      <c r="Q31" s="1"/>
    </row>
    <row r="32" spans="1:34" ht="15">
      <c r="A32" s="40"/>
      <c r="B32" s="41"/>
      <c r="C32" s="41"/>
      <c r="D32" s="41"/>
      <c r="E32" s="41"/>
      <c r="F32" s="39">
        <f t="shared" ca="1" si="2"/>
        <v>0</v>
      </c>
      <c r="G32" s="30" t="str">
        <f t="shared" si="0"/>
        <v/>
      </c>
      <c r="H32" s="30" t="str">
        <f t="shared" si="1"/>
        <v/>
      </c>
      <c r="L32" s="10"/>
      <c r="N32" s="15"/>
      <c r="O32" s="13"/>
      <c r="P32" s="1"/>
      <c r="Q32" s="1"/>
    </row>
    <row r="33" spans="1:17" ht="15">
      <c r="A33" s="40"/>
      <c r="B33" s="41"/>
      <c r="C33" s="41"/>
      <c r="D33" s="43"/>
      <c r="E33" s="43"/>
      <c r="F33" s="39">
        <f t="shared" ca="1" si="2"/>
        <v>0</v>
      </c>
      <c r="G33" s="30" t="str">
        <f t="shared" si="0"/>
        <v/>
      </c>
      <c r="H33" s="30" t="str">
        <f t="shared" si="1"/>
        <v/>
      </c>
      <c r="K33" s="10"/>
      <c r="L33" s="10"/>
      <c r="N33" s="15"/>
      <c r="O33" s="13"/>
      <c r="P33" s="1"/>
      <c r="Q33" s="1"/>
    </row>
    <row r="34" spans="1:17" ht="15">
      <c r="A34" s="40"/>
      <c r="B34" s="41"/>
      <c r="C34" s="41"/>
      <c r="D34" s="41"/>
      <c r="E34" s="41"/>
      <c r="F34" s="39">
        <f t="shared" ca="1" si="2"/>
        <v>0</v>
      </c>
      <c r="G34" s="30" t="str">
        <f t="shared" si="0"/>
        <v/>
      </c>
      <c r="H34" s="30" t="str">
        <f t="shared" si="1"/>
        <v/>
      </c>
      <c r="L34" s="10"/>
      <c r="N34" s="15"/>
      <c r="O34" s="13"/>
      <c r="P34" s="1"/>
      <c r="Q34" s="1"/>
    </row>
    <row r="35" spans="1:17" ht="15">
      <c r="A35" s="40"/>
      <c r="B35" s="41"/>
      <c r="C35" s="41"/>
      <c r="D35" s="41"/>
      <c r="E35" s="41"/>
      <c r="F35" s="39">
        <f t="shared" ca="1" si="2"/>
        <v>0</v>
      </c>
      <c r="G35" s="30" t="str">
        <f t="shared" si="0"/>
        <v/>
      </c>
      <c r="H35" s="30" t="str">
        <f t="shared" si="1"/>
        <v/>
      </c>
      <c r="L35" s="10"/>
      <c r="N35" s="15"/>
      <c r="O35" s="13"/>
      <c r="P35" s="1"/>
      <c r="Q35" s="1"/>
    </row>
    <row r="36" spans="1:17" ht="15">
      <c r="A36" s="40"/>
      <c r="B36" s="41"/>
      <c r="C36" s="41"/>
      <c r="D36" s="41"/>
      <c r="E36" s="41"/>
      <c r="F36" s="39">
        <f t="shared" ca="1" si="2"/>
        <v>0</v>
      </c>
      <c r="G36" s="30" t="str">
        <f t="shared" si="0"/>
        <v/>
      </c>
      <c r="H36" s="30" t="str">
        <f t="shared" si="1"/>
        <v/>
      </c>
      <c r="L36" s="10"/>
      <c r="N36" s="15"/>
      <c r="O36" s="13"/>
      <c r="P36" s="1"/>
      <c r="Q36" s="1"/>
    </row>
    <row r="37" spans="1:17" ht="15">
      <c r="A37" s="40"/>
      <c r="B37" s="41"/>
      <c r="C37" s="41"/>
      <c r="D37" s="41"/>
      <c r="E37" s="41"/>
      <c r="F37" s="39">
        <f t="shared" ca="1" si="2"/>
        <v>0</v>
      </c>
      <c r="G37" s="30" t="str">
        <f t="shared" si="0"/>
        <v/>
      </c>
      <c r="H37" s="30" t="str">
        <f t="shared" si="1"/>
        <v/>
      </c>
      <c r="L37" s="10"/>
      <c r="N37" s="15"/>
      <c r="O37" s="13"/>
      <c r="P37" s="1"/>
      <c r="Q37" s="1"/>
    </row>
    <row r="38" spans="1:17" ht="15">
      <c r="A38" s="40"/>
      <c r="B38" s="41"/>
      <c r="C38" s="41"/>
      <c r="D38" s="41"/>
      <c r="E38" s="41"/>
      <c r="F38" s="39">
        <f t="shared" ca="1" si="2"/>
        <v>0</v>
      </c>
      <c r="G38" s="30" t="str">
        <f t="shared" si="0"/>
        <v/>
      </c>
      <c r="H38" s="30" t="str">
        <f t="shared" si="1"/>
        <v/>
      </c>
      <c r="L38" s="10"/>
      <c r="N38" s="15"/>
      <c r="O38" s="13"/>
      <c r="P38" s="1"/>
      <c r="Q38" s="1"/>
    </row>
    <row r="39" spans="1:17" ht="15">
      <c r="A39" s="40"/>
      <c r="B39" s="41"/>
      <c r="C39" s="41"/>
      <c r="D39" s="41"/>
      <c r="E39" s="41"/>
      <c r="F39" s="39">
        <f t="shared" ca="1" si="2"/>
        <v>0</v>
      </c>
      <c r="G39" s="30" t="str">
        <f t="shared" si="0"/>
        <v/>
      </c>
      <c r="H39" s="30" t="str">
        <f t="shared" si="1"/>
        <v/>
      </c>
      <c r="L39" s="10"/>
      <c r="N39" s="15"/>
      <c r="O39" s="13"/>
      <c r="P39" s="1"/>
      <c r="Q39" s="1"/>
    </row>
    <row r="40" spans="1:17" ht="15">
      <c r="A40" s="40"/>
      <c r="B40" s="41"/>
      <c r="C40" s="41"/>
      <c r="D40" s="41"/>
      <c r="E40" s="41"/>
      <c r="F40" s="39">
        <f t="shared" ca="1" si="2"/>
        <v>0</v>
      </c>
      <c r="G40" s="30" t="str">
        <f t="shared" si="0"/>
        <v/>
      </c>
      <c r="H40" s="30" t="str">
        <f t="shared" si="1"/>
        <v/>
      </c>
      <c r="L40" s="10"/>
      <c r="N40" s="15"/>
      <c r="O40" s="13"/>
      <c r="P40" s="1"/>
      <c r="Q40" s="1"/>
    </row>
    <row r="41" spans="1:17" ht="15">
      <c r="A41" s="9"/>
      <c r="L41" s="10"/>
      <c r="N41" s="15"/>
      <c r="O41" s="13"/>
      <c r="P41" s="1"/>
      <c r="Q41" s="1"/>
    </row>
    <row r="42" spans="1:17" ht="15">
      <c r="A42" s="9"/>
      <c r="L42" s="10"/>
      <c r="N42" s="15"/>
      <c r="O42" s="13"/>
      <c r="P42" s="1"/>
      <c r="Q42" s="1"/>
    </row>
    <row r="43" spans="1:17" ht="15">
      <c r="A43" s="9"/>
      <c r="L43" s="10"/>
      <c r="N43" s="15"/>
      <c r="O43" s="13"/>
      <c r="P43" s="1"/>
      <c r="Q43" s="1"/>
    </row>
    <row r="44" spans="1:17" ht="15">
      <c r="A44" s="9"/>
      <c r="L44" s="10"/>
      <c r="N44" s="15"/>
      <c r="O44" s="13"/>
      <c r="P44" s="1"/>
      <c r="Q44" s="1"/>
    </row>
    <row r="45" spans="1:17" ht="15">
      <c r="A45" s="9"/>
      <c r="L45" s="10"/>
      <c r="N45" s="15"/>
      <c r="O45" s="13"/>
      <c r="P45" s="1"/>
      <c r="Q45" s="1"/>
    </row>
    <row r="46" spans="1:17" ht="15">
      <c r="A46" s="9"/>
      <c r="L46" s="10"/>
      <c r="N46" s="15"/>
      <c r="O46" s="13"/>
      <c r="P46" s="1"/>
      <c r="Q46" s="1"/>
    </row>
    <row r="47" spans="1:17" ht="15">
      <c r="A47" s="9"/>
      <c r="L47" s="10"/>
      <c r="N47" s="15"/>
      <c r="O47" s="13"/>
      <c r="P47" s="1"/>
      <c r="Q47" s="1"/>
    </row>
    <row r="48" spans="1:17" ht="15">
      <c r="A48" s="9"/>
      <c r="L48" s="10"/>
      <c r="N48" s="15"/>
      <c r="O48" s="13"/>
      <c r="P48" s="1"/>
      <c r="Q48" s="1"/>
    </row>
    <row r="49" spans="1:17" ht="15">
      <c r="A49" s="9"/>
      <c r="L49" s="10"/>
      <c r="N49" s="15"/>
      <c r="O49" s="13"/>
      <c r="P49" s="1"/>
      <c r="Q49" s="1"/>
    </row>
    <row r="50" spans="1:17" ht="15">
      <c r="A50" s="9"/>
      <c r="L50" s="10"/>
      <c r="N50" s="15"/>
      <c r="O50" s="13"/>
      <c r="P50" s="1"/>
      <c r="Q50" s="1"/>
    </row>
    <row r="51" spans="1:17" ht="15">
      <c r="A51" s="9"/>
      <c r="L51" s="10"/>
      <c r="N51" s="15"/>
      <c r="O51" s="13"/>
      <c r="P51" s="1"/>
      <c r="Q51" s="1"/>
    </row>
    <row r="52" spans="1:17" ht="15">
      <c r="A52" s="9"/>
      <c r="L52" s="10"/>
      <c r="N52" s="15"/>
      <c r="O52" s="13"/>
      <c r="P52" s="1"/>
      <c r="Q52" s="1"/>
    </row>
    <row r="53" spans="1:17" ht="15">
      <c r="A53" s="9"/>
      <c r="L53" s="10"/>
      <c r="N53" s="15"/>
      <c r="O53" s="13"/>
      <c r="P53" s="1"/>
      <c r="Q53" s="1"/>
    </row>
    <row r="54" spans="1:17" ht="15">
      <c r="A54" s="9"/>
      <c r="L54" s="10"/>
      <c r="N54" s="15"/>
      <c r="O54" s="13"/>
      <c r="P54" s="1"/>
      <c r="Q54" s="1"/>
    </row>
  </sheetData>
  <sheetProtection sheet="1" objects="1" scenarios="1"/>
  <phoneticPr fontId="4" type="noConversion"/>
  <dataValidations count="5">
    <dataValidation type="list" allowBlank="1" showInputMessage="1" showErrorMessage="1" sqref="L3:L54">
      <formula1>#REF!</formula1>
    </dataValidation>
    <dataValidation type="list" allowBlank="1" showInputMessage="1" showErrorMessage="1" sqref="D30:D54">
      <formula1>#REF!</formula1>
    </dataValidation>
    <dataValidation type="list" allowBlank="1" showInputMessage="1" showErrorMessage="1" sqref="B3:B54">
      <formula1>'Списки материалов'!$C$2:$C$35</formula1>
    </dataValidation>
    <dataValidation type="list" allowBlank="1" showInputMessage="1" showErrorMessage="1" sqref="C3:C40">
      <formula1>$AE$3:$AE$7</formula1>
    </dataValidation>
    <dataValidation type="list" allowBlank="1" showInputMessage="1" showErrorMessage="1" sqref="D3:D29">
      <formula1>$AG$3:$AG$4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B17"/>
  <sheetViews>
    <sheetView showGridLines="0" workbookViewId="0">
      <selection activeCell="K16" sqref="K16"/>
    </sheetView>
  </sheetViews>
  <sheetFormatPr defaultRowHeight="15"/>
  <cols>
    <col min="1" max="1" width="3.5703125" customWidth="1"/>
  </cols>
  <sheetData>
    <row r="2" spans="2:2">
      <c r="B2" t="s">
        <v>116</v>
      </c>
    </row>
    <row r="4" spans="2:2">
      <c r="B4" t="s">
        <v>111</v>
      </c>
    </row>
    <row r="5" spans="2:2">
      <c r="B5" t="s">
        <v>112</v>
      </c>
    </row>
    <row r="6" spans="2:2">
      <c r="B6" t="s">
        <v>113</v>
      </c>
    </row>
    <row r="7" spans="2:2">
      <c r="B7" t="s">
        <v>117</v>
      </c>
    </row>
    <row r="8" spans="2:2">
      <c r="B8" t="s">
        <v>123</v>
      </c>
    </row>
    <row r="9" spans="2:2">
      <c r="B9" t="s">
        <v>118</v>
      </c>
    </row>
    <row r="10" spans="2:2">
      <c r="B10" t="s">
        <v>114</v>
      </c>
    </row>
    <row r="11" spans="2:2">
      <c r="B11" t="s">
        <v>115</v>
      </c>
    </row>
    <row r="13" spans="2:2">
      <c r="B13" t="s">
        <v>119</v>
      </c>
    </row>
    <row r="14" spans="2:2">
      <c r="B14" t="s">
        <v>120</v>
      </c>
    </row>
    <row r="16" spans="2:2">
      <c r="B16" t="s">
        <v>121</v>
      </c>
    </row>
    <row r="17" spans="2:2">
      <c r="B17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/>
  <dimension ref="A1:I52"/>
  <sheetViews>
    <sheetView workbookViewId="0">
      <selection activeCell="G13" sqref="G13"/>
    </sheetView>
  </sheetViews>
  <sheetFormatPr defaultRowHeight="15"/>
  <cols>
    <col min="1" max="1" width="9.140625" style="2"/>
    <col min="2" max="2" width="10.42578125" style="3" customWidth="1"/>
    <col min="3" max="3" width="41.7109375" style="2" bestFit="1" customWidth="1"/>
    <col min="4" max="4" width="9.28515625" style="2" customWidth="1"/>
    <col min="5" max="6" width="9.140625" style="2"/>
    <col min="7" max="7" width="11.42578125" style="2" customWidth="1"/>
    <col min="8" max="8" width="58.28515625" style="2" bestFit="1" customWidth="1"/>
    <col min="9" max="9" width="8.140625" style="2" bestFit="1" customWidth="1"/>
    <col min="10" max="16384" width="9.140625" style="2"/>
  </cols>
  <sheetData>
    <row r="1" spans="1:9" ht="31.5" customHeight="1">
      <c r="A1" s="4" t="s">
        <v>0</v>
      </c>
      <c r="B1" s="5" t="s">
        <v>2</v>
      </c>
      <c r="C1" s="5" t="s">
        <v>3</v>
      </c>
      <c r="D1" s="5" t="s">
        <v>80</v>
      </c>
      <c r="F1" s="4" t="s">
        <v>0</v>
      </c>
      <c r="G1" s="5" t="s">
        <v>2</v>
      </c>
      <c r="H1" s="5" t="s">
        <v>3</v>
      </c>
      <c r="I1" s="5" t="s">
        <v>80</v>
      </c>
    </row>
    <row r="2" spans="1:9">
      <c r="A2" s="6">
        <v>1</v>
      </c>
      <c r="B2" s="7"/>
      <c r="C2" s="6" t="s">
        <v>6</v>
      </c>
      <c r="D2" s="6">
        <v>1.3</v>
      </c>
      <c r="F2" s="6">
        <v>1</v>
      </c>
      <c r="G2" s="6"/>
      <c r="H2" s="6" t="s">
        <v>69</v>
      </c>
      <c r="I2" s="6"/>
    </row>
    <row r="3" spans="1:9">
      <c r="A3" s="6">
        <v>2</v>
      </c>
      <c r="B3" s="7"/>
      <c r="C3" s="6" t="s">
        <v>12</v>
      </c>
      <c r="D3" s="6">
        <v>0.8</v>
      </c>
      <c r="F3" s="6">
        <v>2</v>
      </c>
      <c r="G3" s="6"/>
      <c r="H3" s="6" t="s">
        <v>40</v>
      </c>
      <c r="I3" s="6"/>
    </row>
    <row r="4" spans="1:9">
      <c r="A4" s="6">
        <v>3</v>
      </c>
      <c r="B4" s="7" t="s">
        <v>54</v>
      </c>
      <c r="C4" s="6" t="s">
        <v>55</v>
      </c>
      <c r="D4" s="6">
        <v>8.5</v>
      </c>
      <c r="F4" s="6">
        <v>3</v>
      </c>
      <c r="G4" s="6"/>
      <c r="H4" s="6" t="s">
        <v>70</v>
      </c>
      <c r="I4" s="6"/>
    </row>
    <row r="5" spans="1:9">
      <c r="A5" s="6">
        <v>4</v>
      </c>
      <c r="B5" s="7" t="s">
        <v>56</v>
      </c>
      <c r="C5" s="6" t="s">
        <v>5</v>
      </c>
      <c r="D5" s="6">
        <v>15</v>
      </c>
      <c r="F5" s="6">
        <v>4</v>
      </c>
      <c r="G5" s="7" t="s">
        <v>71</v>
      </c>
      <c r="H5" s="6" t="s">
        <v>72</v>
      </c>
      <c r="I5" s="6"/>
    </row>
    <row r="6" spans="1:9">
      <c r="A6" s="6">
        <v>5</v>
      </c>
      <c r="B6" s="7"/>
      <c r="C6" s="6" t="s">
        <v>13</v>
      </c>
      <c r="D6" s="6">
        <v>13</v>
      </c>
      <c r="F6" s="6">
        <v>5</v>
      </c>
      <c r="G6" s="6"/>
      <c r="H6" s="6" t="s">
        <v>47</v>
      </c>
      <c r="I6" s="6"/>
    </row>
    <row r="7" spans="1:9">
      <c r="A7" s="6">
        <v>6</v>
      </c>
      <c r="B7" s="7"/>
      <c r="C7" s="6" t="s">
        <v>13</v>
      </c>
      <c r="D7" s="6"/>
      <c r="F7" s="6">
        <v>6</v>
      </c>
      <c r="G7" s="6"/>
      <c r="H7" s="6" t="s">
        <v>44</v>
      </c>
      <c r="I7" s="6"/>
    </row>
    <row r="8" spans="1:9">
      <c r="A8" s="6">
        <v>7</v>
      </c>
      <c r="B8" s="7" t="s">
        <v>58</v>
      </c>
      <c r="C8" s="6" t="s">
        <v>57</v>
      </c>
      <c r="D8" s="6">
        <v>87</v>
      </c>
      <c r="F8" s="6">
        <v>7</v>
      </c>
      <c r="G8" s="6"/>
      <c r="H8" s="6" t="s">
        <v>46</v>
      </c>
      <c r="I8" s="6"/>
    </row>
    <row r="9" spans="1:9">
      <c r="A9" s="6">
        <v>8</v>
      </c>
      <c r="B9" s="7" t="s">
        <v>59</v>
      </c>
      <c r="C9" s="6" t="s">
        <v>10</v>
      </c>
      <c r="D9" s="6"/>
      <c r="F9" s="6">
        <v>8</v>
      </c>
      <c r="G9" s="6"/>
      <c r="H9" s="6" t="s">
        <v>48</v>
      </c>
      <c r="I9" s="6"/>
    </row>
    <row r="10" spans="1:9">
      <c r="A10" s="6">
        <v>9</v>
      </c>
      <c r="B10" s="7"/>
      <c r="C10" s="6" t="s">
        <v>7</v>
      </c>
      <c r="D10" s="6">
        <v>4.5</v>
      </c>
      <c r="F10" s="6">
        <v>9</v>
      </c>
      <c r="G10" s="6"/>
      <c r="H10" s="6" t="s">
        <v>45</v>
      </c>
      <c r="I10" s="6"/>
    </row>
    <row r="11" spans="1:9">
      <c r="A11" s="6">
        <v>10</v>
      </c>
      <c r="B11" s="7"/>
      <c r="C11" s="6" t="s">
        <v>65</v>
      </c>
      <c r="D11" s="6">
        <v>4.2</v>
      </c>
      <c r="F11" s="6">
        <v>10</v>
      </c>
      <c r="G11" s="6"/>
      <c r="H11" s="6" t="s">
        <v>43</v>
      </c>
      <c r="I11" s="6"/>
    </row>
    <row r="12" spans="1:9">
      <c r="A12" s="6">
        <v>11</v>
      </c>
      <c r="B12" s="7" t="s">
        <v>61</v>
      </c>
      <c r="C12" s="6" t="s">
        <v>60</v>
      </c>
      <c r="D12" s="6">
        <v>269</v>
      </c>
      <c r="F12" s="6">
        <v>11</v>
      </c>
      <c r="G12" s="6"/>
      <c r="H12" s="6" t="s">
        <v>42</v>
      </c>
      <c r="I12" s="6"/>
    </row>
    <row r="13" spans="1:9">
      <c r="A13" s="6">
        <v>12</v>
      </c>
      <c r="B13" s="7" t="s">
        <v>63</v>
      </c>
      <c r="C13" s="6" t="s">
        <v>62</v>
      </c>
      <c r="D13" s="6">
        <v>21</v>
      </c>
      <c r="F13" s="6">
        <v>12</v>
      </c>
      <c r="G13" s="6"/>
      <c r="H13" s="6" t="s">
        <v>41</v>
      </c>
      <c r="I13" s="6"/>
    </row>
    <row r="14" spans="1:9">
      <c r="A14" s="6">
        <v>13</v>
      </c>
      <c r="B14" s="7"/>
      <c r="C14" s="6" t="s">
        <v>26</v>
      </c>
      <c r="D14" s="6"/>
      <c r="F14" s="6">
        <v>13</v>
      </c>
      <c r="G14" s="6"/>
      <c r="H14" s="6" t="s">
        <v>39</v>
      </c>
      <c r="I14" s="6"/>
    </row>
    <row r="15" spans="1:9">
      <c r="A15" s="6">
        <v>14</v>
      </c>
      <c r="B15" s="7"/>
      <c r="C15" s="6" t="s">
        <v>14</v>
      </c>
      <c r="D15" s="6"/>
      <c r="F15" s="6">
        <v>14</v>
      </c>
      <c r="G15" s="6"/>
      <c r="H15" s="6" t="s">
        <v>29</v>
      </c>
      <c r="I15" s="6"/>
    </row>
    <row r="16" spans="1:9">
      <c r="A16" s="6">
        <v>15</v>
      </c>
      <c r="B16" s="7"/>
      <c r="C16" s="6" t="s">
        <v>15</v>
      </c>
      <c r="D16" s="6"/>
      <c r="F16" s="6">
        <v>15</v>
      </c>
      <c r="G16" s="6"/>
      <c r="H16" s="6" t="s">
        <v>30</v>
      </c>
      <c r="I16" s="6"/>
    </row>
    <row r="17" spans="1:9">
      <c r="A17" s="6">
        <v>16</v>
      </c>
      <c r="B17" s="7"/>
      <c r="C17" s="6" t="s">
        <v>16</v>
      </c>
      <c r="D17" s="6"/>
      <c r="F17" s="6">
        <v>16</v>
      </c>
      <c r="G17" s="6"/>
      <c r="H17" s="6" t="s">
        <v>28</v>
      </c>
      <c r="I17" s="6"/>
    </row>
    <row r="18" spans="1:9">
      <c r="A18" s="6">
        <v>17</v>
      </c>
      <c r="B18" s="7"/>
      <c r="C18" s="6" t="s">
        <v>17</v>
      </c>
      <c r="D18" s="6"/>
      <c r="F18" s="6">
        <v>17</v>
      </c>
      <c r="G18" s="6"/>
      <c r="H18" s="6" t="s">
        <v>27</v>
      </c>
      <c r="I18" s="6"/>
    </row>
    <row r="19" spans="1:9">
      <c r="A19" s="6">
        <v>18</v>
      </c>
      <c r="B19" s="7"/>
      <c r="C19" s="6" t="s">
        <v>18</v>
      </c>
      <c r="D19" s="6"/>
      <c r="F19" s="6">
        <v>18</v>
      </c>
      <c r="G19" s="6"/>
      <c r="H19" s="6" t="s">
        <v>49</v>
      </c>
      <c r="I19" s="6"/>
    </row>
    <row r="20" spans="1:9">
      <c r="A20" s="6">
        <v>19</v>
      </c>
      <c r="B20" s="7"/>
      <c r="C20" s="6" t="s">
        <v>19</v>
      </c>
      <c r="D20" s="6"/>
      <c r="F20" s="6">
        <v>19</v>
      </c>
      <c r="G20" s="6"/>
      <c r="H20" s="6" t="s">
        <v>31</v>
      </c>
      <c r="I20" s="6"/>
    </row>
    <row r="21" spans="1:9">
      <c r="A21" s="6">
        <v>20</v>
      </c>
      <c r="B21" s="7"/>
      <c r="C21" s="6" t="s">
        <v>20</v>
      </c>
      <c r="D21" s="6"/>
      <c r="F21" s="6">
        <v>20</v>
      </c>
      <c r="G21" s="6"/>
      <c r="H21" s="6" t="s">
        <v>32</v>
      </c>
      <c r="I21" s="6"/>
    </row>
    <row r="22" spans="1:9">
      <c r="A22" s="6">
        <v>21</v>
      </c>
      <c r="B22" s="7"/>
      <c r="C22" s="6" t="s">
        <v>21</v>
      </c>
      <c r="D22" s="6"/>
      <c r="F22" s="6">
        <v>21</v>
      </c>
      <c r="G22" s="6"/>
      <c r="H22" s="6" t="s">
        <v>38</v>
      </c>
      <c r="I22" s="6"/>
    </row>
    <row r="23" spans="1:9">
      <c r="A23" s="6">
        <v>22</v>
      </c>
      <c r="B23" s="7"/>
      <c r="C23" s="6" t="s">
        <v>22</v>
      </c>
      <c r="D23" s="6"/>
      <c r="F23" s="6">
        <v>22</v>
      </c>
      <c r="G23" s="6"/>
      <c r="H23" s="6" t="s">
        <v>37</v>
      </c>
      <c r="I23" s="6"/>
    </row>
    <row r="24" spans="1:9">
      <c r="A24" s="6">
        <v>23</v>
      </c>
      <c r="B24" s="7"/>
      <c r="C24" s="6" t="s">
        <v>23</v>
      </c>
      <c r="D24" s="6"/>
      <c r="F24" s="6">
        <v>23</v>
      </c>
      <c r="G24" s="6"/>
      <c r="H24" s="6" t="s">
        <v>36</v>
      </c>
      <c r="I24" s="6"/>
    </row>
    <row r="25" spans="1:9">
      <c r="A25" s="6">
        <v>24</v>
      </c>
      <c r="B25" s="7"/>
      <c r="C25" s="6" t="s">
        <v>24</v>
      </c>
      <c r="D25" s="6"/>
      <c r="F25" s="6">
        <v>24</v>
      </c>
      <c r="G25" s="6"/>
      <c r="H25" s="6" t="s">
        <v>33</v>
      </c>
      <c r="I25" s="6"/>
    </row>
    <row r="26" spans="1:9">
      <c r="A26" s="6">
        <v>25</v>
      </c>
      <c r="B26" s="7"/>
      <c r="C26" s="6" t="s">
        <v>25</v>
      </c>
      <c r="D26" s="6"/>
      <c r="F26" s="6">
        <v>25</v>
      </c>
      <c r="G26" s="6"/>
      <c r="H26" s="6" t="s">
        <v>34</v>
      </c>
      <c r="I26" s="6"/>
    </row>
    <row r="27" spans="1:9">
      <c r="A27" s="6">
        <v>26</v>
      </c>
      <c r="B27" s="7" t="s">
        <v>64</v>
      </c>
      <c r="C27" s="6" t="s">
        <v>4</v>
      </c>
      <c r="D27" s="6">
        <v>17</v>
      </c>
      <c r="F27" s="6">
        <v>26</v>
      </c>
      <c r="G27" s="6"/>
      <c r="H27" s="6" t="s">
        <v>50</v>
      </c>
      <c r="I27" s="6"/>
    </row>
    <row r="28" spans="1:9">
      <c r="A28" s="6">
        <v>27</v>
      </c>
      <c r="B28" s="7"/>
      <c r="C28" s="6" t="s">
        <v>9</v>
      </c>
      <c r="D28" s="6">
        <v>165</v>
      </c>
      <c r="F28" s="6">
        <v>27</v>
      </c>
      <c r="G28" s="6"/>
      <c r="H28" s="6" t="s">
        <v>51</v>
      </c>
      <c r="I28" s="6"/>
    </row>
    <row r="29" spans="1:9">
      <c r="A29" s="6">
        <v>28</v>
      </c>
      <c r="B29" s="7"/>
      <c r="C29" s="6" t="s">
        <v>8</v>
      </c>
      <c r="D29" s="6">
        <v>23.3</v>
      </c>
      <c r="F29" s="6">
        <v>28</v>
      </c>
      <c r="G29" s="6"/>
      <c r="H29" s="6" t="s">
        <v>52</v>
      </c>
      <c r="I29" s="6"/>
    </row>
    <row r="30" spans="1:9">
      <c r="A30" s="6">
        <v>29</v>
      </c>
      <c r="B30" s="7"/>
      <c r="C30" s="6" t="s">
        <v>11</v>
      </c>
      <c r="D30" s="6">
        <v>0.48</v>
      </c>
      <c r="F30" s="6">
        <v>29</v>
      </c>
      <c r="G30" s="6"/>
      <c r="H30" s="6" t="s">
        <v>53</v>
      </c>
      <c r="I30" s="6"/>
    </row>
    <row r="31" spans="1:9">
      <c r="A31" s="6">
        <v>30</v>
      </c>
      <c r="B31" s="7"/>
      <c r="C31" s="6" t="s">
        <v>85</v>
      </c>
      <c r="D31" s="6">
        <v>220</v>
      </c>
      <c r="F31" s="6">
        <v>30</v>
      </c>
      <c r="G31" s="6"/>
      <c r="H31" s="6" t="s">
        <v>35</v>
      </c>
      <c r="I31" s="6"/>
    </row>
    <row r="32" spans="1:9">
      <c r="A32" s="6">
        <v>31</v>
      </c>
      <c r="B32" s="7"/>
      <c r="C32" s="6" t="s">
        <v>83</v>
      </c>
      <c r="D32" s="6">
        <v>220</v>
      </c>
    </row>
    <row r="33" spans="1:5">
      <c r="A33" s="6">
        <v>32</v>
      </c>
      <c r="B33" s="7"/>
      <c r="C33" s="6" t="s">
        <v>84</v>
      </c>
      <c r="D33" s="6">
        <v>220</v>
      </c>
    </row>
    <row r="34" spans="1:5">
      <c r="A34" s="6">
        <v>33</v>
      </c>
      <c r="B34" s="7"/>
      <c r="C34" s="6" t="s">
        <v>66</v>
      </c>
      <c r="D34" s="6"/>
    </row>
    <row r="35" spans="1:5">
      <c r="A35" s="6">
        <v>34</v>
      </c>
      <c r="B35" s="7" t="s">
        <v>68</v>
      </c>
      <c r="C35" s="6" t="s">
        <v>67</v>
      </c>
      <c r="D35" s="6">
        <v>21</v>
      </c>
    </row>
    <row r="37" spans="1:5">
      <c r="C37"/>
      <c r="D37"/>
      <c r="E37"/>
    </row>
    <row r="38" spans="1:5">
      <c r="C38"/>
      <c r="D38"/>
      <c r="E38"/>
    </row>
    <row r="39" spans="1:5">
      <c r="C39"/>
      <c r="D39"/>
      <c r="E39"/>
    </row>
    <row r="40" spans="1:5">
      <c r="C40"/>
      <c r="D40"/>
      <c r="E40"/>
    </row>
    <row r="41" spans="1:5">
      <c r="C41"/>
      <c r="D41"/>
      <c r="E41"/>
    </row>
    <row r="42" spans="1:5">
      <c r="C42"/>
      <c r="D42"/>
      <c r="E42"/>
    </row>
    <row r="43" spans="1:5">
      <c r="C43"/>
      <c r="D43"/>
      <c r="E43"/>
    </row>
    <row r="44" spans="1:5">
      <c r="C44"/>
      <c r="D44"/>
      <c r="E44"/>
    </row>
    <row r="45" spans="1:5">
      <c r="C45"/>
      <c r="D45"/>
      <c r="E45"/>
    </row>
    <row r="46" spans="1:5">
      <c r="C46"/>
      <c r="D46"/>
      <c r="E46"/>
    </row>
    <row r="47" spans="1:5">
      <c r="C47"/>
      <c r="D47"/>
      <c r="E47"/>
    </row>
    <row r="48" spans="1:5">
      <c r="C48"/>
      <c r="D48"/>
      <c r="E48"/>
    </row>
    <row r="49" spans="3:5">
      <c r="C49"/>
      <c r="D49"/>
      <c r="E49"/>
    </row>
    <row r="50" spans="3:5">
      <c r="C50"/>
      <c r="D50"/>
      <c r="E50"/>
    </row>
    <row r="51" spans="3:5">
      <c r="C51"/>
      <c r="D51"/>
      <c r="E51"/>
    </row>
    <row r="52" spans="3:5">
      <c r="C52"/>
      <c r="D52"/>
      <c r="E52"/>
    </row>
  </sheetData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База</vt:lpstr>
      <vt:lpstr>Пояснения</vt:lpstr>
      <vt:lpstr>Списки материалов</vt:lpstr>
      <vt:lpstr>Материалы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belchuk_in</dc:creator>
  <cp:lastModifiedBy>Игорь</cp:lastModifiedBy>
  <cp:lastPrinted>2017-09-29T07:13:02Z</cp:lastPrinted>
  <dcterms:created xsi:type="dcterms:W3CDTF">2017-09-29T06:00:47Z</dcterms:created>
  <dcterms:modified xsi:type="dcterms:W3CDTF">2017-10-01T19:20:31Z</dcterms:modified>
</cp:coreProperties>
</file>