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/>
  <bookViews>
    <workbookView xWindow="0" yWindow="0" windowWidth="22260" windowHeight="12648" activeTab="1" xr2:uid="{00000000-000D-0000-FFFF-FFFF00000000}"/>
  </bookViews>
  <sheets>
    <sheet name="Лист5" sheetId="7" r:id="rId1"/>
    <sheet name="Лист2" sheetId="2" r:id="rId2"/>
    <sheet name="Лист4" sheetId="4" r:id="rId3"/>
    <sheet name="Лист1" sheetId="1" state="hidden" r:id="rId4"/>
    <sheet name="Лист3" sheetId="6" state="hidden" r:id="rId5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9" i="2" l="1"/>
  <c r="L21" i="2"/>
  <c r="B7" i="2"/>
  <c r="B5" i="2" l="1"/>
  <c r="B6" i="2"/>
  <c r="B8" i="2"/>
  <c r="B9" i="2"/>
  <c r="B10" i="2"/>
  <c r="B11" i="2"/>
  <c r="B12" i="2"/>
  <c r="B13" i="2"/>
  <c r="B14" i="2"/>
  <c r="B21" i="2"/>
  <c r="B22" i="2"/>
  <c r="B23" i="2"/>
  <c r="B24" i="2"/>
  <c r="B25" i="2"/>
  <c r="B26" i="2"/>
  <c r="B27" i="2"/>
  <c r="B28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O281" i="2" l="1"/>
  <c r="O285" i="2"/>
  <c r="O8" i="2"/>
  <c r="O12" i="2"/>
  <c r="O16" i="2"/>
  <c r="O20" i="2"/>
  <c r="O24" i="2"/>
  <c r="O28" i="2"/>
  <c r="O32" i="2"/>
  <c r="O36" i="2"/>
  <c r="O40" i="2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04" i="2"/>
  <c r="O108" i="2"/>
  <c r="O112" i="2"/>
  <c r="O116" i="2"/>
  <c r="O120" i="2"/>
  <c r="O124" i="2"/>
  <c r="O128" i="2"/>
  <c r="O132" i="2"/>
  <c r="O136" i="2"/>
  <c r="O140" i="2"/>
  <c r="O144" i="2"/>
  <c r="O148" i="2"/>
  <c r="O152" i="2"/>
  <c r="O156" i="2"/>
  <c r="O160" i="2"/>
  <c r="O164" i="2"/>
  <c r="O168" i="2"/>
  <c r="O172" i="2"/>
  <c r="O176" i="2"/>
  <c r="O180" i="2"/>
  <c r="O184" i="2"/>
  <c r="O188" i="2"/>
  <c r="O192" i="2"/>
  <c r="O196" i="2"/>
  <c r="O200" i="2"/>
  <c r="O204" i="2"/>
  <c r="O208" i="2"/>
  <c r="O212" i="2"/>
  <c r="O216" i="2"/>
  <c r="O220" i="2"/>
  <c r="O224" i="2"/>
  <c r="O228" i="2"/>
  <c r="O232" i="2"/>
  <c r="O236" i="2"/>
  <c r="O240" i="2"/>
  <c r="O244" i="2"/>
  <c r="O248" i="2"/>
  <c r="O252" i="2"/>
  <c r="O256" i="2"/>
  <c r="O260" i="2"/>
  <c r="O264" i="2"/>
  <c r="O268" i="2"/>
  <c r="O272" i="2"/>
  <c r="O276" i="2"/>
  <c r="O280" i="2"/>
  <c r="O284" i="2"/>
  <c r="O19" i="2"/>
  <c r="O27" i="2"/>
  <c r="O39" i="2"/>
  <c r="O47" i="2"/>
  <c r="O59" i="2"/>
  <c r="O71" i="2"/>
  <c r="O83" i="2"/>
  <c r="O95" i="2"/>
  <c r="O107" i="2"/>
  <c r="O115" i="2"/>
  <c r="O131" i="2"/>
  <c r="O151" i="2"/>
  <c r="O282" i="2"/>
  <c r="O286" i="2"/>
  <c r="O9" i="2"/>
  <c r="O13" i="2"/>
  <c r="O17" i="2"/>
  <c r="O21" i="2"/>
  <c r="O25" i="2"/>
  <c r="O29" i="2"/>
  <c r="O33" i="2"/>
  <c r="O37" i="2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01" i="2"/>
  <c r="O105" i="2"/>
  <c r="O109" i="2"/>
  <c r="O113" i="2"/>
  <c r="O117" i="2"/>
  <c r="O121" i="2"/>
  <c r="O125" i="2"/>
  <c r="O129" i="2"/>
  <c r="O133" i="2"/>
  <c r="O137" i="2"/>
  <c r="O141" i="2"/>
  <c r="O145" i="2"/>
  <c r="O149" i="2"/>
  <c r="O153" i="2"/>
  <c r="O157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49" i="2"/>
  <c r="O253" i="2"/>
  <c r="O257" i="2"/>
  <c r="O261" i="2"/>
  <c r="O265" i="2"/>
  <c r="O269" i="2"/>
  <c r="O273" i="2"/>
  <c r="O277" i="2"/>
  <c r="O5" i="2"/>
  <c r="O11" i="2"/>
  <c r="O15" i="2"/>
  <c r="O23" i="2"/>
  <c r="O35" i="2"/>
  <c r="O43" i="2"/>
  <c r="O55" i="2"/>
  <c r="O67" i="2"/>
  <c r="O79" i="2"/>
  <c r="O91" i="2"/>
  <c r="O103" i="2"/>
  <c r="O119" i="2"/>
  <c r="O127" i="2"/>
  <c r="O139" i="2"/>
  <c r="O155" i="2"/>
  <c r="O283" i="2"/>
  <c r="O6" i="2"/>
  <c r="O10" i="2"/>
  <c r="O14" i="2"/>
  <c r="O18" i="2"/>
  <c r="O22" i="2"/>
  <c r="O26" i="2"/>
  <c r="O30" i="2"/>
  <c r="O34" i="2"/>
  <c r="O38" i="2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02" i="2"/>
  <c r="O106" i="2"/>
  <c r="O110" i="2"/>
  <c r="O114" i="2"/>
  <c r="O118" i="2"/>
  <c r="O122" i="2"/>
  <c r="O126" i="2"/>
  <c r="O130" i="2"/>
  <c r="O134" i="2"/>
  <c r="O138" i="2"/>
  <c r="O142" i="2"/>
  <c r="O146" i="2"/>
  <c r="O150" i="2"/>
  <c r="O154" i="2"/>
  <c r="O158" i="2"/>
  <c r="O162" i="2"/>
  <c r="O166" i="2"/>
  <c r="O170" i="2"/>
  <c r="O174" i="2"/>
  <c r="O178" i="2"/>
  <c r="O182" i="2"/>
  <c r="O186" i="2"/>
  <c r="O190" i="2"/>
  <c r="O194" i="2"/>
  <c r="O198" i="2"/>
  <c r="O202" i="2"/>
  <c r="O206" i="2"/>
  <c r="O210" i="2"/>
  <c r="O214" i="2"/>
  <c r="O218" i="2"/>
  <c r="O222" i="2"/>
  <c r="O226" i="2"/>
  <c r="O230" i="2"/>
  <c r="O234" i="2"/>
  <c r="O238" i="2"/>
  <c r="O242" i="2"/>
  <c r="O246" i="2"/>
  <c r="O250" i="2"/>
  <c r="O254" i="2"/>
  <c r="O258" i="2"/>
  <c r="O262" i="2"/>
  <c r="O266" i="2"/>
  <c r="O270" i="2"/>
  <c r="O274" i="2"/>
  <c r="O278" i="2"/>
  <c r="O7" i="2"/>
  <c r="O31" i="2"/>
  <c r="O51" i="2"/>
  <c r="O63" i="2"/>
  <c r="O75" i="2"/>
  <c r="O87" i="2"/>
  <c r="O99" i="2"/>
  <c r="O111" i="2"/>
  <c r="O123" i="2"/>
  <c r="O135" i="2"/>
  <c r="O147" i="2"/>
  <c r="O159" i="2"/>
  <c r="O163" i="2"/>
  <c r="O179" i="2"/>
  <c r="O195" i="2"/>
  <c r="O211" i="2"/>
  <c r="O227" i="2"/>
  <c r="O243" i="2"/>
  <c r="O259" i="2"/>
  <c r="O275" i="2"/>
  <c r="O207" i="2"/>
  <c r="O239" i="2"/>
  <c r="O167" i="2"/>
  <c r="O183" i="2"/>
  <c r="O199" i="2"/>
  <c r="O215" i="2"/>
  <c r="O231" i="2"/>
  <c r="O247" i="2"/>
  <c r="O263" i="2"/>
  <c r="O279" i="2"/>
  <c r="O191" i="2"/>
  <c r="O255" i="2"/>
  <c r="O171" i="2"/>
  <c r="O187" i="2"/>
  <c r="O203" i="2"/>
  <c r="O219" i="2"/>
  <c r="O235" i="2"/>
  <c r="O251" i="2"/>
  <c r="O267" i="2"/>
  <c r="O175" i="2"/>
  <c r="O223" i="2"/>
  <c r="O271" i="2"/>
  <c r="J5" i="2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363" i="2"/>
  <c r="K363" i="2"/>
  <c r="L363" i="2"/>
  <c r="J364" i="2"/>
  <c r="K364" i="2"/>
  <c r="L364" i="2"/>
  <c r="J365" i="2"/>
  <c r="K365" i="2"/>
  <c r="L365" i="2"/>
  <c r="J366" i="2"/>
  <c r="K366" i="2"/>
  <c r="L366" i="2"/>
  <c r="J367" i="2"/>
  <c r="K367" i="2"/>
  <c r="L367" i="2"/>
  <c r="J368" i="2"/>
  <c r="K368" i="2"/>
  <c r="L368" i="2"/>
  <c r="J369" i="2"/>
  <c r="K369" i="2"/>
  <c r="L369" i="2"/>
  <c r="J370" i="2"/>
  <c r="K370" i="2"/>
  <c r="L370" i="2"/>
  <c r="J371" i="2"/>
  <c r="K371" i="2"/>
  <c r="L371" i="2"/>
  <c r="J372" i="2"/>
  <c r="K372" i="2"/>
  <c r="L372" i="2"/>
  <c r="J373" i="2"/>
  <c r="K373" i="2"/>
  <c r="L373" i="2"/>
  <c r="J374" i="2"/>
  <c r="K374" i="2"/>
  <c r="L374" i="2"/>
  <c r="J375" i="2"/>
  <c r="K375" i="2"/>
  <c r="L375" i="2"/>
  <c r="J376" i="2"/>
  <c r="K376" i="2"/>
  <c r="L376" i="2"/>
  <c r="J377" i="2"/>
  <c r="K377" i="2"/>
  <c r="L377" i="2"/>
  <c r="J378" i="2"/>
  <c r="K378" i="2"/>
  <c r="L378" i="2"/>
  <c r="J379" i="2"/>
  <c r="K379" i="2"/>
  <c r="L379" i="2"/>
  <c r="J380" i="2"/>
  <c r="K380" i="2"/>
  <c r="L380" i="2"/>
  <c r="J381" i="2"/>
  <c r="K381" i="2"/>
  <c r="L381" i="2"/>
  <c r="J382" i="2"/>
  <c r="K382" i="2"/>
  <c r="L382" i="2"/>
  <c r="J383" i="2"/>
  <c r="K383" i="2"/>
  <c r="L383" i="2"/>
  <c r="L362" i="2"/>
  <c r="K362" i="2"/>
  <c r="J362" i="2"/>
  <c r="J341" i="2"/>
  <c r="K341" i="2"/>
  <c r="L341" i="2"/>
  <c r="J342" i="2"/>
  <c r="K342" i="2"/>
  <c r="L342" i="2"/>
  <c r="J343" i="2"/>
  <c r="K343" i="2"/>
  <c r="L343" i="2"/>
  <c r="J344" i="2"/>
  <c r="K344" i="2"/>
  <c r="L344" i="2"/>
  <c r="J345" i="2"/>
  <c r="K345" i="2"/>
  <c r="L345" i="2"/>
  <c r="J346" i="2"/>
  <c r="K346" i="2"/>
  <c r="L346" i="2"/>
  <c r="J347" i="2"/>
  <c r="K347" i="2"/>
  <c r="L347" i="2"/>
  <c r="J348" i="2"/>
  <c r="K348" i="2"/>
  <c r="L348" i="2"/>
  <c r="J349" i="2"/>
  <c r="K349" i="2"/>
  <c r="L349" i="2"/>
  <c r="J350" i="2"/>
  <c r="K350" i="2"/>
  <c r="L350" i="2"/>
  <c r="J351" i="2"/>
  <c r="K351" i="2"/>
  <c r="L351" i="2"/>
  <c r="J352" i="2"/>
  <c r="K352" i="2"/>
  <c r="L352" i="2"/>
  <c r="J353" i="2"/>
  <c r="K353" i="2"/>
  <c r="L353" i="2"/>
  <c r="J354" i="2"/>
  <c r="K354" i="2"/>
  <c r="L354" i="2"/>
  <c r="J355" i="2"/>
  <c r="K355" i="2"/>
  <c r="L355" i="2"/>
  <c r="J356" i="2"/>
  <c r="K356" i="2"/>
  <c r="L356" i="2"/>
  <c r="J357" i="2"/>
  <c r="K357" i="2"/>
  <c r="L357" i="2"/>
  <c r="L340" i="2"/>
  <c r="K340" i="2"/>
  <c r="J340" i="2"/>
  <c r="G377" i="2"/>
  <c r="G366" i="2"/>
  <c r="J319" i="2" l="1"/>
  <c r="K319" i="2"/>
  <c r="L319" i="2"/>
  <c r="J320" i="2"/>
  <c r="K320" i="2"/>
  <c r="L320" i="2"/>
  <c r="J321" i="2"/>
  <c r="K321" i="2"/>
  <c r="L321" i="2"/>
  <c r="J322" i="2"/>
  <c r="K322" i="2"/>
  <c r="L322" i="2"/>
  <c r="J323" i="2"/>
  <c r="K323" i="2"/>
  <c r="L323" i="2"/>
  <c r="J324" i="2"/>
  <c r="K324" i="2"/>
  <c r="L324" i="2"/>
  <c r="J325" i="2"/>
  <c r="K325" i="2"/>
  <c r="L325" i="2"/>
  <c r="J326" i="2"/>
  <c r="K326" i="2"/>
  <c r="L326" i="2"/>
  <c r="J327" i="2"/>
  <c r="K327" i="2"/>
  <c r="L327" i="2"/>
  <c r="J328" i="2"/>
  <c r="K328" i="2"/>
  <c r="L328" i="2"/>
  <c r="J329" i="2"/>
  <c r="K329" i="2"/>
  <c r="L329" i="2"/>
  <c r="J330" i="2"/>
  <c r="K330" i="2"/>
  <c r="L330" i="2"/>
  <c r="J331" i="2"/>
  <c r="K331" i="2"/>
  <c r="L331" i="2"/>
  <c r="J332" i="2"/>
  <c r="K332" i="2"/>
  <c r="L332" i="2"/>
  <c r="J333" i="2"/>
  <c r="K333" i="2"/>
  <c r="L333" i="2"/>
  <c r="J334" i="2"/>
  <c r="K334" i="2"/>
  <c r="L334" i="2"/>
  <c r="J335" i="2"/>
  <c r="K335" i="2"/>
  <c r="L335" i="2"/>
  <c r="J336" i="2"/>
  <c r="K336" i="2"/>
  <c r="L336" i="2"/>
  <c r="J337" i="2"/>
  <c r="K337" i="2"/>
  <c r="L337" i="2"/>
  <c r="L318" i="2"/>
  <c r="K318" i="2"/>
  <c r="J318" i="2"/>
  <c r="J293" i="2"/>
  <c r="K293" i="2"/>
  <c r="L293" i="2"/>
  <c r="J294" i="2"/>
  <c r="K294" i="2"/>
  <c r="L294" i="2"/>
  <c r="J295" i="2"/>
  <c r="K295" i="2"/>
  <c r="L295" i="2"/>
  <c r="J296" i="2"/>
  <c r="K296" i="2"/>
  <c r="L296" i="2"/>
  <c r="J297" i="2"/>
  <c r="K297" i="2"/>
  <c r="L297" i="2"/>
  <c r="J298" i="2"/>
  <c r="K298" i="2"/>
  <c r="L298" i="2"/>
  <c r="J299" i="2"/>
  <c r="K299" i="2"/>
  <c r="L299" i="2"/>
  <c r="J300" i="2"/>
  <c r="K300" i="2"/>
  <c r="L300" i="2"/>
  <c r="J301" i="2"/>
  <c r="K301" i="2"/>
  <c r="L301" i="2"/>
  <c r="J302" i="2"/>
  <c r="K302" i="2"/>
  <c r="L302" i="2"/>
  <c r="J303" i="2"/>
  <c r="K303" i="2"/>
  <c r="L303" i="2"/>
  <c r="J304" i="2"/>
  <c r="K304" i="2"/>
  <c r="L304" i="2"/>
  <c r="J305" i="2"/>
  <c r="K305" i="2"/>
  <c r="L305" i="2"/>
  <c r="J306" i="2"/>
  <c r="K306" i="2"/>
  <c r="L306" i="2"/>
  <c r="J307" i="2"/>
  <c r="K307" i="2"/>
  <c r="L307" i="2"/>
  <c r="J308" i="2"/>
  <c r="K308" i="2"/>
  <c r="L308" i="2"/>
  <c r="J309" i="2"/>
  <c r="K309" i="2"/>
  <c r="L309" i="2"/>
  <c r="J310" i="2"/>
  <c r="K310" i="2"/>
  <c r="L310" i="2"/>
  <c r="J311" i="2"/>
  <c r="K311" i="2"/>
  <c r="L311" i="2"/>
  <c r="J312" i="2"/>
  <c r="K312" i="2"/>
  <c r="L312" i="2"/>
  <c r="J313" i="2"/>
  <c r="K313" i="2"/>
  <c r="L313" i="2"/>
  <c r="L292" i="2"/>
  <c r="K292" i="2"/>
  <c r="J292" i="2"/>
  <c r="J269" i="2"/>
  <c r="K269" i="2"/>
  <c r="L269" i="2"/>
  <c r="J270" i="2"/>
  <c r="K270" i="2"/>
  <c r="L270" i="2"/>
  <c r="J271" i="2"/>
  <c r="K271" i="2"/>
  <c r="L271" i="2"/>
  <c r="J272" i="2"/>
  <c r="K272" i="2"/>
  <c r="L272" i="2"/>
  <c r="J273" i="2"/>
  <c r="K273" i="2"/>
  <c r="L273" i="2"/>
  <c r="J274" i="2"/>
  <c r="K274" i="2"/>
  <c r="L274" i="2"/>
  <c r="J275" i="2"/>
  <c r="K275" i="2"/>
  <c r="L275" i="2"/>
  <c r="J276" i="2"/>
  <c r="K276" i="2"/>
  <c r="L276" i="2"/>
  <c r="J277" i="2"/>
  <c r="K277" i="2"/>
  <c r="L277" i="2"/>
  <c r="J278" i="2"/>
  <c r="K278" i="2"/>
  <c r="L278" i="2"/>
  <c r="J279" i="2"/>
  <c r="K279" i="2"/>
  <c r="L279" i="2"/>
  <c r="J280" i="2"/>
  <c r="K280" i="2"/>
  <c r="L280" i="2"/>
  <c r="J281" i="2"/>
  <c r="K281" i="2"/>
  <c r="L281" i="2"/>
  <c r="J282" i="2"/>
  <c r="K282" i="2"/>
  <c r="L282" i="2"/>
  <c r="J283" i="2"/>
  <c r="K283" i="2"/>
  <c r="L283" i="2"/>
  <c r="J284" i="2"/>
  <c r="K284" i="2"/>
  <c r="L284" i="2"/>
  <c r="J285" i="2"/>
  <c r="K285" i="2"/>
  <c r="L285" i="2"/>
  <c r="J286" i="2"/>
  <c r="K286" i="2"/>
  <c r="L286" i="2"/>
  <c r="J287" i="2"/>
  <c r="K287" i="2"/>
  <c r="L287" i="2"/>
  <c r="L268" i="2"/>
  <c r="K268" i="2"/>
  <c r="J268" i="2"/>
  <c r="J251" i="2"/>
  <c r="K251" i="2"/>
  <c r="L251" i="2"/>
  <c r="J252" i="2"/>
  <c r="K252" i="2"/>
  <c r="L252" i="2"/>
  <c r="J253" i="2"/>
  <c r="K253" i="2"/>
  <c r="L253" i="2"/>
  <c r="J254" i="2"/>
  <c r="K254" i="2"/>
  <c r="L254" i="2"/>
  <c r="J255" i="2"/>
  <c r="K255" i="2"/>
  <c r="L255" i="2"/>
  <c r="J256" i="2"/>
  <c r="K256" i="2"/>
  <c r="L256" i="2"/>
  <c r="J257" i="2"/>
  <c r="K257" i="2"/>
  <c r="L257" i="2"/>
  <c r="J258" i="2"/>
  <c r="K258" i="2"/>
  <c r="L258" i="2"/>
  <c r="J259" i="2"/>
  <c r="K259" i="2"/>
  <c r="L259" i="2"/>
  <c r="J260" i="2"/>
  <c r="K260" i="2"/>
  <c r="L260" i="2"/>
  <c r="J261" i="2"/>
  <c r="K261" i="2"/>
  <c r="L261" i="2"/>
  <c r="J262" i="2"/>
  <c r="K262" i="2"/>
  <c r="L262" i="2"/>
  <c r="J263" i="2"/>
  <c r="K263" i="2"/>
  <c r="L263" i="2"/>
  <c r="L250" i="2"/>
  <c r="K250" i="2"/>
  <c r="J250" i="2"/>
  <c r="J233" i="2"/>
  <c r="K233" i="2"/>
  <c r="L233" i="2"/>
  <c r="J234" i="2"/>
  <c r="K234" i="2"/>
  <c r="L234" i="2"/>
  <c r="J235" i="2"/>
  <c r="K235" i="2"/>
  <c r="L235" i="2"/>
  <c r="J236" i="2"/>
  <c r="K236" i="2"/>
  <c r="L236" i="2"/>
  <c r="J237" i="2"/>
  <c r="K237" i="2"/>
  <c r="L237" i="2"/>
  <c r="J238" i="2"/>
  <c r="K238" i="2"/>
  <c r="L238" i="2"/>
  <c r="J239" i="2"/>
  <c r="K239" i="2"/>
  <c r="L239" i="2"/>
  <c r="J240" i="2"/>
  <c r="K240" i="2"/>
  <c r="L240" i="2"/>
  <c r="J241" i="2"/>
  <c r="K241" i="2"/>
  <c r="L241" i="2"/>
  <c r="J242" i="2"/>
  <c r="K242" i="2"/>
  <c r="L242" i="2"/>
  <c r="J243" i="2"/>
  <c r="K243" i="2"/>
  <c r="L243" i="2"/>
  <c r="J244" i="2"/>
  <c r="K244" i="2"/>
  <c r="L244" i="2"/>
  <c r="J245" i="2"/>
  <c r="K245" i="2"/>
  <c r="L245" i="2"/>
  <c r="L232" i="2"/>
  <c r="K232" i="2"/>
  <c r="J232" i="2"/>
  <c r="J213" i="2"/>
  <c r="K213" i="2"/>
  <c r="L213" i="2"/>
  <c r="J214" i="2"/>
  <c r="K214" i="2"/>
  <c r="L214" i="2"/>
  <c r="J215" i="2"/>
  <c r="K215" i="2"/>
  <c r="L215" i="2"/>
  <c r="J216" i="2"/>
  <c r="K216" i="2"/>
  <c r="L216" i="2"/>
  <c r="J217" i="2"/>
  <c r="K217" i="2"/>
  <c r="L217" i="2"/>
  <c r="J218" i="2"/>
  <c r="K218" i="2"/>
  <c r="L218" i="2"/>
  <c r="J219" i="2"/>
  <c r="K219" i="2"/>
  <c r="L219" i="2"/>
  <c r="J220" i="2"/>
  <c r="K220" i="2"/>
  <c r="L220" i="2"/>
  <c r="J221" i="2"/>
  <c r="K221" i="2"/>
  <c r="L221" i="2"/>
  <c r="J222" i="2"/>
  <c r="K222" i="2"/>
  <c r="L222" i="2"/>
  <c r="J223" i="2"/>
  <c r="K223" i="2"/>
  <c r="L223" i="2"/>
  <c r="J224" i="2"/>
  <c r="K224" i="2"/>
  <c r="L224" i="2"/>
  <c r="J225" i="2"/>
  <c r="K225" i="2"/>
  <c r="L225" i="2"/>
  <c r="J226" i="2"/>
  <c r="K226" i="2"/>
  <c r="L226" i="2"/>
  <c r="J227" i="2"/>
  <c r="K227" i="2"/>
  <c r="L227" i="2"/>
  <c r="L212" i="2"/>
  <c r="K212" i="2"/>
  <c r="J212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L187" i="2"/>
  <c r="K187" i="2"/>
  <c r="J187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L165" i="2"/>
  <c r="K165" i="2"/>
  <c r="J165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L138" i="2"/>
  <c r="K138" i="2"/>
  <c r="J138" i="2"/>
  <c r="G143" i="2"/>
  <c r="O143" i="2" s="1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L111" i="2"/>
  <c r="K111" i="2"/>
  <c r="J111" i="2"/>
  <c r="J85" i="2" l="1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L84" i="2"/>
  <c r="K84" i="2"/>
  <c r="J84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L57" i="2"/>
  <c r="K57" i="2"/>
  <c r="J57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L33" i="2"/>
  <c r="K33" i="2"/>
  <c r="J33" i="2"/>
  <c r="J20" i="2"/>
  <c r="K20" i="2"/>
  <c r="L20" i="2"/>
  <c r="J21" i="2"/>
  <c r="K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L19" i="2"/>
  <c r="K19" i="2"/>
  <c r="J19" i="2"/>
  <c r="P23" i="6" l="1"/>
  <c r="H19" i="6"/>
  <c r="H25" i="6"/>
  <c r="D7" i="6"/>
  <c r="E7" i="6"/>
  <c r="F6" i="6"/>
  <c r="F7" i="6"/>
  <c r="G13" i="6"/>
  <c r="H13" i="6"/>
  <c r="I13" i="6"/>
  <c r="J13" i="6"/>
  <c r="K13" i="6"/>
  <c r="L13" i="6"/>
  <c r="M10" i="6"/>
  <c r="M13" i="6"/>
  <c r="I131" i="1" l="1"/>
  <c r="M119" i="1"/>
  <c r="M113" i="1"/>
  <c r="M118" i="1"/>
  <c r="M110" i="1"/>
  <c r="O48" i="1"/>
  <c r="N48" i="1"/>
  <c r="L141" i="1"/>
  <c r="P76" i="1"/>
  <c r="O73" i="1"/>
  <c r="P67" i="1"/>
  <c r="O57" i="1"/>
  <c r="P64" i="1"/>
  <c r="P54" i="1"/>
  <c r="K144" i="1"/>
  <c r="K154" i="1"/>
  <c r="K140" i="1"/>
  <c r="K138" i="1"/>
  <c r="K137" i="1"/>
  <c r="K156" i="1"/>
  <c r="O40" i="1"/>
  <c r="O37" i="1"/>
  <c r="O39" i="1"/>
  <c r="O32" i="1"/>
  <c r="O46" i="1"/>
  <c r="O29" i="1"/>
  <c r="O31" i="1"/>
  <c r="O30" i="1"/>
  <c r="O27" i="1"/>
  <c r="O26" i="1"/>
  <c r="O47" i="1"/>
  <c r="J147" i="1"/>
  <c r="J156" i="1"/>
  <c r="J146" i="1"/>
  <c r="J142" i="1"/>
  <c r="J148" i="1"/>
  <c r="J141" i="1"/>
  <c r="J143" i="1"/>
  <c r="J150" i="1"/>
  <c r="J137" i="1"/>
  <c r="C163" i="1"/>
  <c r="I155" i="1"/>
  <c r="I156" i="1"/>
  <c r="I153" i="1"/>
  <c r="I148" i="1"/>
  <c r="I154" i="1"/>
  <c r="I138" i="1"/>
  <c r="H156" i="1"/>
  <c r="H158" i="1"/>
  <c r="H142" i="1"/>
  <c r="G158" i="1"/>
  <c r="G155" i="1"/>
  <c r="G154" i="1"/>
  <c r="F157" i="1"/>
  <c r="G150" i="1"/>
  <c r="G143" i="1"/>
  <c r="G144" i="1"/>
  <c r="G140" i="1"/>
  <c r="G139" i="1"/>
  <c r="G141" i="1"/>
  <c r="F137" i="1"/>
  <c r="F142" i="1"/>
  <c r="E150" i="1"/>
  <c r="E146" i="1"/>
  <c r="E152" i="1"/>
  <c r="E140" i="1"/>
  <c r="E148" i="1"/>
  <c r="E138" i="1"/>
  <c r="E158" i="1"/>
  <c r="D149" i="1"/>
  <c r="D152" i="1"/>
  <c r="D145" i="1"/>
  <c r="D144" i="1"/>
  <c r="D139" i="1"/>
  <c r="D158" i="1"/>
  <c r="C153" i="1"/>
  <c r="C148" i="1"/>
  <c r="C146" i="1"/>
  <c r="C142" i="1"/>
  <c r="C147" i="1"/>
  <c r="C140" i="1"/>
  <c r="C138" i="1"/>
  <c r="L108" i="1"/>
  <c r="K120" i="1"/>
  <c r="K123" i="1"/>
  <c r="I112" i="1"/>
  <c r="I118" i="1"/>
  <c r="H125" i="1"/>
  <c r="G124" i="1"/>
  <c r="G118" i="1"/>
  <c r="D120" i="1"/>
  <c r="C119" i="1"/>
  <c r="C116" i="1"/>
  <c r="C108" i="1"/>
  <c r="C124" i="1"/>
  <c r="J89" i="1"/>
  <c r="I84" i="1"/>
  <c r="G91" i="1"/>
  <c r="F99" i="1"/>
  <c r="F87" i="1"/>
  <c r="F85" i="1"/>
  <c r="F83" i="1"/>
  <c r="E97" i="1"/>
  <c r="E89" i="1"/>
  <c r="E88" i="1"/>
  <c r="E101" i="1"/>
  <c r="E86" i="1"/>
  <c r="D86" i="1"/>
  <c r="D90" i="1"/>
  <c r="D83" i="1"/>
  <c r="D82" i="1"/>
  <c r="D93" i="1"/>
  <c r="D98" i="1"/>
  <c r="C95" i="1"/>
  <c r="C94" i="1"/>
  <c r="C92" i="1"/>
  <c r="C89" i="1"/>
  <c r="C86" i="1"/>
  <c r="C91" i="1"/>
  <c r="C84" i="1"/>
  <c r="O76" i="1"/>
  <c r="O70" i="1"/>
  <c r="O62" i="1"/>
  <c r="O63" i="1"/>
  <c r="N60" i="1"/>
  <c r="N76" i="1"/>
  <c r="M75" i="1"/>
  <c r="M77" i="1"/>
  <c r="N62" i="1"/>
  <c r="M58" i="1"/>
  <c r="N56" i="1"/>
  <c r="N54" i="1"/>
  <c r="M63" i="1"/>
  <c r="M59" i="1"/>
  <c r="M69" i="1"/>
  <c r="M54" i="1"/>
  <c r="M66" i="1"/>
  <c r="L74" i="1"/>
  <c r="L64" i="1"/>
  <c r="L60" i="1"/>
  <c r="L59" i="1"/>
  <c r="L65" i="1"/>
  <c r="L62" i="1"/>
  <c r="L55" i="1"/>
  <c r="K71" i="1"/>
  <c r="K63" i="1"/>
  <c r="K60" i="1"/>
  <c r="K65" i="1"/>
  <c r="K77" i="1"/>
  <c r="K55" i="1"/>
  <c r="K67" i="1"/>
  <c r="K54" i="1"/>
  <c r="K61" i="1"/>
  <c r="J64" i="1"/>
  <c r="J73" i="1"/>
  <c r="J58" i="1"/>
  <c r="J57" i="1"/>
  <c r="J65" i="1"/>
  <c r="I69" i="1"/>
  <c r="I73" i="1"/>
  <c r="I60" i="1"/>
  <c r="H69" i="1"/>
  <c r="G69" i="1"/>
  <c r="G75" i="1"/>
  <c r="G64" i="1"/>
  <c r="G67" i="1"/>
  <c r="G59" i="1"/>
  <c r="G77" i="1"/>
  <c r="G58" i="1"/>
  <c r="G65" i="1"/>
  <c r="F68" i="1"/>
  <c r="F70" i="1"/>
  <c r="F63" i="1"/>
  <c r="F61" i="1"/>
  <c r="F75" i="1"/>
  <c r="F76" i="1"/>
  <c r="E75" i="1"/>
  <c r="E71" i="1"/>
  <c r="E66" i="1"/>
  <c r="E67" i="1"/>
  <c r="E59" i="1"/>
  <c r="E58" i="1"/>
  <c r="E73" i="1"/>
  <c r="E54" i="1"/>
  <c r="D76" i="1"/>
  <c r="D70" i="1"/>
  <c r="D77" i="1"/>
  <c r="D67" i="1"/>
  <c r="D63" i="1"/>
  <c r="D60" i="1"/>
  <c r="D66" i="1"/>
  <c r="D61" i="1"/>
  <c r="C69" i="1"/>
  <c r="C63" i="1"/>
  <c r="C66" i="1"/>
  <c r="C72" i="1"/>
  <c r="B64" i="1"/>
  <c r="B74" i="1"/>
  <c r="N28" i="1"/>
  <c r="N44" i="1"/>
  <c r="M31" i="1"/>
  <c r="L47" i="1"/>
  <c r="K38" i="1"/>
  <c r="K34" i="1"/>
  <c r="K44" i="1"/>
  <c r="J47" i="1"/>
  <c r="J35" i="1"/>
  <c r="I38" i="1"/>
  <c r="H37" i="1"/>
  <c r="H31" i="1"/>
  <c r="H29" i="1"/>
  <c r="G35" i="1"/>
  <c r="D43" i="1"/>
  <c r="G47" i="1"/>
  <c r="F45" i="1"/>
  <c r="F42" i="1"/>
  <c r="E49" i="1"/>
  <c r="E33" i="1"/>
  <c r="E31" i="1"/>
  <c r="E27" i="1"/>
  <c r="D45" i="1"/>
  <c r="D49" i="1"/>
  <c r="C43" i="1"/>
  <c r="C42" i="1"/>
  <c r="C37" i="1"/>
  <c r="C38" i="1"/>
  <c r="C44" i="1"/>
  <c r="C35" i="1"/>
  <c r="C41" i="1"/>
  <c r="C39" i="1"/>
  <c r="C29" i="1"/>
  <c r="C46" i="1"/>
  <c r="C28" i="1"/>
  <c r="C45" i="1"/>
  <c r="I15" i="1"/>
  <c r="I12" i="1"/>
  <c r="I19" i="1"/>
  <c r="I10" i="1"/>
  <c r="I20" i="1"/>
  <c r="I6" i="1"/>
  <c r="I5" i="1"/>
  <c r="I4" i="1"/>
  <c r="I21" i="1"/>
  <c r="H21" i="1"/>
  <c r="H11" i="1"/>
  <c r="G18" i="1"/>
  <c r="G15" i="1"/>
  <c r="G14" i="1"/>
  <c r="G13" i="1"/>
  <c r="G9" i="1"/>
  <c r="G21" i="1"/>
  <c r="G8" i="1"/>
  <c r="G6" i="1"/>
  <c r="G19" i="1"/>
  <c r="G20" i="1"/>
  <c r="F15" i="1"/>
  <c r="F14" i="1"/>
  <c r="F16" i="1"/>
  <c r="F13" i="1"/>
  <c r="F19" i="1"/>
  <c r="F12" i="1"/>
  <c r="F9" i="1"/>
  <c r="F20" i="1"/>
  <c r="F8" i="1"/>
  <c r="F17" i="1"/>
  <c r="F6" i="1"/>
  <c r="F4" i="1"/>
  <c r="F11" i="1"/>
  <c r="F21" i="1"/>
  <c r="E18" i="1"/>
  <c r="E11" i="1"/>
  <c r="E13" i="1"/>
  <c r="E10" i="1"/>
  <c r="E12" i="1"/>
  <c r="E6" i="1"/>
  <c r="E7" i="1"/>
  <c r="E3" i="1"/>
  <c r="E16" i="1"/>
  <c r="D17" i="1"/>
  <c r="D13" i="1"/>
  <c r="D5" i="1"/>
  <c r="D6" i="1"/>
  <c r="D11" i="1"/>
  <c r="C19" i="1"/>
  <c r="C20" i="1"/>
  <c r="C21" i="1"/>
  <c r="C16" i="1"/>
  <c r="C13" i="1"/>
  <c r="C17" i="1"/>
  <c r="C9" i="1"/>
  <c r="C15" i="1"/>
  <c r="C4" i="1"/>
  <c r="B8" i="1"/>
</calcChain>
</file>

<file path=xl/sharedStrings.xml><?xml version="1.0" encoding="utf-8"?>
<sst xmlns="http://schemas.openxmlformats.org/spreadsheetml/2006/main" count="2552" uniqueCount="1800">
  <si>
    <t>АРСЕНАЛ</t>
  </si>
  <si>
    <t>БОРНМУТ</t>
  </si>
  <si>
    <t>БЕРНЛИ</t>
  </si>
  <si>
    <t>ВЕСТ ХЕМ</t>
  </si>
  <si>
    <t>ВЕСТ БРОМВИЧ</t>
  </si>
  <si>
    <t>КРИСТАЛ ПЭЛЭС</t>
  </si>
  <si>
    <t>ЛИВЕРПУЛЬ</t>
  </si>
  <si>
    <t>ЛЕСТЕР</t>
  </si>
  <si>
    <t xml:space="preserve">МАНЧЕСТЕР СИТИ </t>
  </si>
  <si>
    <t>МИДЛСБРО</t>
  </si>
  <si>
    <t>СУОНСИ</t>
  </si>
  <si>
    <t>САУТГЕМПТОН</t>
  </si>
  <si>
    <t>СТОК СИТИ</t>
  </si>
  <si>
    <t>УОТФОРД</t>
  </si>
  <si>
    <t>ХАЛЛ СИТИ</t>
  </si>
  <si>
    <t>ЭВЕРТОН</t>
  </si>
  <si>
    <t>ЧЕЛСИ</t>
  </si>
  <si>
    <t>САНДЕРЛЕНД</t>
  </si>
  <si>
    <t>ТОТЕНХЕМ</t>
  </si>
  <si>
    <t>МАН. ЮНАЙТЕД</t>
  </si>
  <si>
    <t>АСТОН ВИЛЛА</t>
  </si>
  <si>
    <t>БРЕНТФОРД</t>
  </si>
  <si>
    <t>БЕРТОН АЛЬБИОН</t>
  </si>
  <si>
    <t>БЛЕКБЕРН</t>
  </si>
  <si>
    <t>БИРМИНГЕМ</t>
  </si>
  <si>
    <t>БРИСТОЛЬ СИТИ</t>
  </si>
  <si>
    <t>БРАЙТОН</t>
  </si>
  <si>
    <t>БАРНСЛИ</t>
  </si>
  <si>
    <t>ВУЛВЕРХЕМПТОН</t>
  </si>
  <si>
    <t>КПР</t>
  </si>
  <si>
    <t xml:space="preserve">ЛИДС </t>
  </si>
  <si>
    <t>ДЕРБИ</t>
  </si>
  <si>
    <t>ИПСВИЧ</t>
  </si>
  <si>
    <t>КАРДИФ</t>
  </si>
  <si>
    <t>НОРВИЧ</t>
  </si>
  <si>
    <t>НОТИНГЕМ</t>
  </si>
  <si>
    <t>НЬЮКАСЛ</t>
  </si>
  <si>
    <t>ПРЕСТОН</t>
  </si>
  <si>
    <t>РЕДИНГ</t>
  </si>
  <si>
    <t>РОТЕРХЕМ</t>
  </si>
  <si>
    <t>УИГАН</t>
  </si>
  <si>
    <t>ХАДЕРСФИЛД</t>
  </si>
  <si>
    <t>ФУЛХЕМ</t>
  </si>
  <si>
    <t>ШЕФФИЛД</t>
  </si>
  <si>
    <t>БЕРИ</t>
  </si>
  <si>
    <t>БОЛТОН</t>
  </si>
  <si>
    <t>БРЕДФОРД</t>
  </si>
  <si>
    <t>БРИСТОЛ РОВЕРС</t>
  </si>
  <si>
    <t>ГИЛЛИНГХЕМ</t>
  </si>
  <si>
    <t>МИЛЛУОЛ</t>
  </si>
  <si>
    <t>МИЛТОН</t>
  </si>
  <si>
    <t>НОРТХЕМПТОН</t>
  </si>
  <si>
    <t>ОКСФОРД</t>
  </si>
  <si>
    <t>ПОРТ ВЕЙЛ</t>
  </si>
  <si>
    <t>ОЛДХЕМ</t>
  </si>
  <si>
    <t>ПИТЕРБОРО</t>
  </si>
  <si>
    <t>КОВЕНТРИ</t>
  </si>
  <si>
    <t>РОЧДЕЙЛ</t>
  </si>
  <si>
    <t>САУЗЕНД</t>
  </si>
  <si>
    <t>СВИНДОН</t>
  </si>
  <si>
    <t>СКАНТОРП</t>
  </si>
  <si>
    <t>УОЛСОЛЛ</t>
  </si>
  <si>
    <t>ФЛИТВУД</t>
  </si>
  <si>
    <t>ЧАРЛЬТОН</t>
  </si>
  <si>
    <t>ЧЕСТЕРФИЛД</t>
  </si>
  <si>
    <t>УИМБОЛДОН</t>
  </si>
  <si>
    <t>ШРУСБЕРИ</t>
  </si>
  <si>
    <t>АНЖЕР</t>
  </si>
  <si>
    <t>БАСТИЯ</t>
  </si>
  <si>
    <t>БОРДО</t>
  </si>
  <si>
    <t>ГЕНГАМ</t>
  </si>
  <si>
    <t>ДИЖОН</t>
  </si>
  <si>
    <t>КАН</t>
  </si>
  <si>
    <t>ЛИЛЛЬ</t>
  </si>
  <si>
    <t>ЛОРЬЯН</t>
  </si>
  <si>
    <t>ЛИОН</t>
  </si>
  <si>
    <t>МАРСЕЛЬ</t>
  </si>
  <si>
    <t>МОНАКО</t>
  </si>
  <si>
    <t>МОНПЕЛЬЕ</t>
  </si>
  <si>
    <t>НАНСИ</t>
  </si>
  <si>
    <t>НИЦЦА</t>
  </si>
  <si>
    <t>НАНТ</t>
  </si>
  <si>
    <t>РЕНН</t>
  </si>
  <si>
    <t>ПСЖ</t>
  </si>
  <si>
    <t>СЕНТ-ЭТЬЕН</t>
  </si>
  <si>
    <t>ТУЛУЗА</t>
  </si>
  <si>
    <t>МЕЦ</t>
  </si>
  <si>
    <t>АМЬЕН</t>
  </si>
  <si>
    <t>АЯЧЧО</t>
  </si>
  <si>
    <t>БУРЖ-ПЕРОН</t>
  </si>
  <si>
    <t>БРЕСТ</t>
  </si>
  <si>
    <t>ВАЛАНСЬЕН</t>
  </si>
  <si>
    <t>ГАВР</t>
  </si>
  <si>
    <t>ГАЗЕЛЕК</t>
  </si>
  <si>
    <t>ОСЕР</t>
  </si>
  <si>
    <t>РЕД СТАР</t>
  </si>
  <si>
    <t>РЕЙМС</t>
  </si>
  <si>
    <t>ЛАВАЛЬ</t>
  </si>
  <si>
    <t>ЛАНС</t>
  </si>
  <si>
    <t>КЛЕРМОН</t>
  </si>
  <si>
    <t>НИМ</t>
  </si>
  <si>
    <t>НЬОР</t>
  </si>
  <si>
    <t>ОРЛЕАН</t>
  </si>
  <si>
    <t>СТРАССБУР</t>
  </si>
  <si>
    <t>СОШО</t>
  </si>
  <si>
    <t>ТРУА</t>
  </si>
  <si>
    <t>ТУР</t>
  </si>
  <si>
    <t>АВЕЛИНО</t>
  </si>
  <si>
    <t>БЕНЕВЕНТО</t>
  </si>
  <si>
    <t>БРЕШИА</t>
  </si>
  <si>
    <t>БАРИ</t>
  </si>
  <si>
    <t>ВИЧЕНЦА</t>
  </si>
  <si>
    <t>ВИРТУС ЭНТЕЛЛА</t>
  </si>
  <si>
    <t>АСКОЛИ</t>
  </si>
  <si>
    <t>ЛАТИНА</t>
  </si>
  <si>
    <t>КАРПИ</t>
  </si>
  <si>
    <t>НОВАРА</t>
  </si>
  <si>
    <t>ПЕРУДЖА</t>
  </si>
  <si>
    <t>ПРО ВИРЧЕЛЛИ</t>
  </si>
  <si>
    <t>СПЕЦИЯ</t>
  </si>
  <si>
    <t>СПАЛ</t>
  </si>
  <si>
    <t>ТРАПАНИ</t>
  </si>
  <si>
    <t>ФРОЗИНОНЕ</t>
  </si>
  <si>
    <t>ЦИТАДЕЛЛА</t>
  </si>
  <si>
    <t>ЭЛЛАС ВЕРОНА</t>
  </si>
  <si>
    <t>ЧЕЗЕНА</t>
  </si>
  <si>
    <t>САЛЕРНИТАНА</t>
  </si>
  <si>
    <t>ТЕРНАНА</t>
  </si>
  <si>
    <t>ПИЗА</t>
  </si>
  <si>
    <t>АЛЬКОРОН</t>
  </si>
  <si>
    <t>АЛЬМЕРИЯ</t>
  </si>
  <si>
    <t>ВАЛЬЯДОЛИД</t>
  </si>
  <si>
    <t>ГИМНАТИК</t>
  </si>
  <si>
    <t>ЖИРОНА</t>
  </si>
  <si>
    <t>КОРДОВА</t>
  </si>
  <si>
    <t>ЛЕВАНТЕ</t>
  </si>
  <si>
    <t>ЛУГО</t>
  </si>
  <si>
    <t>МИРАНДЕС</t>
  </si>
  <si>
    <t>МАЛЬОРКА</t>
  </si>
  <si>
    <t>КАДИС</t>
  </si>
  <si>
    <t>НУМАНСИЯ</t>
  </si>
  <si>
    <t>ОВЬЕДО</t>
  </si>
  <si>
    <t>РИУС ДЕПОРТИВО</t>
  </si>
  <si>
    <t>РАЙО ВАЛЬЕКАНО</t>
  </si>
  <si>
    <t>САРАГОСА</t>
  </si>
  <si>
    <t>СЕВИЛЬЯ</t>
  </si>
  <si>
    <t>ТЕНЕРИФЕ</t>
  </si>
  <si>
    <t>УКАМ МУРСИЯ</t>
  </si>
  <si>
    <t>ХЕТАФЕ</t>
  </si>
  <si>
    <t>УЭСКА</t>
  </si>
  <si>
    <t>ЭЛЬЧЕ</t>
  </si>
  <si>
    <t>АРОКА</t>
  </si>
  <si>
    <t>БОАВИШТА</t>
  </si>
  <si>
    <t>БЕНФИКА</t>
  </si>
  <si>
    <t>БРАГА</t>
  </si>
  <si>
    <t>ВИТОРИЯ ГИМАР</t>
  </si>
  <si>
    <t>ВИТОР СЕТУБАЛ</t>
  </si>
  <si>
    <t>БЕЛЕНЕНСЕШ</t>
  </si>
  <si>
    <t>МАРИТИМО</t>
  </si>
  <si>
    <t>МОЙРЕРЕНСЕ</t>
  </si>
  <si>
    <t>ПАСУШ</t>
  </si>
  <si>
    <t>РИУ АВЕ</t>
  </si>
  <si>
    <t>СПОРТИНГ</t>
  </si>
  <si>
    <t>ТОНДЕЛА</t>
  </si>
  <si>
    <t>ФЕЙРЕНСЕ</t>
  </si>
  <si>
    <t>ЭШТОРИЛ</t>
  </si>
  <si>
    <t>НАСИОНАЛ МАД</t>
  </si>
  <si>
    <t>ЧАВЕС</t>
  </si>
  <si>
    <t>ПОРТУ</t>
  </si>
  <si>
    <t>АЗ АЛКМААР</t>
  </si>
  <si>
    <t>АДО ДЕН ГААГ</t>
  </si>
  <si>
    <t>ВИТЕСС</t>
  </si>
  <si>
    <t>ГРОНИНГЕН</t>
  </si>
  <si>
    <t>ВИЛЕЕМ</t>
  </si>
  <si>
    <t>ЗВОЛЛЕ</t>
  </si>
  <si>
    <t>АЯКС</t>
  </si>
  <si>
    <t>ГОУ ЭХИД</t>
  </si>
  <si>
    <t>НЕК НЕЙМЕГЕН</t>
  </si>
  <si>
    <t>ПСВ</t>
  </si>
  <si>
    <t>РОДА</t>
  </si>
  <si>
    <t>СПАРТА</t>
  </si>
  <si>
    <t>ФЕЙНОРД</t>
  </si>
  <si>
    <t>ХЕРЕНВЕН</t>
  </si>
  <si>
    <t>ЭКСЕЛЬСИОР</t>
  </si>
  <si>
    <t>ЭРАКЛЕС</t>
  </si>
  <si>
    <t>ТВЕНТЕ</t>
  </si>
  <si>
    <t>УТРЕХТ</t>
  </si>
  <si>
    <t>3-1</t>
  </si>
  <si>
    <t>2-2</t>
  </si>
  <si>
    <t>3-0</t>
  </si>
  <si>
    <t>4-1</t>
  </si>
  <si>
    <t>1-4</t>
  </si>
  <si>
    <t>0-3</t>
  </si>
  <si>
    <t>0-5</t>
  </si>
  <si>
    <t>1-1</t>
  </si>
  <si>
    <t>2-1</t>
  </si>
  <si>
    <t>1-3</t>
  </si>
  <si>
    <t>1-2</t>
  </si>
  <si>
    <t>5-0</t>
  </si>
  <si>
    <t>0-1</t>
  </si>
  <si>
    <t>0-2</t>
  </si>
  <si>
    <t>1-0</t>
  </si>
  <si>
    <t>2-0</t>
  </si>
  <si>
    <t>0-0</t>
  </si>
  <si>
    <t>5-1</t>
  </si>
  <si>
    <t>3-4</t>
  </si>
  <si>
    <t>4-3</t>
  </si>
  <si>
    <t>0-4</t>
  </si>
  <si>
    <t>4-0</t>
  </si>
  <si>
    <t>1-5</t>
  </si>
  <si>
    <t>АТЛЕТИКО РАФ</t>
  </si>
  <si>
    <t>АТЛЕТИКО ТУКУМ</t>
  </si>
  <si>
    <t>АЛЬДОСИВИ</t>
  </si>
  <si>
    <t>АРСЕНАЛ С</t>
  </si>
  <si>
    <t>БОКА ХУНИОРС</t>
  </si>
  <si>
    <t>БАНФИЛД</t>
  </si>
  <si>
    <t>БЕЛГРАНО</t>
  </si>
  <si>
    <t>ВЕЛЕС САРСФИЛД</t>
  </si>
  <si>
    <t>ГОДОЙ КРУЗ</t>
  </si>
  <si>
    <t>ГИМНАСИЯ ЛП</t>
  </si>
  <si>
    <t>ДЕФЕНСА</t>
  </si>
  <si>
    <t>ИНДЕПЕНДЕНТЕ</t>
  </si>
  <si>
    <t>КОЛОН</t>
  </si>
  <si>
    <t>КИЛМЕС</t>
  </si>
  <si>
    <t>ЛАНУС</t>
  </si>
  <si>
    <t>НЬЮЭЛЗ ОЛД БОЙЗ</t>
  </si>
  <si>
    <t>ОЛИМПО</t>
  </si>
  <si>
    <t>ПАТРОНАТО</t>
  </si>
  <si>
    <t>РИВЕР ПЛЕЙТ</t>
  </si>
  <si>
    <t>РАСИНГ</t>
  </si>
  <si>
    <t>РОСАРИО</t>
  </si>
  <si>
    <t>САН-ЛОРЕНЦО</t>
  </si>
  <si>
    <t>САНТА ФЕ</t>
  </si>
  <si>
    <t>САН МАРТИН</t>
  </si>
  <si>
    <t>САРМИЕНТО</t>
  </si>
  <si>
    <t>ТАЛЬЕРЕС</t>
  </si>
  <si>
    <t>ТИГРЕ</t>
  </si>
  <si>
    <t>ТЕМПЕРЛЕЙ</t>
  </si>
  <si>
    <t>ХУРАКАН</t>
  </si>
  <si>
    <t>ЭСТУДИАНТЕС</t>
  </si>
  <si>
    <t>3-3</t>
  </si>
  <si>
    <t>2-3</t>
  </si>
  <si>
    <t>3-2</t>
  </si>
  <si>
    <t>,</t>
  </si>
  <si>
    <t>6-1</t>
  </si>
  <si>
    <t>1-6</t>
  </si>
  <si>
    <t>-2</t>
  </si>
  <si>
    <t>8</t>
  </si>
  <si>
    <t>-11</t>
  </si>
  <si>
    <t>-8</t>
  </si>
  <si>
    <t>-30 до 0</t>
  </si>
  <si>
    <t>+++</t>
  </si>
  <si>
    <t>++</t>
  </si>
  <si>
    <t>+</t>
  </si>
  <si>
    <t>=</t>
  </si>
  <si>
    <t>-</t>
  </si>
  <si>
    <t>- - -</t>
  </si>
  <si>
    <t>- -</t>
  </si>
  <si>
    <t>-10</t>
  </si>
  <si>
    <t>-9</t>
  </si>
  <si>
    <t>-7</t>
  </si>
  <si>
    <t>-6</t>
  </si>
  <si>
    <t>-5</t>
  </si>
  <si>
    <t>-4</t>
  </si>
  <si>
    <t>-3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</si>
  <si>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</si>
  <si>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</si>
  <si>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</si>
  <si>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</si>
  <si>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</si>
  <si>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</si>
  <si>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</si>
  <si>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</si>
  <si>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</si>
  <si>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</si>
  <si>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</si>
  <si>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из трёх игр 2 должны приходиться на дом или гости ,в зависимости где играют</t>
  </si>
  <si>
    <t>12</t>
  </si>
  <si>
    <t>5-10</t>
  </si>
  <si>
    <t>-13</t>
  </si>
  <si>
    <t>-12</t>
  </si>
  <si>
    <t>11</t>
  </si>
  <si>
    <t>13</t>
  </si>
  <si>
    <t>14</t>
  </si>
  <si>
    <t>10 до 30</t>
  </si>
  <si>
    <t>1.5</t>
  </si>
  <si>
    <t>1.1</t>
  </si>
  <si>
    <t>1.2</t>
  </si>
  <si>
    <t>1.3</t>
  </si>
  <si>
    <t>1.4</t>
  </si>
  <si>
    <t>1.6</t>
  </si>
  <si>
    <t>20.8</t>
  </si>
  <si>
    <t>6.7</t>
  </si>
  <si>
    <t>27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</si>
  <si>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</si>
  <si>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</si>
  <si>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</si>
  <si>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</si>
  <si>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</si>
  <si>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</si>
  <si>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</si>
  <si>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</si>
  <si>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</si>
  <si>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</si>
  <si>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</si>
  <si>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</si>
  <si>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1,7</t>
  </si>
  <si>
    <t>1,8</t>
  </si>
  <si>
    <t>1,9</t>
  </si>
  <si>
    <t>2.1</t>
  </si>
  <si>
    <t>2.2</t>
  </si>
  <si>
    <t>2.3</t>
  </si>
  <si>
    <t>-0,5   -</t>
  </si>
  <si>
    <t>0    =</t>
  </si>
  <si>
    <t>4,5   =</t>
  </si>
  <si>
    <t>4,5   --</t>
  </si>
  <si>
    <t>-3,5   -</t>
  </si>
  <si>
    <t>-1,8   ++</t>
  </si>
  <si>
    <t>-3  +++</t>
  </si>
  <si>
    <t>1,6     +</t>
  </si>
  <si>
    <t>1    ++</t>
  </si>
  <si>
    <t>31</t>
  </si>
  <si>
    <t>-1,7   ++</t>
  </si>
  <si>
    <t>4     =</t>
  </si>
  <si>
    <t>-2,5    =</t>
  </si>
  <si>
    <t>0,5   +</t>
  </si>
  <si>
    <t>-6,5    -</t>
  </si>
  <si>
    <t>-2,5   ++</t>
  </si>
  <si>
    <t>2  ---</t>
  </si>
  <si>
    <t>-2    =</t>
  </si>
  <si>
    <t>3,1   -</t>
  </si>
  <si>
    <t>6,2   +</t>
  </si>
  <si>
    <t>-9,7   =</t>
  </si>
  <si>
    <t>4    =</t>
  </si>
  <si>
    <t>-1,5    =</t>
  </si>
  <si>
    <t>-6    -</t>
  </si>
  <si>
    <t>АУСТРИЯ</t>
  </si>
  <si>
    <t>АДМИРА</t>
  </si>
  <si>
    <t>АЛЬТАХ</t>
  </si>
  <si>
    <t>ВОЛЬФСБЕРГЕР</t>
  </si>
  <si>
    <t>ЗАЛЬЦБУРГ</t>
  </si>
  <si>
    <t>ЛАСК</t>
  </si>
  <si>
    <t>МАТЕРСБУРГ</t>
  </si>
  <si>
    <t>ПОЛТЕН</t>
  </si>
  <si>
    <t>РАПИД</t>
  </si>
  <si>
    <t>ШТУРМ</t>
  </si>
  <si>
    <t>3   -</t>
  </si>
  <si>
    <t>4    +</t>
  </si>
  <si>
    <t>-6,5    =</t>
  </si>
  <si>
    <t>0  +++</t>
  </si>
  <si>
    <t>-6,5   ++</t>
  </si>
  <si>
    <t>8,1   ++</t>
  </si>
  <si>
    <t>1  ++</t>
  </si>
  <si>
    <t>3    =</t>
  </si>
  <si>
    <t>3,5    -</t>
  </si>
  <si>
    <t>1     +</t>
  </si>
  <si>
    <t>4   --</t>
  </si>
  <si>
    <t>6,5   ++</t>
  </si>
  <si>
    <t>0,5    =</t>
  </si>
  <si>
    <t>2    =</t>
  </si>
  <si>
    <t>4,5     =</t>
  </si>
  <si>
    <t>4   ---</t>
  </si>
  <si>
    <t>-2,5   -</t>
  </si>
  <si>
    <t>0,9    -</t>
  </si>
  <si>
    <t>-5,6    +</t>
  </si>
  <si>
    <t>-5,6    -</t>
  </si>
  <si>
    <t>БРЁННБЮ</t>
  </si>
  <si>
    <t>ЛОНГБЮ</t>
  </si>
  <si>
    <t>МИДТЬЮЛЛАНН</t>
  </si>
  <si>
    <t>НОРШЕЛЛАНН</t>
  </si>
  <si>
    <t>ОРХУС</t>
  </si>
  <si>
    <t>ОЛЬБОРГ</t>
  </si>
  <si>
    <t>ОДЕНСЕ</t>
  </si>
  <si>
    <t>КОПЕНГАГЕН</t>
  </si>
  <si>
    <t>РАННЕРС</t>
  </si>
  <si>
    <t>СЁННЕРЬЮСК</t>
  </si>
  <si>
    <t>СИЛЬКЕБОРГ</t>
  </si>
  <si>
    <t>ХОРСЕНС</t>
  </si>
  <si>
    <t>ХОБРО</t>
  </si>
  <si>
    <t>0   -</t>
  </si>
  <si>
    <t>-2,5    +</t>
  </si>
  <si>
    <t>-0,5    =</t>
  </si>
  <si>
    <t>4,5    +</t>
  </si>
  <si>
    <t>2,5    =</t>
  </si>
  <si>
    <t>5     =</t>
  </si>
  <si>
    <t>-6,5   ---</t>
  </si>
  <si>
    <t>АЛЬБИРЕКС</t>
  </si>
  <si>
    <t>ВЕГАЛЬТА СЕНДАЙ</t>
  </si>
  <si>
    <t>ГАМБА ОСАКА</t>
  </si>
  <si>
    <t>ИВАТА</t>
  </si>
  <si>
    <t>КАВАСАКИ</t>
  </si>
  <si>
    <t>КАСИВА</t>
  </si>
  <si>
    <t>КАСИМА</t>
  </si>
  <si>
    <t>ЙОКОГАМА</t>
  </si>
  <si>
    <t>КОБЕ</t>
  </si>
  <si>
    <t>КОФУ</t>
  </si>
  <si>
    <t>ОМИЯ</t>
  </si>
  <si>
    <t>САППОРО</t>
  </si>
  <si>
    <t>СИМИДЗУ</t>
  </si>
  <si>
    <t>СЕРЕСО ОСАКА</t>
  </si>
  <si>
    <t>СЕГАН ТОСУ</t>
  </si>
  <si>
    <t>ТОКИО</t>
  </si>
  <si>
    <t>УРАВА</t>
  </si>
  <si>
    <t>ХИРОСИМА</t>
  </si>
  <si>
    <t>-9,9    -</t>
  </si>
  <si>
    <t>-2,9   +</t>
  </si>
  <si>
    <t>29,1  ---</t>
  </si>
  <si>
    <t>ВИ-ВАРЕН</t>
  </si>
  <si>
    <t>ГИФУ</t>
  </si>
  <si>
    <t>КАНАЗАВА</t>
  </si>
  <si>
    <t>КИОТО</t>
  </si>
  <si>
    <t>КУМАТОТО</t>
  </si>
  <si>
    <t>КАМАТАМАРЕ</t>
  </si>
  <si>
    <t>КУСАЦУ</t>
  </si>
  <si>
    <t>МАТИДА</t>
  </si>
  <si>
    <t>НАГОЯ</t>
  </si>
  <si>
    <t>МИТО</t>
  </si>
  <si>
    <t>МАЦУМОТО ЯМАГА</t>
  </si>
  <si>
    <t>ОКАЯМА</t>
  </si>
  <si>
    <t>ОИТА</t>
  </si>
  <si>
    <t>ТОКИО ВЕРДИ</t>
  </si>
  <si>
    <t>ФУКУОКА</t>
  </si>
  <si>
    <t>ЭКХИМЕ</t>
  </si>
  <si>
    <t>ЯМАГАТА</t>
  </si>
  <si>
    <t>СЁНАН</t>
  </si>
  <si>
    <t>РЕНОФА</t>
  </si>
  <si>
    <t>ЧИБА</t>
  </si>
  <si>
    <t>ТОКУСИМА</t>
  </si>
  <si>
    <t>28</t>
  </si>
  <si>
    <t>29</t>
  </si>
  <si>
    <t>30</t>
  </si>
  <si>
    <t>32</t>
  </si>
  <si>
    <t>33</t>
  </si>
  <si>
    <t>34</t>
  </si>
  <si>
    <t>2,4</t>
  </si>
  <si>
    <t>2,5</t>
  </si>
  <si>
    <t>2,6</t>
  </si>
  <si>
    <t>2,7</t>
  </si>
  <si>
    <t>35</t>
  </si>
  <si>
    <t>7,1    -</t>
  </si>
  <si>
    <t>-0,5    +</t>
  </si>
  <si>
    <t>-3    =</t>
  </si>
  <si>
    <t>6,7     -</t>
  </si>
  <si>
    <t>-2     =</t>
  </si>
  <si>
    <t>-3,6    +</t>
  </si>
  <si>
    <t>3,9    +</t>
  </si>
  <si>
    <t>АЛДЕРШОТ ТАУН</t>
  </si>
  <si>
    <t>БРОМЛИ</t>
  </si>
  <si>
    <t>БАРРОУ</t>
  </si>
  <si>
    <t>БОРХЕМ ВУД</t>
  </si>
  <si>
    <t>ДОВЕР</t>
  </si>
  <si>
    <t>ГЕЙТСХЕД</t>
  </si>
  <si>
    <t>ГАЛИФАКС</t>
  </si>
  <si>
    <t>ГУИСЛИ</t>
  </si>
  <si>
    <t>ИСТЛИ</t>
  </si>
  <si>
    <t>ЛЕЙТОН ОРИЕНТ</t>
  </si>
  <si>
    <t>МАКЛСФИЛД</t>
  </si>
  <si>
    <t>МЕЙДЕНХЕД</t>
  </si>
  <si>
    <t>МЕЙДСТОУН</t>
  </si>
  <si>
    <t>ДЕГ И РЕГ</t>
  </si>
  <si>
    <t>РЕКСХЕМ</t>
  </si>
  <si>
    <t>САТТОН ЮНАЙТЕД</t>
  </si>
  <si>
    <t>ТРАНМЕР</t>
  </si>
  <si>
    <t>ТОРКИ ЮНАЙТЕД</t>
  </si>
  <si>
    <t>УОКИНГ</t>
  </si>
  <si>
    <t>ФАЙЛД</t>
  </si>
  <si>
    <t>ХАРТПУЛ</t>
  </si>
  <si>
    <t>ЭББСФЛИТ</t>
  </si>
  <si>
    <t>ЧЕСТЕР</t>
  </si>
  <si>
    <t>СОЛИХАЛ</t>
  </si>
  <si>
    <t>-0,5  +++</t>
  </si>
  <si>
    <t>0   --</t>
  </si>
  <si>
    <t>-2   +</t>
  </si>
  <si>
    <t>-2    -</t>
  </si>
  <si>
    <t>-6,1    =</t>
  </si>
  <si>
    <t>36</t>
  </si>
  <si>
    <t>-1,6   -</t>
  </si>
  <si>
    <t>-7,8    =</t>
  </si>
  <si>
    <t>-1,6   =</t>
  </si>
  <si>
    <t>ААЛЕН</t>
  </si>
  <si>
    <t>ВЕХЕН</t>
  </si>
  <si>
    <t>ВОРЦБЮРГЕР</t>
  </si>
  <si>
    <t>ГАНЗА</t>
  </si>
  <si>
    <t>ЗОНЕНХОФ</t>
  </si>
  <si>
    <t>КАРЛСРУЭ</t>
  </si>
  <si>
    <t>КАРЛ-ЦЕСС-ЙЕНА</t>
  </si>
  <si>
    <t>ЛОТТЕ</t>
  </si>
  <si>
    <t>МЕППЕН</t>
  </si>
  <si>
    <t>МАГДЕБУРГ</t>
  </si>
  <si>
    <t>ОСНАБРЮК</t>
  </si>
  <si>
    <t>ПРОЙСЕН</t>
  </si>
  <si>
    <t>ПАДЕБОРН</t>
  </si>
  <si>
    <t>РОТ-ВАЙС ЭРФУТ</t>
  </si>
  <si>
    <t>УНТЕРХАХИНГ</t>
  </si>
  <si>
    <t>ФОРТУНА КЁЛН</t>
  </si>
  <si>
    <t>ХАЛЛЕШЕР</t>
  </si>
  <si>
    <t>ХЕМНИЦЕР</t>
  </si>
  <si>
    <t>ЦВИКАУ</t>
  </si>
  <si>
    <t>ВЕРДЕР</t>
  </si>
  <si>
    <t>-2   ++</t>
  </si>
  <si>
    <t>0  ++</t>
  </si>
  <si>
    <t>6,5    -</t>
  </si>
  <si>
    <t>4    -</t>
  </si>
  <si>
    <t>3,1    -</t>
  </si>
  <si>
    <t>-3,6    =</t>
  </si>
  <si>
    <t>АУСТРИЯ ЛЮСТЕНАУ</t>
  </si>
  <si>
    <t>ВАКЕР ИНСБУРК</t>
  </si>
  <si>
    <t>ВАТТЕНС</t>
  </si>
  <si>
    <t>ЛИФЕРИНГ</t>
  </si>
  <si>
    <t>НОЙШТАДТ</t>
  </si>
  <si>
    <t>ЛИНЦ</t>
  </si>
  <si>
    <t>КАПФЕНБЕРГ</t>
  </si>
  <si>
    <t>РИД</t>
  </si>
  <si>
    <t>ТИМ ВИЕН</t>
  </si>
  <si>
    <t>ХАРТБЕРГ</t>
  </si>
  <si>
    <t>-8,7   -</t>
  </si>
  <si>
    <t>-6,5    --</t>
  </si>
  <si>
    <t>2     =</t>
  </si>
  <si>
    <t>6,5     =</t>
  </si>
  <si>
    <t>-7    =</t>
  </si>
  <si>
    <t>7,6    =</t>
  </si>
  <si>
    <t>5,6     =</t>
  </si>
  <si>
    <t>3,6    -</t>
  </si>
  <si>
    <t>3,4    +</t>
  </si>
  <si>
    <t>2,6    -</t>
  </si>
  <si>
    <t>-1,4   ++</t>
  </si>
  <si>
    <t>5    =</t>
  </si>
  <si>
    <t>7   ---</t>
  </si>
  <si>
    <t>-1,9    -</t>
  </si>
  <si>
    <t>1     -</t>
  </si>
  <si>
    <t>-2,5    ++</t>
  </si>
  <si>
    <t>7    --</t>
  </si>
  <si>
    <t>10,6    -</t>
  </si>
  <si>
    <t>-0,9    +</t>
  </si>
  <si>
    <t>5,1     -</t>
  </si>
  <si>
    <t>0,5   =</t>
  </si>
  <si>
    <t>-2    +</t>
  </si>
  <si>
    <t>-3,1    =</t>
  </si>
  <si>
    <t>-4,1    -</t>
  </si>
  <si>
    <t>-5,1    +</t>
  </si>
  <si>
    <t>7,6     -</t>
  </si>
  <si>
    <t>1,6    =</t>
  </si>
  <si>
    <t>-12,7    =</t>
  </si>
  <si>
    <t>-9,9    =</t>
  </si>
  <si>
    <t>5,7    +</t>
  </si>
  <si>
    <t>16,5    =</t>
  </si>
  <si>
    <t>-5,3    =</t>
  </si>
  <si>
    <t>-1,9    =</t>
  </si>
  <si>
    <t>9,4    =</t>
  </si>
  <si>
    <t>14,6    +</t>
  </si>
  <si>
    <t>6,3    -</t>
  </si>
  <si>
    <t>23,1    =</t>
  </si>
  <si>
    <t>6,7    =</t>
  </si>
  <si>
    <t>-9,6   +++</t>
  </si>
  <si>
    <t>-16,4    =</t>
  </si>
  <si>
    <t>-3,4    =</t>
  </si>
  <si>
    <t>-8,7   ++</t>
  </si>
  <si>
    <t>-5,8    =</t>
  </si>
  <si>
    <t>3,4    =</t>
  </si>
  <si>
    <t>-8,7   +</t>
  </si>
  <si>
    <t>-1,8    =</t>
  </si>
  <si>
    <t>5,2    =</t>
  </si>
  <si>
    <t>2    +</t>
  </si>
  <si>
    <t>1,4    -</t>
  </si>
  <si>
    <t>7    =</t>
  </si>
  <si>
    <t>-10    +</t>
  </si>
  <si>
    <t>0,6    -</t>
  </si>
  <si>
    <t>2,9    +</t>
  </si>
  <si>
    <t>4   +</t>
  </si>
  <si>
    <t>АРМИНИЯ</t>
  </si>
  <si>
    <t>АЙНТРАХТ Б</t>
  </si>
  <si>
    <t>БОХУМ</t>
  </si>
  <si>
    <t>ГРОЙТЕР ФЮРТ</t>
  </si>
  <si>
    <t>ДУЙСБУРГ</t>
  </si>
  <si>
    <t>ДАРМШТАТ</t>
  </si>
  <si>
    <t>ДИНАМО ДРЕЗДЕН</t>
  </si>
  <si>
    <t>ЗАНДХАУЗЕН</t>
  </si>
  <si>
    <t>ИНГОЛЬШТАТ</t>
  </si>
  <si>
    <t>КАЙЗЕРСЛАУТЕРН</t>
  </si>
  <si>
    <t>НЮРНБЕРГ</t>
  </si>
  <si>
    <t>РЕГЕНСБУРГ</t>
  </si>
  <si>
    <t>САНКТ-ПАУЛИ</t>
  </si>
  <si>
    <t>УНИОН-БЕРЛИН</t>
  </si>
  <si>
    <t>ФОРТУНА ДЮСЕЛЬД</t>
  </si>
  <si>
    <t>ХОЛЬШТЕЙН</t>
  </si>
  <si>
    <t>ХАЙДЕНХЕЙМ</t>
  </si>
  <si>
    <t>ЭРЦГЕБИРГЕ</t>
  </si>
  <si>
    <t>ДЕРБИ КАУНТИ</t>
  </si>
  <si>
    <t>ЛИДС</t>
  </si>
  <si>
    <t>НОТИНГЕМ ФОРЕСТ</t>
  </si>
  <si>
    <t>РИДИНГ</t>
  </si>
  <si>
    <t>ШЕФИЛД УЭНСДЕЙ</t>
  </si>
  <si>
    <t>ШЕФФИЛД ЮНАЙТЕД</t>
  </si>
  <si>
    <t>КАРДИФФ</t>
  </si>
  <si>
    <t>0   ++</t>
  </si>
  <si>
    <t>-5,1    =</t>
  </si>
  <si>
    <t>БЛЕКПУЛ</t>
  </si>
  <si>
    <t>БЬЮРИ</t>
  </si>
  <si>
    <t>ГИЛИНГХЕМ</t>
  </si>
  <si>
    <t>ДОКАСТЕР</t>
  </si>
  <si>
    <t>МК ДОНС</t>
  </si>
  <si>
    <t>НОРТХЭМПТОН</t>
  </si>
  <si>
    <t>ОЛДХЭМ</t>
  </si>
  <si>
    <t>ПОРТСМУТ</t>
  </si>
  <si>
    <t>ПЛИМУТ</t>
  </si>
  <si>
    <t>УИМБИЛДОН</t>
  </si>
  <si>
    <t>ЩРУСБЕРИ</t>
  </si>
  <si>
    <t>БРИСТОЛЬ РОВЕРС</t>
  </si>
  <si>
    <t>3   ++</t>
  </si>
  <si>
    <t>-3,5    =</t>
  </si>
  <si>
    <t>АККРИНГТОН</t>
  </si>
  <si>
    <t>БАРНЕТ</t>
  </si>
  <si>
    <t>ГРИМСБИ</t>
  </si>
  <si>
    <t>ЙОВИЛ</t>
  </si>
  <si>
    <t>КОЛЧЕСТЕР</t>
  </si>
  <si>
    <t>КЕМБРИДЖ</t>
  </si>
  <si>
    <t>КРЮ</t>
  </si>
  <si>
    <t>КАРЛАЙН</t>
  </si>
  <si>
    <t>КРОУЛИ</t>
  </si>
  <si>
    <t>ЛИНКОЛЬН СИТИ</t>
  </si>
  <si>
    <t>ЛУТОН ТАУН</t>
  </si>
  <si>
    <t>МОРЕКАМБ</t>
  </si>
  <si>
    <t>МАНСФИЛД</t>
  </si>
  <si>
    <t>НОТТС КАУНТИ</t>
  </si>
  <si>
    <t>СВИНДОН ТАУН</t>
  </si>
  <si>
    <t>УИКОМБ</t>
  </si>
  <si>
    <t>ФОРЕСТ ГРИН</t>
  </si>
  <si>
    <t>ЧЕЛТЕНХЕМ</t>
  </si>
  <si>
    <t>ЭКСЕТЕР СИТИ</t>
  </si>
  <si>
    <t>НЬЮПОРТ</t>
  </si>
  <si>
    <t>СТИВИНЕЙДЖ</t>
  </si>
  <si>
    <t>-3,5   ++</t>
  </si>
  <si>
    <t>3,5   --</t>
  </si>
  <si>
    <t>-6,5    +</t>
  </si>
  <si>
    <t>1    --</t>
  </si>
  <si>
    <t>6   ---</t>
  </si>
  <si>
    <t>4  +++</t>
  </si>
  <si>
    <t>3     -</t>
  </si>
  <si>
    <t>-1,5     =</t>
  </si>
  <si>
    <t>0     =</t>
  </si>
  <si>
    <t>6    +</t>
  </si>
  <si>
    <t>3    +</t>
  </si>
  <si>
    <t>6   ++</t>
  </si>
  <si>
    <t>-4   ++</t>
  </si>
  <si>
    <t>8,4    =</t>
  </si>
  <si>
    <t>2,3     -</t>
  </si>
  <si>
    <t>-10,4    -</t>
  </si>
  <si>
    <t>-2    ---</t>
  </si>
  <si>
    <t>7,6    +</t>
  </si>
  <si>
    <t>-8,6    +</t>
  </si>
  <si>
    <t>11,2     -</t>
  </si>
  <si>
    <t>0,5    ++</t>
  </si>
  <si>
    <t>16,5     -</t>
  </si>
  <si>
    <t>11,2   --</t>
  </si>
  <si>
    <t>13,1    --</t>
  </si>
  <si>
    <t>0,4   +</t>
  </si>
  <si>
    <t>12   ---</t>
  </si>
  <si>
    <t>-1,7    +</t>
  </si>
  <si>
    <t>-0,2    =</t>
  </si>
  <si>
    <t>11,1    =</t>
  </si>
  <si>
    <t>0,9     -</t>
  </si>
  <si>
    <t>7,3    =</t>
  </si>
  <si>
    <t>-3,1   +++</t>
  </si>
  <si>
    <t>-7,2   ---</t>
  </si>
  <si>
    <t>-0,5    ++</t>
  </si>
  <si>
    <t>5,7    =</t>
  </si>
  <si>
    <t>0,8    =</t>
  </si>
  <si>
    <t>ХЕЛЬСИНГЁР</t>
  </si>
  <si>
    <t>-4    +</t>
  </si>
  <si>
    <t>7,7    =</t>
  </si>
  <si>
    <t>17,6    +</t>
  </si>
  <si>
    <t>8,2   =</t>
  </si>
  <si>
    <t>2,5   ++</t>
  </si>
  <si>
    <t>2,1   ++</t>
  </si>
  <si>
    <t>-5,5   +</t>
  </si>
  <si>
    <t>13,4   +</t>
  </si>
  <si>
    <t>-6    ++</t>
  </si>
  <si>
    <t>-9    +</t>
  </si>
  <si>
    <t>-4,8    +</t>
  </si>
  <si>
    <t>6      =</t>
  </si>
  <si>
    <t>-2    --</t>
  </si>
  <si>
    <t>4  ----</t>
  </si>
  <si>
    <t>12,7    =</t>
  </si>
  <si>
    <t>1,6    +</t>
  </si>
  <si>
    <t>-1,6    -</t>
  </si>
  <si>
    <t>-3,6     -</t>
  </si>
  <si>
    <t>5,5    +</t>
  </si>
  <si>
    <t>1,4    =</t>
  </si>
  <si>
    <t>4     ++</t>
  </si>
  <si>
    <t>3     =</t>
  </si>
  <si>
    <t>5,5    --</t>
  </si>
  <si>
    <t>1,9    +</t>
  </si>
  <si>
    <t>4,1    +</t>
  </si>
  <si>
    <t>4,9   ++</t>
  </si>
  <si>
    <t>9,9    =</t>
  </si>
  <si>
    <t>-1,2      -</t>
  </si>
  <si>
    <t xml:space="preserve"> 5,6      +</t>
  </si>
  <si>
    <t>-2,8     -</t>
  </si>
  <si>
    <t>-12,7    +</t>
  </si>
  <si>
    <t>-0,5  ++++</t>
  </si>
  <si>
    <t>20,9  +++</t>
  </si>
  <si>
    <t>8,3     =</t>
  </si>
  <si>
    <t>5,1     =</t>
  </si>
  <si>
    <t>0,5     =</t>
  </si>
  <si>
    <t>-2,5  ++++</t>
  </si>
  <si>
    <t>10,1   ++</t>
  </si>
  <si>
    <t>-5,1     =</t>
  </si>
  <si>
    <t>3,9    =</t>
  </si>
  <si>
    <t>10,1     =</t>
  </si>
  <si>
    <t>-5,6   --</t>
  </si>
  <si>
    <t>2,9    =</t>
  </si>
  <si>
    <t>4,1     =</t>
  </si>
  <si>
    <t>-1,3   ++</t>
  </si>
  <si>
    <t>-0,3    +</t>
  </si>
  <si>
    <t>13,8    -</t>
  </si>
  <si>
    <t>11,5    =</t>
  </si>
  <si>
    <t>4,6    -</t>
  </si>
  <si>
    <t>-8,6   +++</t>
  </si>
  <si>
    <t>-2,4    +</t>
  </si>
  <si>
    <t>9,6    =</t>
  </si>
  <si>
    <t>-5,5    +</t>
  </si>
  <si>
    <t>-3,9     -</t>
  </si>
  <si>
    <t>-6,2     =</t>
  </si>
  <si>
    <t>-7,9    -</t>
  </si>
  <si>
    <t>2,2   =</t>
  </si>
  <si>
    <t>9,1  --</t>
  </si>
  <si>
    <t>-6,9   ++</t>
  </si>
  <si>
    <t>-7,2   --</t>
  </si>
  <si>
    <t>-2,2    =</t>
  </si>
  <si>
    <t>-10,2   =</t>
  </si>
  <si>
    <t>6,9  =</t>
  </si>
  <si>
    <t>14,8   -</t>
  </si>
  <si>
    <t>-4,3    -</t>
  </si>
  <si>
    <t>4,2    =</t>
  </si>
  <si>
    <t>-2,6    =</t>
  </si>
  <si>
    <t>0,4    +</t>
  </si>
  <si>
    <t>-3,7    =</t>
  </si>
  <si>
    <t>-2,6  ++++</t>
  </si>
  <si>
    <t>8     +</t>
  </si>
  <si>
    <t>-0,8    =</t>
  </si>
  <si>
    <t>6,3     -</t>
  </si>
  <si>
    <t>-5,1     +</t>
  </si>
  <si>
    <t>-2,1     =</t>
  </si>
  <si>
    <t>-4,7    =</t>
  </si>
  <si>
    <t>-2,9    +</t>
  </si>
  <si>
    <t>-5,1    -</t>
  </si>
  <si>
    <t>-2,4    -</t>
  </si>
  <si>
    <t>7,5     =</t>
  </si>
  <si>
    <t>5,5    -</t>
  </si>
  <si>
    <t>-9,2   ++</t>
  </si>
  <si>
    <t>2,5    --</t>
  </si>
  <si>
    <t>-9,1    --</t>
  </si>
  <si>
    <t>6,1    =</t>
  </si>
  <si>
    <t>-2,6   +</t>
  </si>
  <si>
    <t>-1  ---</t>
  </si>
  <si>
    <t>0,7    =</t>
  </si>
  <si>
    <t>-3,6   ++</t>
  </si>
  <si>
    <t>10,1    =</t>
  </si>
  <si>
    <t>-2,7    =</t>
  </si>
  <si>
    <t>43,8    =</t>
  </si>
  <si>
    <t>-58,2   =</t>
  </si>
  <si>
    <t>12,1     -</t>
  </si>
  <si>
    <t>-6     +</t>
  </si>
  <si>
    <t>31   -</t>
  </si>
  <si>
    <t>13,5    +</t>
  </si>
  <si>
    <t>39,8     -</t>
  </si>
  <si>
    <t>37,8    =</t>
  </si>
  <si>
    <t>-23,5    =</t>
  </si>
  <si>
    <t>-26,6     =</t>
  </si>
  <si>
    <t>17,6  --</t>
  </si>
  <si>
    <t>18,9   ++</t>
  </si>
  <si>
    <t>42,4    +</t>
  </si>
  <si>
    <t>40,1     -</t>
  </si>
  <si>
    <t>-1,7     +</t>
  </si>
  <si>
    <t>-26,3     -</t>
  </si>
  <si>
    <t>-15,2     =</t>
  </si>
  <si>
    <t>25,7   -</t>
  </si>
  <si>
    <t>9,7   +++</t>
  </si>
  <si>
    <t>-6    +</t>
  </si>
  <si>
    <t>6,5    --</t>
  </si>
  <si>
    <t>0  ++++</t>
  </si>
  <si>
    <t>6    --</t>
  </si>
  <si>
    <t>10,1    +</t>
  </si>
  <si>
    <t>-4,1    =</t>
  </si>
  <si>
    <t>-1,9     -</t>
  </si>
  <si>
    <t>-8,4     =</t>
  </si>
  <si>
    <t>1,9     --</t>
  </si>
  <si>
    <t>-3,7    ++</t>
  </si>
  <si>
    <t>15,4     -</t>
  </si>
  <si>
    <t>15,9    +</t>
  </si>
  <si>
    <t>3,6     =</t>
  </si>
  <si>
    <t>1     =</t>
  </si>
  <si>
    <t>1,5     =</t>
  </si>
  <si>
    <t>9,4    ++</t>
  </si>
  <si>
    <t>12,7  ----</t>
  </si>
  <si>
    <t>6,9   ++++</t>
  </si>
  <si>
    <t>4,7     --</t>
  </si>
  <si>
    <t>8,8   ++</t>
  </si>
  <si>
    <t>14,4    ++</t>
  </si>
  <si>
    <t>4,8     +</t>
  </si>
  <si>
    <t>13,1    =</t>
  </si>
  <si>
    <t>1,5    --</t>
  </si>
  <si>
    <t>-3     ++</t>
  </si>
  <si>
    <t>МАНЧЕСТЕР ЮНАЙТЕД</t>
  </si>
  <si>
    <t>МАНЧЕСТЕР СИТИ</t>
  </si>
  <si>
    <t>КРИСТАЛ ПЭЛАС</t>
  </si>
  <si>
    <t>БЁРНЛИ</t>
  </si>
  <si>
    <t>4    ++</t>
  </si>
  <si>
    <t>-6,5   +++</t>
  </si>
  <si>
    <t xml:space="preserve"> 4   =</t>
  </si>
  <si>
    <t>6,5      =</t>
  </si>
  <si>
    <t>6       =</t>
  </si>
  <si>
    <t>4,5     -</t>
  </si>
  <si>
    <t>1   +</t>
  </si>
  <si>
    <t>3      =</t>
  </si>
  <si>
    <t>-3   ++</t>
  </si>
  <si>
    <t>АТРОМИТОС</t>
  </si>
  <si>
    <t>АППОЛОН</t>
  </si>
  <si>
    <t>ПЛАТАНИАС</t>
  </si>
  <si>
    <t>ПАНАТИНАЙКОС</t>
  </si>
  <si>
    <t>АЕК</t>
  </si>
  <si>
    <t>ПАНАТОЛИКОС</t>
  </si>
  <si>
    <t>КЕРКИРА</t>
  </si>
  <si>
    <t>ПАНИОНИС</t>
  </si>
  <si>
    <t>ЛЕВАДИКОС</t>
  </si>
  <si>
    <t>ПАОК</t>
  </si>
  <si>
    <t>ОЛИМПИАКОС</t>
  </si>
  <si>
    <t>ЛАРИСА</t>
  </si>
  <si>
    <t>АСТЕРАС</t>
  </si>
  <si>
    <t>ПАС ЯНИНА</t>
  </si>
  <si>
    <t>КСАНТИ</t>
  </si>
  <si>
    <t>ЛАМИЯ</t>
  </si>
  <si>
    <t>-3     =</t>
  </si>
  <si>
    <t>3,5     =</t>
  </si>
  <si>
    <t>3     --</t>
  </si>
  <si>
    <t>3,5     -</t>
  </si>
  <si>
    <t>БНЕЙ ЙЕГУДА</t>
  </si>
  <si>
    <t>МАКАБИ ТЕЛЬ АВИВ</t>
  </si>
  <si>
    <t>ХАПОЭЛЬ АККО</t>
  </si>
  <si>
    <t>ХАПОЭЛЬ БЕР ШЕВА</t>
  </si>
  <si>
    <t>ХАПОЭЛЬ ХАЙФА</t>
  </si>
  <si>
    <t>ХАПОЭЛЬ РААНАНА</t>
  </si>
  <si>
    <t>АШДОД</t>
  </si>
  <si>
    <t>МАКАБИ ХАЙФА</t>
  </si>
  <si>
    <t>БЕЙТАР</t>
  </si>
  <si>
    <t>БНЕЙ САХНИН</t>
  </si>
  <si>
    <t>МАКАБИ НЕТАНИЯ</t>
  </si>
  <si>
    <t>ХАПОЭЛЬ АШКЕЛОН</t>
  </si>
  <si>
    <t xml:space="preserve">ИРОНИ КИРЬЯТ </t>
  </si>
  <si>
    <t>МАКАБИ ПЕТАХ</t>
  </si>
  <si>
    <t>3,5   ---</t>
  </si>
  <si>
    <t>-3,5    --</t>
  </si>
  <si>
    <t>1      =</t>
  </si>
  <si>
    <t>МАЛАГА</t>
  </si>
  <si>
    <t>ЭЙБАР</t>
  </si>
  <si>
    <t>ВИЛЬЯРЕАЛ</t>
  </si>
  <si>
    <t>ДЕПОРТИВО</t>
  </si>
  <si>
    <t>РЕАЛ МАДРИД</t>
  </si>
  <si>
    <t>БАРСЕЛОНА</t>
  </si>
  <si>
    <t>БЕТИС</t>
  </si>
  <si>
    <t>АТЛЕТИК</t>
  </si>
  <si>
    <t>ЭСПАНЬОЛ</t>
  </si>
  <si>
    <t>АТЛЕТИКО</t>
  </si>
  <si>
    <t>СЕЛЬТА</t>
  </si>
  <si>
    <t>РЕАЛ СОСЬЕДАД</t>
  </si>
  <si>
    <t>ВАЛЕНСИЯ</t>
  </si>
  <si>
    <t>ЛАС-ПАЛЬМАС</t>
  </si>
  <si>
    <t>ЛЕГАНЕС</t>
  </si>
  <si>
    <t>АЛАВЕС</t>
  </si>
  <si>
    <t>РЕУС ДЕПОРТИВО</t>
  </si>
  <si>
    <t>ГРАНАДА</t>
  </si>
  <si>
    <t>АЛЬБАСЕТЕ</t>
  </si>
  <si>
    <t>ХИМНАСТИК</t>
  </si>
  <si>
    <t>РЕАЛ ОВЬЕДО</t>
  </si>
  <si>
    <t xml:space="preserve">ВАЛЬЯДОЛИД </t>
  </si>
  <si>
    <t>БАРСЕЛОНА Б</t>
  </si>
  <si>
    <t xml:space="preserve">КОРДОБА </t>
  </si>
  <si>
    <t xml:space="preserve">ОСАСУНА </t>
  </si>
  <si>
    <t>ЛА ХОЙА ЛОРКА</t>
  </si>
  <si>
    <t>ЛЕОНЕССА</t>
  </si>
  <si>
    <t>БОЛОНЬЯ</t>
  </si>
  <si>
    <t>ТОРИНО</t>
  </si>
  <si>
    <t xml:space="preserve">ИНТЕР </t>
  </si>
  <si>
    <t>ФИОРЕНТИНА</t>
  </si>
  <si>
    <t>КРОТОНЕ</t>
  </si>
  <si>
    <t>МИЛАН</t>
  </si>
  <si>
    <t>ЛАЦИО</t>
  </si>
  <si>
    <t>САМПДОРИЯ</t>
  </si>
  <si>
    <t>САСУОЛО</t>
  </si>
  <si>
    <t>ДЖЕНОА</t>
  </si>
  <si>
    <t>УДИНЕЗЕ</t>
  </si>
  <si>
    <t>КЬЕВО</t>
  </si>
  <si>
    <t>АТАЛАНТА</t>
  </si>
  <si>
    <t>РОМА</t>
  </si>
  <si>
    <t>ВЕРОНА</t>
  </si>
  <si>
    <t>НАПОЛИ</t>
  </si>
  <si>
    <t>ЮВЕНТУС</t>
  </si>
  <si>
    <t>КАЛЬЯРИ</t>
  </si>
  <si>
    <t>-3,5     +</t>
  </si>
  <si>
    <t>-2,5     -</t>
  </si>
  <si>
    <t>2      -</t>
  </si>
  <si>
    <t>-2,5     =</t>
  </si>
  <si>
    <t>4      -</t>
  </si>
  <si>
    <t>-2     -</t>
  </si>
  <si>
    <t>-2,5     +</t>
  </si>
  <si>
    <t>0     -</t>
  </si>
  <si>
    <t>-12,3    =</t>
  </si>
  <si>
    <t>-0,9    =</t>
  </si>
  <si>
    <t>5,3     -</t>
  </si>
  <si>
    <t>-0,9     +</t>
  </si>
  <si>
    <t>17,5     =</t>
  </si>
  <si>
    <t>5,5     -</t>
  </si>
  <si>
    <t>2,6     =</t>
  </si>
  <si>
    <t>-5,6     +</t>
  </si>
  <si>
    <t>-2,7     =</t>
  </si>
  <si>
    <t>1,8    =</t>
  </si>
  <si>
    <t>6,8     -</t>
  </si>
  <si>
    <t>10    =</t>
  </si>
  <si>
    <t>5,3      +</t>
  </si>
  <si>
    <t>-22     +</t>
  </si>
  <si>
    <t>29,6     -</t>
  </si>
  <si>
    <t>-22,8     +</t>
  </si>
  <si>
    <t>11,8      -</t>
  </si>
  <si>
    <t>25,5    -</t>
  </si>
  <si>
    <t>-71,1   +</t>
  </si>
  <si>
    <t>23    =</t>
  </si>
  <si>
    <t>63,9     =</t>
  </si>
  <si>
    <t>40,3    =</t>
  </si>
  <si>
    <t>10    +</t>
  </si>
  <si>
    <t>-37,9     -</t>
  </si>
  <si>
    <t>44,3    ++</t>
  </si>
  <si>
    <t>25,4    --</t>
  </si>
  <si>
    <t>29,4     =</t>
  </si>
  <si>
    <t>26,6      =</t>
  </si>
  <si>
    <t>33,5      =</t>
  </si>
  <si>
    <t>28,1       =</t>
  </si>
  <si>
    <t>9,3   ++</t>
  </si>
  <si>
    <t>-9,8     =</t>
  </si>
  <si>
    <t>-3,9    +</t>
  </si>
  <si>
    <t>0     --</t>
  </si>
  <si>
    <t>2    +++</t>
  </si>
  <si>
    <t xml:space="preserve"> -2 ++++</t>
  </si>
  <si>
    <t>4,5 ----</t>
  </si>
  <si>
    <t>-0,5     =</t>
  </si>
  <si>
    <t>48</t>
  </si>
  <si>
    <t>-48</t>
  </si>
  <si>
    <t>-24</t>
  </si>
  <si>
    <t>-32</t>
  </si>
  <si>
    <t>-16</t>
  </si>
  <si>
    <t>-21</t>
  </si>
  <si>
    <t>--</t>
  </si>
  <si>
    <t>---</t>
  </si>
  <si>
    <t>7,6    -</t>
  </si>
  <si>
    <t>5,1  +</t>
  </si>
  <si>
    <t>-4,2   +++</t>
  </si>
  <si>
    <t>2,3    =</t>
  </si>
  <si>
    <t>0,7    +</t>
  </si>
  <si>
    <t>14,5     -</t>
  </si>
  <si>
    <t xml:space="preserve">  -13,5     =</t>
  </si>
  <si>
    <t>4,8    =</t>
  </si>
  <si>
    <t>17,1     --</t>
  </si>
  <si>
    <t>-4,3     -</t>
  </si>
  <si>
    <t>9,8     +</t>
  </si>
  <si>
    <t>-22      =</t>
  </si>
  <si>
    <t>8,4      =</t>
  </si>
  <si>
    <t>-7,4  -----</t>
  </si>
  <si>
    <t>2 +++++</t>
  </si>
  <si>
    <t>-5,5    --</t>
  </si>
  <si>
    <t>-6,7    ++</t>
  </si>
  <si>
    <t>5    ++</t>
  </si>
  <si>
    <t>-1,5    --</t>
  </si>
  <si>
    <t>0,1     =</t>
  </si>
  <si>
    <t>5,6      =</t>
  </si>
  <si>
    <t>-4,9 +++++</t>
  </si>
  <si>
    <t>-14    +</t>
  </si>
  <si>
    <t>18,6       +</t>
  </si>
  <si>
    <t>4,3      -</t>
  </si>
  <si>
    <t>8,6     --</t>
  </si>
  <si>
    <t>2,9   --</t>
  </si>
  <si>
    <t>12,1   ++</t>
  </si>
  <si>
    <t>6,8   -</t>
  </si>
  <si>
    <t>7,2     +</t>
  </si>
  <si>
    <t>-12,1     =</t>
  </si>
  <si>
    <t>8,9   =</t>
  </si>
  <si>
    <t>-4    ++</t>
  </si>
  <si>
    <t>-0,7     --</t>
  </si>
  <si>
    <t>5,9      =</t>
  </si>
  <si>
    <t>2,4       =</t>
  </si>
  <si>
    <t>-9,2    +</t>
  </si>
  <si>
    <t>-18,4     =</t>
  </si>
  <si>
    <t>7,1     =</t>
  </si>
  <si>
    <t>18    +</t>
  </si>
  <si>
    <t>-3,2     =</t>
  </si>
  <si>
    <t>10,6    =</t>
  </si>
  <si>
    <t>-3,6    ---</t>
  </si>
  <si>
    <t>7    ++</t>
  </si>
  <si>
    <t>-6    --</t>
  </si>
  <si>
    <t>-3,1     +</t>
  </si>
  <si>
    <t>3,6     -</t>
  </si>
  <si>
    <t>1,5    ---</t>
  </si>
  <si>
    <t>0,4   +++</t>
  </si>
  <si>
    <t>7,6  -----</t>
  </si>
  <si>
    <t>7,6  +++++</t>
  </si>
  <si>
    <t>8,6     +</t>
  </si>
  <si>
    <t>2,3    ++</t>
  </si>
  <si>
    <t>7,5     -</t>
  </si>
  <si>
    <t>3,2    -</t>
  </si>
  <si>
    <t>0,8     -</t>
  </si>
  <si>
    <t>-2,2   ++</t>
  </si>
  <si>
    <t>1,3    -</t>
  </si>
  <si>
    <t>13,5    --</t>
  </si>
  <si>
    <t>-6,8   ++</t>
  </si>
  <si>
    <t>1,4    --</t>
  </si>
  <si>
    <t>1,3     ++</t>
  </si>
  <si>
    <t>7,8    ---</t>
  </si>
  <si>
    <t>1   +++</t>
  </si>
  <si>
    <t>5,6  ----</t>
  </si>
  <si>
    <t>-6   ++++</t>
  </si>
  <si>
    <t>0,6    --</t>
  </si>
  <si>
    <t>6,2    +++</t>
  </si>
  <si>
    <t>-0,3    ---</t>
  </si>
  <si>
    <t>7,3     =</t>
  </si>
  <si>
    <t>3,7      -</t>
  </si>
  <si>
    <t>12     +</t>
  </si>
  <si>
    <t>-10       =</t>
  </si>
  <si>
    <t>-3,6   +++</t>
  </si>
  <si>
    <t>10,7    +</t>
  </si>
  <si>
    <t>-2  ----</t>
  </si>
  <si>
    <t>10,6  ++++</t>
  </si>
  <si>
    <t>4,7    -</t>
  </si>
  <si>
    <t>9,3     =</t>
  </si>
  <si>
    <t>17,1     -</t>
  </si>
  <si>
    <t>-4,7    +</t>
  </si>
  <si>
    <t>-0,7     -</t>
  </si>
  <si>
    <t>6,6    +</t>
  </si>
  <si>
    <t>4,4   +</t>
  </si>
  <si>
    <t>-8,7     -</t>
  </si>
  <si>
    <t>9,2    ++</t>
  </si>
  <si>
    <t>-4,5     +</t>
  </si>
  <si>
    <t>-6,7    -</t>
  </si>
  <si>
    <t>-6,7     -</t>
  </si>
  <si>
    <t xml:space="preserve">  -5,2     =</t>
  </si>
  <si>
    <t>8,6    +</t>
  </si>
  <si>
    <t>15,9     -</t>
  </si>
  <si>
    <t>-11,4    --</t>
  </si>
  <si>
    <t>7    -</t>
  </si>
  <si>
    <t>-0,5     --</t>
  </si>
  <si>
    <t>7,5    =</t>
  </si>
  <si>
    <t>14,8 +++</t>
  </si>
  <si>
    <t>-5,3   ---</t>
  </si>
  <si>
    <t>-22,3     =</t>
  </si>
  <si>
    <t>-57    =</t>
  </si>
  <si>
    <t>-9,2     -</t>
  </si>
  <si>
    <t>21,7     +</t>
  </si>
  <si>
    <t>43,4   +++</t>
  </si>
  <si>
    <t>43,8   ---</t>
  </si>
  <si>
    <t>15,7     +</t>
  </si>
  <si>
    <t>39    -</t>
  </si>
  <si>
    <t>38,8  ---</t>
  </si>
  <si>
    <t>9,9   +++</t>
  </si>
  <si>
    <t>-25,4    +</t>
  </si>
  <si>
    <t>43,7     -</t>
  </si>
  <si>
    <t>-9,6     -</t>
  </si>
  <si>
    <t>-22,7     -</t>
  </si>
  <si>
    <t>34,6     +</t>
  </si>
  <si>
    <t>30,7    +</t>
  </si>
  <si>
    <t>39,8     +</t>
  </si>
  <si>
    <t>33,6     -</t>
  </si>
  <si>
    <t>-75,1    --</t>
  </si>
  <si>
    <t>34,8    +</t>
  </si>
  <si>
    <t>29,9    -</t>
  </si>
  <si>
    <t>-26,8     =</t>
  </si>
  <si>
    <t>-15,1      =</t>
  </si>
  <si>
    <t>29,4      =</t>
  </si>
  <si>
    <t>15,8     =</t>
  </si>
  <si>
    <t>24,3     --</t>
  </si>
  <si>
    <t>-26    ++</t>
  </si>
  <si>
    <t>29,5    -</t>
  </si>
  <si>
    <t>27,9    +</t>
  </si>
  <si>
    <t>65,2    --</t>
  </si>
  <si>
    <t>-33,9    ++</t>
  </si>
  <si>
    <t>41,6    +</t>
  </si>
  <si>
    <t>18,8     =</t>
  </si>
  <si>
    <t>7,2    --</t>
  </si>
  <si>
    <t>-0,6     +</t>
  </si>
  <si>
    <t>1,1    +</t>
  </si>
  <si>
    <t>-5,6    ++</t>
  </si>
  <si>
    <t>5,1    +</t>
  </si>
  <si>
    <t>-10,1     +</t>
  </si>
  <si>
    <t>-2,9     -</t>
  </si>
  <si>
    <t>1,1     +</t>
  </si>
  <si>
    <t>4,5   ----</t>
  </si>
  <si>
    <t xml:space="preserve"> 2      +</t>
  </si>
  <si>
    <t xml:space="preserve">  4,5     =</t>
  </si>
  <si>
    <t>-3,4   ++</t>
  </si>
  <si>
    <t>3,3     =</t>
  </si>
  <si>
    <t>8,5    =</t>
  </si>
  <si>
    <t>12,9    -</t>
  </si>
  <si>
    <t>-10,7  ---</t>
  </si>
  <si>
    <t>-2     --</t>
  </si>
  <si>
    <t xml:space="preserve">  -6    -</t>
  </si>
  <si>
    <t>-2  +++++</t>
  </si>
  <si>
    <t>7   -----</t>
  </si>
  <si>
    <t>4  ---</t>
  </si>
  <si>
    <t>5   +++</t>
  </si>
  <si>
    <t>-5,6     -</t>
  </si>
  <si>
    <t>2,9     =</t>
  </si>
  <si>
    <t>0,5   ----</t>
  </si>
  <si>
    <t>8,1      =</t>
  </si>
  <si>
    <t>1,6     =</t>
  </si>
  <si>
    <t>-5,1      =</t>
  </si>
  <si>
    <t>7,1   --</t>
  </si>
  <si>
    <t>7  ---</t>
  </si>
  <si>
    <t>6,5  +++</t>
  </si>
  <si>
    <t>-6,5     -</t>
  </si>
  <si>
    <t>-6,5  -----</t>
  </si>
  <si>
    <t xml:space="preserve"> 7     --</t>
  </si>
  <si>
    <t>0   +++</t>
  </si>
  <si>
    <t>7    ---</t>
  </si>
  <si>
    <t>7,7    --</t>
  </si>
  <si>
    <t>4,3    +</t>
  </si>
  <si>
    <t>8,3    +</t>
  </si>
  <si>
    <t>-1    -</t>
  </si>
  <si>
    <t>5,4     +</t>
  </si>
  <si>
    <t>13,2   -</t>
  </si>
  <si>
    <t>0,1    -</t>
  </si>
  <si>
    <t>-8,3     +</t>
  </si>
  <si>
    <t>16,9    ++</t>
  </si>
  <si>
    <t>-1   ---</t>
  </si>
  <si>
    <t>-8,7    =</t>
  </si>
  <si>
    <t>13,3    =</t>
  </si>
  <si>
    <t>4,7     -</t>
  </si>
  <si>
    <t>14,2    =</t>
  </si>
  <si>
    <t>17,1    =</t>
  </si>
  <si>
    <t>5,1    =</t>
  </si>
  <si>
    <t>4,1   ++</t>
  </si>
  <si>
    <t>-5,8   ++</t>
  </si>
  <si>
    <t>-4,8    =</t>
  </si>
  <si>
    <t>-6,3    =</t>
  </si>
  <si>
    <t>15,6   -</t>
  </si>
  <si>
    <t>-14   -</t>
  </si>
  <si>
    <t>-1,1   +</t>
  </si>
  <si>
    <t>0,4   -</t>
  </si>
  <si>
    <t>6,4   ---</t>
  </si>
  <si>
    <t>-1,1    -</t>
  </si>
  <si>
    <t>7,1     +</t>
  </si>
  <si>
    <t>-20,9 ++++</t>
  </si>
  <si>
    <t>-7,4   -----</t>
  </si>
  <si>
    <t>9,5  ---</t>
  </si>
  <si>
    <t>5,9  +++</t>
  </si>
  <si>
    <t>-12,4     +</t>
  </si>
  <si>
    <t>17,9    -</t>
  </si>
  <si>
    <t>6,4     -</t>
  </si>
  <si>
    <t>-11,5   +</t>
  </si>
  <si>
    <t>-9   ++</t>
  </si>
  <si>
    <t>16,1    --</t>
  </si>
  <si>
    <t>-3,6      =</t>
  </si>
  <si>
    <t>-6,6      +</t>
  </si>
  <si>
    <t>-1,4     -</t>
  </si>
  <si>
    <t>10,7     =</t>
  </si>
  <si>
    <t>-9,7     =</t>
  </si>
  <si>
    <t>17,5  +++</t>
  </si>
  <si>
    <t>6,1   ---</t>
  </si>
  <si>
    <t>-8,8     =</t>
  </si>
  <si>
    <t>-11     =</t>
  </si>
  <si>
    <t>-0,2    +</t>
  </si>
  <si>
    <t>-15,4     -</t>
  </si>
  <si>
    <t>7,9  ---</t>
  </si>
  <si>
    <t>-10,1    --</t>
  </si>
  <si>
    <t>9,7     =</t>
  </si>
  <si>
    <t>11,3      =</t>
  </si>
  <si>
    <t>-2,3    ++</t>
  </si>
  <si>
    <t>10,7     --</t>
  </si>
  <si>
    <t>-8,6     ++</t>
  </si>
  <si>
    <t>8,5   --</t>
  </si>
  <si>
    <t>-7,2    -</t>
  </si>
  <si>
    <t>2  ++++</t>
  </si>
  <si>
    <t>-0,4  ----</t>
  </si>
  <si>
    <t>13,1      +</t>
  </si>
  <si>
    <t>17,2   -</t>
  </si>
  <si>
    <t>-10,5    +</t>
  </si>
  <si>
    <t>6,9    -</t>
  </si>
  <si>
    <t>11,5    +</t>
  </si>
  <si>
    <t>-7,3    -</t>
  </si>
  <si>
    <t>-2,7    ++</t>
  </si>
  <si>
    <t>9,3    +</t>
  </si>
  <si>
    <t>4,3    -</t>
  </si>
  <si>
    <t>-13,2    ++</t>
  </si>
  <si>
    <t>7,2     =</t>
  </si>
  <si>
    <t>-8,9    +</t>
  </si>
  <si>
    <t>-5,9     =</t>
  </si>
  <si>
    <t>8,8    =</t>
  </si>
  <si>
    <t>-5     =</t>
  </si>
  <si>
    <t>-12,6   +</t>
  </si>
  <si>
    <t>4,9     -</t>
  </si>
  <si>
    <t>1,4       =</t>
  </si>
  <si>
    <t>-10,9     =</t>
  </si>
  <si>
    <t>-17,2   ++</t>
  </si>
  <si>
    <t>2,6    --</t>
  </si>
  <si>
    <t>3,8     -</t>
  </si>
  <si>
    <t>12,5    +</t>
  </si>
  <si>
    <t>5,4   --</t>
  </si>
  <si>
    <t>12,3    ++</t>
  </si>
  <si>
    <t>8,2  +++</t>
  </si>
  <si>
    <t>10,2    ---</t>
  </si>
  <si>
    <t>-12,3   ++</t>
  </si>
  <si>
    <t>отм</t>
  </si>
  <si>
    <t>7,5   ++</t>
  </si>
  <si>
    <t>-10,1   --</t>
  </si>
  <si>
    <t>7,6     =</t>
  </si>
  <si>
    <t>-4    -</t>
  </si>
  <si>
    <t>-11,7    --</t>
  </si>
  <si>
    <t>-1,7   --</t>
  </si>
  <si>
    <t>6,9    +</t>
  </si>
  <si>
    <t>0,7-----</t>
  </si>
  <si>
    <t>1,7+++++</t>
  </si>
  <si>
    <t>-9,7----</t>
  </si>
  <si>
    <t>6,7++++</t>
  </si>
  <si>
    <t>1,3 +++</t>
  </si>
  <si>
    <t>-8     -</t>
  </si>
  <si>
    <t>10,4    +</t>
  </si>
  <si>
    <t>19,2     =</t>
  </si>
  <si>
    <t xml:space="preserve"> -0,9     =</t>
  </si>
  <si>
    <t>5,3    =</t>
  </si>
  <si>
    <t>5,4     =</t>
  </si>
  <si>
    <t>20,4    -</t>
  </si>
  <si>
    <t>-1,5    +</t>
  </si>
  <si>
    <t>-5,4     +</t>
  </si>
  <si>
    <t xml:space="preserve">  3,3  ---</t>
  </si>
  <si>
    <t>1,1  +++</t>
  </si>
  <si>
    <t>-3,4     -</t>
  </si>
  <si>
    <t>2,6     +</t>
  </si>
  <si>
    <t>-7,6    --</t>
  </si>
  <si>
    <t>8   ---</t>
  </si>
  <si>
    <t>-5,6    --</t>
  </si>
  <si>
    <t>4,1    =</t>
  </si>
  <si>
    <t>6,8    --</t>
  </si>
  <si>
    <t>0,2   +</t>
  </si>
  <si>
    <t>8,3    --</t>
  </si>
  <si>
    <t>8,3     -</t>
  </si>
  <si>
    <t>-17,3++++</t>
  </si>
  <si>
    <t>6,7----</t>
  </si>
  <si>
    <t>-8,7    +</t>
  </si>
  <si>
    <t>15,3    +</t>
  </si>
  <si>
    <t>1,2    =</t>
  </si>
  <si>
    <t>17    =</t>
  </si>
  <si>
    <t>21,3   ++</t>
  </si>
  <si>
    <t>-24,8    --</t>
  </si>
  <si>
    <t>-15,8     -</t>
  </si>
  <si>
    <t>8,9     +</t>
  </si>
  <si>
    <t>10,3  --</t>
  </si>
  <si>
    <t>-3,2 ++++</t>
  </si>
  <si>
    <t>11,6 ----</t>
  </si>
  <si>
    <t>-10,1     =</t>
  </si>
  <si>
    <t>9,1+++++</t>
  </si>
  <si>
    <t>11,2------</t>
  </si>
  <si>
    <t>0,2     -</t>
  </si>
  <si>
    <t xml:space="preserve"> 2,9     =</t>
  </si>
  <si>
    <t>-2,5  --</t>
  </si>
  <si>
    <t>-13,2    +</t>
  </si>
  <si>
    <t>-13,2    -</t>
  </si>
  <si>
    <t>-1,7 +++</t>
  </si>
  <si>
    <t>1,1  ---</t>
  </si>
  <si>
    <t>-2,5    -</t>
  </si>
  <si>
    <t>19,9    +</t>
  </si>
  <si>
    <t>-12,8    ++</t>
  </si>
  <si>
    <t>9,9    --</t>
  </si>
  <si>
    <t>-3,7  +++</t>
  </si>
  <si>
    <t>7,8  ---</t>
  </si>
  <si>
    <t>-14,8   ++</t>
  </si>
  <si>
    <t>5,8     --</t>
  </si>
  <si>
    <t>7,9    +</t>
  </si>
  <si>
    <t>-8,6     -</t>
  </si>
  <si>
    <t>-4,9    =</t>
  </si>
  <si>
    <t>11,8    -</t>
  </si>
  <si>
    <t>13,7    =</t>
  </si>
  <si>
    <t>-1,9      -</t>
  </si>
  <si>
    <t>9,7     +</t>
  </si>
  <si>
    <t>9,8    -</t>
  </si>
  <si>
    <t>10,8   ++</t>
  </si>
  <si>
    <t>12,3   --</t>
  </si>
  <si>
    <t>3,4   +</t>
  </si>
  <si>
    <t>12,4    -</t>
  </si>
  <si>
    <t>-12,4     =</t>
  </si>
  <si>
    <t>-12,3     =</t>
  </si>
  <si>
    <t>-7,7     -</t>
  </si>
  <si>
    <t>7,3    +</t>
  </si>
  <si>
    <t>9,4     +</t>
  </si>
  <si>
    <t>-6,1    -</t>
  </si>
  <si>
    <t>19,8    -</t>
  </si>
  <si>
    <t>-12,1    +</t>
  </si>
  <si>
    <t>-1,3  ---</t>
  </si>
  <si>
    <t>10,8  +++</t>
  </si>
  <si>
    <t>-3,9    =</t>
  </si>
  <si>
    <t>-3,5 +++</t>
  </si>
  <si>
    <t>11,7  ---</t>
  </si>
  <si>
    <t>14,5    =</t>
  </si>
  <si>
    <t>-5,7     +</t>
  </si>
  <si>
    <t>15,5     -</t>
  </si>
  <si>
    <t>20,5  ---</t>
  </si>
  <si>
    <t>6  +++</t>
  </si>
  <si>
    <t>1,8  =</t>
  </si>
  <si>
    <t>8,2    -</t>
  </si>
  <si>
    <t>-12,2   --</t>
  </si>
  <si>
    <t>-0,8   ++</t>
  </si>
  <si>
    <t>-17    =</t>
  </si>
  <si>
    <t>-13,8    =</t>
  </si>
  <si>
    <t>9,9    +</t>
  </si>
  <si>
    <t>9,5    +</t>
  </si>
  <si>
    <t>10,2    +</t>
  </si>
  <si>
    <t>-4,5   --</t>
  </si>
  <si>
    <t>10,5  ++</t>
  </si>
  <si>
    <t>7,2    -</t>
  </si>
  <si>
    <t>6,6  ---</t>
  </si>
  <si>
    <t>8,3  +++</t>
  </si>
  <si>
    <t>9,3    -</t>
  </si>
  <si>
    <t>7    +</t>
  </si>
  <si>
    <t>-5,4++++</t>
  </si>
  <si>
    <t>9,1 ----</t>
  </si>
  <si>
    <t>14,1   ++</t>
  </si>
  <si>
    <t>-16,5    +</t>
  </si>
  <si>
    <t>2,5   =</t>
  </si>
  <si>
    <t>-21,1    =</t>
  </si>
  <si>
    <t>0,2    -</t>
  </si>
  <si>
    <t>-6   +</t>
  </si>
  <si>
    <t>8,1     -</t>
  </si>
  <si>
    <t>-1,5   +</t>
  </si>
  <si>
    <t>-5,6     =</t>
  </si>
  <si>
    <t>-4,3   -</t>
  </si>
  <si>
    <t>5,6   +</t>
  </si>
  <si>
    <t>1,4      +</t>
  </si>
  <si>
    <t>-3,6   --</t>
  </si>
  <si>
    <t>0,4   ++</t>
  </si>
  <si>
    <t>1,6    --</t>
  </si>
  <si>
    <t xml:space="preserve"> -5,6     -</t>
  </si>
  <si>
    <t>-2,9   ---</t>
  </si>
  <si>
    <t>-7,1   +</t>
  </si>
  <si>
    <t>-4,1   -</t>
  </si>
  <si>
    <t>5   =</t>
  </si>
  <si>
    <t>3,9  ++</t>
  </si>
  <si>
    <t>-6,2   --</t>
  </si>
  <si>
    <t>2,6     -</t>
  </si>
  <si>
    <t>-9,2   --</t>
  </si>
  <si>
    <t>2,5   +</t>
  </si>
  <si>
    <t>9,1 +++</t>
  </si>
  <si>
    <t>10,6------</t>
  </si>
  <si>
    <t>-9,1+++++</t>
  </si>
  <si>
    <t>2,9    -</t>
  </si>
  <si>
    <t>6    =</t>
  </si>
  <si>
    <t>0,4  ++</t>
  </si>
  <si>
    <t>-3,4  --</t>
  </si>
  <si>
    <t>-5,6  ++</t>
  </si>
  <si>
    <t>10,6  --</t>
  </si>
  <si>
    <t>-6,1 +++</t>
  </si>
  <si>
    <t>-0,5  ---</t>
  </si>
  <si>
    <t>-2,9   -</t>
  </si>
  <si>
    <t>10,6   --</t>
  </si>
  <si>
    <t>-5,6   ++</t>
  </si>
  <si>
    <t>4,4    --</t>
  </si>
  <si>
    <t>-4,6   +</t>
  </si>
  <si>
    <t>11,8    =</t>
  </si>
  <si>
    <t>-8,2    =</t>
  </si>
  <si>
    <t>2,2=</t>
  </si>
  <si>
    <t>-7,2++++</t>
  </si>
  <si>
    <t>-6,9=</t>
  </si>
  <si>
    <t>16,2++++</t>
  </si>
  <si>
    <t>9,6=</t>
  </si>
  <si>
    <t>-8,8-</t>
  </si>
  <si>
    <t>-5,3=</t>
  </si>
  <si>
    <t>6,1=</t>
  </si>
  <si>
    <t>4,4+</t>
  </si>
  <si>
    <t>0,8 =</t>
  </si>
  <si>
    <t>4,7----</t>
  </si>
  <si>
    <t>6,4----</t>
  </si>
  <si>
    <t>33,5+</t>
  </si>
  <si>
    <t>-38,4+</t>
  </si>
  <si>
    <t>30,8=</t>
  </si>
  <si>
    <t>23,9++</t>
  </si>
  <si>
    <t>37,6=</t>
  </si>
  <si>
    <t>69,7-</t>
  </si>
  <si>
    <t>33,9---</t>
  </si>
  <si>
    <t>20,1=</t>
  </si>
  <si>
    <t>-70,6+++</t>
  </si>
  <si>
    <t>9,9-</t>
  </si>
  <si>
    <t>-30,5--</t>
  </si>
  <si>
    <t>35,8=</t>
  </si>
  <si>
    <t>37,6-</t>
  </si>
  <si>
    <t>8-</t>
  </si>
  <si>
    <t>30,7=</t>
  </si>
  <si>
    <t>28,8=</t>
  </si>
  <si>
    <t>-13,8+</t>
  </si>
  <si>
    <t>-25,5=</t>
  </si>
  <si>
    <t>26,7+</t>
  </si>
  <si>
    <t>17,1=</t>
  </si>
  <si>
    <t>47,4 --</t>
  </si>
  <si>
    <t>5,7-</t>
  </si>
  <si>
    <t>-29,1=</t>
  </si>
  <si>
    <t>12=</t>
  </si>
  <si>
    <t>42,7=</t>
  </si>
  <si>
    <t>-5,9+++</t>
  </si>
  <si>
    <t>39,2=</t>
  </si>
  <si>
    <t>-55,8++</t>
  </si>
  <si>
    <t>-19++</t>
  </si>
  <si>
    <t>10,6-</t>
  </si>
  <si>
    <t>18=</t>
  </si>
  <si>
    <t>-5,5--</t>
  </si>
  <si>
    <t>48---</t>
  </si>
  <si>
    <t>-21,1-</t>
  </si>
  <si>
    <t>-17,7+</t>
  </si>
  <si>
    <t>-1,1+</t>
  </si>
  <si>
    <t>30,9=</t>
  </si>
  <si>
    <t>43+</t>
  </si>
  <si>
    <t>17,8    =</t>
  </si>
  <si>
    <t xml:space="preserve">   ++</t>
  </si>
  <si>
    <t xml:space="preserve">    =</t>
  </si>
  <si>
    <t xml:space="preserve">   ---</t>
  </si>
  <si>
    <t xml:space="preserve">   +++</t>
  </si>
  <si>
    <t xml:space="preserve">    --</t>
  </si>
  <si>
    <t xml:space="preserve">   -</t>
  </si>
  <si>
    <t xml:space="preserve">   +</t>
  </si>
  <si>
    <t>+3,9</t>
  </si>
  <si>
    <t>-3,9</t>
  </si>
  <si>
    <t>+3,4</t>
  </si>
  <si>
    <t>-3,4</t>
  </si>
  <si>
    <t>+1,1</t>
  </si>
  <si>
    <t>+3,3</t>
  </si>
  <si>
    <t>-3,8</t>
  </si>
  <si>
    <t>+3,8</t>
  </si>
  <si>
    <t>-3,5</t>
  </si>
  <si>
    <t>+3,5</t>
  </si>
  <si>
    <t>+4</t>
  </si>
  <si>
    <t>+1,2</t>
  </si>
  <si>
    <t>-3,6</t>
  </si>
  <si>
    <t>+3,6</t>
  </si>
  <si>
    <t>+4,1</t>
  </si>
  <si>
    <t>14,3   -</t>
  </si>
  <si>
    <t>10   +</t>
  </si>
  <si>
    <t>13,1   -</t>
  </si>
  <si>
    <t>6,7   -</t>
  </si>
  <si>
    <t>4,3    =</t>
  </si>
  <si>
    <t>+4,3</t>
  </si>
  <si>
    <t>-4,3</t>
  </si>
  <si>
    <t>+1,3</t>
  </si>
  <si>
    <t>-6,1   -</t>
  </si>
  <si>
    <t>2,3    --</t>
  </si>
  <si>
    <t>-3,7</t>
  </si>
  <si>
    <t>+3,7</t>
  </si>
  <si>
    <t>-3,2</t>
  </si>
  <si>
    <t>+3,2</t>
  </si>
  <si>
    <t>-8,6   +</t>
  </si>
  <si>
    <t>11,2   -</t>
  </si>
  <si>
    <t>8,6   +</t>
  </si>
  <si>
    <t>+4,2</t>
  </si>
  <si>
    <t>-4,2</t>
  </si>
  <si>
    <t>-3,8   ++</t>
  </si>
  <si>
    <t>7,5   +</t>
  </si>
  <si>
    <t>-0,4   +</t>
  </si>
  <si>
    <t>-2,3   -</t>
  </si>
  <si>
    <t>-4,1</t>
  </si>
  <si>
    <t>8,7    =</t>
  </si>
  <si>
    <t>8,5   ---</t>
  </si>
  <si>
    <t>+3,1</t>
  </si>
  <si>
    <t>+1</t>
  </si>
  <si>
    <t>-3,1</t>
  </si>
  <si>
    <t>-3,3</t>
  </si>
  <si>
    <t>-10,6    =</t>
  </si>
  <si>
    <t>7,1    =</t>
  </si>
  <si>
    <t>8,1   -</t>
  </si>
  <si>
    <t>8,7   -</t>
  </si>
  <si>
    <t>20,3   -</t>
  </si>
  <si>
    <t>-7,3   +</t>
  </si>
  <si>
    <t>-6,7    =</t>
  </si>
  <si>
    <t>-4,3    =</t>
  </si>
  <si>
    <t>-3,2    --</t>
  </si>
  <si>
    <t>-0,1   ++</t>
  </si>
  <si>
    <t>-0,7   +</t>
  </si>
  <si>
    <t>0,2   -</t>
  </si>
  <si>
    <t>6,9   +</t>
  </si>
  <si>
    <t>7,1   -</t>
  </si>
  <si>
    <t>-0,8   +</t>
  </si>
  <si>
    <t>23,7   +</t>
  </si>
  <si>
    <t>8,6   -</t>
  </si>
  <si>
    <t>1,5   ++</t>
  </si>
  <si>
    <t>-8,5   +++</t>
  </si>
  <si>
    <t>-6    =</t>
  </si>
  <si>
    <t>-7,2    =</t>
  </si>
  <si>
    <t>3,7    --</t>
  </si>
  <si>
    <t>5,8   +</t>
  </si>
  <si>
    <t>-2,9    --</t>
  </si>
  <si>
    <t>11,6   +</t>
  </si>
  <si>
    <t>10,7    =</t>
  </si>
  <si>
    <t>-11,5   ++</t>
  </si>
  <si>
    <t>-9,7   -</t>
  </si>
  <si>
    <t>-12,7   +</t>
  </si>
  <si>
    <t>13,2  -----</t>
  </si>
  <si>
    <t>-12,2 +++++</t>
  </si>
  <si>
    <t>6   -----</t>
  </si>
  <si>
    <t>10,7   -</t>
  </si>
  <si>
    <t>6,5   +++</t>
  </si>
  <si>
    <t>-0,3   +</t>
  </si>
  <si>
    <t>0,2    =</t>
  </si>
  <si>
    <t>2,7   ++</t>
  </si>
  <si>
    <t>8,5   +</t>
  </si>
  <si>
    <t>4,8   -</t>
  </si>
  <si>
    <t>3,3    --</t>
  </si>
  <si>
    <t>-8,7  ++++</t>
  </si>
  <si>
    <t>-2,4   ----</t>
  </si>
  <si>
    <t>-9,7    =</t>
  </si>
  <si>
    <t>13,7   ---</t>
  </si>
  <si>
    <t>10,7   +++</t>
  </si>
  <si>
    <t>3,6   ----</t>
  </si>
  <si>
    <t>-12,7 ++++</t>
  </si>
  <si>
    <t>0000</t>
  </si>
  <si>
    <t>1000</t>
  </si>
  <si>
    <t>1100</t>
  </si>
  <si>
    <t>0100</t>
  </si>
  <si>
    <t>0010</t>
  </si>
  <si>
    <t>0001</t>
  </si>
  <si>
    <t>0110</t>
  </si>
  <si>
    <t>1010</t>
  </si>
  <si>
    <t>0101</t>
  </si>
  <si>
    <t>0011</t>
  </si>
  <si>
    <t>1001</t>
  </si>
  <si>
    <t>2000</t>
  </si>
  <si>
    <t>2100</t>
  </si>
  <si>
    <t>2010</t>
  </si>
  <si>
    <t>2001</t>
  </si>
  <si>
    <t>0200</t>
  </si>
  <si>
    <t>0020</t>
  </si>
  <si>
    <t>0002</t>
  </si>
  <si>
    <t>0210</t>
  </si>
  <si>
    <t>0201</t>
  </si>
  <si>
    <t>0021</t>
  </si>
  <si>
    <t>1200</t>
  </si>
  <si>
    <t>1020</t>
  </si>
  <si>
    <t>1002</t>
  </si>
  <si>
    <t>0120</t>
  </si>
  <si>
    <t>0102</t>
  </si>
  <si>
    <t>0012</t>
  </si>
  <si>
    <t>1110</t>
  </si>
  <si>
    <t>1101</t>
  </si>
  <si>
    <t>1011</t>
  </si>
  <si>
    <t>0111</t>
  </si>
  <si>
    <t>2200</t>
  </si>
  <si>
    <t>2020</t>
  </si>
  <si>
    <t>2002</t>
  </si>
  <si>
    <t>0220</t>
  </si>
  <si>
    <t>0202</t>
  </si>
  <si>
    <t>0022</t>
  </si>
  <si>
    <t>2110</t>
  </si>
  <si>
    <t>2101</t>
  </si>
  <si>
    <t>2011</t>
  </si>
  <si>
    <t>1210</t>
  </si>
  <si>
    <t>1201</t>
  </si>
  <si>
    <t>1120</t>
  </si>
  <si>
    <t>0112</t>
  </si>
  <si>
    <t>1102</t>
  </si>
  <si>
    <t>1012</t>
  </si>
  <si>
    <t>1021</t>
  </si>
  <si>
    <t>0211</t>
  </si>
  <si>
    <t>3100</t>
  </si>
  <si>
    <t>3010</t>
  </si>
  <si>
    <t>3001</t>
  </si>
  <si>
    <t>0310</t>
  </si>
  <si>
    <t>0301</t>
  </si>
  <si>
    <t>0031</t>
  </si>
  <si>
    <t>1300</t>
  </si>
  <si>
    <t>1030</t>
  </si>
  <si>
    <t>1003</t>
  </si>
  <si>
    <t>0130</t>
  </si>
  <si>
    <t>0103</t>
  </si>
  <si>
    <t>0013</t>
  </si>
  <si>
    <t>3000</t>
  </si>
  <si>
    <t>0300</t>
  </si>
  <si>
    <t>0030</t>
  </si>
  <si>
    <t>0003</t>
  </si>
  <si>
    <t>0121</t>
  </si>
  <si>
    <t>4000</t>
  </si>
  <si>
    <t>0400</t>
  </si>
  <si>
    <t>0040</t>
  </si>
  <si>
    <t>0004</t>
  </si>
  <si>
    <t>1111</t>
  </si>
  <si>
    <t>2111</t>
  </si>
  <si>
    <t>1211</t>
  </si>
  <si>
    <t>1121</t>
  </si>
  <si>
    <t>1112</t>
  </si>
  <si>
    <t>12    =</t>
  </si>
  <si>
    <t>-12    =</t>
  </si>
  <si>
    <t>17,6    =</t>
  </si>
  <si>
    <t>5,9   ---</t>
  </si>
  <si>
    <t>-21,3   +++</t>
  </si>
  <si>
    <t>13,8   ---</t>
  </si>
  <si>
    <t>5   -</t>
  </si>
  <si>
    <t>-5,2   +</t>
  </si>
  <si>
    <t>-6,4   -</t>
  </si>
  <si>
    <t>-10   +</t>
  </si>
  <si>
    <t>4,9   -</t>
  </si>
  <si>
    <t>4,4    =</t>
  </si>
  <si>
    <t>5,1   +</t>
  </si>
  <si>
    <t>-15,9+++++</t>
  </si>
  <si>
    <t>14,9   -----</t>
  </si>
  <si>
    <t>7,2   ----</t>
  </si>
  <si>
    <t>-1,2 ++++</t>
  </si>
  <si>
    <t>-2,4   +</t>
  </si>
  <si>
    <t>6,1   -</t>
  </si>
  <si>
    <t>10,7   ++</t>
  </si>
  <si>
    <t>5,9    --</t>
  </si>
  <si>
    <t>13,2    =</t>
  </si>
  <si>
    <t>-8,8   ---</t>
  </si>
  <si>
    <t>-18,1   +++</t>
  </si>
  <si>
    <t>-6,9    =</t>
  </si>
  <si>
    <t>-15,1    =</t>
  </si>
  <si>
    <t>9,5   +</t>
  </si>
  <si>
    <t>15,1   -</t>
  </si>
  <si>
    <t>1,9    =</t>
  </si>
  <si>
    <t>11,6    =</t>
  </si>
  <si>
    <t>9,3    --</t>
  </si>
  <si>
    <t>18,5   ++</t>
  </si>
  <si>
    <t>7,3   +</t>
  </si>
  <si>
    <t>5,3    --</t>
  </si>
  <si>
    <t>10,7   +</t>
  </si>
  <si>
    <t>-10,7   +++</t>
  </si>
  <si>
    <t>-8,9    =</t>
  </si>
  <si>
    <t>12,7    --</t>
  </si>
  <si>
    <t>-22   ++</t>
  </si>
  <si>
    <t>8,3   ----</t>
  </si>
  <si>
    <t>-4,2  ++++</t>
  </si>
  <si>
    <t>-2,8   +</t>
  </si>
  <si>
    <t>18,2    --</t>
  </si>
  <si>
    <t>19   ++</t>
  </si>
  <si>
    <t>1,9   -</t>
  </si>
  <si>
    <t>-9   +</t>
  </si>
  <si>
    <t>14,7   -</t>
  </si>
  <si>
    <t>-6,8    --</t>
  </si>
  <si>
    <t>15,1   ++</t>
  </si>
  <si>
    <t>-11,2    =</t>
  </si>
  <si>
    <t>-2,8    --</t>
  </si>
  <si>
    <t>-0,7   -</t>
  </si>
  <si>
    <t>18,8   +</t>
  </si>
  <si>
    <t>-10,8   +++</t>
  </si>
  <si>
    <t>-6,9   ---</t>
  </si>
  <si>
    <t>-6,6   +++</t>
  </si>
  <si>
    <t>0,1   ----</t>
  </si>
  <si>
    <t>-15,4  ++++</t>
  </si>
  <si>
    <t>-2,3    --</t>
  </si>
  <si>
    <t>5,2    --</t>
  </si>
  <si>
    <t>-3,2    =</t>
  </si>
  <si>
    <t>18,2   +++</t>
  </si>
  <si>
    <t>-10   ---</t>
  </si>
  <si>
    <t>4   +++</t>
  </si>
  <si>
    <t>24,3   -</t>
  </si>
  <si>
    <t>-12,5    =</t>
  </si>
  <si>
    <t>16,6    =</t>
  </si>
  <si>
    <t>19,1   +</t>
  </si>
  <si>
    <t>-19,4   -</t>
  </si>
  <si>
    <t>-3,3   +++</t>
  </si>
  <si>
    <t>-7,4   +</t>
  </si>
  <si>
    <t>0,7   -</t>
  </si>
  <si>
    <t>2,8    =</t>
  </si>
  <si>
    <t>-14,8   +</t>
  </si>
  <si>
    <t>15,3   -</t>
  </si>
  <si>
    <t>2,2 +++++</t>
  </si>
  <si>
    <t>2,9   +</t>
  </si>
  <si>
    <t>-8,1   -</t>
  </si>
  <si>
    <t>6,2   -</t>
  </si>
  <si>
    <t>23,8   ++</t>
  </si>
  <si>
    <t>4,5    --</t>
  </si>
  <si>
    <t>-11,9   +</t>
  </si>
  <si>
    <t>9,1   -</t>
  </si>
  <si>
    <t>4,7   +</t>
  </si>
  <si>
    <t>11,6    -</t>
  </si>
  <si>
    <t>-4,9   -----</t>
  </si>
  <si>
    <t>10,4   ---</t>
  </si>
  <si>
    <t>6,9   +++</t>
  </si>
  <si>
    <t>-0,1   +</t>
  </si>
  <si>
    <t>6,6   -</t>
  </si>
  <si>
    <t>-15,4    =</t>
  </si>
  <si>
    <t>-11,7   ++</t>
  </si>
  <si>
    <t>3,4    --</t>
  </si>
  <si>
    <t>10,1   -</t>
  </si>
  <si>
    <t>3,6   +</t>
  </si>
  <si>
    <t>7,5   -</t>
  </si>
  <si>
    <t>-8,9    --</t>
  </si>
  <si>
    <t>10,2   ++</t>
  </si>
  <si>
    <t>10   -</t>
  </si>
  <si>
    <t>-19,5   +</t>
  </si>
  <si>
    <t>3,1   +</t>
  </si>
  <si>
    <t>-20    =</t>
  </si>
  <si>
    <t>1,3    =</t>
  </si>
  <si>
    <t>12,6    =</t>
  </si>
  <si>
    <t>3,2   +</t>
  </si>
  <si>
    <t>7,8   -</t>
  </si>
  <si>
    <t>19,2   +</t>
  </si>
  <si>
    <t>-2   +++</t>
  </si>
  <si>
    <t>-4,8   ---</t>
  </si>
  <si>
    <t>-8,8   -</t>
  </si>
  <si>
    <t>2,8   +</t>
  </si>
  <si>
    <t>-4,1   +</t>
  </si>
  <si>
    <t>-5,5    =</t>
  </si>
  <si>
    <t>5,7   +</t>
  </si>
  <si>
    <t>-14,8   +++</t>
  </si>
  <si>
    <t>2,5   ---</t>
  </si>
  <si>
    <t>-4,9   ++</t>
  </si>
  <si>
    <t>-5,8    --</t>
  </si>
  <si>
    <t>12,3   +</t>
  </si>
  <si>
    <t>14,5   -</t>
  </si>
  <si>
    <t>6,3   +</t>
  </si>
  <si>
    <t>12   +</t>
  </si>
  <si>
    <t>-4,2    --</t>
  </si>
  <si>
    <t>16,5   -</t>
  </si>
  <si>
    <t>8,2   +</t>
  </si>
  <si>
    <t>-3,7   -</t>
  </si>
  <si>
    <t>3,5   +</t>
  </si>
  <si>
    <t>-3,2   ++</t>
  </si>
  <si>
    <t>10,5   +++</t>
  </si>
  <si>
    <t>-10,7   ---</t>
  </si>
  <si>
    <t>1,1   +++</t>
  </si>
  <si>
    <t>0,2   ---</t>
  </si>
  <si>
    <t>3,6   +++</t>
  </si>
  <si>
    <t>-12,1   ---</t>
  </si>
  <si>
    <t>23,7   +++</t>
  </si>
  <si>
    <t>-4,6    --</t>
  </si>
  <si>
    <t>-5,1   +++</t>
  </si>
  <si>
    <t>6   +</t>
  </si>
  <si>
    <t>-1,4   +++</t>
  </si>
  <si>
    <t>8,6   ---</t>
  </si>
  <si>
    <t>-4,2   ++</t>
  </si>
  <si>
    <t>10,3   ---</t>
  </si>
  <si>
    <t>-5,4   +++</t>
  </si>
  <si>
    <t>-11,1   ++</t>
  </si>
  <si>
    <t>-1,7    =</t>
  </si>
  <si>
    <t>-6,2   -</t>
  </si>
  <si>
    <t>-2,7   +++</t>
  </si>
  <si>
    <t>-2,5   ---</t>
  </si>
  <si>
    <t>3,8    =</t>
  </si>
  <si>
    <t>5,4   -</t>
  </si>
  <si>
    <t>-15,9   +</t>
  </si>
  <si>
    <t>2,7   ---</t>
  </si>
  <si>
    <t>-1,1   +++</t>
  </si>
  <si>
    <t>16,9   ---</t>
  </si>
  <si>
    <t>-15,9    =</t>
  </si>
  <si>
    <t>13,9   ++</t>
  </si>
  <si>
    <t>11,8    --</t>
  </si>
  <si>
    <t>0,9    --</t>
  </si>
  <si>
    <t>1,3   +++</t>
  </si>
  <si>
    <t>-0,9   ---</t>
  </si>
  <si>
    <t>9,7   -</t>
  </si>
  <si>
    <t>-1,4   ---</t>
  </si>
  <si>
    <t>-4,9   ---</t>
  </si>
  <si>
    <t>1,3   ---</t>
  </si>
  <si>
    <t>0,6   -</t>
  </si>
  <si>
    <t>-1,2   -</t>
  </si>
  <si>
    <t>0,8    --</t>
  </si>
  <si>
    <t>2,4    --</t>
  </si>
  <si>
    <t>6,8   ++</t>
  </si>
  <si>
    <t>9,2   +++</t>
  </si>
  <si>
    <t>0,8   ---</t>
  </si>
  <si>
    <t>-11,9   -</t>
  </si>
  <si>
    <t>13,8   -</t>
  </si>
  <si>
    <t>-12,4    --</t>
  </si>
  <si>
    <t>-16,4   ++</t>
  </si>
  <si>
    <t>8,1    --</t>
  </si>
  <si>
    <t>16,4   ---</t>
  </si>
  <si>
    <t>11,8   +++</t>
  </si>
  <si>
    <t>16,9   -</t>
  </si>
  <si>
    <t>12,1   +</t>
  </si>
  <si>
    <t>14,3    =</t>
  </si>
  <si>
    <t>14   +</t>
  </si>
  <si>
    <t>41,7   -</t>
  </si>
  <si>
    <t>32,2   +++</t>
  </si>
  <si>
    <t>19,8   ---</t>
  </si>
  <si>
    <t>30,2   -</t>
  </si>
  <si>
    <t>5,3   +</t>
  </si>
  <si>
    <t>-26,4    =</t>
  </si>
  <si>
    <t>29,4    =</t>
  </si>
  <si>
    <t>21,5   +</t>
  </si>
  <si>
    <t>-24,1   -</t>
  </si>
  <si>
    <t>39   -</t>
  </si>
  <si>
    <t>-42,5   -</t>
  </si>
  <si>
    <t>38,5   +</t>
  </si>
  <si>
    <t>-75,2   +++</t>
  </si>
  <si>
    <t>22,6   ---</t>
  </si>
  <si>
    <t>18,5    =</t>
  </si>
  <si>
    <t>37,2    =</t>
  </si>
  <si>
    <t>73,8    =</t>
  </si>
  <si>
    <t>32,1   +</t>
  </si>
  <si>
    <t>-17,9   -</t>
  </si>
  <si>
    <t>51,1   -</t>
  </si>
  <si>
    <t>52,2    =</t>
  </si>
  <si>
    <t>39,3   +++</t>
  </si>
  <si>
    <t>40,4   +</t>
  </si>
  <si>
    <t>-21,4   -</t>
  </si>
  <si>
    <t>32,1   -</t>
  </si>
  <si>
    <t>-27,9   +</t>
  </si>
  <si>
    <t>9,4   +++</t>
  </si>
  <si>
    <t>43,9   ---</t>
  </si>
  <si>
    <t>-17,4    --</t>
  </si>
  <si>
    <t>-10,1   ++</t>
  </si>
  <si>
    <t>-59,5    =</t>
  </si>
  <si>
    <t>-22,7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</si>
</sst>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0" borderId="0" xfId="0" applyFont="1" applyFill="1"/>
    <xf numFmtId="0" fontId="4" fillId="0" borderId="0" xfId="0" applyFont="1"/>
    <xf numFmtId="0" fontId="2" fillId="4" borderId="0" xfId="0" applyFont="1" applyFill="1"/>
    <xf numFmtId="0" fontId="5" fillId="0" borderId="0" xfId="0" applyFont="1"/>
    <xf numFmtId="0" fontId="3" fillId="2" borderId="0" xfId="0" applyFont="1" applyFill="1"/>
    <xf numFmtId="0" fontId="1" fillId="4" borderId="0" xfId="0" applyFont="1" applyFill="1"/>
    <xf numFmtId="0" fontId="6" fillId="2" borderId="0" xfId="0" applyFont="1" applyFill="1"/>
    <xf numFmtId="49" fontId="1" fillId="0" borderId="0" xfId="0" applyNumberFormat="1" applyFont="1"/>
    <xf numFmtId="49" fontId="1" fillId="2" borderId="0" xfId="0" applyNumberFormat="1" applyFont="1" applyFill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/>
    <xf numFmtId="0" fontId="2" fillId="0" borderId="0" xfId="0" applyNumberFormat="1" applyFont="1"/>
    <xf numFmtId="49" fontId="1" fillId="0" borderId="1" xfId="0" applyNumberFormat="1" applyFont="1" applyBorder="1"/>
    <xf numFmtId="49" fontId="1" fillId="2" borderId="1" xfId="0" applyNumberFormat="1" applyFont="1" applyFill="1" applyBorder="1"/>
    <xf numFmtId="49" fontId="2" fillId="0" borderId="0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2" borderId="3" xfId="0" applyNumberFormat="1" applyFont="1" applyFill="1" applyBorder="1"/>
    <xf numFmtId="0" fontId="2" fillId="0" borderId="2" xfId="0" applyNumberFormat="1" applyFont="1" applyBorder="1"/>
    <xf numFmtId="49" fontId="1" fillId="2" borderId="4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" fontId="0" fillId="0" borderId="0" xfId="0" applyNumberFormat="1"/>
    <xf numFmtId="0" fontId="7" fillId="0" borderId="0" xfId="0" applyNumberFormat="1" applyFont="1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/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3" fillId="5" borderId="0" xfId="0" applyNumberFormat="1" applyFont="1" applyFill="1" applyAlignment="1">
      <alignment horizontal="center" vertical="center"/>
    </xf>
    <xf numFmtId="0" fontId="14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6" fillId="3" borderId="0" xfId="0" applyNumberFormat="1" applyFont="1" applyFill="1" applyAlignment="1">
      <alignment horizontal="center" vertical="center"/>
    </xf>
    <xf numFmtId="0" fontId="17" fillId="3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125A-BAA7-49CB-86B2-974CB7FFFB5C}">
  <dimension ref="A1:L22"/>
  <sheetViews>
    <sheetView topLeftCell="A11" workbookViewId="0">
      <selection activeCell="A22" sqref="A22"/>
    </sheetView>
  </sheetViews>
  <sheetFormatPr defaultColWidth="11.77734375" defaultRowHeight="33" customHeight="1" x14ac:dyDescent="0.4"/>
  <cols>
    <col min="1" max="16384" width="11.77734375" style="12"/>
  </cols>
  <sheetData>
    <row r="1" spans="1:12" ht="33" customHeight="1" x14ac:dyDescent="0.4">
      <c r="A1" s="17">
        <v>-4</v>
      </c>
      <c r="B1" s="17">
        <v>-3</v>
      </c>
    </row>
    <row r="2" spans="1:12" ht="33" customHeight="1" x14ac:dyDescent="0.4">
      <c r="A2" s="17">
        <v>-4</v>
      </c>
      <c r="B2" s="17">
        <v>-4</v>
      </c>
    </row>
    <row r="3" spans="1:12" ht="33" customHeight="1" x14ac:dyDescent="0.4">
      <c r="A3" s="17">
        <v>-4</v>
      </c>
      <c r="B3" s="17">
        <v>-4</v>
      </c>
    </row>
    <row r="4" spans="1:12" ht="33" customHeight="1" x14ac:dyDescent="0.4">
      <c r="A4" s="17">
        <v>-4</v>
      </c>
      <c r="B4" s="17">
        <v>-4</v>
      </c>
    </row>
    <row r="10" spans="1:12" ht="33" customHeight="1" x14ac:dyDescent="0.4">
      <c r="A10" s="12" t="s">
        <v>1512</v>
      </c>
    </row>
    <row r="11" spans="1:12" ht="33" customHeight="1" x14ac:dyDescent="0.4">
      <c r="A11" s="12" t="s">
        <v>1513</v>
      </c>
      <c r="B11" s="12" t="s">
        <v>1515</v>
      </c>
      <c r="C11" s="12" t="s">
        <v>1516</v>
      </c>
      <c r="D11" s="12" t="s">
        <v>1517</v>
      </c>
    </row>
    <row r="12" spans="1:12" ht="33" customHeight="1" x14ac:dyDescent="0.4">
      <c r="A12" s="12" t="s">
        <v>1523</v>
      </c>
      <c r="B12" s="12" t="s">
        <v>1527</v>
      </c>
      <c r="C12" s="12" t="s">
        <v>1528</v>
      </c>
      <c r="D12" s="12" t="s">
        <v>1529</v>
      </c>
    </row>
    <row r="13" spans="1:12" ht="33" customHeight="1" x14ac:dyDescent="0.4">
      <c r="A13" s="12" t="s">
        <v>1514</v>
      </c>
      <c r="B13" s="12" t="s">
        <v>1519</v>
      </c>
      <c r="C13" s="12" t="s">
        <v>1522</v>
      </c>
      <c r="D13" s="12" t="s">
        <v>1518</v>
      </c>
      <c r="E13" s="12" t="s">
        <v>1520</v>
      </c>
      <c r="F13" s="12" t="s">
        <v>1521</v>
      </c>
    </row>
    <row r="14" spans="1:12" ht="33" customHeight="1" x14ac:dyDescent="0.4">
      <c r="A14" s="36" t="s">
        <v>1572</v>
      </c>
      <c r="B14" s="36" t="s">
        <v>1573</v>
      </c>
      <c r="C14" s="36" t="s">
        <v>1574</v>
      </c>
      <c r="D14" s="36" t="s">
        <v>1575</v>
      </c>
    </row>
    <row r="15" spans="1:12" ht="33" customHeight="1" x14ac:dyDescent="0.4">
      <c r="A15" s="12" t="s">
        <v>1524</v>
      </c>
      <c r="B15" s="12" t="s">
        <v>1525</v>
      </c>
      <c r="C15" s="12" t="s">
        <v>1526</v>
      </c>
      <c r="D15" s="12" t="s">
        <v>1530</v>
      </c>
      <c r="E15" s="12" t="s">
        <v>1531</v>
      </c>
      <c r="F15" s="12" t="s">
        <v>1532</v>
      </c>
      <c r="G15" s="12" t="s">
        <v>1533</v>
      </c>
      <c r="H15" s="12" t="s">
        <v>1534</v>
      </c>
      <c r="I15" s="12" t="s">
        <v>1535</v>
      </c>
      <c r="J15" s="12" t="s">
        <v>1536</v>
      </c>
      <c r="K15" s="12" t="s">
        <v>1537</v>
      </c>
      <c r="L15" s="12" t="s">
        <v>1538</v>
      </c>
    </row>
    <row r="16" spans="1:12" ht="33" customHeight="1" x14ac:dyDescent="0.4">
      <c r="A16" s="12" t="s">
        <v>1539</v>
      </c>
      <c r="B16" s="12" t="s">
        <v>1540</v>
      </c>
      <c r="C16" s="12" t="s">
        <v>1541</v>
      </c>
      <c r="D16" s="12" t="s">
        <v>1542</v>
      </c>
    </row>
    <row r="17" spans="1:12" ht="33" customHeight="1" x14ac:dyDescent="0.4">
      <c r="A17" s="12" t="s">
        <v>1581</v>
      </c>
    </row>
    <row r="18" spans="1:12" ht="33" customHeight="1" x14ac:dyDescent="0.4">
      <c r="A18" s="12" t="s">
        <v>1543</v>
      </c>
      <c r="B18" s="12" t="s">
        <v>1544</v>
      </c>
      <c r="C18" s="12" t="s">
        <v>1545</v>
      </c>
      <c r="D18" s="12" t="s">
        <v>1546</v>
      </c>
      <c r="E18" s="12" t="s">
        <v>1547</v>
      </c>
      <c r="F18" s="12" t="s">
        <v>1548</v>
      </c>
    </row>
    <row r="19" spans="1:12" ht="33" customHeight="1" x14ac:dyDescent="0.4">
      <c r="A19" s="36" t="s">
        <v>1560</v>
      </c>
      <c r="B19" s="36" t="s">
        <v>1561</v>
      </c>
      <c r="C19" s="36" t="s">
        <v>1562</v>
      </c>
      <c r="D19" s="36" t="s">
        <v>1563</v>
      </c>
      <c r="E19" s="36" t="s">
        <v>1564</v>
      </c>
      <c r="F19" s="36" t="s">
        <v>1565</v>
      </c>
      <c r="G19" s="36" t="s">
        <v>1566</v>
      </c>
      <c r="H19" s="36" t="s">
        <v>1567</v>
      </c>
      <c r="I19" s="36" t="s">
        <v>1568</v>
      </c>
      <c r="J19" s="36" t="s">
        <v>1569</v>
      </c>
      <c r="K19" s="36" t="s">
        <v>1570</v>
      </c>
      <c r="L19" s="36" t="s">
        <v>1571</v>
      </c>
    </row>
    <row r="20" spans="1:12" ht="33" customHeight="1" x14ac:dyDescent="0.4">
      <c r="A20" s="12" t="s">
        <v>1549</v>
      </c>
      <c r="B20" s="12" t="s">
        <v>1550</v>
      </c>
      <c r="C20" s="12" t="s">
        <v>1551</v>
      </c>
      <c r="D20" s="12" t="s">
        <v>1552</v>
      </c>
      <c r="E20" s="12" t="s">
        <v>1553</v>
      </c>
      <c r="F20" s="12" t="s">
        <v>1554</v>
      </c>
      <c r="G20" s="12" t="s">
        <v>1556</v>
      </c>
      <c r="H20" s="12" t="s">
        <v>1557</v>
      </c>
      <c r="I20" s="12" t="s">
        <v>1558</v>
      </c>
      <c r="J20" s="12" t="s">
        <v>1559</v>
      </c>
      <c r="K20" s="12" t="s">
        <v>1576</v>
      </c>
      <c r="L20" s="12" t="s">
        <v>1555</v>
      </c>
    </row>
    <row r="21" spans="1:12" ht="33" customHeight="1" x14ac:dyDescent="0.4">
      <c r="A21" s="12" t="s">
        <v>1577</v>
      </c>
      <c r="B21" s="12" t="s">
        <v>1578</v>
      </c>
      <c r="C21" s="12" t="s">
        <v>1579</v>
      </c>
      <c r="D21" s="12" t="s">
        <v>1580</v>
      </c>
    </row>
    <row r="22" spans="1:12" ht="33" customHeight="1" x14ac:dyDescent="0.4">
      <c r="A22" s="12" t="s">
        <v>1582</v>
      </c>
      <c r="B22" s="12" t="s">
        <v>1583</v>
      </c>
      <c r="C22" s="12" t="s">
        <v>1584</v>
      </c>
      <c r="D22" s="12" t="s">
        <v>1585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3BA-E9F6-094C-AF04-44A0287474FC}">
  <dimension ref="A1:AE417"/>
  <sheetViews>
    <sheetView tabSelected="1" topLeftCell="A331" zoomScaleNormal="100" zoomScaleSheetLayoutView="100" workbookViewId="0">
      <selection activeCell="A338" sqref="A338:XFD432"/>
    </sheetView>
  </sheetViews>
  <sheetFormatPr defaultColWidth="8.5546875" defaultRowHeight="30" customHeight="1" x14ac:dyDescent="0.3"/>
  <cols>
    <col min="1" max="1" width="26.21875" style="37" customWidth="1"/>
    <col min="2" max="2" width="10.77734375" style="46" customWidth="1"/>
    <col min="3" max="3" width="10.77734375" style="39" customWidth="1"/>
    <col min="4" max="4" width="10.5546875" style="39" customWidth="1"/>
    <col min="5" max="5" width="11.21875" style="39" customWidth="1"/>
    <col min="6" max="6" width="10.77734375" style="39" customWidth="1"/>
    <col min="7" max="7" width="11.88671875" style="39" customWidth="1"/>
    <col min="8" max="8" width="10" style="39" customWidth="1"/>
    <col min="9" max="9" width="9.88671875" style="39" customWidth="1"/>
    <col min="10" max="16384" width="8.5546875" style="39"/>
  </cols>
  <sheetData>
    <row r="1" spans="1:31" ht="30" customHeight="1" x14ac:dyDescent="0.2">
      <c r="B1" s="38"/>
      <c r="G1" s="40"/>
    </row>
    <row r="2" spans="1:31" ht="30" customHeight="1" x14ac:dyDescent="0.2">
      <c r="B2" s="38"/>
      <c r="G2" s="40"/>
    </row>
    <row r="3" spans="1:31" ht="30" customHeight="1" x14ac:dyDescent="0.2">
      <c r="B3" s="38"/>
      <c r="G3" s="40"/>
    </row>
    <row r="4" spans="1:31" ht="30" customHeight="1" x14ac:dyDescent="0.3">
      <c r="B4" s="38"/>
      <c r="C4" s="39">
        <v>6</v>
      </c>
      <c r="D4" s="39">
        <v>7</v>
      </c>
      <c r="E4" s="39">
        <v>8</v>
      </c>
      <c r="F4" s="39">
        <v>9</v>
      </c>
      <c r="G4" s="39">
        <v>10</v>
      </c>
      <c r="H4" s="39">
        <v>11</v>
      </c>
      <c r="I4" s="39">
        <v>12</v>
      </c>
    </row>
    <row r="5" spans="1:31" ht="30" customHeight="1" x14ac:dyDescent="0.3">
      <c r="A5" s="37" t="s">
        <v>336</v>
      </c>
      <c r="B5" s="38">
        <f>11.1</f>
        <v>11.1</v>
      </c>
      <c r="C5" s="41" t="s">
        <v>787</v>
      </c>
      <c r="D5" s="41" t="s">
        <v>535</v>
      </c>
      <c r="E5" s="41" t="s">
        <v>1240</v>
      </c>
      <c r="F5" s="41" t="s">
        <v>1133</v>
      </c>
      <c r="G5" s="42">
        <v>3.6</v>
      </c>
      <c r="H5" s="42"/>
      <c r="J5" s="39">
        <f t="shared" ref="J5:J13" si="0">LOOKUP(,-SEARCH( $Q$6:$Q$12, D5), $R$6:$R$12 )</f>
        <v>0</v>
      </c>
      <c r="K5" s="39">
        <f t="shared" ref="K5:K13" si="1">LOOKUP(,-SEARCH( $S$6:$S$12, E5), $T$6:$T$12 )</f>
        <v>3.3</v>
      </c>
      <c r="L5" s="39">
        <f t="shared" ref="L5:L13" si="2">LOOKUP(,-SEARCH( $U$6:$U$12, F5), $V$6:$V$12 )</f>
        <v>0</v>
      </c>
      <c r="M5" s="43">
        <v>3.3</v>
      </c>
      <c r="O5" s="44">
        <f>VLOOKUP(G5,$B$5:$M$1305,12,)</f>
        <v>0.5</v>
      </c>
    </row>
    <row r="6" spans="1:31" ht="30" customHeight="1" x14ac:dyDescent="0.3">
      <c r="A6" s="37" t="s">
        <v>337</v>
      </c>
      <c r="B6" s="38">
        <f>1.8</f>
        <v>1.8</v>
      </c>
      <c r="C6" s="41" t="s">
        <v>786</v>
      </c>
      <c r="D6" s="41" t="s">
        <v>973</v>
      </c>
      <c r="E6" s="41" t="s">
        <v>1243</v>
      </c>
      <c r="F6" s="41" t="s">
        <v>1322</v>
      </c>
      <c r="G6" s="42">
        <v>9.8000000000000007</v>
      </c>
      <c r="H6" s="42"/>
      <c r="J6" s="39">
        <f t="shared" si="0"/>
        <v>2.1</v>
      </c>
      <c r="K6" s="39">
        <f t="shared" si="1"/>
        <v>1.2</v>
      </c>
      <c r="L6" s="39">
        <f t="shared" si="2"/>
        <v>0</v>
      </c>
      <c r="M6" s="43">
        <v>3.3</v>
      </c>
      <c r="O6" s="44">
        <f>VLOOKUP(G6,$B$5:$M$1305,12,)</f>
        <v>0.5</v>
      </c>
      <c r="Q6" s="39" t="s">
        <v>255</v>
      </c>
      <c r="R6" s="39">
        <v>-1</v>
      </c>
      <c r="S6" s="39" t="s">
        <v>255</v>
      </c>
      <c r="T6" s="39">
        <v>-1.2</v>
      </c>
      <c r="U6" s="39" t="s">
        <v>255</v>
      </c>
      <c r="V6" s="39">
        <v>-1.6</v>
      </c>
      <c r="X6" s="39" t="s">
        <v>255</v>
      </c>
      <c r="Y6" s="39">
        <v>-2</v>
      </c>
      <c r="Z6" s="39" t="s">
        <v>255</v>
      </c>
      <c r="AA6" s="39">
        <v>-2.5</v>
      </c>
      <c r="AB6" s="39" t="s">
        <v>255</v>
      </c>
      <c r="AC6" s="39">
        <v>-3</v>
      </c>
      <c r="AD6" s="39" t="s">
        <v>255</v>
      </c>
      <c r="AE6" s="39">
        <v>-3.5</v>
      </c>
    </row>
    <row r="7" spans="1:31" ht="30" customHeight="1" x14ac:dyDescent="0.3">
      <c r="A7" s="37" t="s">
        <v>338</v>
      </c>
      <c r="B7" s="38">
        <f>3.6</f>
        <v>3.6</v>
      </c>
      <c r="C7" s="41" t="s">
        <v>773</v>
      </c>
      <c r="D7" s="41" t="s">
        <v>974</v>
      </c>
      <c r="E7" s="41" t="s">
        <v>1244</v>
      </c>
      <c r="F7" s="41" t="s">
        <v>1586</v>
      </c>
      <c r="G7" s="42">
        <v>11.1</v>
      </c>
      <c r="H7" s="42"/>
      <c r="J7" s="39">
        <f t="shared" si="0"/>
        <v>0.8</v>
      </c>
      <c r="K7" s="39">
        <f t="shared" si="1"/>
        <v>-0.3</v>
      </c>
      <c r="L7" s="39">
        <f t="shared" si="2"/>
        <v>0</v>
      </c>
      <c r="M7" s="43">
        <v>0.5</v>
      </c>
      <c r="O7" s="44">
        <f>VLOOKUP(G7,$B$5:$M$1305,12,)</f>
        <v>3.3</v>
      </c>
      <c r="Q7" s="45" t="s">
        <v>950</v>
      </c>
      <c r="R7" s="39">
        <v>-1.4</v>
      </c>
      <c r="S7" s="45" t="s">
        <v>950</v>
      </c>
      <c r="T7" s="39">
        <v>-2.2000000000000002</v>
      </c>
      <c r="U7" s="45" t="s">
        <v>950</v>
      </c>
      <c r="V7" s="39">
        <v>-3</v>
      </c>
      <c r="X7" s="45" t="s">
        <v>950</v>
      </c>
      <c r="Y7" s="39">
        <v>-3.5</v>
      </c>
      <c r="Z7" s="45" t="s">
        <v>950</v>
      </c>
      <c r="AA7" s="39">
        <v>-4</v>
      </c>
      <c r="AB7" s="45" t="s">
        <v>950</v>
      </c>
      <c r="AC7" s="39">
        <v>-4.5</v>
      </c>
      <c r="AD7" s="45" t="s">
        <v>950</v>
      </c>
      <c r="AE7" s="39">
        <v>-5</v>
      </c>
    </row>
    <row r="8" spans="1:31" ht="30" customHeight="1" x14ac:dyDescent="0.3">
      <c r="A8" s="37" t="s">
        <v>339</v>
      </c>
      <c r="B8" s="38">
        <f>-0.7</f>
        <v>-0.7</v>
      </c>
      <c r="C8" s="41" t="s">
        <v>698</v>
      </c>
      <c r="D8" s="41" t="s">
        <v>972</v>
      </c>
      <c r="E8" s="41" t="s">
        <v>520</v>
      </c>
      <c r="F8" s="41" t="s">
        <v>1444</v>
      </c>
      <c r="G8" s="42">
        <v>18.2</v>
      </c>
      <c r="H8" s="42"/>
      <c r="J8" s="39">
        <f t="shared" si="0"/>
        <v>0</v>
      </c>
      <c r="K8" s="39">
        <f t="shared" si="1"/>
        <v>-0.3</v>
      </c>
      <c r="L8" s="39">
        <f t="shared" si="2"/>
        <v>-3</v>
      </c>
      <c r="M8" s="43">
        <v>-3.3</v>
      </c>
      <c r="O8" s="44">
        <f>VLOOKUP(G8,$B$5:$M$1305,12,)</f>
        <v>1.2</v>
      </c>
      <c r="Q8" s="45" t="s">
        <v>951</v>
      </c>
      <c r="R8" s="39">
        <v>-2.1</v>
      </c>
      <c r="S8" s="45" t="s">
        <v>951</v>
      </c>
      <c r="T8" s="39">
        <v>-3.4</v>
      </c>
      <c r="U8" s="45" t="s">
        <v>951</v>
      </c>
      <c r="V8" s="39">
        <v>-3.7</v>
      </c>
      <c r="X8" s="45" t="s">
        <v>951</v>
      </c>
      <c r="Y8" s="39">
        <v>-5</v>
      </c>
      <c r="Z8" s="45" t="s">
        <v>951</v>
      </c>
      <c r="AA8" s="39">
        <v>-5.5</v>
      </c>
      <c r="AB8" s="45" t="s">
        <v>951</v>
      </c>
      <c r="AC8" s="39">
        <v>-6</v>
      </c>
      <c r="AD8" s="45" t="s">
        <v>951</v>
      </c>
      <c r="AE8" s="39">
        <v>-6.5</v>
      </c>
    </row>
    <row r="9" spans="1:31" ht="30" customHeight="1" x14ac:dyDescent="0.3">
      <c r="A9" s="37" t="s">
        <v>340</v>
      </c>
      <c r="B9" s="38">
        <f>18.2</f>
        <v>18.2</v>
      </c>
      <c r="C9" s="41" t="s">
        <v>788</v>
      </c>
      <c r="D9" s="41" t="s">
        <v>971</v>
      </c>
      <c r="E9" s="41" t="s">
        <v>1242</v>
      </c>
      <c r="F9" s="41" t="s">
        <v>917</v>
      </c>
      <c r="G9" s="42">
        <v>-0.7</v>
      </c>
      <c r="H9" s="42"/>
      <c r="J9" s="39">
        <f t="shared" si="0"/>
        <v>0</v>
      </c>
      <c r="K9" s="39">
        <f t="shared" si="1"/>
        <v>1.2</v>
      </c>
      <c r="L9" s="39">
        <f t="shared" si="2"/>
        <v>0</v>
      </c>
      <c r="M9" s="43">
        <v>1.2</v>
      </c>
      <c r="O9" s="44">
        <f>VLOOKUP(G9,$B$5:$M$1305,12,)</f>
        <v>-3.3</v>
      </c>
      <c r="Q9" s="39" t="s">
        <v>253</v>
      </c>
      <c r="R9" s="39">
        <v>0.8</v>
      </c>
      <c r="S9" s="39" t="s">
        <v>253</v>
      </c>
      <c r="T9" s="39">
        <v>1.2</v>
      </c>
      <c r="U9" s="39" t="s">
        <v>253</v>
      </c>
      <c r="V9" s="39">
        <v>1.6</v>
      </c>
      <c r="X9" s="39" t="s">
        <v>253</v>
      </c>
      <c r="Y9" s="39">
        <v>2</v>
      </c>
      <c r="Z9" s="39" t="s">
        <v>253</v>
      </c>
      <c r="AA9" s="39">
        <v>2.5</v>
      </c>
      <c r="AB9" s="39" t="s">
        <v>253</v>
      </c>
      <c r="AC9" s="39">
        <v>3</v>
      </c>
      <c r="AD9" s="39" t="s">
        <v>253</v>
      </c>
      <c r="AE9" s="39">
        <v>3.5</v>
      </c>
    </row>
    <row r="10" spans="1:31" ht="30" customHeight="1" x14ac:dyDescent="0.3">
      <c r="A10" s="37" t="s">
        <v>341</v>
      </c>
      <c r="B10" s="38">
        <f>9.8</f>
        <v>9.8000000000000007</v>
      </c>
      <c r="C10" s="41" t="s">
        <v>695</v>
      </c>
      <c r="D10" s="41" t="s">
        <v>975</v>
      </c>
      <c r="E10" s="41" t="s">
        <v>541</v>
      </c>
      <c r="F10" s="41" t="s">
        <v>1587</v>
      </c>
      <c r="G10" s="42">
        <v>1.8</v>
      </c>
      <c r="H10" s="42"/>
      <c r="J10" s="39">
        <f t="shared" si="0"/>
        <v>0.8</v>
      </c>
      <c r="K10" s="39">
        <f t="shared" si="1"/>
        <v>-0.3</v>
      </c>
      <c r="L10" s="39">
        <f t="shared" si="2"/>
        <v>0</v>
      </c>
      <c r="M10" s="43">
        <v>0.5</v>
      </c>
      <c r="O10" s="44">
        <f>VLOOKUP(G10,$B$5:$M$1305,12,)</f>
        <v>3.3</v>
      </c>
      <c r="Q10" s="45" t="s">
        <v>252</v>
      </c>
      <c r="R10" s="39">
        <v>1.4</v>
      </c>
      <c r="S10" s="45" t="s">
        <v>252</v>
      </c>
      <c r="T10" s="39">
        <v>2.2000000000000002</v>
      </c>
      <c r="U10" s="45" t="s">
        <v>252</v>
      </c>
      <c r="V10" s="39">
        <v>2.8</v>
      </c>
      <c r="X10" s="45" t="s">
        <v>252</v>
      </c>
      <c r="Y10" s="39">
        <v>3.5</v>
      </c>
      <c r="Z10" s="45" t="s">
        <v>252</v>
      </c>
      <c r="AA10" s="39">
        <v>4</v>
      </c>
      <c r="AB10" s="45" t="s">
        <v>252</v>
      </c>
      <c r="AC10" s="39">
        <v>4.5</v>
      </c>
      <c r="AD10" s="45" t="s">
        <v>252</v>
      </c>
      <c r="AE10" s="39">
        <v>5</v>
      </c>
    </row>
    <row r="11" spans="1:31" ht="30" customHeight="1" x14ac:dyDescent="0.3">
      <c r="A11" s="37" t="s">
        <v>342</v>
      </c>
      <c r="B11" s="38">
        <f>-10.9</f>
        <v>-10.9</v>
      </c>
      <c r="C11" s="41" t="s">
        <v>745</v>
      </c>
      <c r="D11" s="41" t="s">
        <v>965</v>
      </c>
      <c r="E11" s="41" t="s">
        <v>714</v>
      </c>
      <c r="F11" s="41" t="s">
        <v>1459</v>
      </c>
      <c r="G11" s="42">
        <v>5.7</v>
      </c>
      <c r="H11" s="42"/>
      <c r="J11" s="39">
        <f t="shared" si="0"/>
        <v>-2.1</v>
      </c>
      <c r="K11" s="39">
        <f t="shared" si="1"/>
        <v>-1.2</v>
      </c>
      <c r="L11" s="39">
        <f t="shared" si="2"/>
        <v>0</v>
      </c>
      <c r="M11" s="43">
        <v>-3.3</v>
      </c>
      <c r="O11" s="44">
        <f>VLOOKUP(G11,$B$5:$M$1305,12,)</f>
        <v>2.5</v>
      </c>
      <c r="Q11" s="45" t="s">
        <v>251</v>
      </c>
      <c r="R11" s="39">
        <v>2.1</v>
      </c>
      <c r="S11" s="45" t="s">
        <v>251</v>
      </c>
      <c r="T11" s="39">
        <v>3.3</v>
      </c>
      <c r="U11" s="45" t="s">
        <v>251</v>
      </c>
      <c r="V11" s="39">
        <v>3.7</v>
      </c>
      <c r="X11" s="45" t="s">
        <v>251</v>
      </c>
      <c r="Y11" s="39">
        <v>5</v>
      </c>
      <c r="Z11" s="45" t="s">
        <v>251</v>
      </c>
      <c r="AA11" s="39">
        <v>5.5</v>
      </c>
      <c r="AB11" s="45" t="s">
        <v>251</v>
      </c>
      <c r="AC11" s="39">
        <v>6</v>
      </c>
      <c r="AD11" s="45" t="s">
        <v>251</v>
      </c>
      <c r="AE11" s="39">
        <v>6.5</v>
      </c>
    </row>
    <row r="12" spans="1:31" ht="30" customHeight="1" x14ac:dyDescent="0.3">
      <c r="A12" s="37" t="s">
        <v>343</v>
      </c>
      <c r="B12" s="38">
        <f>-20</f>
        <v>-20</v>
      </c>
      <c r="C12" s="41" t="s">
        <v>697</v>
      </c>
      <c r="D12" s="41" t="s">
        <v>528</v>
      </c>
      <c r="E12" s="41" t="s">
        <v>1241</v>
      </c>
      <c r="F12" s="41" t="s">
        <v>755</v>
      </c>
      <c r="G12" s="42">
        <v>13.1</v>
      </c>
      <c r="H12" s="42"/>
      <c r="J12" s="39">
        <f t="shared" si="0"/>
        <v>-1</v>
      </c>
      <c r="K12" s="39">
        <f t="shared" si="1"/>
        <v>-3.4</v>
      </c>
      <c r="L12" s="39">
        <f t="shared" si="2"/>
        <v>0</v>
      </c>
      <c r="M12" s="43">
        <v>-4.4000000000000004</v>
      </c>
      <c r="O12" s="44">
        <f>VLOOKUP(G12,$B$5:$M$1305,12,)</f>
        <v>-2.2000000000000002</v>
      </c>
      <c r="Q12" s="39" t="s">
        <v>254</v>
      </c>
      <c r="R12" s="39">
        <v>0</v>
      </c>
      <c r="S12" s="39" t="s">
        <v>254</v>
      </c>
      <c r="T12" s="39">
        <v>-0.3</v>
      </c>
      <c r="U12" s="39" t="s">
        <v>254</v>
      </c>
      <c r="V12" s="39">
        <v>0</v>
      </c>
      <c r="X12" s="39" t="s">
        <v>254</v>
      </c>
      <c r="Y12" s="39">
        <v>0.5</v>
      </c>
      <c r="Z12" s="39" t="s">
        <v>254</v>
      </c>
      <c r="AA12" s="39">
        <v>1</v>
      </c>
      <c r="AB12" s="39" t="s">
        <v>254</v>
      </c>
      <c r="AC12" s="39">
        <v>1.5</v>
      </c>
      <c r="AD12" s="39" t="s">
        <v>254</v>
      </c>
      <c r="AE12" s="39">
        <v>2</v>
      </c>
    </row>
    <row r="13" spans="1:31" ht="30" customHeight="1" x14ac:dyDescent="0.3">
      <c r="A13" s="37" t="s">
        <v>344</v>
      </c>
      <c r="B13" s="38">
        <f>5.7</f>
        <v>5.7</v>
      </c>
      <c r="C13" s="41" t="s">
        <v>696</v>
      </c>
      <c r="D13" s="41" t="s">
        <v>682</v>
      </c>
      <c r="E13" s="41" t="s">
        <v>687</v>
      </c>
      <c r="F13" s="41" t="s">
        <v>1501</v>
      </c>
      <c r="G13" s="42">
        <v>-10.9</v>
      </c>
      <c r="H13" s="42"/>
      <c r="J13" s="39">
        <f t="shared" si="0"/>
        <v>0</v>
      </c>
      <c r="K13" s="39">
        <f t="shared" si="1"/>
        <v>-0.3</v>
      </c>
      <c r="L13" s="39">
        <f t="shared" si="2"/>
        <v>2.8</v>
      </c>
      <c r="M13" s="43">
        <v>2.5</v>
      </c>
      <c r="O13" s="44">
        <f>VLOOKUP(G13,$B$5:$M$1305,12,)</f>
        <v>-3.3</v>
      </c>
    </row>
    <row r="14" spans="1:31" ht="30" customHeight="1" x14ac:dyDescent="0.3">
      <c r="A14" s="37" t="s">
        <v>345</v>
      </c>
      <c r="B14" s="38">
        <f>13.1</f>
        <v>13.1</v>
      </c>
      <c r="C14" s="41" t="s">
        <v>789</v>
      </c>
      <c r="D14" s="41" t="s">
        <v>976</v>
      </c>
      <c r="E14" s="41" t="s">
        <v>685</v>
      </c>
      <c r="F14" s="41" t="s">
        <v>383</v>
      </c>
      <c r="G14" s="42">
        <v>-20</v>
      </c>
      <c r="H14" s="42"/>
      <c r="J14" s="39">
        <f t="shared" ref="J14" si="3">LOOKUP(,-SEARCH( $Q$6:$Q$12, D14), $R$6:$R$12 )</f>
        <v>-1</v>
      </c>
      <c r="K14" s="39">
        <f t="shared" ref="K14" si="4">LOOKUP(,-SEARCH( $S$6:$S$12, E14), $T$6:$T$12 )</f>
        <v>-1.2</v>
      </c>
      <c r="L14" s="39">
        <f t="shared" ref="L14" si="5">LOOKUP(,-SEARCH( $U$6:$U$12, F14), $V$6:$V$12 )</f>
        <v>0</v>
      </c>
      <c r="M14" s="43">
        <v>-2.2000000000000002</v>
      </c>
      <c r="O14" s="44">
        <f>VLOOKUP(G14,$B$5:$M$1305,12,)</f>
        <v>-4.4000000000000004</v>
      </c>
    </row>
    <row r="15" spans="1:31" ht="30" customHeight="1" x14ac:dyDescent="0.3">
      <c r="B15" s="38"/>
      <c r="O15" s="44" t="e">
        <f>VLOOKUP(G15,$B$5:$M$1305,12,)</f>
        <v>#N/A</v>
      </c>
      <c r="S15" s="45"/>
      <c r="U15" s="45"/>
      <c r="W15" s="45"/>
      <c r="Y15" s="45"/>
    </row>
    <row r="16" spans="1:31" ht="30" customHeight="1" x14ac:dyDescent="0.3">
      <c r="B16" s="38"/>
      <c r="O16" s="44" t="e">
        <f>VLOOKUP(G16,$B$5:$M$1305,12,)</f>
        <v>#N/A</v>
      </c>
      <c r="R16" s="45"/>
      <c r="T16" s="45"/>
      <c r="V16" s="45"/>
      <c r="X16" s="45"/>
    </row>
    <row r="17" spans="1:25" ht="30" customHeight="1" x14ac:dyDescent="0.3">
      <c r="B17" s="38"/>
      <c r="O17" s="44" t="e">
        <f>VLOOKUP(G17,$B$5:$M$1305,12,)</f>
        <v>#N/A</v>
      </c>
      <c r="S17" s="45"/>
      <c r="U17" s="45"/>
      <c r="W17" s="45"/>
      <c r="Y17" s="45"/>
    </row>
    <row r="18" spans="1:25" ht="30" customHeight="1" x14ac:dyDescent="0.3">
      <c r="B18" s="39">
        <v>8</v>
      </c>
      <c r="C18" s="39">
        <v>9</v>
      </c>
      <c r="D18" s="39">
        <v>10</v>
      </c>
      <c r="E18" s="39">
        <v>11</v>
      </c>
      <c r="F18" s="39">
        <v>12</v>
      </c>
      <c r="G18" s="39">
        <v>13</v>
      </c>
      <c r="H18" s="39">
        <v>14</v>
      </c>
      <c r="I18" s="39">
        <v>15</v>
      </c>
      <c r="O18" s="44" t="e">
        <f>VLOOKUP(G18,$B$5:$M$1305,12,)</f>
        <v>#N/A</v>
      </c>
      <c r="S18" s="45"/>
      <c r="U18" s="45"/>
      <c r="W18" s="45"/>
      <c r="Y18" s="45"/>
    </row>
    <row r="19" spans="1:25" ht="30" customHeight="1" x14ac:dyDescent="0.3">
      <c r="A19" s="37" t="s">
        <v>505</v>
      </c>
      <c r="B19" s="38">
        <f>-5.8</f>
        <v>-5.8</v>
      </c>
      <c r="C19" s="41" t="s">
        <v>957</v>
      </c>
      <c r="D19" s="41" t="s">
        <v>1146</v>
      </c>
      <c r="E19" s="41" t="s">
        <v>1250</v>
      </c>
      <c r="F19" s="41" t="s">
        <v>1588</v>
      </c>
      <c r="G19" s="42">
        <v>11.2</v>
      </c>
      <c r="J19" s="39">
        <f t="shared" ref="J19" si="6">LOOKUP(,-SEARCH( $Q$6:$Q$12, D19), $R$6:$R$12 )</f>
        <v>2.1</v>
      </c>
      <c r="K19" s="39">
        <f t="shared" ref="K19" si="7">LOOKUP(,-SEARCH( $S$6:$S$12, E19), $T$6:$T$12 )</f>
        <v>-2.2000000000000002</v>
      </c>
      <c r="L19" s="39">
        <f t="shared" ref="L19" si="8">LOOKUP(,-SEARCH( $U$6:$U$12, F19), $V$6:$V$12 )</f>
        <v>0</v>
      </c>
      <c r="M19" s="38">
        <v>-0.1</v>
      </c>
      <c r="O19" s="44">
        <f>VLOOKUP(G19,$B$5:$M$1305,12,)</f>
        <v>0.9</v>
      </c>
      <c r="S19" s="45"/>
      <c r="U19" s="45"/>
      <c r="W19" s="45"/>
      <c r="Y19" s="45"/>
    </row>
    <row r="20" spans="1:25" ht="30" customHeight="1" x14ac:dyDescent="0.3">
      <c r="A20" s="37" t="s">
        <v>506</v>
      </c>
      <c r="B20" s="38">
        <f>11.2</f>
        <v>11.2</v>
      </c>
      <c r="C20" s="41" t="s">
        <v>963</v>
      </c>
      <c r="D20" s="41" t="s">
        <v>1149</v>
      </c>
      <c r="E20" s="41" t="s">
        <v>732</v>
      </c>
      <c r="F20" s="41" t="s">
        <v>1412</v>
      </c>
      <c r="G20" s="42">
        <v>-5.8</v>
      </c>
      <c r="J20" s="39">
        <f t="shared" ref="J20:J28" si="9">LOOKUP(,-SEARCH( $Q$6:$Q$12, D20), $R$6:$R$12 )</f>
        <v>2.1</v>
      </c>
      <c r="K20" s="39">
        <f t="shared" ref="K20:K28" si="10">LOOKUP(,-SEARCH( $S$6:$S$12, E20), $T$6:$T$12 )</f>
        <v>-1.2</v>
      </c>
      <c r="L20" s="39">
        <f t="shared" ref="L20:L28" si="11">LOOKUP(,-SEARCH( $U$6:$U$12, F20), $V$6:$V$12 )</f>
        <v>0</v>
      </c>
      <c r="M20" s="43">
        <v>0.9</v>
      </c>
      <c r="O20" s="44">
        <f>VLOOKUP(G20,$B$5:$M$1305,12,)</f>
        <v>-0.1</v>
      </c>
      <c r="S20" s="45"/>
      <c r="U20" s="45"/>
      <c r="W20" s="45"/>
      <c r="Y20" s="45"/>
    </row>
    <row r="21" spans="1:25" ht="30" customHeight="1" x14ac:dyDescent="0.3">
      <c r="A21" s="37" t="s">
        <v>511</v>
      </c>
      <c r="B21" s="38">
        <f>0.4</f>
        <v>0.4</v>
      </c>
      <c r="C21" s="41" t="s">
        <v>962</v>
      </c>
      <c r="D21" s="41" t="s">
        <v>911</v>
      </c>
      <c r="E21" s="41" t="s">
        <v>675</v>
      </c>
      <c r="F21" s="41" t="s">
        <v>906</v>
      </c>
      <c r="G21" s="42">
        <v>1</v>
      </c>
      <c r="J21" s="39">
        <f t="shared" si="9"/>
        <v>-1</v>
      </c>
      <c r="K21" s="39">
        <f t="shared" si="10"/>
        <v>1.2</v>
      </c>
      <c r="L21" s="39">
        <f>LOOKUP(,-SEARCH( $U$6:$U$12, F21), $V$6:$V$12 )</f>
        <v>0</v>
      </c>
      <c r="M21" s="43">
        <v>0.2</v>
      </c>
      <c r="O21" s="44">
        <f>VLOOKUP(G21,$B$5:$M$1305,12,)</f>
        <v>-6.1</v>
      </c>
      <c r="S21" s="45"/>
      <c r="U21" s="45"/>
      <c r="W21" s="45"/>
      <c r="Y21" s="45"/>
    </row>
    <row r="22" spans="1:25" ht="30" customHeight="1" x14ac:dyDescent="0.3">
      <c r="A22" s="37" t="s">
        <v>507</v>
      </c>
      <c r="B22" s="38">
        <f>-11.1</f>
        <v>-11.1</v>
      </c>
      <c r="C22" s="41" t="s">
        <v>959</v>
      </c>
      <c r="D22" s="41" t="s">
        <v>1151</v>
      </c>
      <c r="E22" s="41" t="s">
        <v>1249</v>
      </c>
      <c r="F22" s="41" t="s">
        <v>739</v>
      </c>
      <c r="G22" s="42">
        <v>-25.3</v>
      </c>
      <c r="J22" s="39">
        <f t="shared" si="9"/>
        <v>-1</v>
      </c>
      <c r="K22" s="39">
        <f t="shared" si="10"/>
        <v>1.2</v>
      </c>
      <c r="L22" s="39">
        <f t="shared" si="11"/>
        <v>0</v>
      </c>
      <c r="M22" s="43">
        <v>0.2</v>
      </c>
      <c r="O22" s="44">
        <f>VLOOKUP(G22,$B$5:$M$1305,12,)</f>
        <v>-3.6</v>
      </c>
      <c r="S22" s="45"/>
      <c r="U22" s="45"/>
      <c r="W22" s="45"/>
      <c r="Y22" s="45"/>
    </row>
    <row r="23" spans="1:25" ht="30" customHeight="1" x14ac:dyDescent="0.3">
      <c r="A23" s="37" t="s">
        <v>508</v>
      </c>
      <c r="B23" s="38">
        <f>9.9</f>
        <v>9.9</v>
      </c>
      <c r="C23" s="41" t="s">
        <v>960</v>
      </c>
      <c r="D23" s="41" t="s">
        <v>909</v>
      </c>
      <c r="E23" s="41" t="s">
        <v>1248</v>
      </c>
      <c r="F23" s="41" t="s">
        <v>1104</v>
      </c>
      <c r="G23" s="42">
        <v>17.8</v>
      </c>
      <c r="J23" s="39">
        <f t="shared" si="9"/>
        <v>0.8</v>
      </c>
      <c r="K23" s="39">
        <f t="shared" si="10"/>
        <v>-1.2</v>
      </c>
      <c r="L23" s="39">
        <f t="shared" si="11"/>
        <v>3.7</v>
      </c>
      <c r="M23" s="43">
        <v>3.3</v>
      </c>
      <c r="O23" s="44">
        <f>VLOOKUP(G23,$B$5:$M$1305,12,)</f>
        <v>8</v>
      </c>
      <c r="S23" s="45"/>
      <c r="U23" s="45"/>
      <c r="W23" s="45"/>
      <c r="Y23" s="45"/>
    </row>
    <row r="24" spans="1:25" ht="30" customHeight="1" x14ac:dyDescent="0.3">
      <c r="A24" s="37" t="s">
        <v>510</v>
      </c>
      <c r="B24" s="38">
        <f>1</f>
        <v>1</v>
      </c>
      <c r="C24" s="41" t="s">
        <v>958</v>
      </c>
      <c r="D24" s="41" t="s">
        <v>1148</v>
      </c>
      <c r="E24" s="41" t="s">
        <v>1245</v>
      </c>
      <c r="F24" s="41" t="s">
        <v>1589</v>
      </c>
      <c r="G24" s="42">
        <v>0.4</v>
      </c>
      <c r="J24" s="39">
        <f t="shared" si="9"/>
        <v>-2.1</v>
      </c>
      <c r="K24" s="39">
        <f t="shared" si="10"/>
        <v>-0.3</v>
      </c>
      <c r="L24" s="39">
        <f t="shared" si="11"/>
        <v>-3.7</v>
      </c>
      <c r="M24" s="43">
        <v>-6.1</v>
      </c>
      <c r="O24" s="44">
        <f>VLOOKUP(G24,$B$5:$M$1305,12,)</f>
        <v>0.2</v>
      </c>
      <c r="S24" s="45"/>
      <c r="U24" s="45"/>
      <c r="W24" s="45"/>
      <c r="Y24" s="45"/>
    </row>
    <row r="25" spans="1:25" ht="30" customHeight="1" x14ac:dyDescent="0.3">
      <c r="A25" s="37" t="s">
        <v>509</v>
      </c>
      <c r="B25" s="38">
        <f>18.8</f>
        <v>18.8</v>
      </c>
      <c r="C25" s="41" t="s">
        <v>793</v>
      </c>
      <c r="D25" s="41" t="s">
        <v>1143</v>
      </c>
      <c r="E25" s="41" t="s">
        <v>707</v>
      </c>
      <c r="F25" s="41" t="s">
        <v>519</v>
      </c>
      <c r="G25" s="42">
        <v>19</v>
      </c>
      <c r="J25" s="39">
        <f t="shared" si="9"/>
        <v>-2.1</v>
      </c>
      <c r="K25" s="39">
        <f t="shared" si="10"/>
        <v>-0.3</v>
      </c>
      <c r="L25" s="39">
        <f t="shared" si="11"/>
        <v>0</v>
      </c>
      <c r="M25" s="43">
        <v>-2.4</v>
      </c>
      <c r="O25" s="44">
        <f>VLOOKUP(G25,$B$5:$M$1305,12,)</f>
        <v>-1.4</v>
      </c>
      <c r="S25" s="45"/>
      <c r="U25" s="45"/>
      <c r="W25" s="45"/>
      <c r="Y25" s="45"/>
    </row>
    <row r="26" spans="1:25" ht="30" customHeight="1" x14ac:dyDescent="0.3">
      <c r="A26" s="37" t="s">
        <v>512</v>
      </c>
      <c r="B26" s="38">
        <f>17.8</f>
        <v>17.8</v>
      </c>
      <c r="C26" s="41" t="s">
        <v>961</v>
      </c>
      <c r="D26" s="41" t="s">
        <v>700</v>
      </c>
      <c r="E26" s="41" t="s">
        <v>631</v>
      </c>
      <c r="F26" s="41" t="s">
        <v>1590</v>
      </c>
      <c r="G26" s="42">
        <v>9.9</v>
      </c>
      <c r="J26" s="39">
        <f t="shared" si="9"/>
        <v>2.1</v>
      </c>
      <c r="K26" s="39">
        <f t="shared" si="10"/>
        <v>2.2000000000000002</v>
      </c>
      <c r="L26" s="39">
        <f t="shared" si="11"/>
        <v>3.7</v>
      </c>
      <c r="M26" s="43">
        <v>8</v>
      </c>
      <c r="O26" s="44">
        <f>VLOOKUP(G26,$B$5:$M$1305,12,)</f>
        <v>3.3</v>
      </c>
      <c r="S26" s="45"/>
      <c r="U26" s="45"/>
      <c r="W26" s="45"/>
      <c r="Y26" s="45"/>
    </row>
    <row r="27" spans="1:25" ht="30" customHeight="1" x14ac:dyDescent="0.3">
      <c r="A27" s="37" t="s">
        <v>513</v>
      </c>
      <c r="B27" s="38">
        <f>-25.3</f>
        <v>-25.3</v>
      </c>
      <c r="C27" s="41" t="s">
        <v>964</v>
      </c>
      <c r="D27" s="41" t="s">
        <v>1147</v>
      </c>
      <c r="E27" s="41" t="s">
        <v>1246</v>
      </c>
      <c r="F27" s="41" t="s">
        <v>1591</v>
      </c>
      <c r="G27" s="42">
        <v>-11.1</v>
      </c>
      <c r="J27" s="39">
        <f t="shared" si="9"/>
        <v>-2.1</v>
      </c>
      <c r="K27" s="39">
        <f t="shared" si="10"/>
        <v>2.2000000000000002</v>
      </c>
      <c r="L27" s="39">
        <f t="shared" si="11"/>
        <v>-3.7</v>
      </c>
      <c r="M27" s="43">
        <v>-3.6</v>
      </c>
      <c r="O27" s="44">
        <f>VLOOKUP(G27,$B$5:$M$1305,12,)</f>
        <v>0.2</v>
      </c>
      <c r="R27" s="45"/>
      <c r="S27" s="45"/>
      <c r="U27" s="45"/>
      <c r="W27" s="45"/>
      <c r="Y27" s="45"/>
    </row>
    <row r="28" spans="1:25" ht="30" customHeight="1" x14ac:dyDescent="0.3">
      <c r="A28" s="37" t="s">
        <v>514</v>
      </c>
      <c r="B28" s="38">
        <f>19</f>
        <v>19</v>
      </c>
      <c r="C28" s="41" t="s">
        <v>668</v>
      </c>
      <c r="D28" s="41" t="s">
        <v>1150</v>
      </c>
      <c r="E28" s="41" t="s">
        <v>1247</v>
      </c>
      <c r="F28" s="41" t="s">
        <v>694</v>
      </c>
      <c r="G28" s="42">
        <v>18.8</v>
      </c>
      <c r="J28" s="39">
        <f t="shared" si="9"/>
        <v>0.8</v>
      </c>
      <c r="K28" s="39">
        <f t="shared" si="10"/>
        <v>-2.2000000000000002</v>
      </c>
      <c r="L28" s="39">
        <f t="shared" si="11"/>
        <v>0</v>
      </c>
      <c r="M28" s="43">
        <v>-1.4</v>
      </c>
      <c r="O28" s="44">
        <f>VLOOKUP(G28,$B$5:$M$1305,12,)</f>
        <v>-2.4</v>
      </c>
      <c r="R28" s="45"/>
    </row>
    <row r="29" spans="1:25" ht="30" customHeight="1" x14ac:dyDescent="0.3">
      <c r="B29" s="38"/>
      <c r="D29" s="46"/>
      <c r="E29" s="46"/>
      <c r="F29" s="41"/>
      <c r="O29" s="44" t="e">
        <f>VLOOKUP(G29,$B$5:$M$1305,12,)</f>
        <v>#N/A</v>
      </c>
      <c r="S29" s="45"/>
      <c r="U29" s="45"/>
      <c r="W29" s="45"/>
      <c r="Y29" s="45"/>
    </row>
    <row r="30" spans="1:25" ht="30" customHeight="1" x14ac:dyDescent="0.3">
      <c r="B30" s="38"/>
      <c r="D30" s="46"/>
      <c r="E30" s="46"/>
      <c r="F30" s="41"/>
      <c r="O30" s="44" t="e">
        <f>VLOOKUP(G30,$B$5:$M$1305,12,)</f>
        <v>#N/A</v>
      </c>
      <c r="R30" s="45"/>
      <c r="T30" s="45"/>
      <c r="V30" s="45"/>
      <c r="X30" s="45"/>
    </row>
    <row r="31" spans="1:25" ht="30" customHeight="1" x14ac:dyDescent="0.3">
      <c r="B31" s="38"/>
      <c r="D31" s="46"/>
      <c r="E31" s="46"/>
      <c r="F31" s="41"/>
      <c r="O31" s="44" t="e">
        <f>VLOOKUP(G31,$B$5:$M$1305,12,)</f>
        <v>#N/A</v>
      </c>
    </row>
    <row r="32" spans="1:25" ht="30" customHeight="1" x14ac:dyDescent="0.3">
      <c r="B32" s="38"/>
      <c r="C32" s="39">
        <v>3</v>
      </c>
      <c r="D32" s="46">
        <v>4</v>
      </c>
      <c r="E32" s="46">
        <v>5</v>
      </c>
      <c r="F32" s="39">
        <v>6</v>
      </c>
      <c r="G32" s="46">
        <v>7</v>
      </c>
      <c r="H32" s="46">
        <v>8</v>
      </c>
      <c r="I32" s="39">
        <v>9</v>
      </c>
      <c r="J32" s="46"/>
      <c r="K32" s="46"/>
      <c r="M32" s="46"/>
      <c r="O32" s="44" t="e">
        <f>VLOOKUP(G32,$B$5:$M$1305,12,)</f>
        <v>#N/A</v>
      </c>
    </row>
    <row r="33" spans="1:15" ht="30" customHeight="1" x14ac:dyDescent="0.3">
      <c r="A33" s="37" t="s">
        <v>0</v>
      </c>
      <c r="B33" s="38">
        <f>4.2</f>
        <v>4.2</v>
      </c>
      <c r="C33" s="41" t="s">
        <v>681</v>
      </c>
      <c r="D33" s="41" t="s">
        <v>553</v>
      </c>
      <c r="E33" s="41" t="s">
        <v>552</v>
      </c>
      <c r="F33" s="41" t="s">
        <v>693</v>
      </c>
      <c r="G33" s="42">
        <v>-2.9</v>
      </c>
      <c r="J33" s="39">
        <f t="shared" ref="J33" si="12">LOOKUP(,-SEARCH( $Q$6:$Q$12, D33), $R$6:$R$12 )</f>
        <v>2.1</v>
      </c>
      <c r="K33" s="39">
        <f t="shared" ref="K33" si="13">LOOKUP(,-SEARCH( $S$6:$S$12, E33), $T$6:$T$12 )</f>
        <v>-0.3</v>
      </c>
      <c r="L33" s="39">
        <f t="shared" ref="L33" si="14">LOOKUP(,-SEARCH( $U$6:$U$12, F33), $V$6:$V$12 )</f>
        <v>2.8</v>
      </c>
      <c r="M33" s="38">
        <v>4.5999999999999996</v>
      </c>
      <c r="O33" s="44">
        <f>VLOOKUP(G33,$B$5:$M$1305,12,)</f>
        <v>1.8</v>
      </c>
    </row>
    <row r="34" spans="1:15" ht="30" customHeight="1" x14ac:dyDescent="0.3">
      <c r="A34" s="37" t="s">
        <v>806</v>
      </c>
      <c r="B34" s="38">
        <f>6.2</f>
        <v>6.2</v>
      </c>
      <c r="C34" s="41" t="s">
        <v>358</v>
      </c>
      <c r="D34" s="41" t="s">
        <v>1088</v>
      </c>
      <c r="E34" s="41" t="s">
        <v>333</v>
      </c>
      <c r="F34" s="41" t="s">
        <v>1597</v>
      </c>
      <c r="G34" s="42">
        <v>-3.2</v>
      </c>
      <c r="J34" s="39">
        <f t="shared" ref="J34:J52" si="15">LOOKUP(,-SEARCH( $Q$6:$Q$12, D34), $R$6:$R$12 )</f>
        <v>0.8</v>
      </c>
      <c r="K34" s="39">
        <f t="shared" ref="K34:K52" si="16">LOOKUP(,-SEARCH( $S$6:$S$12, E34), $T$6:$T$12 )</f>
        <v>-0.3</v>
      </c>
      <c r="L34" s="39">
        <f t="shared" ref="L34:L52" si="17">LOOKUP(,-SEARCH( $U$6:$U$12, F34), $V$6:$V$12 )</f>
        <v>0</v>
      </c>
      <c r="M34" s="43">
        <v>0.5</v>
      </c>
      <c r="O34" s="44">
        <f>VLOOKUP(G34,$B$5:$M$1305,12,)</f>
        <v>-3.9</v>
      </c>
    </row>
    <row r="35" spans="1:15" ht="30" customHeight="1" x14ac:dyDescent="0.3">
      <c r="A35" s="37" t="s">
        <v>1</v>
      </c>
      <c r="B35" s="38">
        <f>-13.2</f>
        <v>-13.2</v>
      </c>
      <c r="C35" s="41" t="s">
        <v>812</v>
      </c>
      <c r="D35" s="41" t="s">
        <v>994</v>
      </c>
      <c r="E35" s="41" t="s">
        <v>718</v>
      </c>
      <c r="F35" s="41" t="s">
        <v>1594</v>
      </c>
      <c r="G35" s="42">
        <v>-8.4</v>
      </c>
      <c r="J35" s="39">
        <f t="shared" si="15"/>
        <v>-2.1</v>
      </c>
      <c r="K35" s="39">
        <f t="shared" si="16"/>
        <v>1.2</v>
      </c>
      <c r="L35" s="39">
        <f t="shared" si="17"/>
        <v>-1.6</v>
      </c>
      <c r="M35" s="43">
        <v>-2.5</v>
      </c>
      <c r="O35" s="44">
        <f>VLOOKUP(G35,$B$5:$M$1305,12,)</f>
        <v>-2.9</v>
      </c>
    </row>
    <row r="36" spans="1:15" ht="30" customHeight="1" x14ac:dyDescent="0.3">
      <c r="A36" s="37" t="s">
        <v>26</v>
      </c>
      <c r="B36" s="38">
        <f>-2.9</f>
        <v>-2.9</v>
      </c>
      <c r="C36" s="41" t="s">
        <v>360</v>
      </c>
      <c r="D36" s="41" t="s">
        <v>995</v>
      </c>
      <c r="E36" s="41" t="s">
        <v>1260</v>
      </c>
      <c r="F36" s="41" t="s">
        <v>1281</v>
      </c>
      <c r="G36" s="42">
        <v>4.2</v>
      </c>
      <c r="J36" s="39">
        <f t="shared" si="15"/>
        <v>1.4</v>
      </c>
      <c r="K36" s="39">
        <f t="shared" si="16"/>
        <v>-1.2</v>
      </c>
      <c r="L36" s="39">
        <f t="shared" si="17"/>
        <v>1.6</v>
      </c>
      <c r="M36" s="43">
        <v>1.8</v>
      </c>
      <c r="O36" s="44">
        <f>VLOOKUP(G36,$B$5:$M$1305,12,)</f>
        <v>4.5999999999999996</v>
      </c>
    </row>
    <row r="37" spans="1:15" ht="30" customHeight="1" x14ac:dyDescent="0.3">
      <c r="A37" s="37" t="s">
        <v>4</v>
      </c>
      <c r="B37" s="38">
        <f>1.7</f>
        <v>1.7</v>
      </c>
      <c r="C37" s="41" t="s">
        <v>639</v>
      </c>
      <c r="D37" s="41" t="s">
        <v>996</v>
      </c>
      <c r="E37" s="41" t="s">
        <v>1253</v>
      </c>
      <c r="F37" s="41" t="s">
        <v>634</v>
      </c>
      <c r="G37" s="42">
        <v>8.1</v>
      </c>
      <c r="J37" s="39">
        <f t="shared" si="15"/>
        <v>-1.4</v>
      </c>
      <c r="K37" s="39">
        <f t="shared" si="16"/>
        <v>-0.3</v>
      </c>
      <c r="L37" s="39">
        <f t="shared" si="17"/>
        <v>-3</v>
      </c>
      <c r="M37" s="43">
        <v>-4.7</v>
      </c>
      <c r="O37" s="44">
        <f>VLOOKUP(G37,$B$5:$M$1305,12,)</f>
        <v>-0.4</v>
      </c>
    </row>
    <row r="38" spans="1:15" ht="30" customHeight="1" x14ac:dyDescent="0.3">
      <c r="A38" s="37" t="s">
        <v>3</v>
      </c>
      <c r="B38" s="38">
        <f>-5.6</f>
        <v>-5.6</v>
      </c>
      <c r="C38" s="41" t="s">
        <v>385</v>
      </c>
      <c r="D38" s="41" t="s">
        <v>1207</v>
      </c>
      <c r="E38" s="41" t="s">
        <v>558</v>
      </c>
      <c r="F38" s="41" t="s">
        <v>1604</v>
      </c>
      <c r="G38" s="42">
        <v>-4.7</v>
      </c>
      <c r="J38" s="39">
        <f t="shared" si="15"/>
        <v>1.4</v>
      </c>
      <c r="K38" s="39">
        <f t="shared" si="16"/>
        <v>-0.3</v>
      </c>
      <c r="L38" s="39">
        <f t="shared" si="17"/>
        <v>-1.6</v>
      </c>
      <c r="M38" s="43">
        <v>-0.5</v>
      </c>
      <c r="O38" s="44">
        <f>VLOOKUP(G38,$B$5:$M$1305,12,)</f>
        <v>-2.9</v>
      </c>
    </row>
    <row r="39" spans="1:15" ht="30" customHeight="1" x14ac:dyDescent="0.3">
      <c r="A39" s="37" t="s">
        <v>805</v>
      </c>
      <c r="B39" s="38">
        <f>-19.6</f>
        <v>-19.600000000000001</v>
      </c>
      <c r="C39" s="41" t="s">
        <v>1258</v>
      </c>
      <c r="D39" s="41" t="s">
        <v>529</v>
      </c>
      <c r="E39" s="41" t="s">
        <v>563</v>
      </c>
      <c r="F39" s="41" t="s">
        <v>1600</v>
      </c>
      <c r="G39" s="42">
        <v>18</v>
      </c>
      <c r="J39" s="39">
        <f t="shared" si="15"/>
        <v>-1</v>
      </c>
      <c r="K39" s="39">
        <f t="shared" si="16"/>
        <v>-1.2</v>
      </c>
      <c r="L39" s="39">
        <f t="shared" si="17"/>
        <v>-3.7</v>
      </c>
      <c r="M39" s="43">
        <v>-5.9</v>
      </c>
      <c r="O39" s="44">
        <f>VLOOKUP(G39,$B$5:$M$1305,12,)</f>
        <v>4.9000000000000004</v>
      </c>
    </row>
    <row r="40" spans="1:15" ht="30" customHeight="1" x14ac:dyDescent="0.3">
      <c r="A40" s="37" t="s">
        <v>7</v>
      </c>
      <c r="B40" s="38">
        <f>-8.4</f>
        <v>-8.4</v>
      </c>
      <c r="C40" s="41" t="s">
        <v>531</v>
      </c>
      <c r="D40" s="41" t="s">
        <v>998</v>
      </c>
      <c r="E40" s="41" t="s">
        <v>1257</v>
      </c>
      <c r="F40" s="41" t="s">
        <v>1592</v>
      </c>
      <c r="G40" s="42">
        <v>-13.2</v>
      </c>
      <c r="J40" s="39">
        <f t="shared" si="15"/>
        <v>-1</v>
      </c>
      <c r="K40" s="39">
        <f t="shared" si="16"/>
        <v>-0.3</v>
      </c>
      <c r="L40" s="39">
        <f t="shared" si="17"/>
        <v>-1.6</v>
      </c>
      <c r="M40" s="43">
        <v>-2.9</v>
      </c>
      <c r="O40" s="44">
        <f>VLOOKUP(G40,$B$5:$M$1305,12,)</f>
        <v>-2.5</v>
      </c>
    </row>
    <row r="41" spans="1:15" ht="30" customHeight="1" x14ac:dyDescent="0.3">
      <c r="A41" s="37" t="s">
        <v>6</v>
      </c>
      <c r="B41" s="38">
        <f>8.2</f>
        <v>8.1999999999999993</v>
      </c>
      <c r="C41" s="41" t="s">
        <v>780</v>
      </c>
      <c r="D41" s="41" t="s">
        <v>1001</v>
      </c>
      <c r="E41" s="41" t="s">
        <v>711</v>
      </c>
      <c r="F41" s="41" t="s">
        <v>1593</v>
      </c>
      <c r="G41" s="42">
        <v>0.2</v>
      </c>
      <c r="J41" s="39">
        <f t="shared" si="15"/>
        <v>-2.1</v>
      </c>
      <c r="K41" s="39">
        <f t="shared" si="16"/>
        <v>-0.3</v>
      </c>
      <c r="L41" s="39">
        <f t="shared" si="17"/>
        <v>1.6</v>
      </c>
      <c r="M41" s="43">
        <v>-0.8</v>
      </c>
      <c r="O41" s="44">
        <f>VLOOKUP(G41,$B$5:$M$1305,12,)</f>
        <v>0.4</v>
      </c>
    </row>
    <row r="42" spans="1:15" ht="30" customHeight="1" x14ac:dyDescent="0.3">
      <c r="A42" s="37" t="s">
        <v>804</v>
      </c>
      <c r="B42" s="38">
        <f>18.6</f>
        <v>18.600000000000001</v>
      </c>
      <c r="C42" s="41" t="s">
        <v>633</v>
      </c>
      <c r="D42" s="41" t="s">
        <v>1002</v>
      </c>
      <c r="E42" s="41" t="s">
        <v>1254</v>
      </c>
      <c r="F42" s="41" t="s">
        <v>1599</v>
      </c>
      <c r="G42" s="42">
        <v>10.9</v>
      </c>
      <c r="J42" s="39">
        <f t="shared" si="15"/>
        <v>2.1</v>
      </c>
      <c r="K42" s="39">
        <f t="shared" si="16"/>
        <v>3.3</v>
      </c>
      <c r="L42" s="39">
        <f t="shared" si="17"/>
        <v>3.7</v>
      </c>
      <c r="M42" s="43">
        <v>9.1</v>
      </c>
      <c r="O42" s="44">
        <f>VLOOKUP(G42,$B$5:$M$1305,12,)</f>
        <v>4.2</v>
      </c>
    </row>
    <row r="43" spans="1:15" ht="30" customHeight="1" x14ac:dyDescent="0.3">
      <c r="A43" s="37" t="s">
        <v>803</v>
      </c>
      <c r="B43" s="38">
        <f>18</f>
        <v>18</v>
      </c>
      <c r="C43" s="41" t="s">
        <v>651</v>
      </c>
      <c r="D43" s="41" t="s">
        <v>791</v>
      </c>
      <c r="E43" s="41" t="s">
        <v>1251</v>
      </c>
      <c r="F43" s="41" t="s">
        <v>1598</v>
      </c>
      <c r="G43" s="42">
        <v>-19.600000000000001</v>
      </c>
      <c r="J43" s="39">
        <f t="shared" si="15"/>
        <v>0</v>
      </c>
      <c r="K43" s="39">
        <f t="shared" si="16"/>
        <v>3.3</v>
      </c>
      <c r="L43" s="39">
        <f t="shared" si="17"/>
        <v>1.6</v>
      </c>
      <c r="M43" s="43">
        <v>4.9000000000000004</v>
      </c>
      <c r="O43" s="44">
        <f>VLOOKUP(G43,$B$5:$M$1305,12,)</f>
        <v>-5.9</v>
      </c>
    </row>
    <row r="44" spans="1:15" ht="30" customHeight="1" x14ac:dyDescent="0.3">
      <c r="A44" s="37" t="s">
        <v>36</v>
      </c>
      <c r="B44" s="38">
        <f>0.2</f>
        <v>0.2</v>
      </c>
      <c r="C44" s="41" t="s">
        <v>808</v>
      </c>
      <c r="D44" s="41" t="s">
        <v>1090</v>
      </c>
      <c r="E44" s="41" t="s">
        <v>562</v>
      </c>
      <c r="F44" s="41" t="s">
        <v>1443</v>
      </c>
      <c r="G44" s="42">
        <v>8.1999999999999993</v>
      </c>
      <c r="J44" s="39">
        <f t="shared" si="15"/>
        <v>0.8</v>
      </c>
      <c r="K44" s="39">
        <f t="shared" si="16"/>
        <v>1.2</v>
      </c>
      <c r="L44" s="39">
        <f t="shared" si="17"/>
        <v>-1.6</v>
      </c>
      <c r="M44" s="43">
        <v>0.4</v>
      </c>
      <c r="N44" s="46"/>
      <c r="O44" s="44">
        <f>VLOOKUP(G44,$B$5:$M$1305,12,)</f>
        <v>-0.8</v>
      </c>
    </row>
    <row r="45" spans="1:15" ht="30" customHeight="1" x14ac:dyDescent="0.3">
      <c r="A45" s="37" t="s">
        <v>11</v>
      </c>
      <c r="B45" s="38">
        <f>1.9</f>
        <v>1.9</v>
      </c>
      <c r="C45" s="41" t="s">
        <v>810</v>
      </c>
      <c r="D45" s="41" t="s">
        <v>690</v>
      </c>
      <c r="E45" s="41" t="s">
        <v>1259</v>
      </c>
      <c r="F45" s="41" t="s">
        <v>731</v>
      </c>
      <c r="G45" s="42">
        <v>-4.9000000000000004</v>
      </c>
      <c r="J45" s="39">
        <f t="shared" si="15"/>
        <v>-1.4</v>
      </c>
      <c r="K45" s="39">
        <f t="shared" si="16"/>
        <v>1.2</v>
      </c>
      <c r="L45" s="39">
        <f t="shared" si="17"/>
        <v>-1.6</v>
      </c>
      <c r="M45" s="43">
        <v>-1.8</v>
      </c>
      <c r="O45" s="44">
        <f>VLOOKUP(G45,$B$5:$M$1305,12,)</f>
        <v>-4.9000000000000004</v>
      </c>
    </row>
    <row r="46" spans="1:15" ht="30" customHeight="1" x14ac:dyDescent="0.3">
      <c r="A46" s="37" t="s">
        <v>12</v>
      </c>
      <c r="B46" s="38">
        <f>-4.9</f>
        <v>-4.9000000000000004</v>
      </c>
      <c r="C46" s="41" t="s">
        <v>811</v>
      </c>
      <c r="D46" s="41" t="s">
        <v>993</v>
      </c>
      <c r="E46" s="41" t="s">
        <v>1256</v>
      </c>
      <c r="F46" s="41" t="s">
        <v>1601</v>
      </c>
      <c r="G46" s="42">
        <v>1.9</v>
      </c>
      <c r="J46" s="39">
        <f t="shared" si="15"/>
        <v>0</v>
      </c>
      <c r="K46" s="39">
        <f t="shared" si="16"/>
        <v>-1.2</v>
      </c>
      <c r="L46" s="39">
        <f t="shared" si="17"/>
        <v>-3.7</v>
      </c>
      <c r="M46" s="43">
        <v>-4.9000000000000004</v>
      </c>
      <c r="O46" s="44">
        <f>VLOOKUP(G46,$B$5:$M$1305,12,)</f>
        <v>-1.8</v>
      </c>
    </row>
    <row r="47" spans="1:15" ht="30" customHeight="1" x14ac:dyDescent="0.3">
      <c r="A47" s="37" t="s">
        <v>10</v>
      </c>
      <c r="B47" s="38">
        <f>-4.7</f>
        <v>-4.7</v>
      </c>
      <c r="C47" s="41" t="s">
        <v>350</v>
      </c>
      <c r="D47" s="41" t="s">
        <v>1089</v>
      </c>
      <c r="E47" s="41" t="s">
        <v>702</v>
      </c>
      <c r="F47" s="41" t="s">
        <v>1596</v>
      </c>
      <c r="G47" s="42">
        <v>-5.6</v>
      </c>
      <c r="J47" s="39">
        <f t="shared" si="15"/>
        <v>-1</v>
      </c>
      <c r="K47" s="39">
        <f t="shared" si="16"/>
        <v>-0.3</v>
      </c>
      <c r="L47" s="39">
        <f t="shared" si="17"/>
        <v>-1.6</v>
      </c>
      <c r="M47" s="43">
        <v>-2.9</v>
      </c>
      <c r="O47" s="44">
        <f>VLOOKUP(G47,$B$5:$M$1305,12,)</f>
        <v>-0.5</v>
      </c>
    </row>
    <row r="48" spans="1:15" ht="30" customHeight="1" x14ac:dyDescent="0.3">
      <c r="A48" s="37" t="s">
        <v>18</v>
      </c>
      <c r="B48" s="38">
        <f>9.3</f>
        <v>9.3000000000000007</v>
      </c>
      <c r="C48" s="46" t="s">
        <v>639</v>
      </c>
      <c r="D48" s="41" t="s">
        <v>1000</v>
      </c>
      <c r="E48" s="41" t="s">
        <v>329</v>
      </c>
      <c r="F48" s="41" t="s">
        <v>1603</v>
      </c>
      <c r="G48" s="42">
        <v>5.5</v>
      </c>
      <c r="J48" s="39">
        <f t="shared" si="15"/>
        <v>2.1</v>
      </c>
      <c r="K48" s="39">
        <f t="shared" si="16"/>
        <v>-0.3</v>
      </c>
      <c r="L48" s="39">
        <f t="shared" si="17"/>
        <v>1.6</v>
      </c>
      <c r="M48" s="43">
        <v>3.4</v>
      </c>
      <c r="O48" s="44">
        <f>VLOOKUP(G48,$B$5:$M$1305,12,)</f>
        <v>-1.7</v>
      </c>
    </row>
    <row r="49" spans="1:15" ht="30" customHeight="1" x14ac:dyDescent="0.3">
      <c r="A49" s="37" t="s">
        <v>13</v>
      </c>
      <c r="B49" s="38">
        <f>8.1</f>
        <v>8.1</v>
      </c>
      <c r="C49" s="41" t="s">
        <v>519</v>
      </c>
      <c r="D49" s="41" t="s">
        <v>969</v>
      </c>
      <c r="E49" s="41" t="s">
        <v>1255</v>
      </c>
      <c r="F49" s="41" t="s">
        <v>1326</v>
      </c>
      <c r="G49" s="42">
        <v>1.7</v>
      </c>
      <c r="J49" s="39">
        <f t="shared" si="15"/>
        <v>1.4</v>
      </c>
      <c r="K49" s="39">
        <f t="shared" si="16"/>
        <v>-3.4</v>
      </c>
      <c r="L49" s="39">
        <f t="shared" si="17"/>
        <v>1.6</v>
      </c>
      <c r="M49" s="43">
        <v>-0.4</v>
      </c>
      <c r="O49" s="44">
        <f>VLOOKUP(G49,$B$5:$M$1305,12,)</f>
        <v>-4.7</v>
      </c>
    </row>
    <row r="50" spans="1:15" ht="30" customHeight="1" x14ac:dyDescent="0.3">
      <c r="A50" s="37" t="s">
        <v>41</v>
      </c>
      <c r="B50" s="38">
        <f>5.5</f>
        <v>5.5</v>
      </c>
      <c r="C50" s="41" t="s">
        <v>809</v>
      </c>
      <c r="D50" s="41" t="s">
        <v>1208</v>
      </c>
      <c r="E50" s="41" t="s">
        <v>722</v>
      </c>
      <c r="F50" s="41" t="s">
        <v>1134</v>
      </c>
      <c r="G50" s="42">
        <v>9.3000000000000007</v>
      </c>
      <c r="J50" s="39">
        <f t="shared" si="15"/>
        <v>-1.4</v>
      </c>
      <c r="K50" s="39">
        <f t="shared" si="16"/>
        <v>-0.3</v>
      </c>
      <c r="L50" s="39">
        <f t="shared" si="17"/>
        <v>0</v>
      </c>
      <c r="M50" s="43">
        <v>-1.7</v>
      </c>
      <c r="O50" s="44">
        <f>VLOOKUP(G50,$B$5:$M$1305,12,)</f>
        <v>3.4</v>
      </c>
    </row>
    <row r="51" spans="1:15" ht="30" customHeight="1" x14ac:dyDescent="0.3">
      <c r="A51" s="37" t="s">
        <v>16</v>
      </c>
      <c r="B51" s="38">
        <f>10.9</f>
        <v>10.9</v>
      </c>
      <c r="C51" s="41" t="s">
        <v>807</v>
      </c>
      <c r="D51" s="41" t="s">
        <v>997</v>
      </c>
      <c r="E51" s="41" t="s">
        <v>313</v>
      </c>
      <c r="F51" s="41" t="s">
        <v>1602</v>
      </c>
      <c r="G51" s="42">
        <v>18.600000000000001</v>
      </c>
      <c r="J51" s="39">
        <f t="shared" si="15"/>
        <v>0.8</v>
      </c>
      <c r="K51" s="39">
        <f t="shared" si="16"/>
        <v>-0.3</v>
      </c>
      <c r="L51" s="39">
        <f t="shared" si="17"/>
        <v>3.7</v>
      </c>
      <c r="M51" s="43">
        <v>4.2</v>
      </c>
      <c r="O51" s="44">
        <f>VLOOKUP(G51,$B$5:$M$1305,12,)</f>
        <v>9.1</v>
      </c>
    </row>
    <row r="52" spans="1:15" ht="30" customHeight="1" x14ac:dyDescent="0.3">
      <c r="A52" s="37" t="s">
        <v>15</v>
      </c>
      <c r="B52" s="38">
        <f>-3.2</f>
        <v>-3.2</v>
      </c>
      <c r="C52" s="41" t="s">
        <v>471</v>
      </c>
      <c r="D52" s="41" t="s">
        <v>999</v>
      </c>
      <c r="E52" s="41" t="s">
        <v>1252</v>
      </c>
      <c r="F52" s="41" t="s">
        <v>1595</v>
      </c>
      <c r="G52" s="42">
        <v>6.2</v>
      </c>
      <c r="J52" s="39">
        <f t="shared" si="15"/>
        <v>-2.1</v>
      </c>
      <c r="K52" s="39">
        <f t="shared" si="16"/>
        <v>-3.4</v>
      </c>
      <c r="L52" s="39">
        <f t="shared" si="17"/>
        <v>1.6</v>
      </c>
      <c r="M52" s="43">
        <v>-3.9</v>
      </c>
      <c r="O52" s="44">
        <f>VLOOKUP(G52,$B$5:$M$1305,12,)</f>
        <v>0.5</v>
      </c>
    </row>
    <row r="53" spans="1:15" ht="30" customHeight="1" x14ac:dyDescent="0.3">
      <c r="B53" s="38"/>
      <c r="D53" s="46"/>
      <c r="E53" s="46"/>
      <c r="F53" s="41"/>
      <c r="O53" s="44" t="e">
        <f>VLOOKUP(G53,$B$5:$M$1305,12,)</f>
        <v>#N/A</v>
      </c>
    </row>
    <row r="54" spans="1:15" ht="30" customHeight="1" x14ac:dyDescent="0.3">
      <c r="B54" s="38"/>
      <c r="D54" s="46"/>
      <c r="E54" s="46"/>
      <c r="F54" s="41"/>
      <c r="O54" s="44" t="e">
        <f>VLOOKUP(G54,$B$5:$M$1305,12,)</f>
        <v>#N/A</v>
      </c>
    </row>
    <row r="55" spans="1:15" ht="30" customHeight="1" x14ac:dyDescent="0.3">
      <c r="B55" s="38"/>
      <c r="D55" s="46"/>
      <c r="E55" s="46"/>
      <c r="F55" s="41"/>
      <c r="O55" s="44" t="e">
        <f>VLOOKUP(G55,$B$5:$M$1305,12,)</f>
        <v>#N/A</v>
      </c>
    </row>
    <row r="56" spans="1:15" ht="30" customHeight="1" x14ac:dyDescent="0.3">
      <c r="B56" s="38"/>
      <c r="C56" s="39">
        <v>7</v>
      </c>
      <c r="D56" s="39">
        <v>8</v>
      </c>
      <c r="E56" s="39">
        <v>9</v>
      </c>
      <c r="F56" s="39">
        <v>10</v>
      </c>
      <c r="G56" s="39">
        <v>11</v>
      </c>
      <c r="H56" s="39">
        <v>12</v>
      </c>
      <c r="I56" s="39">
        <v>13</v>
      </c>
      <c r="O56" s="44">
        <f>VLOOKUP(G56,$B$5:$M$1305,12,)</f>
        <v>0.2</v>
      </c>
    </row>
    <row r="57" spans="1:15" ht="30" customHeight="1" x14ac:dyDescent="0.3">
      <c r="A57" s="37" t="s">
        <v>20</v>
      </c>
      <c r="B57" s="38">
        <f>12.2</f>
        <v>12.2</v>
      </c>
      <c r="C57" s="41" t="s">
        <v>561</v>
      </c>
      <c r="D57" s="41" t="s">
        <v>1261</v>
      </c>
      <c r="E57" s="41" t="s">
        <v>1456</v>
      </c>
      <c r="F57" s="42" t="s">
        <v>1626</v>
      </c>
      <c r="G57" s="42">
        <v>-25.4</v>
      </c>
      <c r="J57" s="39">
        <f t="shared" ref="J57" si="18">LOOKUP(,-SEARCH( $Q$6:$Q$12, D57), $R$6:$R$12 )</f>
        <v>2.1</v>
      </c>
      <c r="K57" s="39">
        <f t="shared" ref="K57" si="19">LOOKUP(,-SEARCH( $S$6:$S$12, E57), $T$6:$T$12 )</f>
        <v>1.2</v>
      </c>
      <c r="L57" s="39">
        <f t="shared" ref="L57" si="20">LOOKUP(,-SEARCH( $U$6:$U$12, F57), $V$6:$V$12 )</f>
        <v>3.7</v>
      </c>
      <c r="M57" s="43">
        <v>7</v>
      </c>
      <c r="O57" s="44">
        <f>VLOOKUP(G57,$B$5:$M$1305,12,)</f>
        <v>-7.8</v>
      </c>
    </row>
    <row r="58" spans="1:15" ht="30" customHeight="1" x14ac:dyDescent="0.3">
      <c r="A58" s="37" t="s">
        <v>22</v>
      </c>
      <c r="B58" s="38">
        <f>-8.1</f>
        <v>-8.1</v>
      </c>
      <c r="C58" s="41" t="s">
        <v>832</v>
      </c>
      <c r="D58" s="41" t="s">
        <v>1271</v>
      </c>
      <c r="E58" s="41" t="s">
        <v>915</v>
      </c>
      <c r="F58" s="42" t="s">
        <v>1625</v>
      </c>
      <c r="G58" s="42">
        <v>15.1</v>
      </c>
      <c r="J58" s="39">
        <f t="shared" ref="J58:J80" si="21">LOOKUP(,-SEARCH( $Q$6:$Q$12, D58), $R$6:$R$12 )</f>
        <v>0.8</v>
      </c>
      <c r="K58" s="39">
        <f t="shared" ref="K58:K80" si="22">LOOKUP(,-SEARCH( $S$6:$S$12, E58), $T$6:$T$12 )</f>
        <v>-0.3</v>
      </c>
      <c r="L58" s="39">
        <f t="shared" ref="L58:L80" si="23">LOOKUP(,-SEARCH( $U$6:$U$12, F58), $V$6:$V$12 )</f>
        <v>-3.7</v>
      </c>
      <c r="M58" s="43">
        <v>-3.2</v>
      </c>
      <c r="O58" s="44">
        <f>VLOOKUP(G58,$B$5:$M$1305,12,)</f>
        <v>-1</v>
      </c>
    </row>
    <row r="59" spans="1:15" ht="30" customHeight="1" x14ac:dyDescent="0.3">
      <c r="A59" s="37" t="s">
        <v>25</v>
      </c>
      <c r="B59" s="38">
        <f>16.1</f>
        <v>16.100000000000001</v>
      </c>
      <c r="C59" s="41" t="s">
        <v>1159</v>
      </c>
      <c r="D59" s="41" t="s">
        <v>1267</v>
      </c>
      <c r="E59" s="41" t="s">
        <v>1614</v>
      </c>
      <c r="F59" s="42" t="s">
        <v>1624</v>
      </c>
      <c r="G59" s="42">
        <v>10</v>
      </c>
      <c r="J59" s="39">
        <f t="shared" si="21"/>
        <v>2.1</v>
      </c>
      <c r="K59" s="39">
        <f t="shared" si="22"/>
        <v>-0.3</v>
      </c>
      <c r="L59" s="39">
        <f t="shared" si="23"/>
        <v>2.8</v>
      </c>
      <c r="M59" s="43">
        <v>4.5999999999999996</v>
      </c>
      <c r="O59" s="44">
        <f>VLOOKUP(G59,$B$5:$M$1305,12,)</f>
        <v>3.9</v>
      </c>
    </row>
    <row r="60" spans="1:15" ht="30" customHeight="1" x14ac:dyDescent="0.3">
      <c r="A60" s="37" t="s">
        <v>45</v>
      </c>
      <c r="B60" s="38">
        <f>-25.4</f>
        <v>-25.4</v>
      </c>
      <c r="C60" s="41" t="s">
        <v>1152</v>
      </c>
      <c r="D60" s="41" t="s">
        <v>1270</v>
      </c>
      <c r="E60" s="41" t="s">
        <v>1608</v>
      </c>
      <c r="F60" s="42" t="s">
        <v>1623</v>
      </c>
      <c r="G60" s="42">
        <v>12.2</v>
      </c>
      <c r="J60" s="39">
        <f t="shared" si="21"/>
        <v>-1.4</v>
      </c>
      <c r="K60" s="39">
        <f t="shared" si="22"/>
        <v>-3.4</v>
      </c>
      <c r="L60" s="39">
        <f t="shared" si="23"/>
        <v>-3</v>
      </c>
      <c r="M60" s="43">
        <v>-7.8</v>
      </c>
      <c r="O60" s="44">
        <f>VLOOKUP(G60,$B$5:$M$1305,12,)</f>
        <v>7</v>
      </c>
    </row>
    <row r="61" spans="1:15" ht="30" customHeight="1" x14ac:dyDescent="0.3">
      <c r="A61" s="37" t="s">
        <v>27</v>
      </c>
      <c r="B61" s="38">
        <f>-7.8</f>
        <v>-7.8</v>
      </c>
      <c r="C61" s="41" t="s">
        <v>526</v>
      </c>
      <c r="D61" s="41" t="s">
        <v>1262</v>
      </c>
      <c r="E61" s="41" t="s">
        <v>1613</v>
      </c>
      <c r="F61" s="42" t="s">
        <v>710</v>
      </c>
      <c r="G61" s="42">
        <v>5.3</v>
      </c>
      <c r="J61" s="39">
        <f t="shared" si="21"/>
        <v>-2.1</v>
      </c>
      <c r="K61" s="39">
        <f t="shared" si="22"/>
        <v>-1.2</v>
      </c>
      <c r="L61" s="39">
        <f t="shared" si="23"/>
        <v>0</v>
      </c>
      <c r="M61" s="43">
        <v>-3.3</v>
      </c>
      <c r="O61" s="44">
        <f>VLOOKUP(G61,$B$5:$M$1305,12,)</f>
        <v>2.1</v>
      </c>
    </row>
    <row r="62" spans="1:15" ht="30" customHeight="1" x14ac:dyDescent="0.3">
      <c r="A62" s="37" t="s">
        <v>24</v>
      </c>
      <c r="B62" s="38">
        <f>-10.6</f>
        <v>-10.6</v>
      </c>
      <c r="C62" s="41" t="s">
        <v>1155</v>
      </c>
      <c r="D62" s="41" t="s">
        <v>1266</v>
      </c>
      <c r="E62" s="41" t="s">
        <v>1610</v>
      </c>
      <c r="F62" s="42" t="s">
        <v>1618</v>
      </c>
      <c r="G62" s="42">
        <v>-6.2</v>
      </c>
      <c r="J62" s="39">
        <f t="shared" si="21"/>
        <v>-1.4</v>
      </c>
      <c r="K62" s="39">
        <f t="shared" si="22"/>
        <v>-0.3</v>
      </c>
      <c r="L62" s="39">
        <f t="shared" si="23"/>
        <v>1.6</v>
      </c>
      <c r="M62" s="43">
        <v>-0.1</v>
      </c>
      <c r="O62" s="44">
        <f>VLOOKUP(G62,$B$5:$M$1305,12,)</f>
        <v>-1.9</v>
      </c>
    </row>
    <row r="63" spans="1:15" ht="30" customHeight="1" x14ac:dyDescent="0.3">
      <c r="A63" s="37" t="s">
        <v>21</v>
      </c>
      <c r="B63" s="38">
        <f>-3.8</f>
        <v>-3.8</v>
      </c>
      <c r="C63" s="41" t="s">
        <v>916</v>
      </c>
      <c r="D63" s="41" t="s">
        <v>329</v>
      </c>
      <c r="E63" s="41" t="s">
        <v>1609</v>
      </c>
      <c r="F63" s="42" t="s">
        <v>557</v>
      </c>
      <c r="G63" s="42">
        <v>7.3</v>
      </c>
      <c r="J63" s="39">
        <f t="shared" si="21"/>
        <v>0</v>
      </c>
      <c r="K63" s="39">
        <f t="shared" si="22"/>
        <v>3.3</v>
      </c>
      <c r="L63" s="39">
        <f t="shared" si="23"/>
        <v>0</v>
      </c>
      <c r="M63" s="43">
        <v>3.3</v>
      </c>
      <c r="O63" s="44">
        <f>VLOOKUP(G63,$B$5:$M$1305,12,)</f>
        <v>-1.1000000000000001</v>
      </c>
    </row>
    <row r="64" spans="1:15" ht="30" customHeight="1" x14ac:dyDescent="0.3">
      <c r="A64" s="37" t="s">
        <v>28</v>
      </c>
      <c r="B64" s="38">
        <f>15.1</f>
        <v>15.1</v>
      </c>
      <c r="C64" s="41" t="s">
        <v>552</v>
      </c>
      <c r="D64" s="41" t="s">
        <v>691</v>
      </c>
      <c r="E64" s="41" t="s">
        <v>674</v>
      </c>
      <c r="F64" s="42" t="s">
        <v>1616</v>
      </c>
      <c r="G64" s="42">
        <v>-8.1</v>
      </c>
      <c r="J64" s="39">
        <f t="shared" si="21"/>
        <v>0.8</v>
      </c>
      <c r="K64" s="39">
        <f t="shared" si="22"/>
        <v>1.2</v>
      </c>
      <c r="L64" s="39">
        <f t="shared" si="23"/>
        <v>-3</v>
      </c>
      <c r="M64" s="43">
        <v>-1</v>
      </c>
      <c r="O64" s="44">
        <f>VLOOKUP(G64,$B$5:$M$1305,12,)</f>
        <v>-3.2</v>
      </c>
    </row>
    <row r="65" spans="1:17" ht="30" customHeight="1" x14ac:dyDescent="0.3">
      <c r="A65" s="37" t="s">
        <v>587</v>
      </c>
      <c r="B65" s="38">
        <f>-4.7</f>
        <v>-4.7</v>
      </c>
      <c r="C65" s="41" t="s">
        <v>966</v>
      </c>
      <c r="D65" s="41" t="s">
        <v>1268</v>
      </c>
      <c r="E65" s="41" t="s">
        <v>1611</v>
      </c>
      <c r="F65" s="42" t="s">
        <v>1273</v>
      </c>
      <c r="G65" s="42">
        <v>21.6</v>
      </c>
      <c r="J65" s="39">
        <f t="shared" si="21"/>
        <v>-2.1</v>
      </c>
      <c r="K65" s="39">
        <f t="shared" si="22"/>
        <v>-0.3</v>
      </c>
      <c r="L65" s="39">
        <f t="shared" si="23"/>
        <v>0</v>
      </c>
      <c r="M65" s="43">
        <v>-2.4</v>
      </c>
      <c r="O65" s="44">
        <f>VLOOKUP(G65,$B$5:$M$1305,12,)</f>
        <v>4</v>
      </c>
    </row>
    <row r="66" spans="1:17" ht="30" customHeight="1" x14ac:dyDescent="0.3">
      <c r="A66" s="37" t="s">
        <v>32</v>
      </c>
      <c r="B66" s="38">
        <f>10</f>
        <v>10</v>
      </c>
      <c r="C66" s="41" t="s">
        <v>1007</v>
      </c>
      <c r="D66" s="41" t="s">
        <v>1269</v>
      </c>
      <c r="E66" s="41" t="s">
        <v>1139</v>
      </c>
      <c r="F66" s="42" t="s">
        <v>1621</v>
      </c>
      <c r="G66" s="42">
        <v>16.100000000000001</v>
      </c>
      <c r="J66" s="39">
        <f t="shared" si="21"/>
        <v>1.4</v>
      </c>
      <c r="K66" s="39">
        <f t="shared" si="22"/>
        <v>-1.2</v>
      </c>
      <c r="L66" s="39">
        <f t="shared" si="23"/>
        <v>3.7</v>
      </c>
      <c r="M66" s="43">
        <v>3.9</v>
      </c>
      <c r="O66" s="44">
        <f>VLOOKUP(G66,$B$5:$M$1305,12,)</f>
        <v>4.5999999999999996</v>
      </c>
    </row>
    <row r="67" spans="1:17" ht="30" customHeight="1" x14ac:dyDescent="0.3">
      <c r="A67" s="37" t="s">
        <v>29</v>
      </c>
      <c r="B67" s="38">
        <f>4</f>
        <v>4</v>
      </c>
      <c r="C67" s="41" t="s">
        <v>1156</v>
      </c>
      <c r="D67" s="41" t="s">
        <v>550</v>
      </c>
      <c r="E67" s="41" t="s">
        <v>546</v>
      </c>
      <c r="F67" s="42" t="s">
        <v>1622</v>
      </c>
      <c r="G67" s="42">
        <v>8.6999999999999993</v>
      </c>
      <c r="J67" s="39">
        <f t="shared" si="21"/>
        <v>-1</v>
      </c>
      <c r="K67" s="39">
        <f t="shared" si="22"/>
        <v>-0.3</v>
      </c>
      <c r="L67" s="39">
        <f t="shared" si="23"/>
        <v>0</v>
      </c>
      <c r="M67" s="43">
        <v>-1.3</v>
      </c>
      <c r="O67" s="44">
        <f>VLOOKUP(G67,$B$5:$M$1305,12,)</f>
        <v>1.5</v>
      </c>
    </row>
    <row r="68" spans="1:17" ht="30" customHeight="1" x14ac:dyDescent="0.3">
      <c r="A68" s="37" t="s">
        <v>593</v>
      </c>
      <c r="B68" s="38">
        <f>21.6</f>
        <v>21.6</v>
      </c>
      <c r="C68" s="41" t="s">
        <v>1162</v>
      </c>
      <c r="D68" s="41" t="s">
        <v>708</v>
      </c>
      <c r="E68" s="41" t="s">
        <v>1470</v>
      </c>
      <c r="F68" s="42" t="s">
        <v>1629</v>
      </c>
      <c r="G68" s="42">
        <v>-4.7</v>
      </c>
      <c r="J68" s="39">
        <f t="shared" si="21"/>
        <v>0</v>
      </c>
      <c r="K68" s="39">
        <f t="shared" si="22"/>
        <v>1.2</v>
      </c>
      <c r="L68" s="39">
        <f t="shared" si="23"/>
        <v>2.8</v>
      </c>
      <c r="M68" s="43">
        <v>4</v>
      </c>
      <c r="O68" s="44">
        <f>VLOOKUP(G68,$B$5:$M$1305,12,)</f>
        <v>-2.9</v>
      </c>
    </row>
    <row r="69" spans="1:17" ht="30" customHeight="1" x14ac:dyDescent="0.3">
      <c r="A69" s="37" t="s">
        <v>588</v>
      </c>
      <c r="B69" s="38">
        <f>15.6</f>
        <v>15.6</v>
      </c>
      <c r="C69" s="41" t="s">
        <v>1154</v>
      </c>
      <c r="D69" s="41" t="s">
        <v>1263</v>
      </c>
      <c r="E69" s="41" t="s">
        <v>1612</v>
      </c>
      <c r="F69" s="42" t="s">
        <v>1628</v>
      </c>
      <c r="G69" s="42">
        <v>3.9</v>
      </c>
      <c r="J69" s="39">
        <f t="shared" si="21"/>
        <v>-1</v>
      </c>
      <c r="K69" s="39">
        <f t="shared" si="22"/>
        <v>1.2</v>
      </c>
      <c r="L69" s="39">
        <f t="shared" si="23"/>
        <v>-3</v>
      </c>
      <c r="M69" s="43">
        <v>-2.8</v>
      </c>
      <c r="O69" s="44">
        <f>VLOOKUP(G69,$B$5:$M$1305,12,)</f>
        <v>-3.8</v>
      </c>
    </row>
    <row r="70" spans="1:17" ht="30" customHeight="1" x14ac:dyDescent="0.3">
      <c r="A70" s="37" t="s">
        <v>49</v>
      </c>
      <c r="B70" s="38">
        <f>5.3</f>
        <v>5.3</v>
      </c>
      <c r="C70" s="41" t="s">
        <v>333</v>
      </c>
      <c r="D70" s="41" t="s">
        <v>1264</v>
      </c>
      <c r="E70" s="41" t="s">
        <v>1607</v>
      </c>
      <c r="F70" s="42" t="s">
        <v>1456</v>
      </c>
      <c r="G70" s="42">
        <v>-7.8</v>
      </c>
      <c r="J70" s="39">
        <f t="shared" si="21"/>
        <v>0.8</v>
      </c>
      <c r="K70" s="39">
        <f t="shared" si="22"/>
        <v>-0.3</v>
      </c>
      <c r="L70" s="39">
        <f t="shared" si="23"/>
        <v>1.6</v>
      </c>
      <c r="M70" s="43">
        <v>2.1</v>
      </c>
      <c r="O70" s="44">
        <f>VLOOKUP(G70,$B$5:$M$1305,12,)</f>
        <v>-3.3</v>
      </c>
    </row>
    <row r="71" spans="1:17" ht="30" customHeight="1" x14ac:dyDescent="0.3">
      <c r="A71" s="37" t="s">
        <v>9</v>
      </c>
      <c r="B71" s="38">
        <f>7.3</f>
        <v>7.3</v>
      </c>
      <c r="C71" s="41" t="s">
        <v>639</v>
      </c>
      <c r="D71" s="41" t="s">
        <v>1087</v>
      </c>
      <c r="E71" s="41" t="s">
        <v>733</v>
      </c>
      <c r="F71" s="42" t="s">
        <v>346</v>
      </c>
      <c r="G71" s="42">
        <v>-3.8</v>
      </c>
      <c r="J71" s="39">
        <f t="shared" si="21"/>
        <v>0.8</v>
      </c>
      <c r="K71" s="39">
        <f t="shared" si="22"/>
        <v>-0.3</v>
      </c>
      <c r="L71" s="39">
        <f t="shared" si="23"/>
        <v>-1.6</v>
      </c>
      <c r="M71" s="43">
        <v>-1.1000000000000001</v>
      </c>
      <c r="O71" s="44">
        <f>VLOOKUP(G71,$B$5:$M$1305,12,)</f>
        <v>3.3</v>
      </c>
    </row>
    <row r="72" spans="1:17" ht="30" customHeight="1" x14ac:dyDescent="0.3">
      <c r="A72" s="37" t="s">
        <v>589</v>
      </c>
      <c r="B72" s="38">
        <f>-7.2</f>
        <v>-7.2</v>
      </c>
      <c r="C72" s="41" t="s">
        <v>539</v>
      </c>
      <c r="D72" s="41" t="s">
        <v>1274</v>
      </c>
      <c r="E72" s="41" t="s">
        <v>1596</v>
      </c>
      <c r="F72" s="42" t="s">
        <v>1619</v>
      </c>
      <c r="G72" s="42">
        <v>12.7</v>
      </c>
      <c r="J72" s="39">
        <f t="shared" si="21"/>
        <v>-1</v>
      </c>
      <c r="K72" s="39">
        <f t="shared" si="22"/>
        <v>-1.2</v>
      </c>
      <c r="L72" s="39">
        <f t="shared" si="23"/>
        <v>-3</v>
      </c>
      <c r="M72" s="43">
        <v>-5.2</v>
      </c>
      <c r="O72" s="44">
        <f>VLOOKUP(G72,$B$5:$M$1305,12,)</f>
        <v>4</v>
      </c>
    </row>
    <row r="73" spans="1:17" ht="30" customHeight="1" x14ac:dyDescent="0.3">
      <c r="A73" s="37" t="s">
        <v>34</v>
      </c>
      <c r="B73" s="38">
        <f>6.4</f>
        <v>6.4</v>
      </c>
      <c r="C73" s="41" t="s">
        <v>1160</v>
      </c>
      <c r="D73" s="41" t="s">
        <v>1277</v>
      </c>
      <c r="E73" s="41" t="s">
        <v>1615</v>
      </c>
      <c r="F73" s="42" t="s">
        <v>1620</v>
      </c>
      <c r="G73" s="42">
        <v>-3.8</v>
      </c>
      <c r="J73" s="39">
        <f t="shared" si="21"/>
        <v>0.8</v>
      </c>
      <c r="K73" s="39">
        <f t="shared" si="22"/>
        <v>-0.3</v>
      </c>
      <c r="L73" s="39">
        <f t="shared" si="23"/>
        <v>1.6</v>
      </c>
      <c r="M73" s="43">
        <v>2.1</v>
      </c>
      <c r="N73" s="38"/>
      <c r="O73" s="44">
        <f>VLOOKUP(G73,$B$5:$M$1305,12,)</f>
        <v>3.3</v>
      </c>
    </row>
    <row r="74" spans="1:17" ht="30" customHeight="1" x14ac:dyDescent="0.3">
      <c r="A74" s="37" t="s">
        <v>37</v>
      </c>
      <c r="B74" s="38">
        <f>17.7</f>
        <v>17.7</v>
      </c>
      <c r="C74" s="41" t="s">
        <v>1161</v>
      </c>
      <c r="D74" s="41" t="s">
        <v>1265</v>
      </c>
      <c r="E74" s="41" t="s">
        <v>666</v>
      </c>
      <c r="F74" s="42" t="s">
        <v>1627</v>
      </c>
      <c r="G74" s="42">
        <v>-14.6</v>
      </c>
      <c r="J74" s="39">
        <f t="shared" si="21"/>
        <v>1.4</v>
      </c>
      <c r="K74" s="39">
        <f t="shared" si="22"/>
        <v>-0.3</v>
      </c>
      <c r="L74" s="39">
        <f t="shared" si="23"/>
        <v>1.6</v>
      </c>
      <c r="M74" s="43">
        <v>2.7</v>
      </c>
      <c r="N74" s="38"/>
      <c r="O74" s="44">
        <f>VLOOKUP(G74,$B$5:$M$1305,12,)</f>
        <v>-4.9000000000000004</v>
      </c>
    </row>
    <row r="75" spans="1:17" ht="30" customHeight="1" x14ac:dyDescent="0.3">
      <c r="A75" s="37" t="s">
        <v>590</v>
      </c>
      <c r="B75" s="38">
        <f>-3.8</f>
        <v>-3.8</v>
      </c>
      <c r="C75" s="41" t="s">
        <v>835</v>
      </c>
      <c r="D75" s="41" t="s">
        <v>543</v>
      </c>
      <c r="E75" s="41" t="s">
        <v>1293</v>
      </c>
      <c r="F75" s="42" t="s">
        <v>1630</v>
      </c>
      <c r="G75" s="42">
        <v>6.4</v>
      </c>
      <c r="J75" s="39">
        <f t="shared" si="21"/>
        <v>0</v>
      </c>
      <c r="K75" s="39">
        <f t="shared" si="22"/>
        <v>-0.3</v>
      </c>
      <c r="L75" s="39">
        <f t="shared" si="23"/>
        <v>-1.6</v>
      </c>
      <c r="M75" s="43">
        <v>-1.9</v>
      </c>
      <c r="N75" s="38"/>
      <c r="O75" s="44">
        <f>VLOOKUP(G75,$B$5:$M$1305,12,)</f>
        <v>2.1</v>
      </c>
    </row>
    <row r="76" spans="1:17" ht="30" customHeight="1" x14ac:dyDescent="0.3">
      <c r="A76" s="37" t="s">
        <v>17</v>
      </c>
      <c r="B76" s="38">
        <f>-14.6</f>
        <v>-14.6</v>
      </c>
      <c r="C76" s="41" t="s">
        <v>1158</v>
      </c>
      <c r="D76" s="41" t="s">
        <v>1273</v>
      </c>
      <c r="E76" s="41" t="s">
        <v>731</v>
      </c>
      <c r="F76" s="42" t="s">
        <v>1162</v>
      </c>
      <c r="G76" s="42">
        <v>17.7</v>
      </c>
      <c r="J76" s="39">
        <f t="shared" si="21"/>
        <v>0</v>
      </c>
      <c r="K76" s="39">
        <f t="shared" si="22"/>
        <v>-1.2</v>
      </c>
      <c r="L76" s="39">
        <f t="shared" si="23"/>
        <v>-3.7</v>
      </c>
      <c r="M76" s="43">
        <v>-4.9000000000000004</v>
      </c>
      <c r="N76" s="38"/>
      <c r="O76" s="44">
        <f>VLOOKUP(G76,$B$5:$M$1305,12,)</f>
        <v>2.7</v>
      </c>
      <c r="Q76" s="38"/>
    </row>
    <row r="77" spans="1:17" ht="30" customHeight="1" x14ac:dyDescent="0.3">
      <c r="A77" s="37" t="s">
        <v>42</v>
      </c>
      <c r="B77" s="38">
        <f>8.7</f>
        <v>8.6999999999999993</v>
      </c>
      <c r="C77" s="41" t="s">
        <v>657</v>
      </c>
      <c r="D77" s="41" t="s">
        <v>1272</v>
      </c>
      <c r="E77" s="41" t="s">
        <v>719</v>
      </c>
      <c r="F77" s="42" t="s">
        <v>1454</v>
      </c>
      <c r="G77" s="42">
        <v>4</v>
      </c>
      <c r="J77" s="39">
        <f t="shared" si="21"/>
        <v>-1</v>
      </c>
      <c r="K77" s="39">
        <f t="shared" si="22"/>
        <v>-0.3</v>
      </c>
      <c r="L77" s="39">
        <f t="shared" si="23"/>
        <v>2.8</v>
      </c>
      <c r="M77" s="43">
        <v>1.5</v>
      </c>
      <c r="N77" s="38"/>
      <c r="O77" s="44">
        <f>VLOOKUP(G77,$B$5:$M$1305,12,)</f>
        <v>-1.3</v>
      </c>
    </row>
    <row r="78" spans="1:17" ht="30" customHeight="1" x14ac:dyDescent="0.3">
      <c r="A78" s="37" t="s">
        <v>14</v>
      </c>
      <c r="B78" s="38">
        <f>-6.2</f>
        <v>-6.2</v>
      </c>
      <c r="C78" s="41" t="s">
        <v>1131</v>
      </c>
      <c r="D78" s="41" t="s">
        <v>785</v>
      </c>
      <c r="E78" s="41" t="s">
        <v>334</v>
      </c>
      <c r="F78" s="42" t="s">
        <v>1435</v>
      </c>
      <c r="G78" s="42">
        <v>-10.6</v>
      </c>
      <c r="J78" s="39">
        <f t="shared" si="21"/>
        <v>0</v>
      </c>
      <c r="K78" s="39">
        <f t="shared" si="22"/>
        <v>-0.3</v>
      </c>
      <c r="L78" s="39">
        <f t="shared" si="23"/>
        <v>-1.6</v>
      </c>
      <c r="M78" s="43">
        <v>-1.9</v>
      </c>
      <c r="N78" s="38"/>
      <c r="O78" s="44">
        <f>VLOOKUP(G78,$B$5:$M$1305,12,)</f>
        <v>-0.1</v>
      </c>
      <c r="Q78" s="38"/>
    </row>
    <row r="79" spans="1:17" ht="30" customHeight="1" x14ac:dyDescent="0.3">
      <c r="A79" s="37" t="s">
        <v>592</v>
      </c>
      <c r="B79" s="38">
        <f>12.7</f>
        <v>12.7</v>
      </c>
      <c r="C79" s="41" t="s">
        <v>1153</v>
      </c>
      <c r="D79" s="41" t="s">
        <v>1276</v>
      </c>
      <c r="E79" s="41" t="s">
        <v>1605</v>
      </c>
      <c r="F79" s="42" t="s">
        <v>1617</v>
      </c>
      <c r="G79" s="42">
        <v>-7.2</v>
      </c>
      <c r="J79" s="39">
        <f t="shared" si="21"/>
        <v>-1</v>
      </c>
      <c r="K79" s="39">
        <f t="shared" si="22"/>
        <v>2.2000000000000002</v>
      </c>
      <c r="L79" s="39">
        <f t="shared" si="23"/>
        <v>2.8</v>
      </c>
      <c r="M79" s="43">
        <v>4</v>
      </c>
      <c r="O79" s="44">
        <f>VLOOKUP(G79,$B$5:$M$1305,12,)</f>
        <v>-5.2</v>
      </c>
    </row>
    <row r="80" spans="1:17" ht="30" customHeight="1" x14ac:dyDescent="0.3">
      <c r="A80" s="37" t="s">
        <v>591</v>
      </c>
      <c r="B80" s="38">
        <f>3.9</f>
        <v>3.9</v>
      </c>
      <c r="C80" s="41" t="s">
        <v>1157</v>
      </c>
      <c r="D80" s="41" t="s">
        <v>1275</v>
      </c>
      <c r="E80" s="41" t="s">
        <v>1606</v>
      </c>
      <c r="F80" s="42" t="s">
        <v>1140</v>
      </c>
      <c r="G80" s="42">
        <v>15.6</v>
      </c>
      <c r="J80" s="39">
        <f t="shared" si="21"/>
        <v>0</v>
      </c>
      <c r="K80" s="39">
        <f t="shared" si="22"/>
        <v>-2.2000000000000002</v>
      </c>
      <c r="L80" s="39">
        <f t="shared" si="23"/>
        <v>-1.6</v>
      </c>
      <c r="M80" s="43">
        <v>-3.8</v>
      </c>
      <c r="O80" s="44">
        <f>VLOOKUP(G80,$B$5:$M$1305,12,)</f>
        <v>-2.8</v>
      </c>
    </row>
    <row r="81" spans="1:17" ht="30" customHeight="1" x14ac:dyDescent="0.3">
      <c r="B81" s="38"/>
      <c r="O81" s="44" t="e">
        <f>VLOOKUP(G81,$B$5:$M$1305,12,)</f>
        <v>#N/A</v>
      </c>
    </row>
    <row r="82" spans="1:17" ht="30" customHeight="1" x14ac:dyDescent="0.3">
      <c r="B82" s="38"/>
      <c r="O82" s="44" t="e">
        <f>VLOOKUP(G82,$B$5:$M$1305,12,)</f>
        <v>#N/A</v>
      </c>
    </row>
    <row r="83" spans="1:17" ht="30" customHeight="1" x14ac:dyDescent="0.3">
      <c r="B83" s="38"/>
      <c r="C83" s="39">
        <v>7</v>
      </c>
      <c r="D83" s="39">
        <v>8</v>
      </c>
      <c r="E83" s="39">
        <v>9</v>
      </c>
      <c r="F83" s="39">
        <v>10</v>
      </c>
      <c r="G83" s="39">
        <v>11</v>
      </c>
      <c r="H83" s="39">
        <v>12</v>
      </c>
      <c r="I83" s="39">
        <v>13</v>
      </c>
      <c r="N83" s="38"/>
      <c r="O83" s="44">
        <f>VLOOKUP(G83,$B$5:$M$1305,12,)</f>
        <v>0.2</v>
      </c>
    </row>
    <row r="84" spans="1:17" ht="30" customHeight="1" x14ac:dyDescent="0.3">
      <c r="A84" s="37" t="s">
        <v>46</v>
      </c>
      <c r="B84" s="38">
        <f>14.3</f>
        <v>14.3</v>
      </c>
      <c r="C84" s="41" t="s">
        <v>1169</v>
      </c>
      <c r="D84" s="41" t="s">
        <v>1281</v>
      </c>
      <c r="E84" s="42" t="s">
        <v>1631</v>
      </c>
      <c r="F84" s="42" t="s">
        <v>361</v>
      </c>
      <c r="G84" s="42">
        <v>-6.3</v>
      </c>
      <c r="J84" s="39">
        <f t="shared" ref="J84" si="24">LOOKUP(,-SEARCH( $Q$6:$Q$12, D84), $R$6:$R$12 )</f>
        <v>0.8</v>
      </c>
      <c r="K84" s="39">
        <f t="shared" ref="K84" si="25">LOOKUP(,-SEARCH( $S$6:$S$12, E84), $T$6:$T$12 )</f>
        <v>1.2</v>
      </c>
      <c r="L84" s="39">
        <f t="shared" ref="L84" si="26">LOOKUP(,-SEARCH( $U$6:$U$12, F84), $V$6:$V$12 )</f>
        <v>-3.7</v>
      </c>
      <c r="M84" s="43">
        <v>-1.7</v>
      </c>
      <c r="N84" s="38"/>
      <c r="O84" s="44">
        <f>VLOOKUP(G84,$B$5:$M$1305,12,)</f>
        <v>0.7</v>
      </c>
      <c r="Q84" s="38"/>
    </row>
    <row r="85" spans="1:17" ht="30" customHeight="1" x14ac:dyDescent="0.3">
      <c r="A85" s="37" t="s">
        <v>596</v>
      </c>
      <c r="B85" s="38">
        <f>12.7</f>
        <v>12.7</v>
      </c>
      <c r="C85" s="41" t="s">
        <v>1173</v>
      </c>
      <c r="D85" s="41" t="s">
        <v>1279</v>
      </c>
      <c r="E85" s="42" t="s">
        <v>1633</v>
      </c>
      <c r="F85" s="42" t="s">
        <v>1646</v>
      </c>
      <c r="G85" s="42">
        <v>4.0999999999999996</v>
      </c>
      <c r="J85" s="39">
        <f t="shared" ref="J85:J107" si="27">LOOKUP(,-SEARCH( $Q$6:$Q$12, D85), $R$6:$R$12 )</f>
        <v>1.4</v>
      </c>
      <c r="K85" s="39">
        <f t="shared" ref="K85:K107" si="28">LOOKUP(,-SEARCH( $S$6:$S$12, E85), $T$6:$T$12 )</f>
        <v>-2.2000000000000002</v>
      </c>
      <c r="L85" s="39">
        <f t="shared" ref="L85:L107" si="29">LOOKUP(,-SEARCH( $U$6:$U$12, F85), $V$6:$V$12 )</f>
        <v>0</v>
      </c>
      <c r="M85" s="43">
        <v>-0.8</v>
      </c>
      <c r="N85" s="38"/>
      <c r="O85" s="44">
        <f>VLOOKUP(G85,$B$5:$M$1305,12,)</f>
        <v>3.8</v>
      </c>
      <c r="Q85" s="38"/>
    </row>
    <row r="86" spans="1:17" ht="30" customHeight="1" x14ac:dyDescent="0.3">
      <c r="A86" s="37" t="s">
        <v>597</v>
      </c>
      <c r="B86" s="38">
        <f>-6.1</f>
        <v>-6.1</v>
      </c>
      <c r="C86" s="41" t="s">
        <v>1005</v>
      </c>
      <c r="D86" s="41" t="s">
        <v>1283</v>
      </c>
      <c r="E86" s="42" t="s">
        <v>752</v>
      </c>
      <c r="F86" s="42" t="s">
        <v>1649</v>
      </c>
      <c r="G86" s="42">
        <v>2.2999999999999998</v>
      </c>
      <c r="J86" s="39">
        <f t="shared" si="27"/>
        <v>0</v>
      </c>
      <c r="K86" s="39">
        <f t="shared" si="28"/>
        <v>-0.3</v>
      </c>
      <c r="L86" s="39">
        <f t="shared" si="29"/>
        <v>3.7</v>
      </c>
      <c r="M86" s="43">
        <v>3.4</v>
      </c>
      <c r="O86" s="44">
        <f>VLOOKUP(G86,$B$5:$M$1305,12,)</f>
        <v>3</v>
      </c>
    </row>
    <row r="87" spans="1:17" ht="30" customHeight="1" x14ac:dyDescent="0.3">
      <c r="A87" s="37" t="s">
        <v>23</v>
      </c>
      <c r="B87" s="38">
        <f>8.6</f>
        <v>8.6</v>
      </c>
      <c r="C87" s="41" t="s">
        <v>1178</v>
      </c>
      <c r="D87" s="41" t="s">
        <v>1285</v>
      </c>
      <c r="E87" s="42" t="s">
        <v>551</v>
      </c>
      <c r="F87" s="42" t="s">
        <v>1135</v>
      </c>
      <c r="G87" s="42">
        <v>-9.5</v>
      </c>
      <c r="J87" s="39">
        <f t="shared" si="27"/>
        <v>-1</v>
      </c>
      <c r="K87" s="39">
        <f t="shared" si="28"/>
        <v>-0.3</v>
      </c>
      <c r="L87" s="39">
        <f t="shared" si="29"/>
        <v>2.8</v>
      </c>
      <c r="M87" s="43">
        <v>1.5</v>
      </c>
      <c r="O87" s="44">
        <f>VLOOKUP(G87,$B$5:$M$1305,12,)</f>
        <v>-2.6</v>
      </c>
    </row>
    <row r="88" spans="1:17" ht="30" customHeight="1" x14ac:dyDescent="0.3">
      <c r="A88" s="37" t="s">
        <v>607</v>
      </c>
      <c r="B88" s="38">
        <f>-7.2</f>
        <v>-7.2</v>
      </c>
      <c r="C88" s="41" t="s">
        <v>1166</v>
      </c>
      <c r="D88" s="41" t="s">
        <v>1295</v>
      </c>
      <c r="E88" s="42" t="s">
        <v>1634</v>
      </c>
      <c r="F88" s="42" t="s">
        <v>1128</v>
      </c>
      <c r="G88" s="42">
        <v>-18.2</v>
      </c>
      <c r="J88" s="39">
        <f t="shared" si="27"/>
        <v>-2.1</v>
      </c>
      <c r="K88" s="39">
        <f t="shared" si="28"/>
        <v>2.2000000000000002</v>
      </c>
      <c r="L88" s="39">
        <f t="shared" si="29"/>
        <v>-3.7</v>
      </c>
      <c r="M88" s="43">
        <v>-3.6</v>
      </c>
      <c r="N88" s="38"/>
      <c r="O88" s="44">
        <f>VLOOKUP(G88,$B$5:$M$1305,12,)</f>
        <v>-5</v>
      </c>
      <c r="Q88" s="38"/>
    </row>
    <row r="89" spans="1:17" ht="30" customHeight="1" x14ac:dyDescent="0.3">
      <c r="A89" s="37" t="s">
        <v>598</v>
      </c>
      <c r="B89" s="38">
        <f>-9.5</f>
        <v>-9.5</v>
      </c>
      <c r="C89" s="41" t="s">
        <v>1163</v>
      </c>
      <c r="D89" s="41" t="s">
        <v>1287</v>
      </c>
      <c r="E89" s="42" t="s">
        <v>663</v>
      </c>
      <c r="F89" s="42" t="s">
        <v>1652</v>
      </c>
      <c r="G89" s="42">
        <v>8.6</v>
      </c>
      <c r="J89" s="39">
        <f t="shared" si="27"/>
        <v>0.8</v>
      </c>
      <c r="K89" s="39">
        <f t="shared" si="28"/>
        <v>-3.4</v>
      </c>
      <c r="L89" s="39">
        <f t="shared" si="29"/>
        <v>0</v>
      </c>
      <c r="M89" s="43">
        <v>-2.6</v>
      </c>
      <c r="N89" s="38"/>
      <c r="O89" s="44">
        <f>VLOOKUP(G89,$B$5:$M$1305,12,)</f>
        <v>1.5</v>
      </c>
      <c r="Q89" s="38"/>
    </row>
    <row r="90" spans="1:17" ht="30" customHeight="1" x14ac:dyDescent="0.3">
      <c r="A90" s="37" t="s">
        <v>599</v>
      </c>
      <c r="B90" s="38">
        <f>-6.3</f>
        <v>-6.3</v>
      </c>
      <c r="C90" s="41" t="s">
        <v>1175</v>
      </c>
      <c r="D90" s="41" t="s">
        <v>1278</v>
      </c>
      <c r="E90" s="42" t="s">
        <v>1639</v>
      </c>
      <c r="F90" s="42" t="s">
        <v>1650</v>
      </c>
      <c r="G90" s="42">
        <v>14.3</v>
      </c>
      <c r="J90" s="39">
        <f t="shared" si="27"/>
        <v>-1</v>
      </c>
      <c r="K90" s="39">
        <f t="shared" si="28"/>
        <v>3.3</v>
      </c>
      <c r="L90" s="39">
        <f t="shared" si="29"/>
        <v>-1.6</v>
      </c>
      <c r="M90" s="43">
        <v>0.7</v>
      </c>
      <c r="O90" s="44">
        <f>VLOOKUP(G90,$B$5:$M$1305,12,)</f>
        <v>-1.7</v>
      </c>
    </row>
    <row r="91" spans="1:17" ht="30" customHeight="1" x14ac:dyDescent="0.3">
      <c r="A91" s="37" t="s">
        <v>600</v>
      </c>
      <c r="B91" s="38">
        <f>2.3</f>
        <v>2.2999999999999998</v>
      </c>
      <c r="C91" s="41" t="s">
        <v>1172</v>
      </c>
      <c r="D91" s="41" t="s">
        <v>938</v>
      </c>
      <c r="E91" s="42" t="s">
        <v>643</v>
      </c>
      <c r="F91" s="42" t="s">
        <v>1651</v>
      </c>
      <c r="G91" s="42">
        <v>-6.1</v>
      </c>
      <c r="J91" s="39">
        <f t="shared" si="27"/>
        <v>0.8</v>
      </c>
      <c r="K91" s="39">
        <f t="shared" si="28"/>
        <v>2.2000000000000002</v>
      </c>
      <c r="L91" s="39">
        <f t="shared" si="29"/>
        <v>0</v>
      </c>
      <c r="M91" s="43">
        <v>3</v>
      </c>
      <c r="O91" s="44">
        <f>VLOOKUP(G91,$B$5:$M$1305,12,)</f>
        <v>3.4</v>
      </c>
    </row>
    <row r="92" spans="1:17" ht="30" customHeight="1" x14ac:dyDescent="0.3">
      <c r="A92" s="37" t="s">
        <v>601</v>
      </c>
      <c r="B92" s="38">
        <f>-11.4</f>
        <v>-11.4</v>
      </c>
      <c r="C92" s="41" t="s">
        <v>1293</v>
      </c>
      <c r="D92" s="42" t="s">
        <v>1298</v>
      </c>
      <c r="E92" s="42" t="s">
        <v>1632</v>
      </c>
      <c r="F92" s="42" t="s">
        <v>1244</v>
      </c>
      <c r="G92" s="42">
        <v>0.7</v>
      </c>
      <c r="J92" s="39">
        <f t="shared" si="27"/>
        <v>-1</v>
      </c>
      <c r="K92" s="39">
        <f t="shared" si="28"/>
        <v>-1.2</v>
      </c>
      <c r="L92" s="39">
        <f t="shared" si="29"/>
        <v>0</v>
      </c>
      <c r="M92" s="43">
        <v>-2.2000000000000002</v>
      </c>
      <c r="O92" s="44">
        <f>VLOOKUP(G92,$B$5:$M$1305,12,)</f>
        <v>-0.7</v>
      </c>
    </row>
    <row r="93" spans="1:17" ht="30" customHeight="1" x14ac:dyDescent="0.3">
      <c r="A93" s="37" t="s">
        <v>602</v>
      </c>
      <c r="B93" s="38">
        <f>-16</f>
        <v>-16</v>
      </c>
      <c r="C93" s="41" t="s">
        <v>1165</v>
      </c>
      <c r="D93" s="41" t="s">
        <v>1289</v>
      </c>
      <c r="E93" s="42" t="s">
        <v>1642</v>
      </c>
      <c r="F93" s="42" t="s">
        <v>1653</v>
      </c>
      <c r="G93" s="42">
        <v>2.9</v>
      </c>
      <c r="J93" s="39">
        <f t="shared" si="27"/>
        <v>-1</v>
      </c>
      <c r="K93" s="39">
        <f t="shared" si="28"/>
        <v>-3.4</v>
      </c>
      <c r="L93" s="39">
        <f t="shared" si="29"/>
        <v>1.6</v>
      </c>
      <c r="M93" s="43">
        <v>-2.8</v>
      </c>
      <c r="O93" s="44">
        <f>VLOOKUP(G93,$B$5:$M$1305,12,)</f>
        <v>3.6</v>
      </c>
    </row>
    <row r="94" spans="1:17" ht="30" customHeight="1" x14ac:dyDescent="0.3">
      <c r="A94" s="37" t="s">
        <v>52</v>
      </c>
      <c r="B94" s="38">
        <f>0.1</f>
        <v>0.1</v>
      </c>
      <c r="C94" s="41" t="s">
        <v>1170</v>
      </c>
      <c r="D94" s="41" t="s">
        <v>1280</v>
      </c>
      <c r="E94" s="42" t="s">
        <v>1637</v>
      </c>
      <c r="F94" s="42" t="s">
        <v>1648</v>
      </c>
      <c r="G94" s="42">
        <v>15.7</v>
      </c>
      <c r="J94" s="39">
        <f t="shared" si="27"/>
        <v>-1.4</v>
      </c>
      <c r="K94" s="39">
        <f t="shared" si="28"/>
        <v>-1.2</v>
      </c>
      <c r="L94" s="39">
        <f t="shared" si="29"/>
        <v>-3.7</v>
      </c>
      <c r="M94" s="43">
        <v>-6.3</v>
      </c>
      <c r="O94" s="44">
        <f>VLOOKUP(G94,$B$5:$M$1305,12,)</f>
        <v>-0.4</v>
      </c>
    </row>
    <row r="95" spans="1:17" ht="30" customHeight="1" x14ac:dyDescent="0.3">
      <c r="A95" s="37" t="s">
        <v>603</v>
      </c>
      <c r="B95" s="38">
        <f>2.9</f>
        <v>2.9</v>
      </c>
      <c r="C95" s="41" t="s">
        <v>1168</v>
      </c>
      <c r="D95" s="41" t="s">
        <v>1292</v>
      </c>
      <c r="E95" s="42" t="s">
        <v>654</v>
      </c>
      <c r="F95" s="42" t="s">
        <v>1655</v>
      </c>
      <c r="G95" s="42">
        <v>-16</v>
      </c>
      <c r="J95" s="39">
        <f t="shared" si="27"/>
        <v>2.1</v>
      </c>
      <c r="K95" s="39">
        <f t="shared" si="28"/>
        <v>-2.2000000000000002</v>
      </c>
      <c r="L95" s="39">
        <f t="shared" si="29"/>
        <v>3.7</v>
      </c>
      <c r="M95" s="43">
        <v>3.6</v>
      </c>
      <c r="O95" s="44">
        <f>VLOOKUP(G95,$B$5:$M$1305,12,)</f>
        <v>-2.8</v>
      </c>
    </row>
    <row r="96" spans="1:17" ht="30" customHeight="1" x14ac:dyDescent="0.3">
      <c r="A96" s="37" t="s">
        <v>55</v>
      </c>
      <c r="B96" s="38">
        <f>15.7</f>
        <v>15.7</v>
      </c>
      <c r="C96" s="41" t="s">
        <v>1171</v>
      </c>
      <c r="D96" s="41" t="s">
        <v>560</v>
      </c>
      <c r="E96" s="42" t="s">
        <v>1638</v>
      </c>
      <c r="F96" s="42" t="s">
        <v>1654</v>
      </c>
      <c r="G96" s="42">
        <v>0.1</v>
      </c>
      <c r="J96" s="39">
        <f t="shared" si="27"/>
        <v>0</v>
      </c>
      <c r="K96" s="39">
        <f t="shared" si="28"/>
        <v>1.2</v>
      </c>
      <c r="L96" s="39">
        <f t="shared" si="29"/>
        <v>-1.6</v>
      </c>
      <c r="M96" s="43">
        <v>-0.4</v>
      </c>
      <c r="O96" s="44">
        <f>VLOOKUP(G96,$B$5:$M$1305,12,)</f>
        <v>-6.3</v>
      </c>
    </row>
    <row r="97" spans="1:18" ht="30" customHeight="1" x14ac:dyDescent="0.3">
      <c r="A97" s="37" t="s">
        <v>604</v>
      </c>
      <c r="B97" s="38">
        <f>-18.2</f>
        <v>-18.2</v>
      </c>
      <c r="C97" s="41" t="s">
        <v>1174</v>
      </c>
      <c r="D97" s="41" t="s">
        <v>1284</v>
      </c>
      <c r="E97" s="42" t="s">
        <v>1640</v>
      </c>
      <c r="F97" s="42" t="s">
        <v>1660</v>
      </c>
      <c r="G97" s="42">
        <v>-7.2</v>
      </c>
      <c r="J97" s="39">
        <f t="shared" si="27"/>
        <v>0</v>
      </c>
      <c r="K97" s="39">
        <f t="shared" si="28"/>
        <v>-3.4</v>
      </c>
      <c r="L97" s="39">
        <f t="shared" si="29"/>
        <v>-1.6</v>
      </c>
      <c r="M97" s="43">
        <v>-5</v>
      </c>
      <c r="O97" s="44">
        <f>VLOOKUP(G97,$B$5:$M$1305,12,)</f>
        <v>-5.2</v>
      </c>
    </row>
    <row r="98" spans="1:18" ht="30" customHeight="1" x14ac:dyDescent="0.3">
      <c r="A98" s="37" t="s">
        <v>39</v>
      </c>
      <c r="B98" s="38">
        <f>0.7</f>
        <v>0.7</v>
      </c>
      <c r="C98" s="41" t="s">
        <v>1176</v>
      </c>
      <c r="D98" s="41" t="s">
        <v>1282</v>
      </c>
      <c r="E98" s="42" t="s">
        <v>1643</v>
      </c>
      <c r="F98" s="42" t="s">
        <v>1645</v>
      </c>
      <c r="G98" s="42">
        <v>-11.4</v>
      </c>
      <c r="J98" s="39">
        <f t="shared" si="27"/>
        <v>-1</v>
      </c>
      <c r="K98" s="39">
        <f t="shared" si="28"/>
        <v>3.3</v>
      </c>
      <c r="L98" s="39">
        <f t="shared" si="29"/>
        <v>-3</v>
      </c>
      <c r="M98" s="43">
        <v>-0.7</v>
      </c>
      <c r="O98" s="44">
        <f>VLOOKUP(G98,$B$5:$M$1305,12,)</f>
        <v>-2.2000000000000002</v>
      </c>
    </row>
    <row r="99" spans="1:18" ht="30" customHeight="1" x14ac:dyDescent="0.3">
      <c r="A99" s="37" t="s">
        <v>57</v>
      </c>
      <c r="B99" s="38">
        <f>-2.1</f>
        <v>-2.1</v>
      </c>
      <c r="C99" s="41" t="s">
        <v>713</v>
      </c>
      <c r="D99" s="41" t="s">
        <v>1288</v>
      </c>
      <c r="E99" s="42" t="s">
        <v>1641</v>
      </c>
      <c r="F99" s="42" t="s">
        <v>1615</v>
      </c>
      <c r="G99" s="42">
        <v>-10.8</v>
      </c>
      <c r="J99" s="39">
        <f t="shared" si="27"/>
        <v>-1</v>
      </c>
      <c r="K99" s="39">
        <f t="shared" si="28"/>
        <v>3.3</v>
      </c>
      <c r="L99" s="39">
        <f t="shared" si="29"/>
        <v>0</v>
      </c>
      <c r="M99" s="43">
        <v>2.2999999999999998</v>
      </c>
      <c r="O99" s="44">
        <f>VLOOKUP(G99,$B$5:$M$1305,12,)</f>
        <v>-3</v>
      </c>
    </row>
    <row r="100" spans="1:18" ht="30" customHeight="1" x14ac:dyDescent="0.3">
      <c r="A100" s="37" t="s">
        <v>58</v>
      </c>
      <c r="B100" s="38">
        <f>4.1</f>
        <v>4.0999999999999996</v>
      </c>
      <c r="C100" s="41" t="s">
        <v>652</v>
      </c>
      <c r="D100" s="41" t="s">
        <v>1138</v>
      </c>
      <c r="E100" s="42" t="s">
        <v>1207</v>
      </c>
      <c r="F100" s="42" t="s">
        <v>1656</v>
      </c>
      <c r="G100" s="42">
        <v>12.7</v>
      </c>
      <c r="J100" s="39">
        <f t="shared" si="27"/>
        <v>0</v>
      </c>
      <c r="K100" s="39">
        <f t="shared" si="28"/>
        <v>2.2000000000000002</v>
      </c>
      <c r="L100" s="39">
        <f t="shared" si="29"/>
        <v>1.6</v>
      </c>
      <c r="M100" s="43">
        <v>3.8</v>
      </c>
      <c r="O100" s="44">
        <f>VLOOKUP(G100,$B$5:$M$1305,12,)</f>
        <v>4</v>
      </c>
    </row>
    <row r="101" spans="1:18" ht="30" customHeight="1" x14ac:dyDescent="0.3">
      <c r="A101" s="37" t="s">
        <v>60</v>
      </c>
      <c r="B101" s="38">
        <f>17.7</f>
        <v>17.7</v>
      </c>
      <c r="C101" s="41" t="s">
        <v>502</v>
      </c>
      <c r="D101" s="41" t="s">
        <v>444</v>
      </c>
      <c r="E101" s="42" t="s">
        <v>672</v>
      </c>
      <c r="F101" s="42" t="s">
        <v>1465</v>
      </c>
      <c r="G101" s="42">
        <v>27.7</v>
      </c>
      <c r="J101" s="39">
        <f t="shared" si="27"/>
        <v>0.8</v>
      </c>
      <c r="K101" s="39">
        <f t="shared" si="28"/>
        <v>2.2000000000000002</v>
      </c>
      <c r="L101" s="39">
        <f t="shared" si="29"/>
        <v>0</v>
      </c>
      <c r="M101" s="43">
        <v>3</v>
      </c>
      <c r="O101" s="44">
        <f>VLOOKUP(G101,$B$5:$M$1305,12,)</f>
        <v>2.1</v>
      </c>
    </row>
    <row r="102" spans="1:18" ht="30" customHeight="1" x14ac:dyDescent="0.3">
      <c r="A102" s="37" t="s">
        <v>605</v>
      </c>
      <c r="B102" s="38">
        <f>-10.8</f>
        <v>-10.8</v>
      </c>
      <c r="C102" s="41" t="s">
        <v>1164</v>
      </c>
      <c r="D102" s="41" t="s">
        <v>1286</v>
      </c>
      <c r="E102" s="42" t="s">
        <v>1644</v>
      </c>
      <c r="F102" s="42" t="s">
        <v>1657</v>
      </c>
      <c r="G102" s="42">
        <v>-2.1</v>
      </c>
      <c r="J102" s="39">
        <f t="shared" si="27"/>
        <v>0.8</v>
      </c>
      <c r="K102" s="39">
        <f t="shared" si="28"/>
        <v>-2.2000000000000002</v>
      </c>
      <c r="L102" s="39">
        <f t="shared" si="29"/>
        <v>-1.6</v>
      </c>
      <c r="M102" s="43">
        <v>-3</v>
      </c>
      <c r="O102" s="44">
        <f>VLOOKUP(G102,$B$5:$M$1305,12,)</f>
        <v>2.2999999999999998</v>
      </c>
    </row>
    <row r="103" spans="1:18" ht="30" customHeight="1" x14ac:dyDescent="0.3">
      <c r="A103" s="37" t="s">
        <v>40</v>
      </c>
      <c r="B103" s="38">
        <f>18.7</f>
        <v>18.7</v>
      </c>
      <c r="C103" s="41" t="s">
        <v>1294</v>
      </c>
      <c r="D103" s="42" t="s">
        <v>1297</v>
      </c>
      <c r="E103" s="42" t="s">
        <v>1139</v>
      </c>
      <c r="F103" s="42" t="s">
        <v>1659</v>
      </c>
      <c r="G103" s="42">
        <v>3.9</v>
      </c>
      <c r="J103" s="39">
        <f t="shared" si="27"/>
        <v>0.8</v>
      </c>
      <c r="K103" s="39">
        <f t="shared" si="28"/>
        <v>-1.2</v>
      </c>
      <c r="L103" s="39">
        <f t="shared" si="29"/>
        <v>1.6</v>
      </c>
      <c r="M103" s="43">
        <v>1.2</v>
      </c>
      <c r="N103" s="38"/>
      <c r="O103" s="44">
        <f>VLOOKUP(G103,$B$5:$M$1305,12,)</f>
        <v>-3.8</v>
      </c>
      <c r="Q103" s="38"/>
    </row>
    <row r="104" spans="1:18" ht="30" customHeight="1" x14ac:dyDescent="0.3">
      <c r="A104" s="37" t="s">
        <v>61</v>
      </c>
      <c r="B104" s="38">
        <f>3.9</f>
        <v>3.9</v>
      </c>
      <c r="C104" s="41" t="s">
        <v>1177</v>
      </c>
      <c r="D104" s="41" t="s">
        <v>1296</v>
      </c>
      <c r="E104" s="42" t="s">
        <v>1455</v>
      </c>
      <c r="F104" s="42" t="s">
        <v>661</v>
      </c>
      <c r="G104" s="42">
        <v>18.7</v>
      </c>
      <c r="J104" s="39">
        <f t="shared" si="27"/>
        <v>0</v>
      </c>
      <c r="K104" s="39">
        <f t="shared" si="28"/>
        <v>1.2</v>
      </c>
      <c r="L104" s="39">
        <f t="shared" si="29"/>
        <v>0</v>
      </c>
      <c r="M104" s="43">
        <v>1.2</v>
      </c>
      <c r="N104" s="38"/>
      <c r="O104" s="44">
        <f>VLOOKUP(G104,$B$5:$M$1305,12,)</f>
        <v>1.2</v>
      </c>
      <c r="Q104" s="38"/>
    </row>
    <row r="105" spans="1:18" ht="30" customHeight="1" x14ac:dyDescent="0.3">
      <c r="A105" s="37" t="s">
        <v>62</v>
      </c>
      <c r="B105" s="38">
        <f>7.9</f>
        <v>7.9</v>
      </c>
      <c r="C105" s="41" t="s">
        <v>677</v>
      </c>
      <c r="D105" s="41" t="s">
        <v>1291</v>
      </c>
      <c r="E105" s="42" t="s">
        <v>1636</v>
      </c>
      <c r="F105" s="42" t="s">
        <v>1647</v>
      </c>
      <c r="G105" s="42">
        <v>8.4</v>
      </c>
      <c r="J105" s="39">
        <f t="shared" si="27"/>
        <v>-2.1</v>
      </c>
      <c r="K105" s="39">
        <f t="shared" si="28"/>
        <v>-2.2000000000000002</v>
      </c>
      <c r="L105" s="39">
        <f t="shared" si="29"/>
        <v>3.7</v>
      </c>
      <c r="M105" s="43">
        <v>-0.6</v>
      </c>
      <c r="O105" s="44">
        <f>VLOOKUP(G105,$B$5:$M$1305,12,)</f>
        <v>-1.3</v>
      </c>
    </row>
    <row r="106" spans="1:18" ht="30" customHeight="1" x14ac:dyDescent="0.3">
      <c r="A106" s="37" t="s">
        <v>63</v>
      </c>
      <c r="B106" s="38">
        <f>8.4</f>
        <v>8.4</v>
      </c>
      <c r="C106" s="41" t="s">
        <v>1167</v>
      </c>
      <c r="D106" s="41" t="s">
        <v>404</v>
      </c>
      <c r="E106" s="42" t="s">
        <v>1635</v>
      </c>
      <c r="F106" s="42" t="s">
        <v>1658</v>
      </c>
      <c r="G106" s="42">
        <v>7.9</v>
      </c>
      <c r="J106" s="39">
        <f t="shared" si="27"/>
        <v>-1</v>
      </c>
      <c r="K106" s="39">
        <f t="shared" si="28"/>
        <v>-0.3</v>
      </c>
      <c r="L106" s="39">
        <f t="shared" si="29"/>
        <v>0</v>
      </c>
      <c r="M106" s="43">
        <v>-1.3</v>
      </c>
      <c r="O106" s="44">
        <f>VLOOKUP(G106,$B$5:$M$1305,12,)</f>
        <v>-0.6</v>
      </c>
    </row>
    <row r="107" spans="1:18" ht="30" customHeight="1" x14ac:dyDescent="0.3">
      <c r="A107" s="37" t="s">
        <v>606</v>
      </c>
      <c r="B107" s="38">
        <f>27.7</f>
        <v>27.7</v>
      </c>
      <c r="C107" s="41" t="s">
        <v>1084</v>
      </c>
      <c r="D107" s="41" t="s">
        <v>1290</v>
      </c>
      <c r="E107" s="42" t="s">
        <v>333</v>
      </c>
      <c r="F107" s="42" t="s">
        <v>405</v>
      </c>
      <c r="G107" s="42">
        <v>17.7</v>
      </c>
      <c r="J107" s="39">
        <f t="shared" si="27"/>
        <v>0.8</v>
      </c>
      <c r="K107" s="39">
        <f t="shared" si="28"/>
        <v>-0.3</v>
      </c>
      <c r="L107" s="39">
        <f t="shared" si="29"/>
        <v>1.6</v>
      </c>
      <c r="M107" s="43">
        <v>2.1</v>
      </c>
      <c r="O107" s="44">
        <f>VLOOKUP(G107,$B$5:$M$1305,12,)</f>
        <v>2.7</v>
      </c>
      <c r="Q107" s="38"/>
      <c r="R107" s="38"/>
    </row>
    <row r="108" spans="1:18" ht="30" customHeight="1" x14ac:dyDescent="0.3">
      <c r="B108" s="38" t="s">
        <v>254</v>
      </c>
      <c r="N108" s="38"/>
      <c r="O108" s="44" t="e">
        <f>VLOOKUP(G108,$B$5:$M$1305,12,)</f>
        <v>#N/A</v>
      </c>
      <c r="Q108" s="38"/>
    </row>
    <row r="109" spans="1:18" ht="30" customHeight="1" x14ac:dyDescent="0.3">
      <c r="B109" s="38" t="s">
        <v>254</v>
      </c>
      <c r="O109" s="44" t="e">
        <f>VLOOKUP(G109,$B$5:$M$1305,12,)</f>
        <v>#N/A</v>
      </c>
    </row>
    <row r="110" spans="1:18" ht="30" customHeight="1" x14ac:dyDescent="0.3">
      <c r="B110" s="38" t="s">
        <v>254</v>
      </c>
      <c r="C110" s="39">
        <v>6</v>
      </c>
      <c r="D110" s="39">
        <v>7</v>
      </c>
      <c r="E110" s="39">
        <v>8</v>
      </c>
      <c r="F110" s="39">
        <v>9</v>
      </c>
      <c r="G110" s="39">
        <v>10</v>
      </c>
      <c r="H110" s="39">
        <v>11</v>
      </c>
      <c r="I110" s="39">
        <v>12</v>
      </c>
      <c r="O110" s="44">
        <f>VLOOKUP(G110,$B$5:$M$1305,12,)</f>
        <v>3.9</v>
      </c>
    </row>
    <row r="111" spans="1:18" ht="30" customHeight="1" x14ac:dyDescent="0.3">
      <c r="A111" s="37" t="s">
        <v>610</v>
      </c>
      <c r="B111" s="38">
        <f>12.6</f>
        <v>12.6</v>
      </c>
      <c r="C111" s="41" t="s">
        <v>1015</v>
      </c>
      <c r="D111" s="41" t="s">
        <v>1183</v>
      </c>
      <c r="E111" s="41" t="s">
        <v>649</v>
      </c>
      <c r="F111" s="42" t="s">
        <v>1622</v>
      </c>
      <c r="G111" s="42">
        <v>-14.3</v>
      </c>
      <c r="J111" s="39">
        <f t="shared" ref="J111" si="30">LOOKUP(,-SEARCH( $Q$6:$Q$12, D111), $R$6:$R$12 )</f>
        <v>-1</v>
      </c>
      <c r="K111" s="39">
        <f t="shared" ref="K111" si="31">LOOKUP(,-SEARCH( $S$6:$S$12, E111), $T$6:$T$12 )</f>
        <v>1.2</v>
      </c>
      <c r="L111" s="39">
        <f t="shared" ref="L111" si="32">LOOKUP(,-SEARCH( $U$6:$U$12, F111), $V$6:$V$12 )</f>
        <v>0</v>
      </c>
      <c r="M111" s="43">
        <v>0.2</v>
      </c>
      <c r="N111" s="38"/>
      <c r="O111" s="44">
        <f>VLOOKUP(G111,$B$5:$M$1305,12,)</f>
        <v>-1.7</v>
      </c>
      <c r="Q111" s="38"/>
    </row>
    <row r="112" spans="1:18" ht="30" customHeight="1" x14ac:dyDescent="0.3">
      <c r="A112" s="37" t="s">
        <v>611</v>
      </c>
      <c r="B112" s="38">
        <f>-0.5</f>
        <v>-0.5</v>
      </c>
      <c r="C112" s="41" t="s">
        <v>1013</v>
      </c>
      <c r="D112" s="41" t="s">
        <v>1179</v>
      </c>
      <c r="E112" s="41" t="s">
        <v>348</v>
      </c>
      <c r="F112" s="42" t="s">
        <v>1663</v>
      </c>
      <c r="G112" s="42">
        <v>3</v>
      </c>
      <c r="J112" s="39">
        <f t="shared" ref="J112:J134" si="33">LOOKUP(,-SEARCH( $Q$6:$Q$12, D112), $R$6:$R$12 )</f>
        <v>-1</v>
      </c>
      <c r="K112" s="39">
        <f t="shared" ref="K112:K134" si="34">LOOKUP(,-SEARCH( $S$6:$S$12, E112), $T$6:$T$12 )</f>
        <v>-0.3</v>
      </c>
      <c r="L112" s="39">
        <f t="shared" ref="L112:L134" si="35">LOOKUP(,-SEARCH( $U$6:$U$12, F112), $V$6:$V$12 )</f>
        <v>-1.6</v>
      </c>
      <c r="M112" s="43">
        <v>-2.9</v>
      </c>
      <c r="N112" s="38"/>
      <c r="O112" s="44">
        <f>VLOOKUP(G112,$B$5:$M$1305,12,)</f>
        <v>-4.0999999999999996</v>
      </c>
      <c r="Q112" s="38"/>
    </row>
    <row r="113" spans="1:18" ht="30" customHeight="1" x14ac:dyDescent="0.3">
      <c r="A113" s="37" t="s">
        <v>612</v>
      </c>
      <c r="B113" s="38">
        <f>-4.1</f>
        <v>-4.0999999999999996</v>
      </c>
      <c r="C113" s="41" t="s">
        <v>850</v>
      </c>
      <c r="D113" s="41" t="s">
        <v>1182</v>
      </c>
      <c r="E113" s="41" t="s">
        <v>533</v>
      </c>
      <c r="F113" s="42" t="s">
        <v>1438</v>
      </c>
      <c r="G113" s="42">
        <v>-8</v>
      </c>
      <c r="J113" s="39">
        <f t="shared" si="33"/>
        <v>0.8</v>
      </c>
      <c r="K113" s="39">
        <f t="shared" si="34"/>
        <v>1.2</v>
      </c>
      <c r="L113" s="39">
        <f t="shared" si="35"/>
        <v>-1.6</v>
      </c>
      <c r="M113" s="43">
        <v>0.4</v>
      </c>
      <c r="O113" s="44">
        <f>VLOOKUP(G113,$B$5:$M$1305,12,)</f>
        <v>-3.8</v>
      </c>
    </row>
    <row r="114" spans="1:18" ht="30" customHeight="1" x14ac:dyDescent="0.3">
      <c r="A114" s="37" t="s">
        <v>613</v>
      </c>
      <c r="B114" s="38">
        <f>-2.6</f>
        <v>-2.6</v>
      </c>
      <c r="C114" s="41" t="s">
        <v>1024</v>
      </c>
      <c r="D114" s="41" t="s">
        <v>1192</v>
      </c>
      <c r="E114" s="41" t="s">
        <v>1210</v>
      </c>
      <c r="F114" s="42" t="s">
        <v>1676</v>
      </c>
      <c r="G114" s="42">
        <v>-15.3</v>
      </c>
      <c r="J114" s="39">
        <f t="shared" si="33"/>
        <v>0</v>
      </c>
      <c r="K114" s="39">
        <f t="shared" si="34"/>
        <v>-1.2</v>
      </c>
      <c r="L114" s="39">
        <f t="shared" si="35"/>
        <v>0</v>
      </c>
      <c r="M114" s="43">
        <v>-1.2</v>
      </c>
      <c r="O114" s="44">
        <f>VLOOKUP(G114,$B$5:$M$1305,12,)</f>
        <v>-2.8</v>
      </c>
    </row>
    <row r="115" spans="1:18" ht="30" customHeight="1" x14ac:dyDescent="0.3">
      <c r="A115" s="37" t="s">
        <v>614</v>
      </c>
      <c r="B115" s="38">
        <f>-8</f>
        <v>-8</v>
      </c>
      <c r="C115" s="41" t="s">
        <v>1008</v>
      </c>
      <c r="D115" s="41" t="s">
        <v>332</v>
      </c>
      <c r="E115" s="41" t="s">
        <v>1303</v>
      </c>
      <c r="F115" s="42" t="s">
        <v>1664</v>
      </c>
      <c r="G115" s="42">
        <v>-4.0999999999999996</v>
      </c>
      <c r="J115" s="39">
        <f t="shared" si="33"/>
        <v>0</v>
      </c>
      <c r="K115" s="39">
        <f t="shared" si="34"/>
        <v>-2.2000000000000002</v>
      </c>
      <c r="L115" s="39">
        <f t="shared" si="35"/>
        <v>-1.6</v>
      </c>
      <c r="M115" s="43">
        <v>-3.8</v>
      </c>
      <c r="O115" s="44">
        <f>VLOOKUP(G115,$B$5:$M$1305,12,)</f>
        <v>0.4</v>
      </c>
    </row>
    <row r="116" spans="1:18" ht="30" customHeight="1" x14ac:dyDescent="0.3">
      <c r="A116" s="37" t="s">
        <v>615</v>
      </c>
      <c r="B116" s="38">
        <f>1.3</f>
        <v>1.3</v>
      </c>
      <c r="C116" s="41" t="s">
        <v>1012</v>
      </c>
      <c r="D116" s="41" t="s">
        <v>1185</v>
      </c>
      <c r="E116" s="41" t="s">
        <v>1121</v>
      </c>
      <c r="F116" s="42" t="s">
        <v>1670</v>
      </c>
      <c r="G116" s="42">
        <v>-15.1</v>
      </c>
      <c r="J116" s="39">
        <f t="shared" si="33"/>
        <v>0.8</v>
      </c>
      <c r="K116" s="39">
        <f t="shared" si="34"/>
        <v>1.2</v>
      </c>
      <c r="L116" s="39">
        <f t="shared" si="35"/>
        <v>-1.6</v>
      </c>
      <c r="M116" s="43">
        <v>0.4</v>
      </c>
      <c r="O116" s="44">
        <f>VLOOKUP(G116,$B$5:$M$1305,12,)</f>
        <v>-4.3</v>
      </c>
    </row>
    <row r="117" spans="1:18" ht="30" customHeight="1" x14ac:dyDescent="0.3">
      <c r="A117" s="37" t="s">
        <v>616</v>
      </c>
      <c r="B117" s="38">
        <f>-1.7</f>
        <v>-1.7</v>
      </c>
      <c r="C117" s="41" t="s">
        <v>1017</v>
      </c>
      <c r="D117" s="41" t="s">
        <v>746</v>
      </c>
      <c r="E117" s="41" t="s">
        <v>1299</v>
      </c>
      <c r="F117" s="42" t="s">
        <v>1671</v>
      </c>
      <c r="G117" s="42">
        <v>9.6</v>
      </c>
      <c r="J117" s="39">
        <f t="shared" si="33"/>
        <v>-1</v>
      </c>
      <c r="K117" s="39">
        <f t="shared" si="34"/>
        <v>-3.4</v>
      </c>
      <c r="L117" s="39">
        <f t="shared" si="35"/>
        <v>-3.7</v>
      </c>
      <c r="M117" s="43">
        <v>-8.1</v>
      </c>
      <c r="O117" s="44">
        <f>VLOOKUP(G117,$B$5:$M$1305,12,)</f>
        <v>0.4</v>
      </c>
    </row>
    <row r="118" spans="1:18" ht="30" customHeight="1" x14ac:dyDescent="0.3">
      <c r="A118" s="37" t="s">
        <v>56</v>
      </c>
      <c r="B118" s="38">
        <f>7.9</f>
        <v>7.9</v>
      </c>
      <c r="C118" s="41" t="s">
        <v>565</v>
      </c>
      <c r="D118" s="41" t="s">
        <v>1184</v>
      </c>
      <c r="E118" s="41" t="s">
        <v>660</v>
      </c>
      <c r="F118" s="42" t="s">
        <v>1665</v>
      </c>
      <c r="G118" s="42">
        <v>6.8</v>
      </c>
      <c r="J118" s="39">
        <f t="shared" si="33"/>
        <v>1.4</v>
      </c>
      <c r="K118" s="39">
        <f t="shared" si="34"/>
        <v>-1.2</v>
      </c>
      <c r="L118" s="39">
        <f t="shared" si="35"/>
        <v>2.8</v>
      </c>
      <c r="M118" s="43">
        <v>3</v>
      </c>
      <c r="O118" s="44">
        <f>VLOOKUP(G118,$B$5:$M$1305,12,)</f>
        <v>3</v>
      </c>
    </row>
    <row r="119" spans="1:18" ht="30" customHeight="1" x14ac:dyDescent="0.3">
      <c r="A119" s="37" t="s">
        <v>617</v>
      </c>
      <c r="B119" s="38">
        <f>-1</f>
        <v>-1</v>
      </c>
      <c r="C119" s="41" t="s">
        <v>1014</v>
      </c>
      <c r="D119" s="41" t="s">
        <v>315</v>
      </c>
      <c r="E119" s="41" t="s">
        <v>1301</v>
      </c>
      <c r="F119" s="42" t="s">
        <v>1661</v>
      </c>
      <c r="G119" s="42">
        <v>10</v>
      </c>
      <c r="J119" s="39">
        <f t="shared" si="33"/>
        <v>-1.4</v>
      </c>
      <c r="K119" s="39">
        <f t="shared" si="34"/>
        <v>-0.3</v>
      </c>
      <c r="L119" s="39">
        <f t="shared" si="35"/>
        <v>3.7</v>
      </c>
      <c r="M119" s="43">
        <v>2</v>
      </c>
      <c r="O119" s="44">
        <f>VLOOKUP(G119,$B$5:$M$1305,12,)</f>
        <v>3.9</v>
      </c>
    </row>
    <row r="120" spans="1:18" ht="30" customHeight="1" x14ac:dyDescent="0.3">
      <c r="A120" s="37" t="s">
        <v>618</v>
      </c>
      <c r="B120" s="38">
        <f>-4.7</f>
        <v>-4.7</v>
      </c>
      <c r="C120" s="41" t="s">
        <v>709</v>
      </c>
      <c r="D120" s="41" t="s">
        <v>1191</v>
      </c>
      <c r="E120" s="41" t="s">
        <v>952</v>
      </c>
      <c r="F120" s="42" t="s">
        <v>1662</v>
      </c>
      <c r="G120" s="42">
        <v>10.1</v>
      </c>
      <c r="J120" s="39">
        <f t="shared" si="33"/>
        <v>0</v>
      </c>
      <c r="K120" s="39">
        <f t="shared" si="34"/>
        <v>-1.2</v>
      </c>
      <c r="L120" s="39">
        <f t="shared" si="35"/>
        <v>1.6</v>
      </c>
      <c r="M120" s="43">
        <v>0.4</v>
      </c>
      <c r="O120" s="44">
        <f>VLOOKUP(G120,$B$5:$M$1305,12,)</f>
        <v>1.2</v>
      </c>
      <c r="Q120" s="47"/>
      <c r="R120" s="47"/>
    </row>
    <row r="121" spans="1:18" ht="30" customHeight="1" x14ac:dyDescent="0.3">
      <c r="A121" s="37" t="s">
        <v>619</v>
      </c>
      <c r="B121" s="38">
        <f>3</f>
        <v>3</v>
      </c>
      <c r="C121" s="41" t="s">
        <v>1023</v>
      </c>
      <c r="D121" s="41" t="s">
        <v>1180</v>
      </c>
      <c r="E121" s="41" t="s">
        <v>1239</v>
      </c>
      <c r="F121" s="42" t="s">
        <v>1672</v>
      </c>
      <c r="G121" s="42">
        <v>-0.5</v>
      </c>
      <c r="J121" s="39">
        <f t="shared" si="33"/>
        <v>0.8</v>
      </c>
      <c r="K121" s="39">
        <f t="shared" si="34"/>
        <v>-1.2</v>
      </c>
      <c r="L121" s="39">
        <f t="shared" si="35"/>
        <v>-3.7</v>
      </c>
      <c r="M121" s="43">
        <v>-4.0999999999999996</v>
      </c>
      <c r="O121" s="44">
        <f>VLOOKUP(G121,$B$5:$M$1305,12,)</f>
        <v>-2.9</v>
      </c>
      <c r="Q121" s="47"/>
      <c r="R121" s="47"/>
    </row>
    <row r="122" spans="1:18" ht="30" customHeight="1" x14ac:dyDescent="0.3">
      <c r="A122" s="37" t="s">
        <v>620</v>
      </c>
      <c r="B122" s="38">
        <f>12.5</f>
        <v>12.5</v>
      </c>
      <c r="C122" s="41" t="s">
        <v>1020</v>
      </c>
      <c r="D122" s="41" t="s">
        <v>1187</v>
      </c>
      <c r="E122" s="41" t="s">
        <v>1308</v>
      </c>
      <c r="F122" s="42" t="s">
        <v>1667</v>
      </c>
      <c r="G122" s="42">
        <v>-3.5</v>
      </c>
      <c r="J122" s="39">
        <f t="shared" si="33"/>
        <v>1.4</v>
      </c>
      <c r="K122" s="39">
        <f t="shared" si="34"/>
        <v>1.2</v>
      </c>
      <c r="L122" s="39">
        <f t="shared" si="35"/>
        <v>1.6</v>
      </c>
      <c r="M122" s="43">
        <v>4.2</v>
      </c>
      <c r="O122" s="44">
        <f>VLOOKUP(G122,$B$5:$M$1305,12,)</f>
        <v>-0.4</v>
      </c>
      <c r="Q122" s="47"/>
    </row>
    <row r="123" spans="1:18" ht="30" customHeight="1" x14ac:dyDescent="0.3">
      <c r="A123" s="37" t="s">
        <v>621</v>
      </c>
      <c r="B123" s="38">
        <f>-3.5</f>
        <v>-3.5</v>
      </c>
      <c r="C123" s="41" t="s">
        <v>1018</v>
      </c>
      <c r="D123" s="41" t="s">
        <v>443</v>
      </c>
      <c r="E123" s="41" t="s">
        <v>928</v>
      </c>
      <c r="F123" s="42" t="s">
        <v>1675</v>
      </c>
      <c r="G123" s="42">
        <v>12.5</v>
      </c>
      <c r="J123" s="39">
        <f t="shared" si="33"/>
        <v>0</v>
      </c>
      <c r="K123" s="39">
        <f t="shared" si="34"/>
        <v>1.2</v>
      </c>
      <c r="L123" s="39">
        <f t="shared" si="35"/>
        <v>-1.6</v>
      </c>
      <c r="M123" s="43">
        <v>-0.4</v>
      </c>
      <c r="O123" s="44">
        <f>VLOOKUP(G123,$B$5:$M$1305,12,)</f>
        <v>4.2</v>
      </c>
      <c r="Q123" s="47"/>
    </row>
    <row r="124" spans="1:18" ht="30" customHeight="1" x14ac:dyDescent="0.3">
      <c r="A124" s="37" t="s">
        <v>622</v>
      </c>
      <c r="B124" s="38">
        <f>15</f>
        <v>15</v>
      </c>
      <c r="C124" s="41" t="s">
        <v>1025</v>
      </c>
      <c r="D124" s="41" t="s">
        <v>644</v>
      </c>
      <c r="E124" s="41" t="s">
        <v>1309</v>
      </c>
      <c r="F124" s="42" t="s">
        <v>1669</v>
      </c>
      <c r="G124" s="42">
        <v>-7.8</v>
      </c>
      <c r="J124" s="39">
        <f t="shared" si="33"/>
        <v>0</v>
      </c>
      <c r="K124" s="39">
        <f t="shared" si="34"/>
        <v>1.2</v>
      </c>
      <c r="L124" s="39">
        <f t="shared" si="35"/>
        <v>1.6</v>
      </c>
      <c r="M124" s="43">
        <v>2.8</v>
      </c>
      <c r="O124" s="44">
        <f>VLOOKUP(G124,$B$5:$M$1305,12,)</f>
        <v>-3.3</v>
      </c>
    </row>
    <row r="125" spans="1:18" ht="30" customHeight="1" x14ac:dyDescent="0.3">
      <c r="A125" s="37" t="s">
        <v>629</v>
      </c>
      <c r="B125" s="38">
        <f>10.1</f>
        <v>10.1</v>
      </c>
      <c r="C125" s="41" t="s">
        <v>1021</v>
      </c>
      <c r="D125" s="41" t="s">
        <v>1189</v>
      </c>
      <c r="E125" s="41" t="s">
        <v>721</v>
      </c>
      <c r="F125" s="42" t="s">
        <v>1475</v>
      </c>
      <c r="G125" s="42">
        <v>-4.7</v>
      </c>
      <c r="J125" s="39">
        <f t="shared" si="33"/>
        <v>0.8</v>
      </c>
      <c r="K125" s="39">
        <f t="shared" si="34"/>
        <v>-1.2</v>
      </c>
      <c r="L125" s="39">
        <f t="shared" si="35"/>
        <v>1.6</v>
      </c>
      <c r="M125" s="43">
        <v>1.2</v>
      </c>
      <c r="O125" s="44">
        <f>VLOOKUP(G125,$B$5:$M$1305,12,)</f>
        <v>-2.9</v>
      </c>
    </row>
    <row r="126" spans="1:18" ht="30" customHeight="1" x14ac:dyDescent="0.3">
      <c r="A126" s="37" t="s">
        <v>623</v>
      </c>
      <c r="B126" s="38">
        <f>14.3</f>
        <v>14.3</v>
      </c>
      <c r="C126" s="41" t="s">
        <v>712</v>
      </c>
      <c r="D126" s="41" t="s">
        <v>523</v>
      </c>
      <c r="E126" s="41" t="s">
        <v>678</v>
      </c>
      <c r="F126" s="42" t="s">
        <v>1673</v>
      </c>
      <c r="G126" s="42">
        <v>20.399999999999999</v>
      </c>
      <c r="J126" s="39">
        <f t="shared" si="33"/>
        <v>0.8</v>
      </c>
      <c r="K126" s="39">
        <f t="shared" si="34"/>
        <v>1.2</v>
      </c>
      <c r="L126" s="39">
        <f t="shared" si="35"/>
        <v>3.7</v>
      </c>
      <c r="M126" s="43">
        <v>5.7</v>
      </c>
      <c r="O126" s="44">
        <f>VLOOKUP(G126,$B$5:$M$1305,12,)</f>
        <v>1.1000000000000001</v>
      </c>
    </row>
    <row r="127" spans="1:18" ht="30" customHeight="1" x14ac:dyDescent="0.3">
      <c r="A127" s="37" t="s">
        <v>53</v>
      </c>
      <c r="B127" s="38">
        <f>-14.3</f>
        <v>-14.3</v>
      </c>
      <c r="C127" s="41" t="s">
        <v>1009</v>
      </c>
      <c r="D127" s="41" t="s">
        <v>750</v>
      </c>
      <c r="E127" s="41" t="s">
        <v>1306</v>
      </c>
      <c r="F127" s="42" t="s">
        <v>736</v>
      </c>
      <c r="G127" s="42">
        <v>12.6</v>
      </c>
      <c r="J127" s="39">
        <f t="shared" si="33"/>
        <v>-1.4</v>
      </c>
      <c r="K127" s="39">
        <f t="shared" si="34"/>
        <v>-0.3</v>
      </c>
      <c r="L127" s="39">
        <f t="shared" si="35"/>
        <v>0</v>
      </c>
      <c r="M127" s="43">
        <v>-1.7</v>
      </c>
      <c r="O127" s="44">
        <f>VLOOKUP(G127,$B$5:$M$1305,12,)</f>
        <v>0.2</v>
      </c>
    </row>
    <row r="128" spans="1:18" ht="30" customHeight="1" x14ac:dyDescent="0.3">
      <c r="A128" s="37" t="s">
        <v>630</v>
      </c>
      <c r="B128" s="38">
        <f>10</f>
        <v>10</v>
      </c>
      <c r="C128" s="41" t="s">
        <v>1022</v>
      </c>
      <c r="D128" s="41" t="s">
        <v>1190</v>
      </c>
      <c r="E128" s="41" t="s">
        <v>1125</v>
      </c>
      <c r="F128" s="42" t="s">
        <v>1674</v>
      </c>
      <c r="G128" s="42">
        <v>-1</v>
      </c>
      <c r="J128" s="39">
        <f t="shared" si="33"/>
        <v>0</v>
      </c>
      <c r="K128" s="39">
        <f t="shared" si="34"/>
        <v>-1.2</v>
      </c>
      <c r="L128" s="39">
        <f t="shared" si="35"/>
        <v>1.6</v>
      </c>
      <c r="M128" s="43">
        <v>0.4</v>
      </c>
      <c r="O128" s="44">
        <f>VLOOKUP(G128,$B$5:$M$1305,12,)</f>
        <v>2</v>
      </c>
    </row>
    <row r="129" spans="1:18" ht="30" customHeight="1" x14ac:dyDescent="0.3">
      <c r="A129" s="37" t="s">
        <v>624</v>
      </c>
      <c r="B129" s="38">
        <f>6.8</f>
        <v>6.8</v>
      </c>
      <c r="C129" s="41" t="s">
        <v>1019</v>
      </c>
      <c r="D129" s="41" t="s">
        <v>1186</v>
      </c>
      <c r="E129" s="41" t="s">
        <v>1307</v>
      </c>
      <c r="F129" s="42" t="s">
        <v>1677</v>
      </c>
      <c r="G129" s="42">
        <v>7.9</v>
      </c>
      <c r="J129" s="39">
        <f t="shared" si="33"/>
        <v>-1</v>
      </c>
      <c r="K129" s="39">
        <f t="shared" si="34"/>
        <v>1.2</v>
      </c>
      <c r="L129" s="39">
        <f t="shared" si="35"/>
        <v>2.8</v>
      </c>
      <c r="M129" s="43">
        <v>3</v>
      </c>
      <c r="O129" s="44">
        <f>VLOOKUP(G129,$B$5:$M$1305,12,)</f>
        <v>-0.6</v>
      </c>
    </row>
    <row r="130" spans="1:18" ht="30" customHeight="1" x14ac:dyDescent="0.3">
      <c r="A130" s="37" t="s">
        <v>625</v>
      </c>
      <c r="B130" s="38">
        <f>9.6</f>
        <v>9.6</v>
      </c>
      <c r="C130" s="41" t="s">
        <v>521</v>
      </c>
      <c r="D130" s="41" t="s">
        <v>1188</v>
      </c>
      <c r="E130" s="41" t="s">
        <v>740</v>
      </c>
      <c r="F130" s="42" t="s">
        <v>1359</v>
      </c>
      <c r="G130" s="42">
        <v>-1.7</v>
      </c>
      <c r="J130" s="39">
        <f t="shared" si="33"/>
        <v>0</v>
      </c>
      <c r="K130" s="39">
        <f t="shared" si="34"/>
        <v>-1.2</v>
      </c>
      <c r="L130" s="39">
        <f t="shared" si="35"/>
        <v>1.6</v>
      </c>
      <c r="M130" s="43">
        <v>0.4</v>
      </c>
      <c r="O130" s="44">
        <f>VLOOKUP(G130,$B$5:$M$1305,12,)</f>
        <v>-8.1</v>
      </c>
    </row>
    <row r="131" spans="1:18" ht="30" customHeight="1" x14ac:dyDescent="0.3">
      <c r="A131" s="37" t="s">
        <v>626</v>
      </c>
      <c r="B131" s="38">
        <f>-15.1</f>
        <v>-15.1</v>
      </c>
      <c r="C131" s="41" t="s">
        <v>1010</v>
      </c>
      <c r="D131" s="41" t="s">
        <v>1181</v>
      </c>
      <c r="E131" s="41" t="s">
        <v>1305</v>
      </c>
      <c r="F131" s="42" t="s">
        <v>1678</v>
      </c>
      <c r="G131" s="42">
        <v>1.3</v>
      </c>
      <c r="J131" s="39">
        <f t="shared" si="33"/>
        <v>-1</v>
      </c>
      <c r="K131" s="39">
        <f t="shared" si="34"/>
        <v>-0.3</v>
      </c>
      <c r="L131" s="39">
        <f t="shared" si="35"/>
        <v>-3</v>
      </c>
      <c r="M131" s="43">
        <v>-4.3</v>
      </c>
      <c r="O131" s="44">
        <f>VLOOKUP(G131,$B$5:$M$1305,12,)</f>
        <v>0.4</v>
      </c>
    </row>
    <row r="132" spans="1:18" ht="30" customHeight="1" x14ac:dyDescent="0.3">
      <c r="A132" s="37" t="s">
        <v>64</v>
      </c>
      <c r="B132" s="38">
        <f>-15.3</f>
        <v>-15.3</v>
      </c>
      <c r="C132" s="41" t="s">
        <v>1016</v>
      </c>
      <c r="D132" s="41" t="s">
        <v>547</v>
      </c>
      <c r="E132" s="41" t="s">
        <v>1302</v>
      </c>
      <c r="F132" s="42" t="s">
        <v>1668</v>
      </c>
      <c r="G132" s="42">
        <v>-2.6</v>
      </c>
      <c r="J132" s="39">
        <f t="shared" si="33"/>
        <v>0</v>
      </c>
      <c r="K132" s="39">
        <f t="shared" si="34"/>
        <v>-1.2</v>
      </c>
      <c r="L132" s="39">
        <f t="shared" si="35"/>
        <v>-1.6</v>
      </c>
      <c r="M132" s="43">
        <v>-2.8</v>
      </c>
      <c r="O132" s="44">
        <f>VLOOKUP(G132,$B$5:$M$1305,12,)</f>
        <v>-1.2</v>
      </c>
    </row>
    <row r="133" spans="1:18" ht="30" customHeight="1" x14ac:dyDescent="0.3">
      <c r="A133" s="37" t="s">
        <v>627</v>
      </c>
      <c r="B133" s="38">
        <f>-7.8</f>
        <v>-7.8</v>
      </c>
      <c r="C133" s="41" t="s">
        <v>537</v>
      </c>
      <c r="D133" s="41" t="s">
        <v>442</v>
      </c>
      <c r="E133" s="41" t="s">
        <v>1304</v>
      </c>
      <c r="F133" s="42" t="s">
        <v>715</v>
      </c>
      <c r="G133" s="42">
        <v>15</v>
      </c>
      <c r="J133" s="39">
        <f t="shared" si="33"/>
        <v>-1</v>
      </c>
      <c r="K133" s="39">
        <f t="shared" si="34"/>
        <v>2.2000000000000002</v>
      </c>
      <c r="L133" s="39">
        <f t="shared" si="35"/>
        <v>0</v>
      </c>
      <c r="M133" s="43">
        <v>1.2</v>
      </c>
      <c r="O133" s="44">
        <f>VLOOKUP(G133,$B$5:$M$1305,12,)</f>
        <v>2.8</v>
      </c>
    </row>
    <row r="134" spans="1:18" ht="30" customHeight="1" x14ac:dyDescent="0.3">
      <c r="A134" s="37" t="s">
        <v>628</v>
      </c>
      <c r="B134" s="38">
        <f>20.4</f>
        <v>20.399999999999999</v>
      </c>
      <c r="C134" s="41" t="s">
        <v>1011</v>
      </c>
      <c r="D134" s="41" t="s">
        <v>953</v>
      </c>
      <c r="E134" s="41" t="s">
        <v>1300</v>
      </c>
      <c r="F134" s="42" t="s">
        <v>1666</v>
      </c>
      <c r="G134" s="42">
        <v>14.3</v>
      </c>
      <c r="J134" s="39">
        <f t="shared" si="33"/>
        <v>0.8</v>
      </c>
      <c r="K134" s="39">
        <f t="shared" si="34"/>
        <v>3.3</v>
      </c>
      <c r="L134" s="39">
        <f t="shared" si="35"/>
        <v>-3</v>
      </c>
      <c r="M134" s="43">
        <v>1.1000000000000001</v>
      </c>
      <c r="O134" s="44">
        <f>VLOOKUP(G134,$B$5:$M$1305,12,)</f>
        <v>-1.7</v>
      </c>
    </row>
    <row r="135" spans="1:18" ht="30" customHeight="1" x14ac:dyDescent="0.3">
      <c r="B135" s="38" t="s">
        <v>254</v>
      </c>
      <c r="C135" s="46"/>
      <c r="D135" s="46"/>
      <c r="E135" s="46"/>
      <c r="O135" s="44" t="e">
        <f>VLOOKUP(G135,$B$5:$M$1305,12,)</f>
        <v>#N/A</v>
      </c>
    </row>
    <row r="136" spans="1:18" ht="30" customHeight="1" x14ac:dyDescent="0.3">
      <c r="B136" s="38" t="s">
        <v>254</v>
      </c>
      <c r="C136" s="46"/>
      <c r="D136" s="46"/>
      <c r="E136" s="46"/>
      <c r="O136" s="44" t="e">
        <f>VLOOKUP(G136,$B$5:$M$1305,12,)</f>
        <v>#N/A</v>
      </c>
    </row>
    <row r="137" spans="1:18" ht="30" customHeight="1" x14ac:dyDescent="0.3">
      <c r="B137" s="38" t="s">
        <v>254</v>
      </c>
      <c r="C137" s="39">
        <v>9</v>
      </c>
      <c r="D137" s="39">
        <v>10</v>
      </c>
      <c r="E137" s="39" t="s">
        <v>281</v>
      </c>
      <c r="F137" s="39">
        <v>12</v>
      </c>
      <c r="G137" s="39">
        <v>13</v>
      </c>
      <c r="H137" s="39">
        <v>14</v>
      </c>
      <c r="I137" s="39">
        <v>15</v>
      </c>
      <c r="O137" s="44" t="e">
        <f>VLOOKUP(G137,$B$5:$M$1305,12,)</f>
        <v>#N/A</v>
      </c>
      <c r="Q137" s="38"/>
      <c r="R137" s="38"/>
    </row>
    <row r="138" spans="1:18" ht="30" customHeight="1" x14ac:dyDescent="0.3">
      <c r="A138" s="37" t="s">
        <v>446</v>
      </c>
      <c r="B138" s="38">
        <f>14.5</f>
        <v>14.5</v>
      </c>
      <c r="C138" s="41" t="s">
        <v>977</v>
      </c>
      <c r="D138" s="41" t="s">
        <v>1202</v>
      </c>
      <c r="E138" s="41" t="s">
        <v>1316</v>
      </c>
      <c r="F138" s="42" t="s">
        <v>1688</v>
      </c>
      <c r="G138" s="42">
        <v>8.3000000000000007</v>
      </c>
      <c r="J138" s="39">
        <f t="shared" ref="J138" si="36">LOOKUP(,-SEARCH( $Q$6:$Q$12, D138), $R$6:$R$12 )</f>
        <v>1.4</v>
      </c>
      <c r="K138" s="39">
        <f t="shared" ref="K138" si="37">LOOKUP(,-SEARCH( $S$6:$S$12, E138), $T$6:$T$12 )</f>
        <v>1.2</v>
      </c>
      <c r="L138" s="39">
        <f t="shared" ref="L138" si="38">LOOKUP(,-SEARCH( $U$6:$U$12, F138), $V$6:$V$12 )</f>
        <v>0</v>
      </c>
      <c r="M138" s="43">
        <v>2.6</v>
      </c>
      <c r="O138" s="44">
        <f>VLOOKUP(G138,$B$5:$M$1305,12,)</f>
        <v>-1</v>
      </c>
      <c r="Q138" s="38"/>
      <c r="R138" s="38"/>
    </row>
    <row r="139" spans="1:18" ht="30" customHeight="1" x14ac:dyDescent="0.3">
      <c r="A139" s="37" t="s">
        <v>447</v>
      </c>
      <c r="B139" s="38">
        <f>6.5</f>
        <v>6.5</v>
      </c>
      <c r="C139" s="41" t="s">
        <v>733</v>
      </c>
      <c r="D139" s="41" t="s">
        <v>1197</v>
      </c>
      <c r="E139" s="41" t="s">
        <v>1320</v>
      </c>
      <c r="F139" s="42" t="s">
        <v>532</v>
      </c>
      <c r="G139" s="42">
        <v>-0.1</v>
      </c>
      <c r="J139" s="39">
        <f t="shared" ref="J139:J161" si="39">LOOKUP(,-SEARCH( $Q$6:$Q$12, D139), $R$6:$R$12 )</f>
        <v>1.4</v>
      </c>
      <c r="K139" s="39">
        <f t="shared" ref="K139:K161" si="40">LOOKUP(,-SEARCH( $S$6:$S$12, E139), $T$6:$T$12 )</f>
        <v>1.2</v>
      </c>
      <c r="L139" s="39">
        <f t="shared" ref="L139:L161" si="41">LOOKUP(,-SEARCH( $U$6:$U$12, F139), $V$6:$V$12 )</f>
        <v>-1.6</v>
      </c>
      <c r="M139" s="43">
        <v>1</v>
      </c>
      <c r="O139" s="44">
        <f>VLOOKUP(G139,$B$5:$M$1305,12,)</f>
        <v>-2.9</v>
      </c>
    </row>
    <row r="140" spans="1:18" ht="30" customHeight="1" x14ac:dyDescent="0.3">
      <c r="A140" s="37" t="s">
        <v>448</v>
      </c>
      <c r="B140" s="38">
        <f>0.1</f>
        <v>0.1</v>
      </c>
      <c r="C140" s="41" t="s">
        <v>645</v>
      </c>
      <c r="D140" s="41" t="s">
        <v>1196</v>
      </c>
      <c r="E140" s="41" t="s">
        <v>1322</v>
      </c>
      <c r="F140" s="42" t="s">
        <v>1681</v>
      </c>
      <c r="G140" s="42">
        <v>11.8</v>
      </c>
      <c r="J140" s="39">
        <f t="shared" si="39"/>
        <v>0</v>
      </c>
      <c r="K140" s="39">
        <f t="shared" si="40"/>
        <v>-0.3</v>
      </c>
      <c r="L140" s="39">
        <f t="shared" si="41"/>
        <v>-1.6</v>
      </c>
      <c r="M140" s="43">
        <v>-1.9</v>
      </c>
      <c r="O140" s="44">
        <f>VLOOKUP(G140,$B$5:$M$1305,12,)</f>
        <v>4.0999999999999996</v>
      </c>
    </row>
    <row r="141" spans="1:18" ht="30" customHeight="1" x14ac:dyDescent="0.3">
      <c r="A141" s="37" t="s">
        <v>449</v>
      </c>
      <c r="B141" s="38">
        <f>2.7</f>
        <v>2.7</v>
      </c>
      <c r="C141" s="41" t="s">
        <v>979</v>
      </c>
      <c r="D141" s="41" t="s">
        <v>1200</v>
      </c>
      <c r="E141" s="41" t="s">
        <v>1312</v>
      </c>
      <c r="F141" s="42" t="s">
        <v>1679</v>
      </c>
      <c r="G141" s="42">
        <v>5.2</v>
      </c>
      <c r="J141" s="39">
        <f t="shared" si="39"/>
        <v>0.8</v>
      </c>
      <c r="K141" s="39">
        <f t="shared" si="40"/>
        <v>-1.2</v>
      </c>
      <c r="L141" s="39">
        <f t="shared" si="41"/>
        <v>-1.6</v>
      </c>
      <c r="M141" s="43">
        <v>-2</v>
      </c>
      <c r="O141" s="44">
        <f>VLOOKUP(G141,$B$5:$M$1305,12,)</f>
        <v>-0.4</v>
      </c>
    </row>
    <row r="142" spans="1:18" ht="30" customHeight="1" x14ac:dyDescent="0.3">
      <c r="A142" s="37" t="s">
        <v>450</v>
      </c>
      <c r="B142" s="38">
        <f>13.8</f>
        <v>13.8</v>
      </c>
      <c r="C142" s="41" t="s">
        <v>936</v>
      </c>
      <c r="D142" s="41" t="s">
        <v>916</v>
      </c>
      <c r="E142" s="41" t="s">
        <v>1317</v>
      </c>
      <c r="F142" s="42" t="s">
        <v>1129</v>
      </c>
      <c r="G142" s="42">
        <v>-18.8</v>
      </c>
      <c r="J142" s="39">
        <f t="shared" si="39"/>
        <v>-1</v>
      </c>
      <c r="K142" s="39">
        <f t="shared" si="40"/>
        <v>3.3</v>
      </c>
      <c r="L142" s="39">
        <f t="shared" si="41"/>
        <v>0</v>
      </c>
      <c r="M142" s="43">
        <v>2.2999999999999998</v>
      </c>
      <c r="O142" s="44">
        <f>VLOOKUP(G142,$B$5:$M$1305,12,)</f>
        <v>-2.2000000000000002</v>
      </c>
    </row>
    <row r="143" spans="1:18" ht="30" customHeight="1" x14ac:dyDescent="0.3">
      <c r="A143" s="37" t="s">
        <v>452</v>
      </c>
      <c r="B143" s="38">
        <f>14.1</f>
        <v>14.1</v>
      </c>
      <c r="C143" s="41" t="s">
        <v>981</v>
      </c>
      <c r="D143" s="41" t="s">
        <v>1203</v>
      </c>
      <c r="E143" s="41" t="s">
        <v>653</v>
      </c>
      <c r="F143" s="42" t="s">
        <v>1436</v>
      </c>
      <c r="G143" s="46">
        <f>6.9+1+1+1.1+1.1+1.2-3.4+1.2+3.5</f>
        <v>13.599999999999998</v>
      </c>
      <c r="J143" s="39">
        <f t="shared" si="39"/>
        <v>2.1</v>
      </c>
      <c r="K143" s="39">
        <f t="shared" si="40"/>
        <v>-2.2000000000000002</v>
      </c>
      <c r="L143" s="39">
        <f t="shared" si="41"/>
        <v>1.6</v>
      </c>
      <c r="M143" s="48">
        <v>1.5</v>
      </c>
      <c r="N143" s="49"/>
      <c r="O143" s="50" t="e">
        <f>VLOOKUP(G143,$B$5:$M$1305,12,)</f>
        <v>#N/A</v>
      </c>
    </row>
    <row r="144" spans="1:18" ht="30" customHeight="1" x14ac:dyDescent="0.3">
      <c r="A144" s="37" t="s">
        <v>459</v>
      </c>
      <c r="B144" s="38">
        <f>15.4</f>
        <v>15.4</v>
      </c>
      <c r="C144" s="41" t="s">
        <v>961</v>
      </c>
      <c r="D144" s="41" t="s">
        <v>439</v>
      </c>
      <c r="E144" s="41" t="s">
        <v>1319</v>
      </c>
      <c r="F144" s="42" t="s">
        <v>1687</v>
      </c>
      <c r="G144" s="42">
        <v>-23</v>
      </c>
      <c r="J144" s="39">
        <f t="shared" si="39"/>
        <v>-1</v>
      </c>
      <c r="K144" s="39">
        <f t="shared" si="40"/>
        <v>2.2000000000000002</v>
      </c>
      <c r="L144" s="39">
        <f t="shared" si="41"/>
        <v>0</v>
      </c>
      <c r="M144" s="43">
        <v>1.2</v>
      </c>
      <c r="O144" s="44">
        <f>VLOOKUP(G144,$B$5:$M$1305,12,)</f>
        <v>-3.3</v>
      </c>
    </row>
    <row r="145" spans="1:15" ht="30" customHeight="1" x14ac:dyDescent="0.3">
      <c r="A145" s="37" t="s">
        <v>453</v>
      </c>
      <c r="B145" s="38">
        <f>-7.5</f>
        <v>-7.5</v>
      </c>
      <c r="C145" s="41" t="s">
        <v>983</v>
      </c>
      <c r="D145" s="41" t="s">
        <v>1195</v>
      </c>
      <c r="E145" s="41" t="s">
        <v>548</v>
      </c>
      <c r="F145" s="42" t="s">
        <v>1689</v>
      </c>
      <c r="G145" s="42">
        <v>6.7</v>
      </c>
      <c r="J145" s="39">
        <f t="shared" si="39"/>
        <v>0</v>
      </c>
      <c r="K145" s="39">
        <f t="shared" si="40"/>
        <v>-0.3</v>
      </c>
      <c r="L145" s="39">
        <f t="shared" si="41"/>
        <v>0</v>
      </c>
      <c r="M145" s="43">
        <v>-0.3</v>
      </c>
      <c r="O145" s="44">
        <f>VLOOKUP(G145,$B$5:$M$1305,12,)</f>
        <v>-1</v>
      </c>
    </row>
    <row r="146" spans="1:15" ht="30" customHeight="1" x14ac:dyDescent="0.3">
      <c r="A146" s="37" t="s">
        <v>451</v>
      </c>
      <c r="B146" s="38">
        <f>5.2</f>
        <v>5.2</v>
      </c>
      <c r="C146" s="41" t="s">
        <v>986</v>
      </c>
      <c r="D146" s="41" t="s">
        <v>536</v>
      </c>
      <c r="E146" s="41" t="s">
        <v>1315</v>
      </c>
      <c r="F146" s="42" t="s">
        <v>993</v>
      </c>
      <c r="G146" s="42">
        <v>2.7</v>
      </c>
      <c r="J146" s="39">
        <f t="shared" si="39"/>
        <v>0.8</v>
      </c>
      <c r="K146" s="39">
        <f t="shared" si="40"/>
        <v>-1.2</v>
      </c>
      <c r="L146" s="39">
        <f t="shared" si="41"/>
        <v>0</v>
      </c>
      <c r="M146" s="43">
        <v>-0.4</v>
      </c>
      <c r="O146" s="44">
        <f>VLOOKUP(G146,$B$5:$M$1305,12,)</f>
        <v>-2</v>
      </c>
    </row>
    <row r="147" spans="1:15" ht="30" customHeight="1" x14ac:dyDescent="0.3">
      <c r="A147" s="37" t="s">
        <v>454</v>
      </c>
      <c r="B147" s="38">
        <f>11.3</f>
        <v>11.3</v>
      </c>
      <c r="C147" s="41" t="s">
        <v>982</v>
      </c>
      <c r="D147" s="41" t="s">
        <v>1006</v>
      </c>
      <c r="E147" s="41" t="s">
        <v>359</v>
      </c>
      <c r="F147" s="42" t="s">
        <v>1690</v>
      </c>
      <c r="G147" s="42">
        <v>-5.4</v>
      </c>
      <c r="J147" s="39">
        <f t="shared" si="39"/>
        <v>-1</v>
      </c>
      <c r="K147" s="39">
        <f t="shared" si="40"/>
        <v>-0.3</v>
      </c>
      <c r="L147" s="39">
        <f t="shared" si="41"/>
        <v>1.6</v>
      </c>
      <c r="M147" s="43">
        <v>0.3</v>
      </c>
      <c r="O147" s="44">
        <f>VLOOKUP(G147,$B$5:$M$1305,12,)</f>
        <v>-1.6</v>
      </c>
    </row>
    <row r="148" spans="1:15" ht="30" customHeight="1" x14ac:dyDescent="0.3">
      <c r="A148" s="37" t="s">
        <v>455</v>
      </c>
      <c r="B148" s="38">
        <f>2.5</f>
        <v>2.5</v>
      </c>
      <c r="C148" s="41" t="s">
        <v>978</v>
      </c>
      <c r="D148" s="41" t="s">
        <v>1204</v>
      </c>
      <c r="E148" s="41" t="s">
        <v>1323</v>
      </c>
      <c r="F148" s="42" t="s">
        <v>1130</v>
      </c>
      <c r="G148" s="42">
        <v>-0.4</v>
      </c>
      <c r="J148" s="39">
        <f t="shared" si="39"/>
        <v>-2.1</v>
      </c>
      <c r="K148" s="39">
        <f t="shared" si="40"/>
        <v>-1.2</v>
      </c>
      <c r="L148" s="39">
        <f t="shared" si="41"/>
        <v>0</v>
      </c>
      <c r="M148" s="43">
        <v>-3.3</v>
      </c>
      <c r="O148" s="44">
        <f>VLOOKUP(G148,$B$5:$M$1305,12,)</f>
        <v>-2.9</v>
      </c>
    </row>
    <row r="149" spans="1:15" ht="30" customHeight="1" x14ac:dyDescent="0.3">
      <c r="A149" s="37" t="s">
        <v>456</v>
      </c>
      <c r="B149" s="38">
        <f>8.3</f>
        <v>8.3000000000000007</v>
      </c>
      <c r="C149" s="41" t="s">
        <v>988</v>
      </c>
      <c r="D149" s="41" t="s">
        <v>1123</v>
      </c>
      <c r="E149" s="41" t="s">
        <v>1313</v>
      </c>
      <c r="F149" s="42" t="s">
        <v>1685</v>
      </c>
      <c r="G149" s="42">
        <v>14.5</v>
      </c>
      <c r="J149" s="39">
        <f t="shared" si="39"/>
        <v>0.8</v>
      </c>
      <c r="K149" s="39">
        <f t="shared" si="40"/>
        <v>-3.4</v>
      </c>
      <c r="L149" s="39">
        <f t="shared" si="41"/>
        <v>1.6</v>
      </c>
      <c r="M149" s="43">
        <v>-1</v>
      </c>
      <c r="O149" s="44">
        <f>VLOOKUP(G149,$B$5:$M$1305,12,)</f>
        <v>2.6</v>
      </c>
    </row>
    <row r="150" spans="1:15" ht="30" customHeight="1" x14ac:dyDescent="0.3">
      <c r="A150" s="37" t="s">
        <v>457</v>
      </c>
      <c r="B150" s="38">
        <f>6.7</f>
        <v>6.7</v>
      </c>
      <c r="C150" s="41" t="s">
        <v>980</v>
      </c>
      <c r="D150" s="41" t="s">
        <v>544</v>
      </c>
      <c r="E150" s="41" t="s">
        <v>1309</v>
      </c>
      <c r="F150" s="42" t="s">
        <v>1682</v>
      </c>
      <c r="G150" s="42">
        <v>-7.5</v>
      </c>
      <c r="J150" s="39">
        <f t="shared" si="39"/>
        <v>0.8</v>
      </c>
      <c r="K150" s="39">
        <f t="shared" si="40"/>
        <v>1.2</v>
      </c>
      <c r="L150" s="39">
        <f t="shared" si="41"/>
        <v>-3</v>
      </c>
      <c r="M150" s="43">
        <v>-1</v>
      </c>
      <c r="O150" s="44">
        <f>VLOOKUP(G150,$B$5:$M$1305,12,)</f>
        <v>-0.3</v>
      </c>
    </row>
    <row r="151" spans="1:15" ht="30" customHeight="1" x14ac:dyDescent="0.3">
      <c r="A151" s="37" t="s">
        <v>458</v>
      </c>
      <c r="B151" s="38">
        <f>11.8</f>
        <v>11.8</v>
      </c>
      <c r="C151" s="41" t="s">
        <v>984</v>
      </c>
      <c r="D151" s="41" t="s">
        <v>782</v>
      </c>
      <c r="E151" s="41" t="s">
        <v>1314</v>
      </c>
      <c r="F151" s="42" t="s">
        <v>333</v>
      </c>
      <c r="G151" s="42">
        <v>0.1</v>
      </c>
      <c r="J151" s="39">
        <f t="shared" si="39"/>
        <v>0.8</v>
      </c>
      <c r="K151" s="39">
        <f t="shared" si="40"/>
        <v>3.3</v>
      </c>
      <c r="L151" s="39">
        <f t="shared" si="41"/>
        <v>0</v>
      </c>
      <c r="M151" s="48">
        <v>4.0999999999999996</v>
      </c>
      <c r="N151" s="49"/>
      <c r="O151" s="50">
        <f>VLOOKUP(G151,$B$5:$M$1305,12,)</f>
        <v>-6.3</v>
      </c>
    </row>
    <row r="152" spans="1:15" ht="30" customHeight="1" x14ac:dyDescent="0.3">
      <c r="A152" s="37" t="s">
        <v>460</v>
      </c>
      <c r="B152" s="38">
        <f>13.5</f>
        <v>13.5</v>
      </c>
      <c r="C152" s="41" t="s">
        <v>989</v>
      </c>
      <c r="D152" s="41" t="s">
        <v>907</v>
      </c>
      <c r="E152" s="41" t="s">
        <v>937</v>
      </c>
      <c r="F152" s="42" t="s">
        <v>1281</v>
      </c>
      <c r="G152" s="42">
        <v>11</v>
      </c>
      <c r="J152" s="39">
        <f t="shared" si="39"/>
        <v>0</v>
      </c>
      <c r="K152" s="39">
        <f t="shared" si="40"/>
        <v>-0.3</v>
      </c>
      <c r="L152" s="39">
        <f t="shared" si="41"/>
        <v>1.6</v>
      </c>
      <c r="M152" s="43">
        <v>1.3</v>
      </c>
      <c r="O152" s="44">
        <f>VLOOKUP(G152,$B$5:$M$1305,12,)</f>
        <v>0.2</v>
      </c>
    </row>
    <row r="153" spans="1:15" ht="30" customHeight="1" x14ac:dyDescent="0.3">
      <c r="A153" s="37" t="s">
        <v>461</v>
      </c>
      <c r="B153" s="38">
        <f>11</f>
        <v>11</v>
      </c>
      <c r="C153" s="41" t="s">
        <v>987</v>
      </c>
      <c r="D153" s="41" t="s">
        <v>549</v>
      </c>
      <c r="E153" s="41" t="s">
        <v>1310</v>
      </c>
      <c r="F153" s="42" t="s">
        <v>1680</v>
      </c>
      <c r="G153" s="42">
        <v>13.5</v>
      </c>
      <c r="J153" s="39">
        <f t="shared" si="39"/>
        <v>0.8</v>
      </c>
      <c r="K153" s="39">
        <f t="shared" si="40"/>
        <v>-2.2000000000000002</v>
      </c>
      <c r="L153" s="39">
        <f t="shared" si="41"/>
        <v>1.6</v>
      </c>
      <c r="M153" s="43">
        <v>0.2</v>
      </c>
      <c r="O153" s="44">
        <f>VLOOKUP(G153,$B$5:$M$1305,12,)</f>
        <v>1.3</v>
      </c>
    </row>
    <row r="154" spans="1:15" ht="30" customHeight="1" x14ac:dyDescent="0.3">
      <c r="A154" s="37" t="s">
        <v>469</v>
      </c>
      <c r="B154" s="38">
        <f>-18.8</f>
        <v>-18.8</v>
      </c>
      <c r="C154" s="41" t="s">
        <v>801</v>
      </c>
      <c r="D154" s="41" t="s">
        <v>723</v>
      </c>
      <c r="E154" s="41" t="s">
        <v>501</v>
      </c>
      <c r="F154" s="42" t="s">
        <v>1132</v>
      </c>
      <c r="G154" s="42">
        <v>13.8</v>
      </c>
      <c r="J154" s="39">
        <f t="shared" si="39"/>
        <v>-1</v>
      </c>
      <c r="K154" s="39">
        <f t="shared" si="40"/>
        <v>-1.2</v>
      </c>
      <c r="L154" s="39">
        <f t="shared" si="41"/>
        <v>0</v>
      </c>
      <c r="M154" s="43">
        <v>-2.2000000000000002</v>
      </c>
      <c r="O154" s="44">
        <f>VLOOKUP(G154,$B$5:$M$1305,12,)</f>
        <v>2.2999999999999998</v>
      </c>
    </row>
    <row r="155" spans="1:15" ht="30" customHeight="1" x14ac:dyDescent="0.3">
      <c r="A155" s="37" t="s">
        <v>462</v>
      </c>
      <c r="B155" s="38">
        <f>-0.1</f>
        <v>-0.1</v>
      </c>
      <c r="C155" s="41" t="s">
        <v>799</v>
      </c>
      <c r="D155" s="41" t="s">
        <v>1199</v>
      </c>
      <c r="E155" s="41" t="s">
        <v>644</v>
      </c>
      <c r="F155" s="42" t="s">
        <v>1684</v>
      </c>
      <c r="G155" s="42">
        <v>6.5</v>
      </c>
      <c r="J155" s="39">
        <f t="shared" si="39"/>
        <v>-1</v>
      </c>
      <c r="K155" s="39">
        <f t="shared" si="40"/>
        <v>-0.3</v>
      </c>
      <c r="L155" s="39">
        <f t="shared" si="41"/>
        <v>-1.6</v>
      </c>
      <c r="M155" s="43">
        <v>-2.9</v>
      </c>
      <c r="O155" s="44">
        <f>VLOOKUP(G155,$B$5:$M$1305,12,)</f>
        <v>1</v>
      </c>
    </row>
    <row r="156" spans="1:15" ht="30" customHeight="1" x14ac:dyDescent="0.3">
      <c r="A156" s="37" t="s">
        <v>463</v>
      </c>
      <c r="B156" s="38">
        <f>-23</f>
        <v>-23</v>
      </c>
      <c r="C156" s="41" t="s">
        <v>990</v>
      </c>
      <c r="D156" s="41" t="s">
        <v>1198</v>
      </c>
      <c r="E156" s="41" t="s">
        <v>1321</v>
      </c>
      <c r="F156" s="42" t="s">
        <v>1503</v>
      </c>
      <c r="G156" s="42">
        <v>15.4</v>
      </c>
      <c r="J156" s="39">
        <f t="shared" si="39"/>
        <v>-1.4</v>
      </c>
      <c r="K156" s="39">
        <f t="shared" si="40"/>
        <v>-0.3</v>
      </c>
      <c r="L156" s="39">
        <f t="shared" si="41"/>
        <v>-1.6</v>
      </c>
      <c r="M156" s="43">
        <v>-3.3</v>
      </c>
      <c r="O156" s="44">
        <f>VLOOKUP(G156,$B$5:$M$1305,12,)</f>
        <v>1.2</v>
      </c>
    </row>
    <row r="157" spans="1:15" ht="30" customHeight="1" x14ac:dyDescent="0.3">
      <c r="A157" s="37" t="s">
        <v>464</v>
      </c>
      <c r="B157" s="38">
        <f>3</f>
        <v>3</v>
      </c>
      <c r="C157" s="41" t="s">
        <v>985</v>
      </c>
      <c r="D157" s="41" t="s">
        <v>1193</v>
      </c>
      <c r="E157" s="41" t="s">
        <v>1311</v>
      </c>
      <c r="F157" s="42" t="s">
        <v>1686</v>
      </c>
      <c r="G157" s="42">
        <v>-0.3</v>
      </c>
      <c r="J157" s="39">
        <f t="shared" si="39"/>
        <v>0.8</v>
      </c>
      <c r="K157" s="39">
        <f t="shared" si="40"/>
        <v>2.2000000000000002</v>
      </c>
      <c r="L157" s="39">
        <f t="shared" si="41"/>
        <v>1.6</v>
      </c>
      <c r="M157" s="43">
        <v>4.5999999999999996</v>
      </c>
      <c r="O157" s="44">
        <f>VLOOKUP(G157,$B$5:$M$1305,12,)</f>
        <v>-0.4</v>
      </c>
    </row>
    <row r="158" spans="1:15" ht="30" customHeight="1" x14ac:dyDescent="0.3">
      <c r="A158" s="37" t="s">
        <v>465</v>
      </c>
      <c r="B158" s="38">
        <f>-0.4</f>
        <v>-0.4</v>
      </c>
      <c r="C158" s="41" t="s">
        <v>687</v>
      </c>
      <c r="D158" s="41" t="s">
        <v>1194</v>
      </c>
      <c r="E158" s="41" t="s">
        <v>552</v>
      </c>
      <c r="F158" s="42" t="s">
        <v>312</v>
      </c>
      <c r="G158" s="42">
        <v>2.5</v>
      </c>
      <c r="J158" s="39">
        <f t="shared" si="39"/>
        <v>-1</v>
      </c>
      <c r="K158" s="39">
        <f t="shared" si="40"/>
        <v>-0.3</v>
      </c>
      <c r="L158" s="39">
        <f t="shared" si="41"/>
        <v>-1.6</v>
      </c>
      <c r="M158" s="43">
        <v>-2.9</v>
      </c>
      <c r="O158" s="44">
        <f>VLOOKUP(G158,$B$5:$M$1305,12,)</f>
        <v>-3.3</v>
      </c>
    </row>
    <row r="159" spans="1:15" ht="30" customHeight="1" x14ac:dyDescent="0.3">
      <c r="A159" s="37" t="s">
        <v>466</v>
      </c>
      <c r="B159" s="38">
        <f>-0.3</f>
        <v>-0.3</v>
      </c>
      <c r="C159" s="41" t="s">
        <v>991</v>
      </c>
      <c r="D159" s="41" t="s">
        <v>701</v>
      </c>
      <c r="E159" s="42" t="s">
        <v>1120</v>
      </c>
      <c r="F159" s="42" t="s">
        <v>1691</v>
      </c>
      <c r="G159" s="42">
        <v>3</v>
      </c>
      <c r="J159" s="39">
        <f t="shared" si="39"/>
        <v>0</v>
      </c>
      <c r="K159" s="39">
        <f t="shared" si="40"/>
        <v>1.2</v>
      </c>
      <c r="L159" s="39">
        <f t="shared" si="41"/>
        <v>-1.6</v>
      </c>
      <c r="M159" s="43">
        <v>-0.4</v>
      </c>
      <c r="O159" s="44">
        <f>VLOOKUP(G159,$B$5:$M$1305,12,)</f>
        <v>-4.0999999999999996</v>
      </c>
    </row>
    <row r="160" spans="1:15" ht="30" customHeight="1" x14ac:dyDescent="0.3">
      <c r="A160" s="37" t="s">
        <v>467</v>
      </c>
      <c r="B160" s="38">
        <f>13.6</f>
        <v>13.6</v>
      </c>
      <c r="C160" s="41" t="s">
        <v>992</v>
      </c>
      <c r="D160" s="41" t="s">
        <v>1201</v>
      </c>
      <c r="E160" s="41" t="s">
        <v>955</v>
      </c>
      <c r="F160" s="42" t="s">
        <v>331</v>
      </c>
      <c r="G160" s="42">
        <v>14.1</v>
      </c>
      <c r="J160" s="39">
        <f t="shared" si="39"/>
        <v>-1.4</v>
      </c>
      <c r="K160" s="39">
        <f t="shared" si="40"/>
        <v>-0.3</v>
      </c>
      <c r="L160" s="39">
        <f t="shared" si="41"/>
        <v>1.6</v>
      </c>
      <c r="M160" s="43">
        <v>-0.1</v>
      </c>
      <c r="O160" s="44">
        <f>VLOOKUP(G160,$B$5:$M$1305,12,)</f>
        <v>1.5</v>
      </c>
    </row>
    <row r="161" spans="1:15" ht="30" customHeight="1" x14ac:dyDescent="0.3">
      <c r="A161" s="37" t="s">
        <v>468</v>
      </c>
      <c r="B161" s="38">
        <f>-5.4</f>
        <v>-5.4</v>
      </c>
      <c r="C161" s="41" t="s">
        <v>659</v>
      </c>
      <c r="D161" s="41" t="s">
        <v>522</v>
      </c>
      <c r="E161" s="42" t="s">
        <v>1318</v>
      </c>
      <c r="F161" s="42" t="s">
        <v>1683</v>
      </c>
      <c r="G161" s="42">
        <v>11.3</v>
      </c>
      <c r="J161" s="39">
        <f t="shared" si="39"/>
        <v>-1</v>
      </c>
      <c r="K161" s="39">
        <f t="shared" si="40"/>
        <v>-3.4</v>
      </c>
      <c r="L161" s="39">
        <f t="shared" si="41"/>
        <v>2.8</v>
      </c>
      <c r="M161" s="43">
        <v>-1.6</v>
      </c>
      <c r="O161" s="44">
        <f>VLOOKUP(G161,$B$5:$M$1305,12,)</f>
        <v>0.3</v>
      </c>
    </row>
    <row r="162" spans="1:15" ht="30" customHeight="1" x14ac:dyDescent="0.3">
      <c r="B162" s="38" t="s">
        <v>254</v>
      </c>
      <c r="E162" s="41"/>
      <c r="O162" s="44" t="e">
        <f>VLOOKUP(G162,$B$5:$M$1305,12,)</f>
        <v>#N/A</v>
      </c>
    </row>
    <row r="163" spans="1:15" ht="30" customHeight="1" x14ac:dyDescent="0.3">
      <c r="B163" s="38" t="s">
        <v>254</v>
      </c>
      <c r="O163" s="44" t="e">
        <f>VLOOKUP(G163,$B$5:$M$1305,12,)</f>
        <v>#N/A</v>
      </c>
    </row>
    <row r="164" spans="1:15" ht="30" customHeight="1" x14ac:dyDescent="0.3">
      <c r="B164" s="38" t="s">
        <v>254</v>
      </c>
      <c r="C164" s="39">
        <v>5</v>
      </c>
      <c r="D164" s="39">
        <v>6</v>
      </c>
      <c r="E164" s="39">
        <v>7</v>
      </c>
      <c r="F164" s="39">
        <v>8</v>
      </c>
      <c r="G164" s="39">
        <v>9</v>
      </c>
      <c r="H164" s="39">
        <v>10</v>
      </c>
      <c r="I164" s="39">
        <v>11</v>
      </c>
      <c r="O164" s="44">
        <f>VLOOKUP(G164,$B$5:$M$1305,12,)</f>
        <v>1.7</v>
      </c>
    </row>
    <row r="165" spans="1:15" ht="30" customHeight="1" x14ac:dyDescent="0.3">
      <c r="A165" s="37" t="s">
        <v>569</v>
      </c>
      <c r="B165" s="38">
        <f>8.1</f>
        <v>8.1</v>
      </c>
      <c r="C165" s="41" t="s">
        <v>1027</v>
      </c>
      <c r="D165" s="41" t="s">
        <v>1005</v>
      </c>
      <c r="E165" s="41" t="s">
        <v>1482</v>
      </c>
      <c r="F165" s="42" t="s">
        <v>474</v>
      </c>
      <c r="G165" s="42">
        <v>11</v>
      </c>
      <c r="J165" s="39">
        <f t="shared" ref="J165" si="42">LOOKUP(,-SEARCH( $Q$6:$Q$12, D165), $R$6:$R$12 )</f>
        <v>-1</v>
      </c>
      <c r="K165" s="39">
        <f t="shared" ref="K165" si="43">LOOKUP(,-SEARCH( $S$6:$S$12, E165), $T$6:$T$12 )</f>
        <v>2.2000000000000002</v>
      </c>
      <c r="L165" s="39">
        <f t="shared" ref="L165" si="44">LOOKUP(,-SEARCH( $U$6:$U$12, F165), $V$6:$V$12 )</f>
        <v>0</v>
      </c>
      <c r="M165" s="48">
        <v>1.2</v>
      </c>
      <c r="N165" s="49"/>
      <c r="O165" s="50">
        <f>VLOOKUP(G165,$B$5:$M$1305,12,)</f>
        <v>0.2</v>
      </c>
    </row>
    <row r="166" spans="1:15" ht="30" customHeight="1" x14ac:dyDescent="0.3">
      <c r="A166" s="37" t="s">
        <v>570</v>
      </c>
      <c r="B166" s="38">
        <f>9</f>
        <v>9</v>
      </c>
      <c r="C166" s="41" t="s">
        <v>360</v>
      </c>
      <c r="D166" s="41" t="s">
        <v>959</v>
      </c>
      <c r="E166" s="41" t="s">
        <v>1483</v>
      </c>
      <c r="F166" s="42" t="s">
        <v>1695</v>
      </c>
      <c r="G166" s="42">
        <v>3</v>
      </c>
      <c r="J166" s="39">
        <f t="shared" ref="J166:J182" si="45">LOOKUP(,-SEARCH( $Q$6:$Q$12, D166), $R$6:$R$12 )</f>
        <v>0</v>
      </c>
      <c r="K166" s="39">
        <f t="shared" ref="K166:K182" si="46">LOOKUP(,-SEARCH( $S$6:$S$12, E166), $T$6:$T$12 )</f>
        <v>3.3</v>
      </c>
      <c r="L166" s="39">
        <f t="shared" ref="L166:L182" si="47">LOOKUP(,-SEARCH( $U$6:$U$12, F166), $V$6:$V$12 )</f>
        <v>-1.6</v>
      </c>
      <c r="M166" s="43">
        <v>1.7</v>
      </c>
      <c r="O166" s="44">
        <f>VLOOKUP(G166,$B$5:$M$1305,12,)</f>
        <v>-4.0999999999999996</v>
      </c>
    </row>
    <row r="167" spans="1:15" ht="30" customHeight="1" x14ac:dyDescent="0.3">
      <c r="A167" s="37" t="s">
        <v>571</v>
      </c>
      <c r="B167" s="38">
        <f>-2.5</f>
        <v>-2.5</v>
      </c>
      <c r="C167" s="41" t="s">
        <v>1026</v>
      </c>
      <c r="D167" s="41" t="s">
        <v>646</v>
      </c>
      <c r="E167" s="41" t="s">
        <v>1358</v>
      </c>
      <c r="F167" s="42" t="s">
        <v>1702</v>
      </c>
      <c r="G167" s="42">
        <v>11.6</v>
      </c>
      <c r="J167" s="39">
        <f t="shared" si="45"/>
        <v>-1</v>
      </c>
      <c r="K167" s="39">
        <f t="shared" si="46"/>
        <v>-2.2000000000000002</v>
      </c>
      <c r="L167" s="39">
        <f t="shared" si="47"/>
        <v>2.8</v>
      </c>
      <c r="M167" s="43">
        <v>-0.4</v>
      </c>
      <c r="O167" s="44">
        <f>VLOOKUP(G167,$B$5:$M$1305,12,)</f>
        <v>3.7</v>
      </c>
    </row>
    <row r="168" spans="1:15" ht="30" customHeight="1" x14ac:dyDescent="0.3">
      <c r="A168" s="37" t="s">
        <v>572</v>
      </c>
      <c r="B168" s="38">
        <f>-15.6</f>
        <v>-15.6</v>
      </c>
      <c r="C168" s="41" t="s">
        <v>914</v>
      </c>
      <c r="D168" s="41" t="s">
        <v>798</v>
      </c>
      <c r="E168" s="41" t="s">
        <v>1460</v>
      </c>
      <c r="F168" s="42" t="s">
        <v>1119</v>
      </c>
      <c r="G168" s="42">
        <v>-18.600000000000001</v>
      </c>
      <c r="J168" s="39">
        <f t="shared" si="45"/>
        <v>1.4</v>
      </c>
      <c r="K168" s="39">
        <f t="shared" si="46"/>
        <v>-3.4</v>
      </c>
      <c r="L168" s="39">
        <f t="shared" si="47"/>
        <v>-3</v>
      </c>
      <c r="M168" s="43">
        <v>-5</v>
      </c>
      <c r="O168" s="44">
        <f>VLOOKUP(G168,$B$5:$M$1305,12,)</f>
        <v>-6.9</v>
      </c>
    </row>
    <row r="169" spans="1:15" ht="30" customHeight="1" x14ac:dyDescent="0.3">
      <c r="A169" s="37" t="s">
        <v>573</v>
      </c>
      <c r="B169" s="38">
        <f>-4.7</f>
        <v>-4.7</v>
      </c>
      <c r="C169" s="41" t="s">
        <v>1028</v>
      </c>
      <c r="D169" s="41" t="s">
        <v>1214</v>
      </c>
      <c r="E169" s="41" t="s">
        <v>1484</v>
      </c>
      <c r="F169" s="42" t="s">
        <v>1238</v>
      </c>
      <c r="G169" s="42">
        <v>17.8</v>
      </c>
      <c r="J169" s="39">
        <f t="shared" si="45"/>
        <v>-2.1</v>
      </c>
      <c r="K169" s="39">
        <f t="shared" si="46"/>
        <v>-0.3</v>
      </c>
      <c r="L169" s="39">
        <f t="shared" si="47"/>
        <v>-3</v>
      </c>
      <c r="M169" s="48">
        <v>-5.4</v>
      </c>
      <c r="N169" s="49"/>
      <c r="O169" s="50">
        <f>VLOOKUP(G169,$B$5:$M$1305,12,)</f>
        <v>8</v>
      </c>
    </row>
    <row r="170" spans="1:15" ht="30" customHeight="1" x14ac:dyDescent="0.3">
      <c r="A170" s="37" t="s">
        <v>574</v>
      </c>
      <c r="B170" s="38">
        <f>12.9</f>
        <v>12.9</v>
      </c>
      <c r="C170" s="41" t="s">
        <v>899</v>
      </c>
      <c r="D170" s="41" t="s">
        <v>1213</v>
      </c>
      <c r="E170" s="41" t="s">
        <v>1485</v>
      </c>
      <c r="F170" s="42" t="s">
        <v>560</v>
      </c>
      <c r="G170" s="42">
        <v>-8.1999999999999993</v>
      </c>
      <c r="J170" s="39">
        <f t="shared" si="45"/>
        <v>0.8</v>
      </c>
      <c r="K170" s="39">
        <f t="shared" si="46"/>
        <v>-0.3</v>
      </c>
      <c r="L170" s="39">
        <f t="shared" si="47"/>
        <v>0</v>
      </c>
      <c r="M170" s="43">
        <v>0.5</v>
      </c>
      <c r="O170" s="44">
        <f>VLOOKUP(G170,$B$5:$M$1305,12,)</f>
        <v>-1.2</v>
      </c>
    </row>
    <row r="171" spans="1:15" ht="30" customHeight="1" x14ac:dyDescent="0.3">
      <c r="A171" s="37" t="s">
        <v>575</v>
      </c>
      <c r="B171" s="38">
        <f>-0.7</f>
        <v>-0.7</v>
      </c>
      <c r="C171" s="41" t="s">
        <v>542</v>
      </c>
      <c r="D171" s="41" t="s">
        <v>317</v>
      </c>
      <c r="E171" s="41" t="s">
        <v>1486</v>
      </c>
      <c r="F171" s="42" t="s">
        <v>1360</v>
      </c>
      <c r="G171" s="42">
        <v>-5</v>
      </c>
      <c r="J171" s="39">
        <f t="shared" si="45"/>
        <v>1.4</v>
      </c>
      <c r="K171" s="39">
        <f t="shared" si="46"/>
        <v>-2.2000000000000002</v>
      </c>
      <c r="L171" s="39">
        <f t="shared" si="47"/>
        <v>0</v>
      </c>
      <c r="M171" s="43">
        <v>-0.8</v>
      </c>
      <c r="O171" s="44">
        <f>VLOOKUP(G171,$B$5:$M$1305,12,)</f>
        <v>0.5</v>
      </c>
    </row>
    <row r="172" spans="1:15" ht="30" customHeight="1" x14ac:dyDescent="0.3">
      <c r="A172" s="37" t="s">
        <v>576</v>
      </c>
      <c r="B172" s="38">
        <f>8.7</f>
        <v>8.6999999999999993</v>
      </c>
      <c r="C172" s="41" t="s">
        <v>810</v>
      </c>
      <c r="D172" s="41" t="s">
        <v>1126</v>
      </c>
      <c r="E172" s="41" t="s">
        <v>1487</v>
      </c>
      <c r="F172" s="42" t="s">
        <v>1142</v>
      </c>
      <c r="G172" s="42">
        <v>-5.5</v>
      </c>
      <c r="J172" s="39">
        <f t="shared" si="45"/>
        <v>0.8</v>
      </c>
      <c r="K172" s="39">
        <f t="shared" si="46"/>
        <v>1.2</v>
      </c>
      <c r="L172" s="39">
        <f t="shared" si="47"/>
        <v>-1.6</v>
      </c>
      <c r="M172" s="43">
        <v>0.4</v>
      </c>
      <c r="O172" s="44">
        <f>VLOOKUP(G172,$B$5:$M$1305,12,)</f>
        <v>-1</v>
      </c>
    </row>
    <row r="173" spans="1:15" ht="30" customHeight="1" x14ac:dyDescent="0.3">
      <c r="A173" s="37" t="s">
        <v>577</v>
      </c>
      <c r="B173" s="38">
        <f>-8.2</f>
        <v>-8.1999999999999993</v>
      </c>
      <c r="C173" s="41" t="s">
        <v>784</v>
      </c>
      <c r="D173" s="41" t="s">
        <v>1217</v>
      </c>
      <c r="E173" s="41" t="s">
        <v>324</v>
      </c>
      <c r="F173" s="42" t="s">
        <v>1703</v>
      </c>
      <c r="G173" s="42">
        <v>12.9</v>
      </c>
      <c r="J173" s="39">
        <f t="shared" si="45"/>
        <v>2.1</v>
      </c>
      <c r="K173" s="39">
        <f t="shared" si="46"/>
        <v>-0.3</v>
      </c>
      <c r="L173" s="39">
        <f t="shared" si="47"/>
        <v>-3</v>
      </c>
      <c r="M173" s="43">
        <v>-1.2</v>
      </c>
      <c r="O173" s="44">
        <f>VLOOKUP(G173,$B$5:$M$1305,12,)</f>
        <v>0.5</v>
      </c>
    </row>
    <row r="174" spans="1:15" ht="30" customHeight="1" x14ac:dyDescent="0.3">
      <c r="A174" s="37" t="s">
        <v>578</v>
      </c>
      <c r="B174" s="38">
        <f>-18.6</f>
        <v>-18.600000000000001</v>
      </c>
      <c r="C174" s="41" t="s">
        <v>1029</v>
      </c>
      <c r="D174" s="41" t="s">
        <v>911</v>
      </c>
      <c r="E174" s="41" t="s">
        <v>1488</v>
      </c>
      <c r="F174" s="42" t="s">
        <v>1701</v>
      </c>
      <c r="G174" s="42">
        <v>-15.6</v>
      </c>
      <c r="J174" s="39">
        <f t="shared" si="45"/>
        <v>-1</v>
      </c>
      <c r="K174" s="39">
        <f t="shared" si="46"/>
        <v>-2.2000000000000002</v>
      </c>
      <c r="L174" s="39">
        <f t="shared" si="47"/>
        <v>-3.7</v>
      </c>
      <c r="M174" s="43">
        <v>-6.9</v>
      </c>
      <c r="O174" s="44">
        <f>VLOOKUP(G174,$B$5:$M$1305,12,)</f>
        <v>-5</v>
      </c>
    </row>
    <row r="175" spans="1:15" ht="30" customHeight="1" x14ac:dyDescent="0.3">
      <c r="A175" s="37" t="s">
        <v>579</v>
      </c>
      <c r="B175" s="38">
        <f>11</f>
        <v>11</v>
      </c>
      <c r="C175" s="41" t="s">
        <v>354</v>
      </c>
      <c r="D175" s="41" t="s">
        <v>1215</v>
      </c>
      <c r="E175" s="41" t="s">
        <v>327</v>
      </c>
      <c r="F175" s="42" t="s">
        <v>1205</v>
      </c>
      <c r="G175" s="42">
        <v>8.1</v>
      </c>
      <c r="J175" s="39">
        <f t="shared" si="45"/>
        <v>2.1</v>
      </c>
      <c r="K175" s="39">
        <f t="shared" si="46"/>
        <v>2.2000000000000002</v>
      </c>
      <c r="L175" s="39">
        <f t="shared" si="47"/>
        <v>2.8</v>
      </c>
      <c r="M175" s="48">
        <v>7.1</v>
      </c>
      <c r="N175" s="49"/>
      <c r="O175" s="50">
        <f>VLOOKUP(G175,$B$5:$M$1305,12,)</f>
        <v>-0.4</v>
      </c>
    </row>
    <row r="176" spans="1:15" ht="30" customHeight="1" x14ac:dyDescent="0.3">
      <c r="A176" s="37" t="s">
        <v>580</v>
      </c>
      <c r="B176" s="38">
        <f>-5.5</f>
        <v>-5.5</v>
      </c>
      <c r="C176" s="41" t="s">
        <v>968</v>
      </c>
      <c r="D176" s="41" t="s">
        <v>1212</v>
      </c>
      <c r="E176" s="41" t="s">
        <v>1450</v>
      </c>
      <c r="F176" s="42" t="s">
        <v>1704</v>
      </c>
      <c r="G176" s="42">
        <v>8.6999999999999993</v>
      </c>
      <c r="J176" s="39">
        <f t="shared" si="45"/>
        <v>-1.4</v>
      </c>
      <c r="K176" s="39">
        <f t="shared" si="46"/>
        <v>-1.2</v>
      </c>
      <c r="L176" s="39">
        <f t="shared" si="47"/>
        <v>1.6</v>
      </c>
      <c r="M176" s="43">
        <v>-1</v>
      </c>
      <c r="O176" s="44">
        <f>VLOOKUP(G176,$B$5:$M$1305,12,)</f>
        <v>1.5</v>
      </c>
    </row>
    <row r="177" spans="1:15" ht="30" customHeight="1" x14ac:dyDescent="0.3">
      <c r="A177" s="37" t="s">
        <v>581</v>
      </c>
      <c r="B177" s="38">
        <f>3</f>
        <v>3</v>
      </c>
      <c r="C177" s="41" t="s">
        <v>445</v>
      </c>
      <c r="D177" s="41" t="s">
        <v>1216</v>
      </c>
      <c r="E177" s="41" t="s">
        <v>1489</v>
      </c>
      <c r="F177" s="42" t="s">
        <v>1705</v>
      </c>
      <c r="G177" s="42">
        <v>9</v>
      </c>
      <c r="J177" s="39">
        <f t="shared" si="45"/>
        <v>-2.1</v>
      </c>
      <c r="K177" s="39">
        <f t="shared" si="46"/>
        <v>1.2</v>
      </c>
      <c r="L177" s="39">
        <f t="shared" si="47"/>
        <v>-1.6</v>
      </c>
      <c r="M177" s="43">
        <v>-2.5</v>
      </c>
      <c r="O177" s="44">
        <f>VLOOKUP(G177,$B$5:$M$1305,12,)</f>
        <v>1.7</v>
      </c>
    </row>
    <row r="178" spans="1:15" ht="30" customHeight="1" x14ac:dyDescent="0.3">
      <c r="A178" s="37" t="s">
        <v>582</v>
      </c>
      <c r="B178" s="38">
        <f>6.3</f>
        <v>6.3</v>
      </c>
      <c r="C178" s="41" t="s">
        <v>650</v>
      </c>
      <c r="D178" s="41" t="s">
        <v>747</v>
      </c>
      <c r="E178" s="41" t="s">
        <v>1468</v>
      </c>
      <c r="F178" s="42" t="s">
        <v>1700</v>
      </c>
      <c r="G178" s="42">
        <v>3.7</v>
      </c>
      <c r="J178" s="39">
        <f t="shared" si="45"/>
        <v>0</v>
      </c>
      <c r="K178" s="39">
        <f t="shared" si="46"/>
        <v>-1.2</v>
      </c>
      <c r="L178" s="39">
        <f t="shared" si="47"/>
        <v>3.7</v>
      </c>
      <c r="M178" s="43">
        <v>2.5</v>
      </c>
      <c r="O178" s="44">
        <f>VLOOKUP(G178,$B$5:$M$1305,12,)</f>
        <v>1.7</v>
      </c>
    </row>
    <row r="179" spans="1:15" ht="30" customHeight="1" x14ac:dyDescent="0.3">
      <c r="A179" s="37" t="s">
        <v>583</v>
      </c>
      <c r="B179" s="38">
        <f>17.8</f>
        <v>17.8</v>
      </c>
      <c r="C179" s="41" t="s">
        <v>738</v>
      </c>
      <c r="D179" s="41" t="s">
        <v>1211</v>
      </c>
      <c r="E179" s="41" t="s">
        <v>674</v>
      </c>
      <c r="F179" s="42" t="s">
        <v>1706</v>
      </c>
      <c r="G179" s="42">
        <v>-4.7</v>
      </c>
      <c r="J179" s="39">
        <f t="shared" si="45"/>
        <v>-1.4</v>
      </c>
      <c r="K179" s="39">
        <f t="shared" si="46"/>
        <v>1.2</v>
      </c>
      <c r="L179" s="39">
        <f t="shared" si="47"/>
        <v>1.6</v>
      </c>
      <c r="M179" s="48">
        <v>1.4</v>
      </c>
      <c r="N179" s="49"/>
      <c r="O179" s="50">
        <f>VLOOKUP(G179,$B$5:$M$1305,12,)</f>
        <v>-2.9</v>
      </c>
    </row>
    <row r="180" spans="1:15" ht="30" customHeight="1" x14ac:dyDescent="0.3">
      <c r="A180" s="37" t="s">
        <v>584</v>
      </c>
      <c r="B180" s="38">
        <f>11.6</f>
        <v>11.6</v>
      </c>
      <c r="C180" s="41" t="s">
        <v>741</v>
      </c>
      <c r="D180" s="41" t="s">
        <v>1218</v>
      </c>
      <c r="E180" s="41" t="s">
        <v>346</v>
      </c>
      <c r="F180" s="42" t="s">
        <v>525</v>
      </c>
      <c r="G180" s="42">
        <v>-2.5</v>
      </c>
      <c r="J180" s="39">
        <f t="shared" si="45"/>
        <v>2.1</v>
      </c>
      <c r="K180" s="39">
        <f t="shared" si="46"/>
        <v>-1.2</v>
      </c>
      <c r="L180" s="39">
        <f t="shared" si="47"/>
        <v>2.8</v>
      </c>
      <c r="M180" s="43">
        <v>3.7</v>
      </c>
      <c r="O180" s="44">
        <f>VLOOKUP(G180,$B$5:$M$1305,12,)</f>
        <v>-0.4</v>
      </c>
    </row>
    <row r="181" spans="1:15" ht="30" customHeight="1" x14ac:dyDescent="0.3">
      <c r="A181" s="37" t="s">
        <v>585</v>
      </c>
      <c r="B181" s="38">
        <f>-5</f>
        <v>-5</v>
      </c>
      <c r="C181" s="41" t="s">
        <v>967</v>
      </c>
      <c r="D181" s="41" t="s">
        <v>956</v>
      </c>
      <c r="E181" s="41" t="s">
        <v>1490</v>
      </c>
      <c r="F181" s="42" t="s">
        <v>564</v>
      </c>
      <c r="G181" s="42">
        <v>-0.7</v>
      </c>
      <c r="J181" s="39">
        <f t="shared" si="45"/>
        <v>0.8</v>
      </c>
      <c r="K181" s="39">
        <f t="shared" si="46"/>
        <v>-0.3</v>
      </c>
      <c r="L181" s="39">
        <f t="shared" si="47"/>
        <v>0</v>
      </c>
      <c r="M181" s="43">
        <v>0.5</v>
      </c>
      <c r="O181" s="44">
        <f>VLOOKUP(G181,$B$5:$M$1305,12,)</f>
        <v>-3.3</v>
      </c>
    </row>
    <row r="182" spans="1:15" ht="30" customHeight="1" x14ac:dyDescent="0.3">
      <c r="A182" s="37" t="s">
        <v>586</v>
      </c>
      <c r="B182" s="38">
        <f>3.7</f>
        <v>3.7</v>
      </c>
      <c r="C182" s="41" t="s">
        <v>633</v>
      </c>
      <c r="D182" s="41" t="s">
        <v>1167</v>
      </c>
      <c r="E182" s="41" t="s">
        <v>1491</v>
      </c>
      <c r="F182" s="42" t="s">
        <v>1707</v>
      </c>
      <c r="G182" s="42">
        <v>6.3</v>
      </c>
      <c r="J182" s="39">
        <f t="shared" si="45"/>
        <v>-2.1</v>
      </c>
      <c r="K182" s="39">
        <f t="shared" si="46"/>
        <v>2.2000000000000002</v>
      </c>
      <c r="L182" s="39">
        <f t="shared" si="47"/>
        <v>1.6</v>
      </c>
      <c r="M182" s="43">
        <v>1.7</v>
      </c>
      <c r="O182" s="44">
        <f>VLOOKUP(G182,$B$5:$M$1305,12,)</f>
        <v>2.5</v>
      </c>
    </row>
    <row r="183" spans="1:15" ht="30" customHeight="1" x14ac:dyDescent="0.3">
      <c r="B183" s="38" t="s">
        <v>254</v>
      </c>
      <c r="C183" s="41"/>
      <c r="O183" s="44" t="e">
        <f>VLOOKUP(G183,$B$5:$M$1305,12,)</f>
        <v>#N/A</v>
      </c>
    </row>
    <row r="184" spans="1:15" ht="30" customHeight="1" x14ac:dyDescent="0.3">
      <c r="B184" s="38" t="s">
        <v>254</v>
      </c>
      <c r="O184" s="44" t="e">
        <f>VLOOKUP(G184,$B$5:$M$1305,12,)</f>
        <v>#N/A</v>
      </c>
    </row>
    <row r="185" spans="1:15" ht="30" customHeight="1" x14ac:dyDescent="0.3">
      <c r="B185" s="38" t="s">
        <v>254</v>
      </c>
      <c r="O185" s="44" t="e">
        <f>VLOOKUP(G185,$B$5:$M$1305,12,)</f>
        <v>#N/A</v>
      </c>
    </row>
    <row r="186" spans="1:15" ht="30" customHeight="1" x14ac:dyDescent="0.3">
      <c r="B186" s="38" t="s">
        <v>254</v>
      </c>
      <c r="C186" s="39">
        <v>7</v>
      </c>
      <c r="D186" s="39">
        <v>8</v>
      </c>
      <c r="E186" s="39">
        <v>9</v>
      </c>
      <c r="F186" s="39">
        <v>10</v>
      </c>
      <c r="G186" s="39">
        <v>11</v>
      </c>
      <c r="O186" s="44">
        <f>VLOOKUP(G186,$B$5:$M$1305,12,)</f>
        <v>0.2</v>
      </c>
    </row>
    <row r="187" spans="1:15" ht="30" customHeight="1" x14ac:dyDescent="0.3">
      <c r="A187" s="37" t="s">
        <v>479</v>
      </c>
      <c r="B187" s="38">
        <f>4.8</f>
        <v>4.8</v>
      </c>
      <c r="C187" s="41" t="s">
        <v>443</v>
      </c>
      <c r="D187" s="41" t="s">
        <v>1219</v>
      </c>
      <c r="E187" s="41" t="s">
        <v>1472</v>
      </c>
      <c r="F187" s="42" t="s">
        <v>1709</v>
      </c>
      <c r="G187" s="42">
        <v>4.7</v>
      </c>
      <c r="J187" s="39">
        <f t="shared" ref="J187" si="48">LOOKUP(,-SEARCH( $Q$6:$Q$12, D187), $R$6:$R$12 )</f>
        <v>-1</v>
      </c>
      <c r="K187" s="39">
        <f t="shared" ref="K187" si="49">LOOKUP(,-SEARCH( $S$6:$S$12, E187), $T$6:$T$12 )</f>
        <v>-0.3</v>
      </c>
      <c r="L187" s="39">
        <f t="shared" ref="L187" si="50">LOOKUP(,-SEARCH( $U$6:$U$12, F187), $V$6:$V$12 )</f>
        <v>-1.6</v>
      </c>
      <c r="M187" s="43">
        <v>-2.9</v>
      </c>
      <c r="O187" s="44">
        <f>VLOOKUP(G187,$B$5:$M$1305,12,)</f>
        <v>-1.9</v>
      </c>
    </row>
    <row r="188" spans="1:15" ht="30" customHeight="1" x14ac:dyDescent="0.3">
      <c r="A188" s="37" t="s">
        <v>498</v>
      </c>
      <c r="B188" s="38">
        <f>0.1</f>
        <v>0.1</v>
      </c>
      <c r="C188" s="41" t="s">
        <v>1043</v>
      </c>
      <c r="D188" s="41" t="s">
        <v>1224</v>
      </c>
      <c r="E188" s="41" t="s">
        <v>1457</v>
      </c>
      <c r="F188" s="42" t="s">
        <v>1711</v>
      </c>
      <c r="G188" s="42">
        <v>-6.8</v>
      </c>
      <c r="J188" s="39">
        <f t="shared" ref="J188:J206" si="51">LOOKUP(,-SEARCH( $Q$6:$Q$12, D188), $R$6:$R$12 )</f>
        <v>0</v>
      </c>
      <c r="K188" s="39">
        <f t="shared" ref="K188:K206" si="52">LOOKUP(,-SEARCH( $S$6:$S$12, E188), $T$6:$T$12 )</f>
        <v>-1.2</v>
      </c>
      <c r="L188" s="39">
        <f t="shared" ref="L188:L206" si="53">LOOKUP(,-SEARCH( $U$6:$U$12, F188), $V$6:$V$12 )</f>
        <v>-1.6</v>
      </c>
      <c r="M188" s="43">
        <v>-2.8</v>
      </c>
      <c r="O188" s="44">
        <f>VLOOKUP(G188,$B$5:$M$1305,12,)</f>
        <v>1.5</v>
      </c>
    </row>
    <row r="189" spans="1:15" ht="30" customHeight="1" x14ac:dyDescent="0.3">
      <c r="A189" s="37" t="s">
        <v>481</v>
      </c>
      <c r="B189" s="38">
        <f>-2.5</f>
        <v>-2.5</v>
      </c>
      <c r="C189" s="41" t="s">
        <v>1031</v>
      </c>
      <c r="D189" s="41" t="s">
        <v>1220</v>
      </c>
      <c r="E189" s="41" t="s">
        <v>1471</v>
      </c>
      <c r="F189" s="42" t="s">
        <v>783</v>
      </c>
      <c r="G189" s="42">
        <v>4.0999999999999996</v>
      </c>
      <c r="J189" s="39">
        <f t="shared" si="51"/>
        <v>0.8</v>
      </c>
      <c r="K189" s="39">
        <f t="shared" si="52"/>
        <v>-0.3</v>
      </c>
      <c r="L189" s="39">
        <f t="shared" si="53"/>
        <v>0</v>
      </c>
      <c r="M189" s="43">
        <v>0.5</v>
      </c>
      <c r="O189" s="44">
        <f>VLOOKUP(G189,$B$5:$M$1305,12,)</f>
        <v>3.8</v>
      </c>
    </row>
    <row r="190" spans="1:15" ht="30" customHeight="1" x14ac:dyDescent="0.3">
      <c r="A190" s="37" t="s">
        <v>480</v>
      </c>
      <c r="B190" s="38">
        <f>15.9</f>
        <v>15.9</v>
      </c>
      <c r="C190" s="41" t="s">
        <v>1040</v>
      </c>
      <c r="D190" s="41" t="s">
        <v>668</v>
      </c>
      <c r="E190" s="41" t="s">
        <v>559</v>
      </c>
      <c r="F190" s="42" t="s">
        <v>1714</v>
      </c>
      <c r="G190" s="42">
        <v>-6.9</v>
      </c>
      <c r="J190" s="39">
        <f t="shared" si="51"/>
        <v>0.8</v>
      </c>
      <c r="K190" s="39">
        <f t="shared" si="52"/>
        <v>1.2</v>
      </c>
      <c r="L190" s="39">
        <f t="shared" si="53"/>
        <v>3.7</v>
      </c>
      <c r="M190" s="43">
        <v>5.7</v>
      </c>
      <c r="O190" s="44">
        <f>VLOOKUP(G190,$B$5:$M$1305,12,)</f>
        <v>-4.4000000000000004</v>
      </c>
    </row>
    <row r="191" spans="1:15" ht="30" customHeight="1" x14ac:dyDescent="0.3">
      <c r="A191" s="37" t="s">
        <v>482</v>
      </c>
      <c r="B191" s="38">
        <f>4.7</f>
        <v>4.7</v>
      </c>
      <c r="C191" s="41" t="s">
        <v>654</v>
      </c>
      <c r="D191" s="41" t="s">
        <v>1223</v>
      </c>
      <c r="E191" s="41" t="s">
        <v>1137</v>
      </c>
      <c r="F191" s="42" t="s">
        <v>1469</v>
      </c>
      <c r="G191" s="42">
        <v>4.8</v>
      </c>
      <c r="J191" s="39">
        <f t="shared" si="51"/>
        <v>0</v>
      </c>
      <c r="K191" s="39">
        <f t="shared" si="52"/>
        <v>-0.3</v>
      </c>
      <c r="L191" s="39">
        <f t="shared" si="53"/>
        <v>-1.6</v>
      </c>
      <c r="M191" s="43">
        <v>-1.9</v>
      </c>
      <c r="O191" s="44">
        <f>VLOOKUP(G191,$B$5:$M$1305,12,)</f>
        <v>-2.9</v>
      </c>
    </row>
    <row r="192" spans="1:15" ht="30" customHeight="1" x14ac:dyDescent="0.3">
      <c r="A192" s="37" t="s">
        <v>483</v>
      </c>
      <c r="B192" s="38">
        <f>6.6</f>
        <v>6.6</v>
      </c>
      <c r="C192" s="41" t="s">
        <v>1033</v>
      </c>
      <c r="D192" s="41" t="s">
        <v>1229</v>
      </c>
      <c r="E192" s="41" t="s">
        <v>1479</v>
      </c>
      <c r="F192" s="42" t="s">
        <v>656</v>
      </c>
      <c r="G192" s="42">
        <v>19.8</v>
      </c>
      <c r="J192" s="39">
        <f t="shared" si="51"/>
        <v>2.1</v>
      </c>
      <c r="K192" s="39">
        <f t="shared" si="52"/>
        <v>1.2</v>
      </c>
      <c r="L192" s="39">
        <f t="shared" si="53"/>
        <v>-3.7</v>
      </c>
      <c r="M192" s="43">
        <v>-0.4</v>
      </c>
      <c r="O192" s="44">
        <f>VLOOKUP(G192,$B$5:$M$1305,12,)</f>
        <v>-2.5</v>
      </c>
    </row>
    <row r="193" spans="1:17" ht="30" customHeight="1" x14ac:dyDescent="0.3">
      <c r="A193" s="37" t="s">
        <v>484</v>
      </c>
      <c r="B193" s="38">
        <f>-0.8</f>
        <v>-0.8</v>
      </c>
      <c r="C193" s="41" t="s">
        <v>706</v>
      </c>
      <c r="D193" s="41" t="s">
        <v>1227</v>
      </c>
      <c r="E193" s="41" t="s">
        <v>1478</v>
      </c>
      <c r="F193" s="42" t="s">
        <v>631</v>
      </c>
      <c r="G193" s="42">
        <v>-0.3</v>
      </c>
      <c r="J193" s="39">
        <f t="shared" si="51"/>
        <v>0.8</v>
      </c>
      <c r="K193" s="39">
        <f t="shared" si="52"/>
        <v>-1.2</v>
      </c>
      <c r="L193" s="39">
        <f t="shared" si="53"/>
        <v>2.8</v>
      </c>
      <c r="M193" s="43">
        <v>2.4</v>
      </c>
      <c r="O193" s="44">
        <f>VLOOKUP(G193,$B$5:$M$1305,12,)</f>
        <v>-0.4</v>
      </c>
    </row>
    <row r="194" spans="1:17" ht="30" customHeight="1" x14ac:dyDescent="0.3">
      <c r="A194" s="37" t="s">
        <v>485</v>
      </c>
      <c r="B194" s="38">
        <f>-2.2</f>
        <v>-2.2000000000000002</v>
      </c>
      <c r="C194" s="41" t="s">
        <v>1039</v>
      </c>
      <c r="D194" s="41" t="s">
        <v>1222</v>
      </c>
      <c r="E194" s="41" t="s">
        <v>743</v>
      </c>
      <c r="F194" s="42" t="s">
        <v>1713</v>
      </c>
      <c r="G194" s="42">
        <v>19.899999999999999</v>
      </c>
      <c r="J194" s="39">
        <f t="shared" si="51"/>
        <v>0</v>
      </c>
      <c r="K194" s="39">
        <f t="shared" si="52"/>
        <v>-0.3</v>
      </c>
      <c r="L194" s="39">
        <f t="shared" si="53"/>
        <v>2.8</v>
      </c>
      <c r="M194" s="43">
        <v>2.5</v>
      </c>
      <c r="O194" s="44">
        <f>VLOOKUP(G194,$B$5:$M$1305,12,)</f>
        <v>1.4</v>
      </c>
    </row>
    <row r="195" spans="1:17" ht="30" customHeight="1" x14ac:dyDescent="0.3">
      <c r="A195" s="37" t="s">
        <v>486</v>
      </c>
      <c r="B195" s="38">
        <f>-8.2</f>
        <v>-8.1999999999999993</v>
      </c>
      <c r="C195" s="41" t="s">
        <v>1035</v>
      </c>
      <c r="D195" s="41" t="s">
        <v>538</v>
      </c>
      <c r="E195" s="41" t="s">
        <v>1481</v>
      </c>
      <c r="F195" s="42" t="s">
        <v>1720</v>
      </c>
      <c r="G195" s="42">
        <v>-2.8</v>
      </c>
      <c r="J195" s="39">
        <f t="shared" si="51"/>
        <v>-1</v>
      </c>
      <c r="K195" s="39">
        <f t="shared" si="52"/>
        <v>-1.2</v>
      </c>
      <c r="L195" s="39">
        <f t="shared" si="53"/>
        <v>3.7</v>
      </c>
      <c r="M195" s="43">
        <v>1.5</v>
      </c>
      <c r="O195" s="44">
        <f>VLOOKUP(G195,$B$5:$M$1305,12,)</f>
        <v>-2.5</v>
      </c>
    </row>
    <row r="196" spans="1:17" ht="30" customHeight="1" x14ac:dyDescent="0.3">
      <c r="A196" s="37" t="s">
        <v>487</v>
      </c>
      <c r="B196" s="38">
        <f>-0.3</f>
        <v>-0.3</v>
      </c>
      <c r="C196" s="41" t="s">
        <v>1030</v>
      </c>
      <c r="D196" s="41" t="s">
        <v>477</v>
      </c>
      <c r="E196" s="41" t="s">
        <v>1475</v>
      </c>
      <c r="F196" s="42" t="s">
        <v>1717</v>
      </c>
      <c r="G196" s="42">
        <v>-0.8</v>
      </c>
      <c r="J196" s="39">
        <f t="shared" si="51"/>
        <v>0</v>
      </c>
      <c r="K196" s="39">
        <f t="shared" si="52"/>
        <v>1.2</v>
      </c>
      <c r="L196" s="39">
        <f t="shared" si="53"/>
        <v>-3.7</v>
      </c>
      <c r="M196" s="43">
        <v>-2.5</v>
      </c>
      <c r="O196" s="44">
        <f>VLOOKUP(G196,$B$5:$M$1305,12,)</f>
        <v>2.4</v>
      </c>
    </row>
    <row r="197" spans="1:17" ht="30" customHeight="1" x14ac:dyDescent="0.3">
      <c r="A197" s="37" t="s">
        <v>488</v>
      </c>
      <c r="B197" s="38">
        <f>19.9</f>
        <v>19.899999999999999</v>
      </c>
      <c r="C197" s="41" t="s">
        <v>1037</v>
      </c>
      <c r="D197" s="41" t="s">
        <v>1232</v>
      </c>
      <c r="E197" s="41" t="s">
        <v>1480</v>
      </c>
      <c r="F197" s="42" t="s">
        <v>1710</v>
      </c>
      <c r="G197" s="42">
        <v>-2.2000000000000002</v>
      </c>
      <c r="J197" s="39">
        <f t="shared" si="51"/>
        <v>-1.4</v>
      </c>
      <c r="K197" s="39">
        <f t="shared" si="52"/>
        <v>1.2</v>
      </c>
      <c r="L197" s="39">
        <f t="shared" si="53"/>
        <v>1.6</v>
      </c>
      <c r="M197" s="43">
        <v>1.4</v>
      </c>
      <c r="O197" s="44">
        <f>VLOOKUP(G197,$B$5:$M$1305,12,)</f>
        <v>2.5</v>
      </c>
    </row>
    <row r="198" spans="1:17" ht="30" customHeight="1" x14ac:dyDescent="0.3">
      <c r="A198" s="37" t="s">
        <v>489</v>
      </c>
      <c r="B198" s="38">
        <f>-3</f>
        <v>-3</v>
      </c>
      <c r="C198" s="41" t="s">
        <v>1034</v>
      </c>
      <c r="D198" s="41" t="s">
        <v>1230</v>
      </c>
      <c r="E198" s="41" t="s">
        <v>1476</v>
      </c>
      <c r="F198" s="42" t="s">
        <v>504</v>
      </c>
      <c r="G198" s="42">
        <v>-6.6</v>
      </c>
      <c r="J198" s="39">
        <f t="shared" si="51"/>
        <v>-1</v>
      </c>
      <c r="K198" s="39">
        <f t="shared" si="52"/>
        <v>-1.2</v>
      </c>
      <c r="L198" s="39">
        <f t="shared" si="53"/>
        <v>0</v>
      </c>
      <c r="M198" s="43">
        <v>-2.2000000000000002</v>
      </c>
      <c r="O198" s="44">
        <f>VLOOKUP(G198,$B$5:$M$1305,12,)</f>
        <v>-4.3</v>
      </c>
    </row>
    <row r="199" spans="1:17" ht="30" customHeight="1" x14ac:dyDescent="0.3">
      <c r="A199" s="37" t="s">
        <v>490</v>
      </c>
      <c r="B199" s="38">
        <f>-6.6</f>
        <v>-6.6</v>
      </c>
      <c r="C199" s="41" t="s">
        <v>1044</v>
      </c>
      <c r="D199" s="41" t="s">
        <v>1225</v>
      </c>
      <c r="E199" s="41" t="s">
        <v>1466</v>
      </c>
      <c r="F199" s="42" t="s">
        <v>1234</v>
      </c>
      <c r="G199" s="42">
        <v>-3</v>
      </c>
      <c r="J199" s="39">
        <f t="shared" si="51"/>
        <v>-1</v>
      </c>
      <c r="K199" s="39">
        <f t="shared" si="52"/>
        <v>-0.3</v>
      </c>
      <c r="L199" s="39">
        <f t="shared" si="53"/>
        <v>-3</v>
      </c>
      <c r="M199" s="43">
        <v>-4.3</v>
      </c>
      <c r="O199" s="44">
        <f>VLOOKUP(G199,$B$5:$M$1305,12,)</f>
        <v>-2.2000000000000002</v>
      </c>
    </row>
    <row r="200" spans="1:17" ht="30" customHeight="1" x14ac:dyDescent="0.3">
      <c r="A200" s="37" t="s">
        <v>491</v>
      </c>
      <c r="B200" s="38">
        <f>23.7</f>
        <v>23.7</v>
      </c>
      <c r="C200" s="41" t="s">
        <v>1032</v>
      </c>
      <c r="D200" s="41" t="s">
        <v>1226</v>
      </c>
      <c r="E200" s="41" t="s">
        <v>1437</v>
      </c>
      <c r="F200" s="42" t="s">
        <v>351</v>
      </c>
      <c r="G200" s="42">
        <v>-0.3</v>
      </c>
      <c r="J200" s="39">
        <f t="shared" si="51"/>
        <v>0.8</v>
      </c>
      <c r="K200" s="39">
        <f t="shared" si="52"/>
        <v>-1.2</v>
      </c>
      <c r="L200" s="39">
        <f t="shared" si="53"/>
        <v>2.8</v>
      </c>
      <c r="M200" s="43">
        <v>2.4</v>
      </c>
      <c r="O200" s="44">
        <f>VLOOKUP(G200,$B$5:$M$1305,12,)</f>
        <v>-0.4</v>
      </c>
    </row>
    <row r="201" spans="1:17" ht="30" customHeight="1" x14ac:dyDescent="0.3">
      <c r="A201" s="37" t="s">
        <v>492</v>
      </c>
      <c r="B201" s="38">
        <f>-6.9</f>
        <v>-6.9</v>
      </c>
      <c r="C201" s="41" t="s">
        <v>1038</v>
      </c>
      <c r="D201" s="41" t="s">
        <v>1231</v>
      </c>
      <c r="E201" s="41" t="s">
        <v>1473</v>
      </c>
      <c r="F201" s="42" t="s">
        <v>1708</v>
      </c>
      <c r="G201" s="42">
        <v>15.9</v>
      </c>
      <c r="J201" s="39">
        <f t="shared" si="51"/>
        <v>0.8</v>
      </c>
      <c r="K201" s="39">
        <f t="shared" si="52"/>
        <v>-2.2000000000000002</v>
      </c>
      <c r="L201" s="39">
        <f t="shared" si="53"/>
        <v>-3</v>
      </c>
      <c r="M201" s="43">
        <v>-4.4000000000000004</v>
      </c>
      <c r="O201" s="44">
        <f>VLOOKUP(G201,$B$5:$M$1305,12,)</f>
        <v>5.7</v>
      </c>
    </row>
    <row r="202" spans="1:17" ht="30" customHeight="1" x14ac:dyDescent="0.3">
      <c r="A202" s="37" t="s">
        <v>493</v>
      </c>
      <c r="B202" s="38">
        <f>4.1</f>
        <v>4.0999999999999996</v>
      </c>
      <c r="C202" s="41" t="s">
        <v>1036</v>
      </c>
      <c r="D202" s="41" t="s">
        <v>1228</v>
      </c>
      <c r="E202" s="41" t="s">
        <v>1474</v>
      </c>
      <c r="F202" s="42" t="s">
        <v>1718</v>
      </c>
      <c r="G202" s="42">
        <v>-2.5</v>
      </c>
      <c r="J202" s="39">
        <f t="shared" si="51"/>
        <v>-2.1</v>
      </c>
      <c r="K202" s="39">
        <f t="shared" si="52"/>
        <v>2.2000000000000002</v>
      </c>
      <c r="L202" s="39">
        <f t="shared" si="53"/>
        <v>3.7</v>
      </c>
      <c r="M202" s="43">
        <v>3.8</v>
      </c>
      <c r="N202" s="38"/>
      <c r="O202" s="44">
        <f>VLOOKUP(G202,$B$5:$M$1305,12,)</f>
        <v>-0.4</v>
      </c>
      <c r="Q202" s="38"/>
    </row>
    <row r="203" spans="1:17" ht="30" customHeight="1" x14ac:dyDescent="0.3">
      <c r="A203" s="37" t="s">
        <v>494</v>
      </c>
      <c r="B203" s="38">
        <f>19.8</f>
        <v>19.8</v>
      </c>
      <c r="C203" s="41" t="s">
        <v>1042</v>
      </c>
      <c r="D203" s="41" t="s">
        <v>555</v>
      </c>
      <c r="E203" s="41" t="s">
        <v>1470</v>
      </c>
      <c r="F203" s="42" t="s">
        <v>1719</v>
      </c>
      <c r="G203" s="42">
        <v>6.6</v>
      </c>
      <c r="J203" s="39">
        <f t="shared" si="51"/>
        <v>0</v>
      </c>
      <c r="K203" s="39">
        <f t="shared" si="52"/>
        <v>1.2</v>
      </c>
      <c r="L203" s="39">
        <f t="shared" si="53"/>
        <v>-3.7</v>
      </c>
      <c r="M203" s="43">
        <v>-2.5</v>
      </c>
      <c r="O203" s="44">
        <f>VLOOKUP(G203,$B$5:$M$1305,12,)</f>
        <v>-0.4</v>
      </c>
    </row>
    <row r="204" spans="1:17" ht="30" customHeight="1" x14ac:dyDescent="0.3">
      <c r="A204" s="37" t="s">
        <v>495</v>
      </c>
      <c r="B204" s="38">
        <f>-2.8</f>
        <v>-2.8</v>
      </c>
      <c r="C204" s="41" t="s">
        <v>1003</v>
      </c>
      <c r="D204" s="41" t="s">
        <v>1221</v>
      </c>
      <c r="E204" s="41" t="s">
        <v>1477</v>
      </c>
      <c r="F204" s="42" t="s">
        <v>1715</v>
      </c>
      <c r="G204" s="42">
        <v>-8.1999999999999993</v>
      </c>
      <c r="J204" s="39">
        <f t="shared" si="51"/>
        <v>0</v>
      </c>
      <c r="K204" s="39">
        <f t="shared" si="52"/>
        <v>1.2</v>
      </c>
      <c r="L204" s="39">
        <f t="shared" si="53"/>
        <v>-3.7</v>
      </c>
      <c r="M204" s="43">
        <v>-2.5</v>
      </c>
      <c r="N204" s="38"/>
      <c r="O204" s="44">
        <f>VLOOKUP(G204,$B$5:$M$1305,12,)</f>
        <v>-1.2</v>
      </c>
      <c r="Q204" s="38"/>
    </row>
    <row r="205" spans="1:17" ht="30" customHeight="1" x14ac:dyDescent="0.3">
      <c r="A205" s="37" t="s">
        <v>496</v>
      </c>
      <c r="B205" s="38">
        <f>-6.8</f>
        <v>-6.8</v>
      </c>
      <c r="C205" s="41" t="s">
        <v>1041</v>
      </c>
      <c r="D205" s="41" t="s">
        <v>908</v>
      </c>
      <c r="E205" s="41" t="s">
        <v>1469</v>
      </c>
      <c r="F205" s="42" t="s">
        <v>1716</v>
      </c>
      <c r="G205" s="42">
        <v>0.1</v>
      </c>
      <c r="J205" s="39">
        <f t="shared" si="51"/>
        <v>-1</v>
      </c>
      <c r="K205" s="39">
        <f t="shared" si="52"/>
        <v>-1.2</v>
      </c>
      <c r="L205" s="39">
        <f t="shared" si="53"/>
        <v>3.7</v>
      </c>
      <c r="M205" s="43">
        <v>1.5</v>
      </c>
      <c r="O205" s="44">
        <f>VLOOKUP(G205,$B$5:$M$1305,12,)</f>
        <v>-6.3</v>
      </c>
    </row>
    <row r="206" spans="1:17" ht="30" customHeight="1" x14ac:dyDescent="0.3">
      <c r="A206" s="37" t="s">
        <v>497</v>
      </c>
      <c r="B206" s="38">
        <f>-0.3</f>
        <v>-0.3</v>
      </c>
      <c r="C206" s="41" t="s">
        <v>1004</v>
      </c>
      <c r="D206" s="41" t="s">
        <v>1127</v>
      </c>
      <c r="E206" s="41" t="s">
        <v>564</v>
      </c>
      <c r="F206" s="42" t="s">
        <v>1712</v>
      </c>
      <c r="G206" s="42">
        <v>23.7</v>
      </c>
      <c r="J206" s="39">
        <f t="shared" si="51"/>
        <v>1.4</v>
      </c>
      <c r="K206" s="39">
        <f t="shared" si="52"/>
        <v>-0.3</v>
      </c>
      <c r="L206" s="39">
        <f t="shared" si="53"/>
        <v>1.6</v>
      </c>
      <c r="M206" s="43">
        <v>2.7</v>
      </c>
      <c r="O206" s="44">
        <f>VLOOKUP(G206,$B$5:$M$1305,12,)</f>
        <v>2.4</v>
      </c>
    </row>
    <row r="207" spans="1:17" ht="30" customHeight="1" x14ac:dyDescent="0.3">
      <c r="B207" s="38" t="s">
        <v>254</v>
      </c>
      <c r="O207" s="44" t="e">
        <f>VLOOKUP(G207,$B$5:$M$1305,12,)</f>
        <v>#N/A</v>
      </c>
    </row>
    <row r="208" spans="1:17" ht="30" customHeight="1" x14ac:dyDescent="0.3">
      <c r="B208" s="38" t="s">
        <v>254</v>
      </c>
      <c r="O208" s="44" t="e">
        <f>VLOOKUP(G208,$B$5:$M$1305,12,)</f>
        <v>#N/A</v>
      </c>
    </row>
    <row r="209" spans="1:15" ht="30" customHeight="1" x14ac:dyDescent="0.3">
      <c r="B209" s="38" t="s">
        <v>254</v>
      </c>
      <c r="O209" s="44" t="e">
        <f>VLOOKUP(G209,$B$5:$M$1305,12,)</f>
        <v>#N/A</v>
      </c>
    </row>
    <row r="210" spans="1:15" ht="30" customHeight="1" x14ac:dyDescent="0.3">
      <c r="B210" s="38" t="s">
        <v>254</v>
      </c>
      <c r="O210" s="44" t="e">
        <f>VLOOKUP(G210,$B$5:$M$1305,12,)</f>
        <v>#N/A</v>
      </c>
    </row>
    <row r="211" spans="1:15" ht="30" customHeight="1" x14ac:dyDescent="0.3">
      <c r="B211" s="38" t="s">
        <v>254</v>
      </c>
      <c r="C211" s="39">
        <v>2</v>
      </c>
      <c r="D211" s="39">
        <v>3</v>
      </c>
      <c r="E211" s="39">
        <v>4</v>
      </c>
      <c r="F211" s="39">
        <v>5</v>
      </c>
      <c r="G211" s="39">
        <v>6</v>
      </c>
      <c r="H211" s="39">
        <v>7</v>
      </c>
      <c r="O211" s="44">
        <f>VLOOKUP(G211,$B$5:$M$1305,12,)</f>
        <v>-0.4</v>
      </c>
    </row>
    <row r="212" spans="1:15" ht="30" customHeight="1" x14ac:dyDescent="0.3">
      <c r="A212" s="37" t="s">
        <v>820</v>
      </c>
      <c r="B212" s="38">
        <f>14.4</f>
        <v>14.4</v>
      </c>
      <c r="C212" s="41" t="s">
        <v>689</v>
      </c>
      <c r="D212" s="41" t="s">
        <v>704</v>
      </c>
      <c r="E212" s="41" t="s">
        <v>319</v>
      </c>
      <c r="F212" s="42" t="s">
        <v>1502</v>
      </c>
      <c r="G212" s="42">
        <v>-3</v>
      </c>
      <c r="J212" s="39">
        <f t="shared" ref="J212" si="54">LOOKUP(,-SEARCH( $Q$6:$Q$12, D212), $R$6:$R$12 )</f>
        <v>2.1</v>
      </c>
      <c r="K212" s="39">
        <f t="shared" ref="K212" si="55">LOOKUP(,-SEARCH( $S$6:$S$12, E212), $T$6:$T$12 )</f>
        <v>1.2</v>
      </c>
      <c r="L212" s="39">
        <f t="shared" ref="L212" si="56">LOOKUP(,-SEARCH( $U$6:$U$12, F212), $V$6:$V$12 )</f>
        <v>1.6</v>
      </c>
      <c r="M212" s="43">
        <v>4.9000000000000004</v>
      </c>
      <c r="O212" s="44">
        <f>VLOOKUP(G212,$B$5:$M$1305,12,)</f>
        <v>-2.2000000000000002</v>
      </c>
    </row>
    <row r="213" spans="1:15" ht="30" customHeight="1" x14ac:dyDescent="0.3">
      <c r="A213" s="37" t="s">
        <v>817</v>
      </c>
      <c r="B213" s="38">
        <f>-7.3</f>
        <v>-7.3</v>
      </c>
      <c r="C213" s="41" t="s">
        <v>834</v>
      </c>
      <c r="D213" s="41" t="s">
        <v>314</v>
      </c>
      <c r="E213" s="41" t="s">
        <v>1122</v>
      </c>
      <c r="F213" s="42" t="s">
        <v>379</v>
      </c>
      <c r="G213" s="42">
        <v>7.2</v>
      </c>
      <c r="J213" s="39">
        <f t="shared" ref="J213:J227" si="57">LOOKUP(,-SEARCH( $Q$6:$Q$12, D213), $R$6:$R$12 )</f>
        <v>0</v>
      </c>
      <c r="K213" s="39">
        <f t="shared" ref="K213:K227" si="58">LOOKUP(,-SEARCH( $S$6:$S$12, E213), $T$6:$T$12 )</f>
        <v>-1.2</v>
      </c>
      <c r="L213" s="39">
        <f t="shared" ref="L213:L227" si="59">LOOKUP(,-SEARCH( $U$6:$U$12, F213), $V$6:$V$12 )</f>
        <v>-1.6</v>
      </c>
      <c r="M213" s="43">
        <v>-2.8</v>
      </c>
      <c r="O213" s="44">
        <f>VLOOKUP(G213,$B$5:$M$1305,12,)</f>
        <v>1.2</v>
      </c>
    </row>
    <row r="214" spans="1:15" ht="30" customHeight="1" x14ac:dyDescent="0.3">
      <c r="A214" s="37" t="s">
        <v>828</v>
      </c>
      <c r="B214" s="38">
        <f>-3</f>
        <v>-3</v>
      </c>
      <c r="C214" s="41" t="s">
        <v>609</v>
      </c>
      <c r="D214" s="41" t="s">
        <v>680</v>
      </c>
      <c r="E214" s="41" t="s">
        <v>747</v>
      </c>
      <c r="F214" s="42" t="s">
        <v>1614</v>
      </c>
      <c r="G214" s="42">
        <v>14.4</v>
      </c>
      <c r="J214" s="39">
        <f t="shared" si="57"/>
        <v>-1.4</v>
      </c>
      <c r="K214" s="39">
        <f t="shared" si="58"/>
        <v>-0.3</v>
      </c>
      <c r="L214" s="39">
        <f t="shared" si="59"/>
        <v>0</v>
      </c>
      <c r="M214" s="43">
        <v>-1.7</v>
      </c>
      <c r="O214" s="44">
        <f>VLOOKUP(G214,$B$5:$M$1305,12,)</f>
        <v>4.9000000000000004</v>
      </c>
    </row>
    <row r="215" spans="1:15" ht="30" customHeight="1" x14ac:dyDescent="0.3">
      <c r="A215" s="37" t="s">
        <v>816</v>
      </c>
      <c r="B215" s="38">
        <f>7.7</f>
        <v>7.7</v>
      </c>
      <c r="C215" s="41" t="s">
        <v>609</v>
      </c>
      <c r="D215" s="41" t="s">
        <v>323</v>
      </c>
      <c r="E215" s="41" t="s">
        <v>474</v>
      </c>
      <c r="F215" s="42" t="s">
        <v>1693</v>
      </c>
      <c r="G215" s="42">
        <v>5.3</v>
      </c>
      <c r="J215" s="39">
        <f t="shared" si="57"/>
        <v>0</v>
      </c>
      <c r="K215" s="39">
        <f t="shared" si="58"/>
        <v>-0.3</v>
      </c>
      <c r="L215" s="39">
        <f t="shared" si="59"/>
        <v>3.7</v>
      </c>
      <c r="M215" s="43">
        <v>3.4</v>
      </c>
      <c r="O215" s="44">
        <f>VLOOKUP(G215,$B$5:$M$1305,12,)</f>
        <v>2.1</v>
      </c>
    </row>
    <row r="216" spans="1:15" ht="30" customHeight="1" x14ac:dyDescent="0.3">
      <c r="A216" s="37" t="s">
        <v>822</v>
      </c>
      <c r="B216" s="38">
        <f>-0.8</f>
        <v>-0.8</v>
      </c>
      <c r="C216" s="41" t="s">
        <v>634</v>
      </c>
      <c r="D216" s="41" t="s">
        <v>1092</v>
      </c>
      <c r="E216" s="41" t="s">
        <v>638</v>
      </c>
      <c r="F216" s="42" t="s">
        <v>752</v>
      </c>
      <c r="G216" s="42">
        <v>3</v>
      </c>
      <c r="J216" s="39">
        <f t="shared" si="57"/>
        <v>0.8</v>
      </c>
      <c r="K216" s="39">
        <f t="shared" si="58"/>
        <v>-0.3</v>
      </c>
      <c r="L216" s="39">
        <f t="shared" si="59"/>
        <v>0</v>
      </c>
      <c r="M216" s="43">
        <v>0.5</v>
      </c>
      <c r="O216" s="44">
        <f>VLOOKUP(G216,$B$5:$M$1305,12,)</f>
        <v>-4.0999999999999996</v>
      </c>
    </row>
    <row r="217" spans="1:15" ht="30" customHeight="1" x14ac:dyDescent="0.3">
      <c r="A217" s="37" t="s">
        <v>830</v>
      </c>
      <c r="B217" s="38">
        <f>3</f>
        <v>3</v>
      </c>
      <c r="C217" s="41" t="s">
        <v>320</v>
      </c>
      <c r="D217" s="41" t="s">
        <v>518</v>
      </c>
      <c r="E217" s="41" t="s">
        <v>637</v>
      </c>
      <c r="F217" s="42" t="s">
        <v>783</v>
      </c>
      <c r="G217" s="42">
        <v>-0.8</v>
      </c>
      <c r="J217" s="39">
        <f t="shared" si="57"/>
        <v>0</v>
      </c>
      <c r="K217" s="39">
        <f t="shared" si="58"/>
        <v>-1.2</v>
      </c>
      <c r="L217" s="39">
        <f t="shared" si="59"/>
        <v>0</v>
      </c>
      <c r="M217" s="43">
        <v>-1.2</v>
      </c>
      <c r="O217" s="44">
        <f>VLOOKUP(G217,$B$5:$M$1305,12,)</f>
        <v>2.4</v>
      </c>
    </row>
    <row r="218" spans="1:15" ht="30" customHeight="1" x14ac:dyDescent="0.3">
      <c r="A218" s="37" t="s">
        <v>831</v>
      </c>
      <c r="B218" s="38">
        <f>-5.7</f>
        <v>-5.7</v>
      </c>
      <c r="C218" s="41" t="s">
        <v>835</v>
      </c>
      <c r="D218" s="41" t="s">
        <v>499</v>
      </c>
      <c r="E218" s="41" t="s">
        <v>1325</v>
      </c>
      <c r="F218" s="42" t="s">
        <v>361</v>
      </c>
      <c r="G218" s="42">
        <v>11.7</v>
      </c>
      <c r="J218" s="39">
        <f t="shared" si="57"/>
        <v>1.4</v>
      </c>
      <c r="K218" s="39">
        <f t="shared" si="58"/>
        <v>-1.2</v>
      </c>
      <c r="L218" s="39">
        <f t="shared" si="59"/>
        <v>-3.7</v>
      </c>
      <c r="M218" s="43">
        <v>-3.5</v>
      </c>
      <c r="O218" s="44">
        <f>VLOOKUP(G218,$B$5:$M$1305,12,)</f>
        <v>3.4</v>
      </c>
    </row>
    <row r="219" spans="1:15" ht="30" customHeight="1" x14ac:dyDescent="0.3">
      <c r="A219" s="37" t="s">
        <v>827</v>
      </c>
      <c r="B219" s="38">
        <f>-8.8</f>
        <v>-8.8000000000000007</v>
      </c>
      <c r="C219" s="41" t="s">
        <v>832</v>
      </c>
      <c r="D219" s="41" t="s">
        <v>1091</v>
      </c>
      <c r="E219" s="41" t="s">
        <v>353</v>
      </c>
      <c r="F219" s="42" t="s">
        <v>1233</v>
      </c>
      <c r="G219" s="42">
        <v>11.3</v>
      </c>
      <c r="J219" s="39">
        <f t="shared" si="57"/>
        <v>-2.1</v>
      </c>
      <c r="K219" s="39">
        <f t="shared" si="58"/>
        <v>-0.3</v>
      </c>
      <c r="L219" s="39">
        <f t="shared" si="59"/>
        <v>-3.7</v>
      </c>
      <c r="M219" s="43">
        <v>-6.1</v>
      </c>
      <c r="O219" s="44">
        <f>VLOOKUP(G219,$B$5:$M$1305,12,)</f>
        <v>0.3</v>
      </c>
    </row>
    <row r="220" spans="1:15" ht="30" customHeight="1" x14ac:dyDescent="0.3">
      <c r="A220" s="37" t="s">
        <v>824</v>
      </c>
      <c r="B220" s="38">
        <f>7.2</f>
        <v>7.2</v>
      </c>
      <c r="C220" s="41" t="s">
        <v>791</v>
      </c>
      <c r="D220" s="41" t="s">
        <v>901</v>
      </c>
      <c r="E220" s="41" t="s">
        <v>686</v>
      </c>
      <c r="F220" s="42" t="s">
        <v>547</v>
      </c>
      <c r="G220" s="42">
        <v>-7.3</v>
      </c>
      <c r="J220" s="39">
        <f t="shared" si="57"/>
        <v>0</v>
      </c>
      <c r="K220" s="39">
        <f t="shared" si="58"/>
        <v>1.2</v>
      </c>
      <c r="L220" s="39">
        <f t="shared" si="59"/>
        <v>0</v>
      </c>
      <c r="M220" s="43">
        <v>1.2</v>
      </c>
      <c r="O220" s="44">
        <f>VLOOKUP(G220,$B$5:$M$1305,12,)</f>
        <v>-2.8</v>
      </c>
    </row>
    <row r="221" spans="1:15" ht="30" customHeight="1" x14ac:dyDescent="0.3">
      <c r="A221" s="37" t="s">
        <v>826</v>
      </c>
      <c r="B221" s="38">
        <f>5.3</f>
        <v>5.3</v>
      </c>
      <c r="C221" s="41" t="s">
        <v>355</v>
      </c>
      <c r="D221" s="41" t="s">
        <v>1093</v>
      </c>
      <c r="E221" s="41" t="s">
        <v>1327</v>
      </c>
      <c r="F221" s="42" t="s">
        <v>1450</v>
      </c>
      <c r="G221" s="42">
        <v>7.7</v>
      </c>
      <c r="J221" s="39">
        <f t="shared" si="57"/>
        <v>0</v>
      </c>
      <c r="K221" s="39">
        <f t="shared" si="58"/>
        <v>-0.3</v>
      </c>
      <c r="L221" s="39">
        <f t="shared" si="59"/>
        <v>-1.6</v>
      </c>
      <c r="M221" s="43">
        <v>-1.9</v>
      </c>
      <c r="O221" s="44">
        <f>VLOOKUP(G221,$B$5:$M$1305,12,)</f>
        <v>3.4</v>
      </c>
    </row>
    <row r="222" spans="1:15" ht="30" customHeight="1" x14ac:dyDescent="0.3">
      <c r="A222" s="37" t="s">
        <v>819</v>
      </c>
      <c r="B222" s="38">
        <f>-1.1</f>
        <v>-1.1000000000000001</v>
      </c>
      <c r="C222" s="41" t="s">
        <v>791</v>
      </c>
      <c r="D222" s="41" t="s">
        <v>326</v>
      </c>
      <c r="E222" s="41" t="s">
        <v>1326</v>
      </c>
      <c r="F222" s="42" t="s">
        <v>1721</v>
      </c>
      <c r="G222" s="42">
        <v>2.8</v>
      </c>
      <c r="J222" s="39">
        <f t="shared" si="57"/>
        <v>-1</v>
      </c>
      <c r="K222" s="39">
        <f t="shared" si="58"/>
        <v>1.2</v>
      </c>
      <c r="L222" s="39">
        <f t="shared" si="59"/>
        <v>-3</v>
      </c>
      <c r="M222" s="43">
        <v>-2.8</v>
      </c>
      <c r="O222" s="44">
        <f>VLOOKUP(G222,$B$5:$M$1305,12,)</f>
        <v>-1.9</v>
      </c>
    </row>
    <row r="223" spans="1:15" ht="30" customHeight="1" x14ac:dyDescent="0.3">
      <c r="A223" s="37" t="s">
        <v>821</v>
      </c>
      <c r="B223" s="38">
        <f>-1.4</f>
        <v>-1.4</v>
      </c>
      <c r="C223" s="41" t="s">
        <v>791</v>
      </c>
      <c r="D223" s="41" t="s">
        <v>518</v>
      </c>
      <c r="E223" s="41" t="s">
        <v>748</v>
      </c>
      <c r="F223" s="42" t="s">
        <v>673</v>
      </c>
      <c r="G223" s="42">
        <v>3.2</v>
      </c>
      <c r="J223" s="39">
        <f t="shared" si="57"/>
        <v>0</v>
      </c>
      <c r="K223" s="39">
        <f t="shared" si="58"/>
        <v>-1.2</v>
      </c>
      <c r="L223" s="39">
        <f t="shared" si="59"/>
        <v>2.8</v>
      </c>
      <c r="M223" s="43">
        <v>1.6</v>
      </c>
      <c r="O223" s="44">
        <f>VLOOKUP(G223,$B$5:$M$1305,12,)</f>
        <v>1.3</v>
      </c>
    </row>
    <row r="224" spans="1:15" ht="30" customHeight="1" x14ac:dyDescent="0.3">
      <c r="A224" s="37" t="s">
        <v>823</v>
      </c>
      <c r="B224" s="38">
        <f>11.7</f>
        <v>11.7</v>
      </c>
      <c r="C224" s="41" t="s">
        <v>320</v>
      </c>
      <c r="D224" s="41" t="s">
        <v>901</v>
      </c>
      <c r="E224" s="41" t="s">
        <v>526</v>
      </c>
      <c r="F224" s="42" t="s">
        <v>1722</v>
      </c>
      <c r="G224" s="42">
        <v>-5.7</v>
      </c>
      <c r="J224" s="39">
        <f t="shared" si="57"/>
        <v>0</v>
      </c>
      <c r="K224" s="39">
        <f t="shared" si="58"/>
        <v>-0.3</v>
      </c>
      <c r="L224" s="39">
        <f t="shared" si="59"/>
        <v>3.7</v>
      </c>
      <c r="M224" s="43">
        <v>3.4</v>
      </c>
      <c r="O224" s="44">
        <f>VLOOKUP(G224,$B$5:$M$1305,12,)</f>
        <v>-3.5</v>
      </c>
    </row>
    <row r="225" spans="1:15" ht="30" customHeight="1" x14ac:dyDescent="0.3">
      <c r="A225" s="37" t="s">
        <v>825</v>
      </c>
      <c r="B225" s="38">
        <f>11.3</f>
        <v>11.3</v>
      </c>
      <c r="C225" s="41" t="s">
        <v>802</v>
      </c>
      <c r="D225" s="41" t="s">
        <v>324</v>
      </c>
      <c r="E225" s="41" t="s">
        <v>1226</v>
      </c>
      <c r="F225" s="42" t="s">
        <v>1723</v>
      </c>
      <c r="G225" s="42">
        <v>-8.8000000000000007</v>
      </c>
      <c r="J225" s="39">
        <f t="shared" si="57"/>
        <v>0</v>
      </c>
      <c r="K225" s="39">
        <f t="shared" si="58"/>
        <v>1.2</v>
      </c>
      <c r="L225" s="39">
        <f t="shared" si="59"/>
        <v>1.6</v>
      </c>
      <c r="M225" s="43">
        <v>2.8</v>
      </c>
      <c r="O225" s="44">
        <f>VLOOKUP(G225,$B$5:$M$1305,12,)</f>
        <v>-6.1</v>
      </c>
    </row>
    <row r="226" spans="1:15" ht="30" customHeight="1" x14ac:dyDescent="0.3">
      <c r="A226" s="37" t="s">
        <v>829</v>
      </c>
      <c r="B226" s="38">
        <f>2.8</f>
        <v>2.8</v>
      </c>
      <c r="C226" s="41" t="s">
        <v>833</v>
      </c>
      <c r="D226" s="41" t="s">
        <v>517</v>
      </c>
      <c r="E226" s="41" t="s">
        <v>1047</v>
      </c>
      <c r="F226" s="42" t="s">
        <v>1467</v>
      </c>
      <c r="G226" s="42">
        <v>-1.1000000000000001</v>
      </c>
      <c r="J226" s="39">
        <f t="shared" si="57"/>
        <v>0</v>
      </c>
      <c r="K226" s="39">
        <f t="shared" si="58"/>
        <v>-0.3</v>
      </c>
      <c r="L226" s="39">
        <f t="shared" si="59"/>
        <v>-1.6</v>
      </c>
      <c r="M226" s="43">
        <v>-1.9</v>
      </c>
      <c r="O226" s="44">
        <f>VLOOKUP(G226,$B$5:$M$1305,12,)</f>
        <v>-2.8</v>
      </c>
    </row>
    <row r="227" spans="1:15" ht="30" customHeight="1" x14ac:dyDescent="0.3">
      <c r="A227" s="37" t="s">
        <v>818</v>
      </c>
      <c r="B227" s="38">
        <f>3.2</f>
        <v>3.2</v>
      </c>
      <c r="C227" s="41" t="s">
        <v>634</v>
      </c>
      <c r="D227" s="41" t="s">
        <v>517</v>
      </c>
      <c r="E227" s="41" t="s">
        <v>555</v>
      </c>
      <c r="F227" s="42" t="s">
        <v>1697</v>
      </c>
      <c r="G227" s="42">
        <v>-1.4</v>
      </c>
      <c r="J227" s="39">
        <f t="shared" si="57"/>
        <v>0</v>
      </c>
      <c r="K227" s="39">
        <f t="shared" si="58"/>
        <v>-0.3</v>
      </c>
      <c r="L227" s="39">
        <f t="shared" si="59"/>
        <v>1.6</v>
      </c>
      <c r="M227" s="43">
        <v>1.3</v>
      </c>
      <c r="O227" s="44">
        <f>VLOOKUP(G227,$B$5:$M$1305,12,)</f>
        <v>1.6</v>
      </c>
    </row>
    <row r="228" spans="1:15" ht="30" customHeight="1" x14ac:dyDescent="0.3">
      <c r="B228" s="38" t="s">
        <v>254</v>
      </c>
      <c r="O228" s="44" t="e">
        <f>VLOOKUP(G228,$B$5:$M$1305,12,)</f>
        <v>#N/A</v>
      </c>
    </row>
    <row r="229" spans="1:15" ht="30" customHeight="1" x14ac:dyDescent="0.3">
      <c r="B229" s="38" t="s">
        <v>254</v>
      </c>
      <c r="O229" s="44" t="e">
        <f>VLOOKUP(G229,$B$5:$M$1305,12,)</f>
        <v>#N/A</v>
      </c>
    </row>
    <row r="230" spans="1:15" ht="30" customHeight="1" x14ac:dyDescent="0.3">
      <c r="B230" s="38" t="s">
        <v>254</v>
      </c>
      <c r="O230" s="44" t="e">
        <f>VLOOKUP(G230,$B$5:$M$1305,12,)</f>
        <v>#N/A</v>
      </c>
    </row>
    <row r="231" spans="1:15" ht="30" customHeight="1" x14ac:dyDescent="0.3">
      <c r="B231" s="38" t="s">
        <v>254</v>
      </c>
      <c r="C231" s="39">
        <v>7</v>
      </c>
      <c r="D231" s="39">
        <v>8</v>
      </c>
      <c r="E231" s="39">
        <v>9</v>
      </c>
      <c r="F231" s="39">
        <v>10</v>
      </c>
      <c r="G231" s="39">
        <v>11</v>
      </c>
      <c r="H231" s="39">
        <v>12</v>
      </c>
      <c r="I231" s="39">
        <v>13</v>
      </c>
      <c r="O231" s="44">
        <f>VLOOKUP(G231,$B$5:$M$1305,12,)</f>
        <v>0.2</v>
      </c>
    </row>
    <row r="232" spans="1:15" ht="30" customHeight="1" x14ac:dyDescent="0.3">
      <c r="A232" s="37" t="s">
        <v>366</v>
      </c>
      <c r="B232" s="38">
        <f>14.1</f>
        <v>14.1</v>
      </c>
      <c r="C232" s="41" t="s">
        <v>797</v>
      </c>
      <c r="D232" s="41" t="s">
        <v>1095</v>
      </c>
      <c r="E232" s="41" t="s">
        <v>1362</v>
      </c>
      <c r="F232" s="42" t="s">
        <v>1704</v>
      </c>
      <c r="G232" s="42">
        <v>3</v>
      </c>
      <c r="J232" s="39">
        <f t="shared" ref="J232" si="60">LOOKUP(,-SEARCH( $Q$6:$Q$12, D232), $R$6:$R$12 )</f>
        <v>0</v>
      </c>
      <c r="K232" s="39">
        <f t="shared" ref="K232" si="61">LOOKUP(,-SEARCH( $S$6:$S$12, E232), $T$6:$T$12 )</f>
        <v>-0.3</v>
      </c>
      <c r="L232" s="39">
        <f t="shared" ref="L232" si="62">LOOKUP(,-SEARCH( $U$6:$U$12, F232), $V$6:$V$12 )</f>
        <v>1.6</v>
      </c>
      <c r="M232" s="43">
        <v>1.3</v>
      </c>
      <c r="O232" s="44">
        <f>VLOOKUP(G232,$B$5:$M$1305,12,)</f>
        <v>-4.0999999999999996</v>
      </c>
    </row>
    <row r="233" spans="1:15" ht="30" customHeight="1" x14ac:dyDescent="0.3">
      <c r="A233" s="37" t="s">
        <v>373</v>
      </c>
      <c r="B233" s="38">
        <f>14.2</f>
        <v>14.2</v>
      </c>
      <c r="C233" s="41" t="s">
        <v>794</v>
      </c>
      <c r="D233" s="41" t="s">
        <v>738</v>
      </c>
      <c r="E233" s="41" t="s">
        <v>1363</v>
      </c>
      <c r="F233" s="42" t="s">
        <v>1728</v>
      </c>
      <c r="G233" s="42">
        <v>-7.6</v>
      </c>
      <c r="J233" s="39">
        <f t="shared" ref="J233:J245" si="63">LOOKUP(,-SEARCH( $Q$6:$Q$12, D233), $R$6:$R$12 )</f>
        <v>0.8</v>
      </c>
      <c r="K233" s="39">
        <f t="shared" ref="K233:K245" si="64">LOOKUP(,-SEARCH( $S$6:$S$12, E233), $T$6:$T$12 )</f>
        <v>3.3</v>
      </c>
      <c r="L233" s="39">
        <f t="shared" ref="L233:L245" si="65">LOOKUP(,-SEARCH( $U$6:$U$12, F233), $V$6:$V$12 )</f>
        <v>3.7</v>
      </c>
      <c r="M233" s="43">
        <v>7.8</v>
      </c>
      <c r="O233" s="44">
        <f>VLOOKUP(G233,$B$5:$M$1305,12,)</f>
        <v>-1.9</v>
      </c>
    </row>
    <row r="234" spans="1:15" ht="30" customHeight="1" x14ac:dyDescent="0.3">
      <c r="A234" s="37" t="s">
        <v>367</v>
      </c>
      <c r="B234" s="38">
        <f>-7.6</f>
        <v>-7.6</v>
      </c>
      <c r="C234" s="41" t="s">
        <v>730</v>
      </c>
      <c r="D234" s="41" t="s">
        <v>1094</v>
      </c>
      <c r="E234" s="41" t="s">
        <v>1364</v>
      </c>
      <c r="F234" s="42" t="s">
        <v>1504</v>
      </c>
      <c r="G234" s="42">
        <v>14.2</v>
      </c>
      <c r="J234" s="39">
        <f t="shared" si="63"/>
        <v>1.4</v>
      </c>
      <c r="K234" s="39">
        <f t="shared" si="64"/>
        <v>-0.3</v>
      </c>
      <c r="L234" s="39">
        <f t="shared" si="65"/>
        <v>-3</v>
      </c>
      <c r="M234" s="43">
        <v>-1.9</v>
      </c>
      <c r="O234" s="44">
        <f>VLOOKUP(G234,$B$5:$M$1305,12,)</f>
        <v>7.8</v>
      </c>
    </row>
    <row r="235" spans="1:15" ht="30" customHeight="1" x14ac:dyDescent="0.3">
      <c r="A235" s="37" t="s">
        <v>368</v>
      </c>
      <c r="B235" s="38">
        <f>12.5</f>
        <v>12.5</v>
      </c>
      <c r="C235" s="41" t="s">
        <v>729</v>
      </c>
      <c r="D235" s="41" t="s">
        <v>503</v>
      </c>
      <c r="E235" s="41" t="s">
        <v>1365</v>
      </c>
      <c r="F235" s="42" t="s">
        <v>1724</v>
      </c>
      <c r="G235" s="42">
        <v>6.7</v>
      </c>
      <c r="J235" s="39">
        <f t="shared" si="63"/>
        <v>-1</v>
      </c>
      <c r="K235" s="39">
        <f t="shared" si="64"/>
        <v>3.3</v>
      </c>
      <c r="L235" s="39">
        <f t="shared" si="65"/>
        <v>3.7</v>
      </c>
      <c r="M235" s="43">
        <v>6</v>
      </c>
      <c r="O235" s="44">
        <f>VLOOKUP(G235,$B$5:$M$1305,12,)</f>
        <v>-1</v>
      </c>
    </row>
    <row r="236" spans="1:15" ht="30" customHeight="1" x14ac:dyDescent="0.3">
      <c r="A236" s="37" t="s">
        <v>369</v>
      </c>
      <c r="B236" s="38">
        <f>15.3</f>
        <v>15.3</v>
      </c>
      <c r="C236" s="41" t="s">
        <v>795</v>
      </c>
      <c r="D236" s="41" t="s">
        <v>384</v>
      </c>
      <c r="E236" s="41" t="s">
        <v>1328</v>
      </c>
      <c r="F236" s="42" t="s">
        <v>1614</v>
      </c>
      <c r="G236" s="42">
        <v>-9.3000000000000007</v>
      </c>
      <c r="J236" s="39">
        <f t="shared" si="63"/>
        <v>0</v>
      </c>
      <c r="K236" s="39">
        <f t="shared" si="64"/>
        <v>-1.2</v>
      </c>
      <c r="L236" s="39">
        <f t="shared" si="65"/>
        <v>0</v>
      </c>
      <c r="M236" s="43">
        <v>-1.2</v>
      </c>
      <c r="O236" s="44">
        <f>VLOOKUP(G236,$B$5:$M$1305,12,)</f>
        <v>-3.5</v>
      </c>
    </row>
    <row r="237" spans="1:15" ht="30" customHeight="1" x14ac:dyDescent="0.3">
      <c r="A237" s="37" t="s">
        <v>370</v>
      </c>
      <c r="B237" s="38">
        <f>-5.3</f>
        <v>-5.3</v>
      </c>
      <c r="C237" s="41" t="s">
        <v>728</v>
      </c>
      <c r="D237" s="41" t="s">
        <v>1098</v>
      </c>
      <c r="E237" s="41" t="s">
        <v>670</v>
      </c>
      <c r="F237" s="42" t="s">
        <v>1725</v>
      </c>
      <c r="G237" s="42">
        <v>-14.5</v>
      </c>
      <c r="J237" s="39">
        <f t="shared" si="63"/>
        <v>-2.1</v>
      </c>
      <c r="K237" s="39">
        <f t="shared" si="64"/>
        <v>1.2</v>
      </c>
      <c r="L237" s="39">
        <f t="shared" si="65"/>
        <v>-3.7</v>
      </c>
      <c r="M237" s="43">
        <v>-4.5999999999999996</v>
      </c>
      <c r="O237" s="44">
        <f>VLOOKUP(G237,$B$5:$M$1305,12,)</f>
        <v>-7.8</v>
      </c>
    </row>
    <row r="238" spans="1:15" ht="30" customHeight="1" x14ac:dyDescent="0.3">
      <c r="A238" s="37" t="s">
        <v>371</v>
      </c>
      <c r="B238" s="38">
        <f>6.7</f>
        <v>6.7</v>
      </c>
      <c r="C238" s="41" t="s">
        <v>478</v>
      </c>
      <c r="D238" s="41" t="s">
        <v>720</v>
      </c>
      <c r="E238" s="41" t="s">
        <v>1366</v>
      </c>
      <c r="F238" s="42" t="s">
        <v>1726</v>
      </c>
      <c r="G238" s="42">
        <v>12.5</v>
      </c>
      <c r="J238" s="39">
        <f t="shared" si="63"/>
        <v>0.8</v>
      </c>
      <c r="K238" s="39">
        <f t="shared" si="64"/>
        <v>-0.3</v>
      </c>
      <c r="L238" s="39">
        <f t="shared" si="65"/>
        <v>2.8</v>
      </c>
      <c r="M238" s="43">
        <v>3.3</v>
      </c>
      <c r="O238" s="44">
        <f>VLOOKUP(G238,$B$5:$M$1305,12,)</f>
        <v>4.2</v>
      </c>
    </row>
    <row r="239" spans="1:15" ht="30" customHeight="1" x14ac:dyDescent="0.3">
      <c r="A239" s="37" t="s">
        <v>372</v>
      </c>
      <c r="B239" s="38">
        <f>4.4</f>
        <v>4.4000000000000004</v>
      </c>
      <c r="C239" s="41" t="s">
        <v>353</v>
      </c>
      <c r="D239" s="41" t="s">
        <v>1096</v>
      </c>
      <c r="E239" s="41" t="s">
        <v>1367</v>
      </c>
      <c r="F239" s="42" t="s">
        <v>1136</v>
      </c>
      <c r="G239" s="42">
        <v>8.9</v>
      </c>
      <c r="J239" s="39">
        <f t="shared" si="63"/>
        <v>0</v>
      </c>
      <c r="K239" s="39">
        <f t="shared" si="64"/>
        <v>-1.2</v>
      </c>
      <c r="L239" s="39">
        <f t="shared" si="65"/>
        <v>2.8</v>
      </c>
      <c r="M239" s="43">
        <v>1.6</v>
      </c>
      <c r="O239" s="44">
        <f>VLOOKUP(G239,$B$5:$M$1305,12,)</f>
        <v>-4.2</v>
      </c>
    </row>
    <row r="240" spans="1:15" ht="30" customHeight="1" x14ac:dyDescent="0.3">
      <c r="A240" s="37" t="s">
        <v>374</v>
      </c>
      <c r="B240" s="38">
        <f>-9.2</f>
        <v>-9.1999999999999993</v>
      </c>
      <c r="C240" s="41" t="s">
        <v>727</v>
      </c>
      <c r="D240" s="41" t="s">
        <v>470</v>
      </c>
      <c r="E240" s="41" t="s">
        <v>1368</v>
      </c>
      <c r="F240" s="42" t="s">
        <v>634</v>
      </c>
      <c r="G240" s="42">
        <v>10.6</v>
      </c>
      <c r="J240" s="39">
        <f t="shared" si="63"/>
        <v>2.1</v>
      </c>
      <c r="K240" s="39">
        <f t="shared" si="64"/>
        <v>-0.3</v>
      </c>
      <c r="L240" s="39">
        <f t="shared" si="65"/>
        <v>-3</v>
      </c>
      <c r="M240" s="43">
        <v>-1.2</v>
      </c>
      <c r="O240" s="44">
        <f>VLOOKUP(G240,$B$5:$M$1305,12,)</f>
        <v>2.5</v>
      </c>
    </row>
    <row r="241" spans="1:15" ht="30" customHeight="1" x14ac:dyDescent="0.3">
      <c r="A241" s="37" t="s">
        <v>375</v>
      </c>
      <c r="B241" s="38">
        <f>3</f>
        <v>3</v>
      </c>
      <c r="C241" s="41" t="s">
        <v>724</v>
      </c>
      <c r="D241" s="41" t="s">
        <v>1097</v>
      </c>
      <c r="E241" s="41" t="s">
        <v>1369</v>
      </c>
      <c r="F241" s="42" t="s">
        <v>1132</v>
      </c>
      <c r="G241" s="42">
        <v>14.1</v>
      </c>
      <c r="J241" s="39">
        <f t="shared" si="63"/>
        <v>-1</v>
      </c>
      <c r="K241" s="39">
        <f t="shared" si="64"/>
        <v>-0.3</v>
      </c>
      <c r="L241" s="39">
        <f t="shared" si="65"/>
        <v>0</v>
      </c>
      <c r="M241" s="43">
        <v>-1.3</v>
      </c>
      <c r="O241" s="44">
        <f>VLOOKUP(G241,$B$5:$M$1305,12,)</f>
        <v>1.5</v>
      </c>
    </row>
    <row r="242" spans="1:15" ht="30" customHeight="1" x14ac:dyDescent="0.3">
      <c r="A242" s="37" t="s">
        <v>376</v>
      </c>
      <c r="B242" s="38">
        <f>-9.3</f>
        <v>-9.3000000000000007</v>
      </c>
      <c r="C242" s="41" t="s">
        <v>725</v>
      </c>
      <c r="D242" s="41" t="s">
        <v>1144</v>
      </c>
      <c r="E242" s="41" t="s">
        <v>1370</v>
      </c>
      <c r="F242" s="42" t="s">
        <v>1727</v>
      </c>
      <c r="G242" s="42">
        <v>15.3</v>
      </c>
      <c r="J242" s="39">
        <f t="shared" si="63"/>
        <v>-1</v>
      </c>
      <c r="K242" s="39">
        <f t="shared" si="64"/>
        <v>1.2</v>
      </c>
      <c r="L242" s="39">
        <f t="shared" si="65"/>
        <v>-3.7</v>
      </c>
      <c r="M242" s="43">
        <v>-3.5</v>
      </c>
      <c r="O242" s="44">
        <f>VLOOKUP(G242,$B$5:$M$1305,12,)</f>
        <v>-1.2</v>
      </c>
    </row>
    <row r="243" spans="1:15" ht="30" customHeight="1" x14ac:dyDescent="0.3">
      <c r="A243" s="37" t="s">
        <v>377</v>
      </c>
      <c r="B243" s="38">
        <f>10.6</f>
        <v>10.6</v>
      </c>
      <c r="C243" s="41" t="s">
        <v>796</v>
      </c>
      <c r="D243" s="41" t="s">
        <v>545</v>
      </c>
      <c r="E243" s="41" t="s">
        <v>1371</v>
      </c>
      <c r="F243" s="42" t="s">
        <v>1729</v>
      </c>
      <c r="G243" s="42">
        <v>-9.1999999999999993</v>
      </c>
      <c r="J243" s="39">
        <f t="shared" si="63"/>
        <v>0</v>
      </c>
      <c r="K243" s="39">
        <f t="shared" si="64"/>
        <v>-0.3</v>
      </c>
      <c r="L243" s="39">
        <f t="shared" si="65"/>
        <v>2.8</v>
      </c>
      <c r="M243" s="43">
        <v>2.5</v>
      </c>
      <c r="O243" s="44">
        <f>VLOOKUP(G243,$B$5:$M$1305,12,)</f>
        <v>-1.2</v>
      </c>
    </row>
    <row r="244" spans="1:15" ht="30" customHeight="1" x14ac:dyDescent="0.3">
      <c r="A244" s="37" t="s">
        <v>378</v>
      </c>
      <c r="B244" s="38">
        <f>8.9</f>
        <v>8.9</v>
      </c>
      <c r="C244" s="41" t="s">
        <v>322</v>
      </c>
      <c r="D244" s="41" t="s">
        <v>692</v>
      </c>
      <c r="E244" s="41" t="s">
        <v>1372</v>
      </c>
      <c r="F244" s="42" t="s">
        <v>1497</v>
      </c>
      <c r="G244" s="42">
        <v>4.4000000000000004</v>
      </c>
      <c r="J244" s="39">
        <f t="shared" si="63"/>
        <v>0.8</v>
      </c>
      <c r="K244" s="39">
        <f t="shared" si="64"/>
        <v>-3.4</v>
      </c>
      <c r="L244" s="39">
        <f t="shared" si="65"/>
        <v>-1.6</v>
      </c>
      <c r="M244" s="43">
        <v>-4.2</v>
      </c>
      <c r="O244" s="44">
        <f>VLOOKUP(G244,$B$5:$M$1305,12,)</f>
        <v>1.6</v>
      </c>
    </row>
    <row r="245" spans="1:15" ht="30" customHeight="1" x14ac:dyDescent="0.3">
      <c r="A245" s="37" t="s">
        <v>667</v>
      </c>
      <c r="B245" s="38">
        <f>-14.5</f>
        <v>-14.5</v>
      </c>
      <c r="C245" s="41" t="s">
        <v>726</v>
      </c>
      <c r="D245" s="41" t="s">
        <v>751</v>
      </c>
      <c r="E245" s="41" t="s">
        <v>1373</v>
      </c>
      <c r="F245" s="42" t="s">
        <v>1083</v>
      </c>
      <c r="G245" s="42">
        <v>-5.3</v>
      </c>
      <c r="J245" s="39">
        <f t="shared" si="63"/>
        <v>-1.4</v>
      </c>
      <c r="K245" s="39">
        <f t="shared" si="64"/>
        <v>-3.4</v>
      </c>
      <c r="L245" s="39">
        <f t="shared" si="65"/>
        <v>-3</v>
      </c>
      <c r="M245" s="43">
        <v>-7.8</v>
      </c>
      <c r="O245" s="44">
        <f>VLOOKUP(G245,$B$5:$M$1305,12,)</f>
        <v>-4.5999999999999996</v>
      </c>
    </row>
    <row r="246" spans="1:15" ht="30" customHeight="1" x14ac:dyDescent="0.3">
      <c r="B246" s="38" t="s">
        <v>254</v>
      </c>
      <c r="O246" s="44" t="e">
        <f>VLOOKUP(G246,$B$5:$M$1305,12,)</f>
        <v>#N/A</v>
      </c>
    </row>
    <row r="247" spans="1:15" ht="30" customHeight="1" x14ac:dyDescent="0.3">
      <c r="B247" s="38" t="s">
        <v>254</v>
      </c>
      <c r="O247" s="44" t="e">
        <f>VLOOKUP(G247,$B$5:$M$1305,12,)</f>
        <v>#N/A</v>
      </c>
    </row>
    <row r="248" spans="1:15" ht="30" customHeight="1" x14ac:dyDescent="0.3">
      <c r="B248" s="38" t="s">
        <v>254</v>
      </c>
      <c r="O248" s="44" t="e">
        <f>VLOOKUP(G248,$B$5:$M$1305,12,)</f>
        <v>#N/A</v>
      </c>
    </row>
    <row r="249" spans="1:15" ht="30" customHeight="1" x14ac:dyDescent="0.3">
      <c r="B249" s="38" t="s">
        <v>254</v>
      </c>
      <c r="C249" s="39">
        <v>2</v>
      </c>
      <c r="D249" s="39">
        <v>3</v>
      </c>
      <c r="E249" s="39">
        <v>4</v>
      </c>
      <c r="F249" s="39">
        <v>5</v>
      </c>
      <c r="G249" s="39">
        <v>6</v>
      </c>
      <c r="H249" s="39">
        <v>7</v>
      </c>
      <c r="O249" s="44">
        <f>VLOOKUP(G249,$B$5:$M$1305,12,)</f>
        <v>-0.4</v>
      </c>
    </row>
    <row r="250" spans="1:15" ht="30" customHeight="1" x14ac:dyDescent="0.3">
      <c r="A250" s="37" t="s">
        <v>842</v>
      </c>
      <c r="B250" s="38">
        <f>-12.3</f>
        <v>-12.3</v>
      </c>
      <c r="C250" s="41" t="s">
        <v>850</v>
      </c>
      <c r="D250" s="41" t="s">
        <v>680</v>
      </c>
      <c r="E250" s="41" t="s">
        <v>504</v>
      </c>
      <c r="F250" s="42" t="s">
        <v>1701</v>
      </c>
      <c r="G250" s="42">
        <v>0.6</v>
      </c>
      <c r="J250" s="39">
        <f t="shared" ref="J250" si="66">LOOKUP(,-SEARCH( $Q$6:$Q$12, D250), $R$6:$R$12 )</f>
        <v>-1.4</v>
      </c>
      <c r="K250" s="39">
        <f t="shared" ref="K250" si="67">LOOKUP(,-SEARCH( $S$6:$S$12, E250), $T$6:$T$12 )</f>
        <v>-0.3</v>
      </c>
      <c r="L250" s="39">
        <f t="shared" ref="L250" si="68">LOOKUP(,-SEARCH( $U$6:$U$12, F250), $V$6:$V$12 )</f>
        <v>-3.7</v>
      </c>
      <c r="M250" s="43">
        <v>-5.4</v>
      </c>
      <c r="O250" s="44">
        <f>VLOOKUP(G250,$B$5:$M$1305,12,)</f>
        <v>0.8</v>
      </c>
    </row>
    <row r="251" spans="1:15" ht="30" customHeight="1" x14ac:dyDescent="0.3">
      <c r="A251" s="37" t="s">
        <v>844</v>
      </c>
      <c r="B251" s="38">
        <f>12.2</f>
        <v>12.2</v>
      </c>
      <c r="C251" s="41" t="s">
        <v>318</v>
      </c>
      <c r="D251" s="41" t="s">
        <v>440</v>
      </c>
      <c r="E251" s="41" t="s">
        <v>757</v>
      </c>
      <c r="F251" s="42" t="s">
        <v>1439</v>
      </c>
      <c r="G251" s="42">
        <v>-5.8</v>
      </c>
      <c r="J251" s="39">
        <f t="shared" ref="J251:J263" si="69">LOOKUP(,-SEARCH( $Q$6:$Q$12, D251), $R$6:$R$12 )</f>
        <v>0.8</v>
      </c>
      <c r="K251" s="39">
        <f t="shared" ref="K251:K263" si="70">LOOKUP(,-SEARCH( $S$6:$S$12, E251), $T$6:$T$12 )</f>
        <v>-0.3</v>
      </c>
      <c r="L251" s="39">
        <f t="shared" ref="L251:L263" si="71">LOOKUP(,-SEARCH( $U$6:$U$12, F251), $V$6:$V$12 )</f>
        <v>0</v>
      </c>
      <c r="M251" s="43">
        <v>0.5</v>
      </c>
      <c r="O251" s="44">
        <f>VLOOKUP(G251,$B$5:$M$1305,12,)</f>
        <v>-0.1</v>
      </c>
    </row>
    <row r="252" spans="1:15" ht="30" customHeight="1" x14ac:dyDescent="0.3">
      <c r="A252" s="37" t="s">
        <v>836</v>
      </c>
      <c r="B252" s="38">
        <f>-0.6</f>
        <v>-0.6</v>
      </c>
      <c r="C252" s="41" t="s">
        <v>609</v>
      </c>
      <c r="D252" s="41" t="s">
        <v>1045</v>
      </c>
      <c r="E252" s="41" t="s">
        <v>566</v>
      </c>
      <c r="F252" s="42" t="s">
        <v>329</v>
      </c>
      <c r="G252" s="42">
        <v>-6.4</v>
      </c>
      <c r="J252" s="39">
        <f t="shared" si="69"/>
        <v>-1</v>
      </c>
      <c r="K252" s="39">
        <f t="shared" si="70"/>
        <v>-1.2</v>
      </c>
      <c r="L252" s="39">
        <f t="shared" si="71"/>
        <v>0</v>
      </c>
      <c r="M252" s="43">
        <v>-2.2000000000000002</v>
      </c>
      <c r="O252" s="44">
        <f>VLOOKUP(G252,$B$5:$M$1305,12,)</f>
        <v>-8</v>
      </c>
    </row>
    <row r="253" spans="1:15" ht="30" customHeight="1" x14ac:dyDescent="0.3">
      <c r="A253" s="37" t="s">
        <v>845</v>
      </c>
      <c r="B253" s="38">
        <f>-5.8</f>
        <v>-5.8</v>
      </c>
      <c r="C253" s="41" t="s">
        <v>529</v>
      </c>
      <c r="D253" s="41" t="s">
        <v>1046</v>
      </c>
      <c r="E253" s="41" t="s">
        <v>1253</v>
      </c>
      <c r="F253" s="42" t="s">
        <v>1731</v>
      </c>
      <c r="G253" s="42">
        <v>12.2</v>
      </c>
      <c r="J253" s="39">
        <f t="shared" si="69"/>
        <v>-1.4</v>
      </c>
      <c r="K253" s="39">
        <f t="shared" si="70"/>
        <v>-0.3</v>
      </c>
      <c r="L253" s="39">
        <f t="shared" si="71"/>
        <v>-1.6</v>
      </c>
      <c r="M253" s="43">
        <v>-3.3</v>
      </c>
      <c r="O253" s="44">
        <f>VLOOKUP(G253,$B$5:$M$1305,12,)</f>
        <v>7</v>
      </c>
    </row>
    <row r="254" spans="1:15" ht="30" customHeight="1" x14ac:dyDescent="0.3">
      <c r="A254" s="37" t="s">
        <v>848</v>
      </c>
      <c r="B254" s="38">
        <f>5.3</f>
        <v>5.3</v>
      </c>
      <c r="C254" s="41" t="s">
        <v>316</v>
      </c>
      <c r="D254" s="41" t="s">
        <v>350</v>
      </c>
      <c r="E254" s="41" t="s">
        <v>756</v>
      </c>
      <c r="F254" s="42" t="s">
        <v>659</v>
      </c>
      <c r="G254" s="42">
        <v>11.7</v>
      </c>
      <c r="J254" s="39">
        <f t="shared" si="69"/>
        <v>1.4</v>
      </c>
      <c r="K254" s="39">
        <f t="shared" si="70"/>
        <v>2.2000000000000002</v>
      </c>
      <c r="L254" s="39">
        <f t="shared" si="71"/>
        <v>0</v>
      </c>
      <c r="M254" s="48">
        <v>3.6</v>
      </c>
      <c r="N254" s="49"/>
      <c r="O254" s="50">
        <f>VLOOKUP(G254,$B$5:$M$1305,12,)</f>
        <v>3.4</v>
      </c>
    </row>
    <row r="255" spans="1:15" ht="30" customHeight="1" x14ac:dyDescent="0.3">
      <c r="A255" s="37" t="s">
        <v>846</v>
      </c>
      <c r="B255" s="38">
        <f>6.2</f>
        <v>6.2</v>
      </c>
      <c r="C255" s="41" t="s">
        <v>832</v>
      </c>
      <c r="D255" s="41" t="s">
        <v>636</v>
      </c>
      <c r="E255" s="41" t="s">
        <v>330</v>
      </c>
      <c r="F255" s="42" t="s">
        <v>717</v>
      </c>
      <c r="G255" s="42">
        <v>-3</v>
      </c>
      <c r="J255" s="39">
        <f t="shared" si="69"/>
        <v>2.1</v>
      </c>
      <c r="K255" s="39">
        <f t="shared" si="70"/>
        <v>-1.2</v>
      </c>
      <c r="L255" s="39">
        <f t="shared" si="71"/>
        <v>3.7</v>
      </c>
      <c r="M255" s="43">
        <v>4.5999999999999996</v>
      </c>
      <c r="O255" s="44">
        <f>VLOOKUP(G255,$B$5:$M$1305,12,)</f>
        <v>-2.2000000000000002</v>
      </c>
    </row>
    <row r="256" spans="1:15" ht="30" customHeight="1" x14ac:dyDescent="0.3">
      <c r="A256" s="37" t="s">
        <v>849</v>
      </c>
      <c r="B256" s="38">
        <f>-3</f>
        <v>-3</v>
      </c>
      <c r="C256" s="41" t="s">
        <v>632</v>
      </c>
      <c r="D256" s="41" t="s">
        <v>1045</v>
      </c>
      <c r="E256" s="41" t="s">
        <v>1333</v>
      </c>
      <c r="F256" s="42" t="s">
        <v>753</v>
      </c>
      <c r="G256" s="42">
        <v>6.2</v>
      </c>
      <c r="J256" s="39">
        <f t="shared" si="69"/>
        <v>-1</v>
      </c>
      <c r="K256" s="39">
        <f t="shared" si="70"/>
        <v>-2.2000000000000002</v>
      </c>
      <c r="L256" s="39">
        <f t="shared" si="71"/>
        <v>1.6</v>
      </c>
      <c r="M256" s="43">
        <v>-1.6</v>
      </c>
      <c r="O256" s="44">
        <f>VLOOKUP(G256,$B$5:$M$1305,12,)</f>
        <v>0.5</v>
      </c>
    </row>
    <row r="257" spans="1:15" ht="30" customHeight="1" x14ac:dyDescent="0.3">
      <c r="A257" s="37" t="s">
        <v>837</v>
      </c>
      <c r="B257" s="38">
        <f>6.8</f>
        <v>6.8</v>
      </c>
      <c r="C257" s="41" t="s">
        <v>813</v>
      </c>
      <c r="D257" s="41" t="s">
        <v>500</v>
      </c>
      <c r="E257" s="41" t="s">
        <v>1329</v>
      </c>
      <c r="F257" s="42" t="s">
        <v>381</v>
      </c>
      <c r="G257" s="42">
        <v>1.2</v>
      </c>
      <c r="J257" s="39">
        <f t="shared" si="69"/>
        <v>1.4</v>
      </c>
      <c r="K257" s="39">
        <f t="shared" si="70"/>
        <v>1.2</v>
      </c>
      <c r="L257" s="39">
        <f t="shared" si="71"/>
        <v>0</v>
      </c>
      <c r="M257" s="43">
        <v>2.6</v>
      </c>
      <c r="O257" s="44">
        <f>VLOOKUP(G257,$B$5:$M$1305,12,)</f>
        <v>3.9</v>
      </c>
    </row>
    <row r="258" spans="1:15" ht="30" customHeight="1" x14ac:dyDescent="0.3">
      <c r="A258" s="37" t="s">
        <v>843</v>
      </c>
      <c r="B258" s="38">
        <f>0.6</f>
        <v>0.6</v>
      </c>
      <c r="C258" s="41" t="s">
        <v>352</v>
      </c>
      <c r="D258" s="41" t="s">
        <v>1099</v>
      </c>
      <c r="E258" s="41" t="s">
        <v>1332</v>
      </c>
      <c r="F258" s="42" t="s">
        <v>665</v>
      </c>
      <c r="G258" s="42">
        <v>-12.3</v>
      </c>
      <c r="J258" s="39">
        <f t="shared" si="69"/>
        <v>-1.4</v>
      </c>
      <c r="K258" s="39">
        <f t="shared" si="70"/>
        <v>2.2000000000000002</v>
      </c>
      <c r="L258" s="39">
        <f t="shared" si="71"/>
        <v>0</v>
      </c>
      <c r="M258" s="43">
        <v>0.8</v>
      </c>
      <c r="O258" s="44">
        <f>VLOOKUP(G258,$B$5:$M$1305,12,)</f>
        <v>-5.4</v>
      </c>
    </row>
    <row r="259" spans="1:15" ht="30" customHeight="1" x14ac:dyDescent="0.3">
      <c r="A259" s="37" t="s">
        <v>838</v>
      </c>
      <c r="B259" s="38">
        <f>-0.9</f>
        <v>-0.9</v>
      </c>
      <c r="C259" s="41" t="s">
        <v>852</v>
      </c>
      <c r="D259" s="41" t="s">
        <v>594</v>
      </c>
      <c r="E259" s="41" t="s">
        <v>365</v>
      </c>
      <c r="F259" s="42" t="s">
        <v>1730</v>
      </c>
      <c r="G259" s="39" t="s">
        <v>1206</v>
      </c>
      <c r="J259" s="39">
        <f t="shared" si="69"/>
        <v>1.4</v>
      </c>
      <c r="K259" s="39">
        <f t="shared" si="70"/>
        <v>-1.2</v>
      </c>
      <c r="L259" s="39">
        <f t="shared" si="71"/>
        <v>0</v>
      </c>
      <c r="M259" s="43">
        <v>0.2</v>
      </c>
      <c r="O259" s="44" t="e">
        <f>VLOOKUP(G259,$B$5:$M$1305,12,)</f>
        <v>#N/A</v>
      </c>
    </row>
    <row r="260" spans="1:15" ht="30" customHeight="1" x14ac:dyDescent="0.3">
      <c r="A260" s="37" t="s">
        <v>847</v>
      </c>
      <c r="B260" s="38">
        <f>1.2</f>
        <v>1.2</v>
      </c>
      <c r="C260" s="41" t="s">
        <v>833</v>
      </c>
      <c r="D260" s="41" t="s">
        <v>362</v>
      </c>
      <c r="E260" s="41" t="s">
        <v>683</v>
      </c>
      <c r="F260" s="42" t="s">
        <v>1732</v>
      </c>
      <c r="G260" s="42">
        <v>6.8</v>
      </c>
      <c r="J260" s="39">
        <f t="shared" si="69"/>
        <v>-1</v>
      </c>
      <c r="K260" s="39">
        <f t="shared" si="70"/>
        <v>1.2</v>
      </c>
      <c r="L260" s="39">
        <f t="shared" si="71"/>
        <v>3.7</v>
      </c>
      <c r="M260" s="43">
        <v>3.9</v>
      </c>
      <c r="O260" s="44">
        <f>VLOOKUP(G260,$B$5:$M$1305,12,)</f>
        <v>3</v>
      </c>
    </row>
    <row r="261" spans="1:15" ht="30" customHeight="1" x14ac:dyDescent="0.3">
      <c r="A261" s="37" t="s">
        <v>839</v>
      </c>
      <c r="B261" s="38">
        <f>4.8</f>
        <v>4.8</v>
      </c>
      <c r="C261" s="41" t="s">
        <v>851</v>
      </c>
      <c r="D261" s="41" t="s">
        <v>380</v>
      </c>
      <c r="E261" s="41" t="s">
        <v>1330</v>
      </c>
      <c r="F261" s="42" t="s">
        <v>993</v>
      </c>
      <c r="G261" s="39" t="s">
        <v>1206</v>
      </c>
      <c r="J261" s="39">
        <f t="shared" si="69"/>
        <v>0.8</v>
      </c>
      <c r="K261" s="39">
        <f t="shared" si="70"/>
        <v>1.2</v>
      </c>
      <c r="L261" s="39">
        <f t="shared" si="71"/>
        <v>0</v>
      </c>
      <c r="M261" s="43">
        <v>2</v>
      </c>
      <c r="O261" s="44" t="e">
        <f>VLOOKUP(G261,$B$5:$M$1305,12,)</f>
        <v>#N/A</v>
      </c>
    </row>
    <row r="262" spans="1:15" ht="30" customHeight="1" x14ac:dyDescent="0.3">
      <c r="A262" s="37" t="s">
        <v>841</v>
      </c>
      <c r="B262" s="38">
        <f>-6.4</f>
        <v>-6.4</v>
      </c>
      <c r="C262" s="41" t="s">
        <v>641</v>
      </c>
      <c r="D262" s="41" t="s">
        <v>328</v>
      </c>
      <c r="E262" s="41" t="s">
        <v>1331</v>
      </c>
      <c r="F262" s="42" t="s">
        <v>1733</v>
      </c>
      <c r="G262" s="42">
        <v>-0.6</v>
      </c>
      <c r="J262" s="39">
        <f t="shared" si="69"/>
        <v>-2.1</v>
      </c>
      <c r="K262" s="39">
        <f t="shared" si="70"/>
        <v>-2.2000000000000002</v>
      </c>
      <c r="L262" s="39">
        <f t="shared" si="71"/>
        <v>-3.7</v>
      </c>
      <c r="M262" s="43">
        <v>-8</v>
      </c>
      <c r="O262" s="44">
        <f>VLOOKUP(G262,$B$5:$M$1305,12,)</f>
        <v>-2.2000000000000002</v>
      </c>
    </row>
    <row r="263" spans="1:15" ht="30" customHeight="1" x14ac:dyDescent="0.3">
      <c r="A263" s="37" t="s">
        <v>840</v>
      </c>
      <c r="B263" s="38">
        <f>11.7</f>
        <v>11.7</v>
      </c>
      <c r="C263" s="41" t="s">
        <v>608</v>
      </c>
      <c r="D263" s="41" t="s">
        <v>382</v>
      </c>
      <c r="E263" s="42" t="s">
        <v>708</v>
      </c>
      <c r="F263" s="42" t="s">
        <v>1734</v>
      </c>
      <c r="G263" s="42">
        <v>5.3</v>
      </c>
      <c r="J263" s="39">
        <f t="shared" si="69"/>
        <v>0.8</v>
      </c>
      <c r="K263" s="39">
        <f t="shared" si="70"/>
        <v>-0.3</v>
      </c>
      <c r="L263" s="39">
        <f t="shared" si="71"/>
        <v>0</v>
      </c>
      <c r="M263" s="43">
        <v>0.5</v>
      </c>
      <c r="O263" s="44">
        <f>VLOOKUP(G263,$B$5:$M$1305,12,)</f>
        <v>2.1</v>
      </c>
    </row>
    <row r="264" spans="1:15" ht="30" customHeight="1" x14ac:dyDescent="0.3">
      <c r="B264" s="38" t="s">
        <v>254</v>
      </c>
      <c r="O264" s="44" t="e">
        <f>VLOOKUP(G264,$B$5:$M$1305,12,)</f>
        <v>#N/A</v>
      </c>
    </row>
    <row r="265" spans="1:15" ht="30" customHeight="1" x14ac:dyDescent="0.3">
      <c r="B265" s="38" t="s">
        <v>254</v>
      </c>
      <c r="O265" s="44" t="e">
        <f>VLOOKUP(G265,$B$5:$M$1305,12,)</f>
        <v>#N/A</v>
      </c>
    </row>
    <row r="266" spans="1:15" ht="30" customHeight="1" x14ac:dyDescent="0.3">
      <c r="B266" s="38" t="s">
        <v>254</v>
      </c>
      <c r="O266" s="44" t="e">
        <f>VLOOKUP(G266,$B$5:$M$1305,12,)</f>
        <v>#N/A</v>
      </c>
    </row>
    <row r="267" spans="1:15" ht="30" customHeight="1" x14ac:dyDescent="0.3">
      <c r="B267" s="38" t="s">
        <v>254</v>
      </c>
      <c r="C267" s="39">
        <v>3</v>
      </c>
      <c r="D267" s="39">
        <v>4</v>
      </c>
      <c r="E267" s="39">
        <v>5</v>
      </c>
      <c r="F267" s="39">
        <v>6</v>
      </c>
      <c r="G267" s="39">
        <v>7</v>
      </c>
      <c r="O267" s="44" t="e">
        <f>VLOOKUP(G267,$B$5:$M$1305,12,)</f>
        <v>#N/A</v>
      </c>
    </row>
    <row r="268" spans="1:15" ht="30" customHeight="1" x14ac:dyDescent="0.3">
      <c r="A268" s="37" t="s">
        <v>868</v>
      </c>
      <c r="B268" s="38">
        <f>-19.1</f>
        <v>-19.100000000000001</v>
      </c>
      <c r="C268" s="41" t="s">
        <v>1100</v>
      </c>
      <c r="D268" s="41" t="s">
        <v>1335</v>
      </c>
      <c r="E268" s="42" t="s">
        <v>1492</v>
      </c>
      <c r="F268" s="42" t="s">
        <v>1735</v>
      </c>
      <c r="G268" s="42">
        <v>6</v>
      </c>
      <c r="J268" s="39">
        <f t="shared" ref="J268" si="72">LOOKUP(,-SEARCH( $Q$6:$Q$12, D268), $R$6:$R$12 )</f>
        <v>-2.1</v>
      </c>
      <c r="K268" s="39">
        <f t="shared" ref="K268" si="73">LOOKUP(,-SEARCH( $S$6:$S$12, E268), $T$6:$T$12 )</f>
        <v>-1.2</v>
      </c>
      <c r="L268" s="39">
        <f t="shared" ref="L268" si="74">LOOKUP(,-SEARCH( $U$6:$U$12, F268), $V$6:$V$12 )</f>
        <v>-1.6</v>
      </c>
      <c r="M268" s="43">
        <v>-4.9000000000000004</v>
      </c>
      <c r="O268" s="44">
        <f>VLOOKUP(G268,$B$5:$M$1305,12,)</f>
        <v>-0.4</v>
      </c>
    </row>
    <row r="269" spans="1:15" ht="30" customHeight="1" x14ac:dyDescent="0.3">
      <c r="A269" s="37" t="s">
        <v>860</v>
      </c>
      <c r="B269" s="38">
        <f>1.9</f>
        <v>1.9</v>
      </c>
      <c r="C269" s="41" t="s">
        <v>688</v>
      </c>
      <c r="D269" s="41" t="s">
        <v>326</v>
      </c>
      <c r="E269" s="42" t="s">
        <v>1481</v>
      </c>
      <c r="F269" s="42" t="s">
        <v>1740</v>
      </c>
      <c r="G269" s="42">
        <v>12.9</v>
      </c>
      <c r="J269" s="39">
        <f t="shared" ref="J269:J287" si="75">LOOKUP(,-SEARCH( $Q$6:$Q$12, D269), $R$6:$R$12 )</f>
        <v>-1</v>
      </c>
      <c r="K269" s="39">
        <f t="shared" ref="K269:K287" si="76">LOOKUP(,-SEARCH( $S$6:$S$12, E269), $T$6:$T$12 )</f>
        <v>-1.2</v>
      </c>
      <c r="L269" s="39">
        <f t="shared" ref="L269:L287" si="77">LOOKUP(,-SEARCH( $U$6:$U$12, F269), $V$6:$V$12 )</f>
        <v>0</v>
      </c>
      <c r="M269" s="43">
        <v>-2.2000000000000002</v>
      </c>
      <c r="O269" s="44">
        <f>VLOOKUP(G269,$B$5:$M$1305,12,)</f>
        <v>0.5</v>
      </c>
    </row>
    <row r="270" spans="1:15" ht="30" customHeight="1" x14ac:dyDescent="0.3">
      <c r="A270" s="37" t="s">
        <v>862</v>
      </c>
      <c r="B270" s="38">
        <f>15</f>
        <v>15</v>
      </c>
      <c r="C270" s="41" t="s">
        <v>323</v>
      </c>
      <c r="D270" s="41" t="s">
        <v>1324</v>
      </c>
      <c r="E270" s="42" t="s">
        <v>568</v>
      </c>
      <c r="F270" s="42" t="s">
        <v>1741</v>
      </c>
      <c r="G270" s="42">
        <v>4.0999999999999996</v>
      </c>
      <c r="J270" s="39">
        <f t="shared" si="75"/>
        <v>0.8</v>
      </c>
      <c r="K270" s="39">
        <f t="shared" si="76"/>
        <v>1.2</v>
      </c>
      <c r="L270" s="39">
        <f t="shared" si="77"/>
        <v>2.8</v>
      </c>
      <c r="M270" s="43">
        <v>4.8</v>
      </c>
      <c r="O270" s="44">
        <f>VLOOKUP(G270,$B$5:$M$1305,12,)</f>
        <v>3.8</v>
      </c>
    </row>
    <row r="271" spans="1:15" ht="30" customHeight="1" x14ac:dyDescent="0.3">
      <c r="A271" s="37" t="s">
        <v>858</v>
      </c>
      <c r="B271" s="38">
        <f>20.6</f>
        <v>20.6</v>
      </c>
      <c r="C271" s="41" t="s">
        <v>1101</v>
      </c>
      <c r="D271" s="41" t="s">
        <v>1085</v>
      </c>
      <c r="E271" s="42" t="s">
        <v>699</v>
      </c>
      <c r="F271" s="42" t="s">
        <v>1738</v>
      </c>
      <c r="G271" s="42">
        <v>-6.7</v>
      </c>
      <c r="J271" s="39">
        <f t="shared" si="75"/>
        <v>0.8</v>
      </c>
      <c r="K271" s="39">
        <f t="shared" si="76"/>
        <v>3.3</v>
      </c>
      <c r="L271" s="39">
        <f t="shared" si="77"/>
        <v>3.7</v>
      </c>
      <c r="M271" s="43">
        <v>7.8</v>
      </c>
      <c r="O271" s="44">
        <f>VLOOKUP(G271,$B$5:$M$1305,12,)</f>
        <v>-3.4</v>
      </c>
    </row>
    <row r="272" spans="1:15" ht="30" customHeight="1" x14ac:dyDescent="0.3">
      <c r="A272" s="37" t="s">
        <v>859</v>
      </c>
      <c r="B272" s="38">
        <f>6.4</f>
        <v>6.4</v>
      </c>
      <c r="C272" s="41" t="s">
        <v>516</v>
      </c>
      <c r="D272" s="41" t="s">
        <v>1336</v>
      </c>
      <c r="E272" s="42" t="s">
        <v>1451</v>
      </c>
      <c r="F272" s="42" t="s">
        <v>777</v>
      </c>
      <c r="G272" s="42">
        <v>-0.4</v>
      </c>
      <c r="J272" s="39">
        <f t="shared" si="75"/>
        <v>0.8</v>
      </c>
      <c r="K272" s="39">
        <f t="shared" si="76"/>
        <v>1.2</v>
      </c>
      <c r="L272" s="39">
        <f t="shared" si="77"/>
        <v>3.7</v>
      </c>
      <c r="M272" s="43">
        <v>5.7</v>
      </c>
      <c r="O272" s="44">
        <f>VLOOKUP(G272,$B$5:$M$1305,12,)</f>
        <v>-2.9</v>
      </c>
    </row>
    <row r="273" spans="1:15" ht="30" customHeight="1" x14ac:dyDescent="0.3">
      <c r="A273" s="37" t="s">
        <v>865</v>
      </c>
      <c r="B273" s="38">
        <f>12.9</f>
        <v>12.9</v>
      </c>
      <c r="C273" s="41" t="s">
        <v>360</v>
      </c>
      <c r="D273" s="41" t="s">
        <v>526</v>
      </c>
      <c r="E273" s="42" t="s">
        <v>1495</v>
      </c>
      <c r="F273" s="42" t="s">
        <v>1696</v>
      </c>
      <c r="G273" s="42">
        <v>1.9</v>
      </c>
      <c r="J273" s="39">
        <f t="shared" si="75"/>
        <v>0</v>
      </c>
      <c r="K273" s="39">
        <f t="shared" si="76"/>
        <v>3.3</v>
      </c>
      <c r="L273" s="39">
        <f t="shared" si="77"/>
        <v>1.6</v>
      </c>
      <c r="M273" s="43">
        <v>4.9000000000000004</v>
      </c>
      <c r="O273" s="44">
        <f>VLOOKUP(G273,$B$5:$M$1305,12,)</f>
        <v>-1.8</v>
      </c>
    </row>
    <row r="274" spans="1:15" ht="30" customHeight="1" x14ac:dyDescent="0.3">
      <c r="A274" s="37" t="s">
        <v>855</v>
      </c>
      <c r="B274" s="38">
        <f>-2.4</f>
        <v>-2.4</v>
      </c>
      <c r="C274" s="41" t="s">
        <v>664</v>
      </c>
      <c r="D274" s="41" t="s">
        <v>553</v>
      </c>
      <c r="E274" s="42" t="s">
        <v>324</v>
      </c>
      <c r="F274" s="42" t="s">
        <v>1745</v>
      </c>
      <c r="G274" s="42">
        <v>-7.9</v>
      </c>
      <c r="J274" s="39">
        <f t="shared" si="75"/>
        <v>2.1</v>
      </c>
      <c r="K274" s="39">
        <f t="shared" si="76"/>
        <v>-0.3</v>
      </c>
      <c r="L274" s="39">
        <f t="shared" si="77"/>
        <v>-3.7</v>
      </c>
      <c r="M274" s="43">
        <v>-1.9</v>
      </c>
      <c r="O274" s="44">
        <f>VLOOKUP(G274,$B$5:$M$1305,12,)</f>
        <v>-6.3</v>
      </c>
    </row>
    <row r="275" spans="1:15" ht="30" customHeight="1" x14ac:dyDescent="0.3">
      <c r="A275" s="37" t="s">
        <v>856</v>
      </c>
      <c r="B275" s="38">
        <f>-10.2</f>
        <v>-10.199999999999999</v>
      </c>
      <c r="C275" s="41" t="s">
        <v>779</v>
      </c>
      <c r="D275" s="41" t="s">
        <v>1337</v>
      </c>
      <c r="E275" s="42" t="s">
        <v>1493</v>
      </c>
      <c r="F275" s="42" t="s">
        <v>1747</v>
      </c>
      <c r="G275" s="42">
        <v>2.8</v>
      </c>
      <c r="J275" s="39">
        <f t="shared" si="75"/>
        <v>-1</v>
      </c>
      <c r="K275" s="39">
        <f t="shared" si="76"/>
        <v>1.2</v>
      </c>
      <c r="L275" s="39">
        <f t="shared" si="77"/>
        <v>-3.7</v>
      </c>
      <c r="M275" s="43">
        <v>-3.5</v>
      </c>
      <c r="O275" s="44">
        <f>VLOOKUP(G275,$B$5:$M$1305,12,)</f>
        <v>-1.9</v>
      </c>
    </row>
    <row r="276" spans="1:15" ht="30" customHeight="1" x14ac:dyDescent="0.3">
      <c r="A276" s="37" t="s">
        <v>133</v>
      </c>
      <c r="B276" s="38">
        <f>-4.8</f>
        <v>-4.8</v>
      </c>
      <c r="C276" s="41" t="s">
        <v>356</v>
      </c>
      <c r="D276" s="41" t="s">
        <v>540</v>
      </c>
      <c r="E276" s="42" t="s">
        <v>658</v>
      </c>
      <c r="F276" s="42" t="s">
        <v>1739</v>
      </c>
      <c r="G276" s="42">
        <v>-1.2</v>
      </c>
      <c r="J276" s="39">
        <f t="shared" si="75"/>
        <v>-1</v>
      </c>
      <c r="K276" s="39">
        <f t="shared" si="76"/>
        <v>-0.3</v>
      </c>
      <c r="L276" s="39">
        <f t="shared" si="77"/>
        <v>-3.7</v>
      </c>
      <c r="M276" s="43">
        <v>-5</v>
      </c>
      <c r="O276" s="44">
        <f>VLOOKUP(G276,$B$5:$M$1305,12,)</f>
        <v>2.4</v>
      </c>
    </row>
    <row r="277" spans="1:15" ht="30" customHeight="1" x14ac:dyDescent="0.3">
      <c r="A277" s="37" t="s">
        <v>866</v>
      </c>
      <c r="B277" s="38">
        <f>-6.7</f>
        <v>-6.7</v>
      </c>
      <c r="C277" s="41" t="s">
        <v>676</v>
      </c>
      <c r="D277" s="41" t="s">
        <v>648</v>
      </c>
      <c r="E277" s="42" t="s">
        <v>1497</v>
      </c>
      <c r="F277" s="42" t="s">
        <v>1743</v>
      </c>
      <c r="G277" s="42">
        <v>20.6</v>
      </c>
      <c r="J277" s="39">
        <f t="shared" si="75"/>
        <v>0.8</v>
      </c>
      <c r="K277" s="39">
        <f t="shared" si="76"/>
        <v>-1.2</v>
      </c>
      <c r="L277" s="39">
        <f t="shared" si="77"/>
        <v>-3</v>
      </c>
      <c r="M277" s="43">
        <v>-3.4</v>
      </c>
      <c r="O277" s="44">
        <f>VLOOKUP(G277,$B$5:$M$1305,12,)</f>
        <v>7.8</v>
      </c>
    </row>
    <row r="278" spans="1:15" ht="30" customHeight="1" x14ac:dyDescent="0.3">
      <c r="A278" s="37" t="s">
        <v>135</v>
      </c>
      <c r="B278" s="38">
        <f>6</f>
        <v>6</v>
      </c>
      <c r="C278" s="41" t="s">
        <v>360</v>
      </c>
      <c r="D278" s="42" t="s">
        <v>1338</v>
      </c>
      <c r="E278" s="42" t="s">
        <v>1498</v>
      </c>
      <c r="F278" s="42" t="s">
        <v>1737</v>
      </c>
      <c r="G278" s="42">
        <v>-19.100000000000001</v>
      </c>
      <c r="J278" s="39">
        <f t="shared" si="75"/>
        <v>0</v>
      </c>
      <c r="K278" s="39">
        <f t="shared" si="76"/>
        <v>3.3</v>
      </c>
      <c r="L278" s="39">
        <f t="shared" si="77"/>
        <v>-3.7</v>
      </c>
      <c r="M278" s="43">
        <v>-0.4</v>
      </c>
      <c r="O278" s="44">
        <f>VLOOKUP(G278,$B$5:$M$1305,12,)</f>
        <v>-4.9000000000000004</v>
      </c>
    </row>
    <row r="279" spans="1:15" ht="30" customHeight="1" x14ac:dyDescent="0.3">
      <c r="A279" s="37" t="s">
        <v>867</v>
      </c>
      <c r="B279" s="38">
        <f>4.1</f>
        <v>4.0999999999999996</v>
      </c>
      <c r="C279" s="41" t="s">
        <v>473</v>
      </c>
      <c r="D279" s="41" t="s">
        <v>685</v>
      </c>
      <c r="E279" s="42" t="s">
        <v>728</v>
      </c>
      <c r="F279" s="42" t="s">
        <v>631</v>
      </c>
      <c r="G279" s="42">
        <v>15</v>
      </c>
      <c r="J279" s="39">
        <f t="shared" si="75"/>
        <v>-1</v>
      </c>
      <c r="K279" s="39">
        <f t="shared" si="76"/>
        <v>-0.3</v>
      </c>
      <c r="L279" s="39">
        <f t="shared" si="77"/>
        <v>2.8</v>
      </c>
      <c r="M279" s="43">
        <v>1.5</v>
      </c>
      <c r="O279" s="44">
        <f>VLOOKUP(G279,$B$5:$M$1305,12,)</f>
        <v>2.8</v>
      </c>
    </row>
    <row r="280" spans="1:15" ht="30" customHeight="1" x14ac:dyDescent="0.3">
      <c r="A280" s="37" t="s">
        <v>853</v>
      </c>
      <c r="B280" s="38">
        <f>-14.8</f>
        <v>-14.8</v>
      </c>
      <c r="C280" s="41" t="s">
        <v>516</v>
      </c>
      <c r="D280" s="41" t="s">
        <v>748</v>
      </c>
      <c r="E280" s="42" t="s">
        <v>1496</v>
      </c>
      <c r="F280" s="42" t="s">
        <v>666</v>
      </c>
      <c r="G280" s="42">
        <v>10.7</v>
      </c>
      <c r="J280" s="39">
        <f t="shared" si="75"/>
        <v>-1</v>
      </c>
      <c r="K280" s="39">
        <f t="shared" si="76"/>
        <v>-3.4</v>
      </c>
      <c r="L280" s="39">
        <f t="shared" si="77"/>
        <v>0</v>
      </c>
      <c r="M280" s="43">
        <v>-4.4000000000000004</v>
      </c>
      <c r="O280" s="44">
        <f>VLOOKUP(G280,$B$5:$M$1305,12,)</f>
        <v>-1</v>
      </c>
    </row>
    <row r="281" spans="1:15" ht="30" customHeight="1" x14ac:dyDescent="0.3">
      <c r="A281" s="37" t="s">
        <v>857</v>
      </c>
      <c r="B281" s="38">
        <f>8.6</f>
        <v>8.6</v>
      </c>
      <c r="C281" s="41" t="s">
        <v>333</v>
      </c>
      <c r="D281" s="41" t="s">
        <v>705</v>
      </c>
      <c r="E281" s="42" t="s">
        <v>312</v>
      </c>
      <c r="F281" s="42" t="s">
        <v>1736</v>
      </c>
      <c r="G281" s="42">
        <v>2.2999999999999998</v>
      </c>
      <c r="J281" s="39">
        <f t="shared" si="75"/>
        <v>1.4</v>
      </c>
      <c r="K281" s="39">
        <f t="shared" si="76"/>
        <v>-1.2</v>
      </c>
      <c r="L281" s="39">
        <f t="shared" si="77"/>
        <v>1.6</v>
      </c>
      <c r="M281" s="43">
        <v>1.8</v>
      </c>
      <c r="O281" s="44">
        <f>VLOOKUP(G281,$B$5:$M$1305,12,)</f>
        <v>3</v>
      </c>
    </row>
    <row r="282" spans="1:15" ht="30" customHeight="1" x14ac:dyDescent="0.3">
      <c r="A282" s="37" t="s">
        <v>864</v>
      </c>
      <c r="B282" s="38">
        <f>-0.4</f>
        <v>-0.4</v>
      </c>
      <c r="C282" s="41" t="s">
        <v>530</v>
      </c>
      <c r="D282" s="41" t="s">
        <v>690</v>
      </c>
      <c r="E282" s="42" t="s">
        <v>635</v>
      </c>
      <c r="F282" s="42" t="s">
        <v>1746</v>
      </c>
      <c r="G282" s="42">
        <v>6.4</v>
      </c>
      <c r="J282" s="39">
        <f t="shared" si="75"/>
        <v>-1.4</v>
      </c>
      <c r="K282" s="39">
        <f t="shared" si="76"/>
        <v>-3.4</v>
      </c>
      <c r="L282" s="39">
        <f t="shared" si="77"/>
        <v>-1.6</v>
      </c>
      <c r="M282" s="43">
        <v>-6.4</v>
      </c>
      <c r="O282" s="44">
        <f>VLOOKUP(G282,$B$5:$M$1305,12,)</f>
        <v>2.1</v>
      </c>
    </row>
    <row r="283" spans="1:15" ht="30" customHeight="1" x14ac:dyDescent="0.3">
      <c r="A283" s="37" t="s">
        <v>145</v>
      </c>
      <c r="B283" s="38">
        <f>10.7</f>
        <v>10.7</v>
      </c>
      <c r="C283" s="41" t="s">
        <v>349</v>
      </c>
      <c r="D283" s="41" t="s">
        <v>735</v>
      </c>
      <c r="E283" s="42" t="s">
        <v>1499</v>
      </c>
      <c r="F283" s="42" t="s">
        <v>1742</v>
      </c>
      <c r="G283" s="42">
        <v>-14.8</v>
      </c>
      <c r="J283" s="39">
        <f t="shared" si="75"/>
        <v>0.8</v>
      </c>
      <c r="K283" s="39">
        <f t="shared" si="76"/>
        <v>1.2</v>
      </c>
      <c r="L283" s="39">
        <f t="shared" si="77"/>
        <v>-3</v>
      </c>
      <c r="M283" s="43">
        <v>-1</v>
      </c>
      <c r="O283" s="44">
        <f>VLOOKUP(G283,$B$5:$M$1305,12,)</f>
        <v>-4.4000000000000004</v>
      </c>
    </row>
    <row r="284" spans="1:15" ht="30" customHeight="1" x14ac:dyDescent="0.3">
      <c r="A284" s="37" t="s">
        <v>863</v>
      </c>
      <c r="B284" s="38">
        <f>-1.2</f>
        <v>-1.2</v>
      </c>
      <c r="C284" s="41" t="s">
        <v>633</v>
      </c>
      <c r="D284" s="41" t="s">
        <v>1334</v>
      </c>
      <c r="E284" s="42" t="s">
        <v>1414</v>
      </c>
      <c r="F284" s="42" t="s">
        <v>954</v>
      </c>
      <c r="G284" s="42">
        <v>-4.8</v>
      </c>
      <c r="J284" s="39">
        <f t="shared" si="75"/>
        <v>-1</v>
      </c>
      <c r="K284" s="39">
        <f t="shared" si="76"/>
        <v>-0.3</v>
      </c>
      <c r="L284" s="39">
        <f t="shared" si="77"/>
        <v>3.7</v>
      </c>
      <c r="M284" s="43">
        <v>2.4</v>
      </c>
      <c r="O284" s="44">
        <f>VLOOKUP(G284,$B$5:$M$1305,12,)</f>
        <v>-5</v>
      </c>
    </row>
    <row r="285" spans="1:15" ht="30" customHeight="1" x14ac:dyDescent="0.3">
      <c r="A285" s="37" t="s">
        <v>148</v>
      </c>
      <c r="B285" s="38">
        <f>2.8</f>
        <v>2.8</v>
      </c>
      <c r="C285" s="41" t="s">
        <v>640</v>
      </c>
      <c r="D285" s="41" t="s">
        <v>532</v>
      </c>
      <c r="E285" s="42" t="s">
        <v>1484</v>
      </c>
      <c r="F285" s="42" t="s">
        <v>1744</v>
      </c>
      <c r="G285" s="42">
        <v>-10.199999999999999</v>
      </c>
      <c r="J285" s="39">
        <f t="shared" si="75"/>
        <v>-1</v>
      </c>
      <c r="K285" s="39">
        <f t="shared" si="76"/>
        <v>-0.3</v>
      </c>
      <c r="L285" s="39">
        <f t="shared" si="77"/>
        <v>3.7</v>
      </c>
      <c r="M285" s="43">
        <v>2.4</v>
      </c>
      <c r="O285" s="44">
        <f>VLOOKUP(G285,$B$5:$M$1305,12,)</f>
        <v>-3.5</v>
      </c>
    </row>
    <row r="286" spans="1:15" ht="30" customHeight="1" x14ac:dyDescent="0.3">
      <c r="A286" s="37" t="s">
        <v>854</v>
      </c>
      <c r="B286" s="38">
        <f>-7.9</f>
        <v>-7.9</v>
      </c>
      <c r="C286" s="41" t="s">
        <v>1103</v>
      </c>
      <c r="D286" s="41" t="s">
        <v>567</v>
      </c>
      <c r="E286" s="42" t="s">
        <v>1494</v>
      </c>
      <c r="F286" s="42" t="s">
        <v>1748</v>
      </c>
      <c r="G286" s="42">
        <v>-2.4</v>
      </c>
      <c r="J286" s="39">
        <f t="shared" si="75"/>
        <v>0.8</v>
      </c>
      <c r="K286" s="39">
        <f t="shared" si="76"/>
        <v>-3.4</v>
      </c>
      <c r="L286" s="39">
        <f t="shared" si="77"/>
        <v>-3.7</v>
      </c>
      <c r="M286" s="43">
        <v>-6.3</v>
      </c>
      <c r="O286" s="44">
        <f>VLOOKUP(G286,$B$5:$M$1305,12,)</f>
        <v>-1.9</v>
      </c>
    </row>
    <row r="287" spans="1:15" ht="30" customHeight="1" x14ac:dyDescent="0.3">
      <c r="A287" s="37" t="s">
        <v>861</v>
      </c>
      <c r="B287" s="38">
        <f>2.3</f>
        <v>2.2999999999999998</v>
      </c>
      <c r="C287" s="41" t="s">
        <v>1102</v>
      </c>
      <c r="D287" s="41" t="s">
        <v>405</v>
      </c>
      <c r="E287" s="42" t="s">
        <v>1500</v>
      </c>
      <c r="F287" s="42" t="s">
        <v>808</v>
      </c>
      <c r="G287" s="42">
        <v>8.6</v>
      </c>
      <c r="J287" s="39">
        <f t="shared" si="75"/>
        <v>0.8</v>
      </c>
      <c r="K287" s="39">
        <f t="shared" si="76"/>
        <v>-0.3</v>
      </c>
      <c r="L287" s="39">
        <f t="shared" si="77"/>
        <v>3.7</v>
      </c>
      <c r="M287" s="43">
        <v>4.2</v>
      </c>
    </row>
    <row r="288" spans="1:15" ht="30" customHeight="1" x14ac:dyDescent="0.3">
      <c r="B288" s="38" t="s">
        <v>254</v>
      </c>
    </row>
    <row r="289" spans="1:13" ht="30" customHeight="1" x14ac:dyDescent="0.3">
      <c r="B289" s="38" t="s">
        <v>254</v>
      </c>
    </row>
    <row r="290" spans="1:13" ht="30" customHeight="1" x14ac:dyDescent="0.3">
      <c r="B290" s="38" t="s">
        <v>254</v>
      </c>
    </row>
    <row r="291" spans="1:13" ht="30" customHeight="1" x14ac:dyDescent="0.3">
      <c r="B291" s="38" t="s">
        <v>254</v>
      </c>
      <c r="C291" s="39">
        <v>3</v>
      </c>
      <c r="D291" s="39">
        <v>4</v>
      </c>
      <c r="E291" s="39">
        <v>5</v>
      </c>
      <c r="F291" s="39">
        <v>6</v>
      </c>
      <c r="G291" s="39">
        <v>7</v>
      </c>
      <c r="H291" s="39">
        <v>8</v>
      </c>
    </row>
    <row r="292" spans="1:13" ht="30" customHeight="1" x14ac:dyDescent="0.3">
      <c r="A292" s="37" t="s">
        <v>871</v>
      </c>
      <c r="B292" s="38">
        <f>-8.7</f>
        <v>-8.6999999999999993</v>
      </c>
      <c r="C292" s="41" t="s">
        <v>900</v>
      </c>
      <c r="D292" s="41" t="s">
        <v>1105</v>
      </c>
      <c r="E292" s="41" t="s">
        <v>1342</v>
      </c>
      <c r="F292" s="42" t="s">
        <v>1699</v>
      </c>
      <c r="J292" s="39">
        <f t="shared" ref="J292" si="78">LOOKUP(,-SEARCH( $Q$6:$Q$12, D292), $R$6:$R$12 )</f>
        <v>-1</v>
      </c>
      <c r="K292" s="39">
        <f t="shared" ref="K292" si="79">LOOKUP(,-SEARCH( $S$6:$S$12, E292), $T$6:$T$12 )</f>
        <v>-2.2000000000000002</v>
      </c>
      <c r="L292" s="39">
        <f t="shared" ref="L292" si="80">LOOKUP(,-SEARCH( $U$6:$U$12, F292), $V$6:$V$12 )</f>
        <v>1.6</v>
      </c>
      <c r="M292" s="43">
        <v>-1.6</v>
      </c>
    </row>
    <row r="293" spans="1:13" ht="30" customHeight="1" x14ac:dyDescent="0.3">
      <c r="A293" s="37" t="s">
        <v>129</v>
      </c>
      <c r="B293" s="38">
        <f>5.5</f>
        <v>5.5</v>
      </c>
      <c r="C293" s="41" t="s">
        <v>904</v>
      </c>
      <c r="D293" s="41" t="s">
        <v>1085</v>
      </c>
      <c r="E293" s="41" t="s">
        <v>1235</v>
      </c>
      <c r="F293" s="42" t="s">
        <v>1749</v>
      </c>
      <c r="J293" s="39">
        <f t="shared" ref="J293:J313" si="81">LOOKUP(,-SEARCH( $Q$6:$Q$12, D293), $R$6:$R$12 )</f>
        <v>0.8</v>
      </c>
      <c r="K293" s="39">
        <f t="shared" ref="K293:K313" si="82">LOOKUP(,-SEARCH( $S$6:$S$12, E293), $T$6:$T$12 )</f>
        <v>-0.3</v>
      </c>
      <c r="L293" s="39">
        <f t="shared" ref="L293:L313" si="83">LOOKUP(,-SEARCH( $U$6:$U$12, F293), $V$6:$V$12 )</f>
        <v>-3.7</v>
      </c>
      <c r="M293" s="43">
        <v>-3.2</v>
      </c>
    </row>
    <row r="294" spans="1:13" ht="30" customHeight="1" x14ac:dyDescent="0.3">
      <c r="A294" s="37" t="s">
        <v>130</v>
      </c>
      <c r="B294" s="38">
        <f>4.5</f>
        <v>4.5</v>
      </c>
      <c r="C294" s="41" t="s">
        <v>502</v>
      </c>
      <c r="D294" s="41" t="s">
        <v>355</v>
      </c>
      <c r="E294" s="41" t="s">
        <v>524</v>
      </c>
      <c r="F294" s="42" t="s">
        <v>662</v>
      </c>
      <c r="J294" s="39">
        <f t="shared" si="81"/>
        <v>0.8</v>
      </c>
      <c r="K294" s="39">
        <f t="shared" si="82"/>
        <v>-1.2</v>
      </c>
      <c r="L294" s="39">
        <f t="shared" si="83"/>
        <v>3.7</v>
      </c>
      <c r="M294" s="43">
        <v>3.3</v>
      </c>
    </row>
    <row r="295" spans="1:13" ht="30" customHeight="1" x14ac:dyDescent="0.3">
      <c r="A295" s="37" t="s">
        <v>875</v>
      </c>
      <c r="B295" s="38">
        <f>1.9</f>
        <v>1.9</v>
      </c>
      <c r="C295" s="41" t="s">
        <v>359</v>
      </c>
      <c r="D295" s="41" t="s">
        <v>737</v>
      </c>
      <c r="E295" s="41" t="s">
        <v>671</v>
      </c>
      <c r="F295" s="42" t="s">
        <v>1750</v>
      </c>
      <c r="J295" s="39">
        <f t="shared" si="81"/>
        <v>2.1</v>
      </c>
      <c r="K295" s="39">
        <f t="shared" si="82"/>
        <v>-0.3</v>
      </c>
      <c r="L295" s="39">
        <f t="shared" si="83"/>
        <v>-1.6</v>
      </c>
      <c r="M295" s="43">
        <v>0.2</v>
      </c>
    </row>
    <row r="296" spans="1:13" ht="30" customHeight="1" x14ac:dyDescent="0.3">
      <c r="A296" s="37" t="s">
        <v>874</v>
      </c>
      <c r="B296" s="38">
        <f>4.1</f>
        <v>4.0999999999999996</v>
      </c>
      <c r="C296" s="41" t="s">
        <v>357</v>
      </c>
      <c r="D296" s="41" t="s">
        <v>912</v>
      </c>
      <c r="E296" s="41" t="s">
        <v>347</v>
      </c>
      <c r="F296" s="42" t="s">
        <v>1751</v>
      </c>
      <c r="J296" s="39">
        <f t="shared" si="81"/>
        <v>0</v>
      </c>
      <c r="K296" s="39">
        <f t="shared" si="82"/>
        <v>1.2</v>
      </c>
      <c r="L296" s="39">
        <f t="shared" si="83"/>
        <v>-1.6</v>
      </c>
      <c r="M296" s="43">
        <v>-0.4</v>
      </c>
    </row>
    <row r="297" spans="1:13" ht="30" customHeight="1" x14ac:dyDescent="0.3">
      <c r="A297" s="37" t="s">
        <v>870</v>
      </c>
      <c r="B297" s="38">
        <f>4</f>
        <v>4</v>
      </c>
      <c r="C297" s="41" t="s">
        <v>943</v>
      </c>
      <c r="D297" s="41" t="s">
        <v>1106</v>
      </c>
      <c r="E297" s="41" t="s">
        <v>716</v>
      </c>
      <c r="F297" s="42" t="s">
        <v>815</v>
      </c>
      <c r="J297" s="39">
        <f t="shared" si="81"/>
        <v>0</v>
      </c>
      <c r="K297" s="39">
        <f t="shared" si="82"/>
        <v>-1.2</v>
      </c>
      <c r="L297" s="39">
        <f t="shared" si="83"/>
        <v>2.8</v>
      </c>
      <c r="M297" s="43">
        <v>1.6</v>
      </c>
    </row>
    <row r="298" spans="1:13" ht="30" customHeight="1" x14ac:dyDescent="0.3">
      <c r="A298" s="37" t="s">
        <v>139</v>
      </c>
      <c r="B298" s="38">
        <f>8.1</f>
        <v>8.1</v>
      </c>
      <c r="C298" s="41" t="s">
        <v>380</v>
      </c>
      <c r="D298" s="41" t="s">
        <v>1086</v>
      </c>
      <c r="E298" s="41" t="s">
        <v>1341</v>
      </c>
      <c r="F298" s="42" t="s">
        <v>669</v>
      </c>
      <c r="J298" s="39">
        <f t="shared" si="81"/>
        <v>1.4</v>
      </c>
      <c r="K298" s="39">
        <f t="shared" si="82"/>
        <v>-1.2</v>
      </c>
      <c r="L298" s="39">
        <f t="shared" si="83"/>
        <v>0</v>
      </c>
      <c r="M298" s="43">
        <v>0.2</v>
      </c>
    </row>
    <row r="299" spans="1:13" ht="30" customHeight="1" x14ac:dyDescent="0.3">
      <c r="A299" s="37" t="s">
        <v>876</v>
      </c>
      <c r="B299" s="38">
        <f>-6.2</f>
        <v>-6.2</v>
      </c>
      <c r="C299" s="41" t="s">
        <v>903</v>
      </c>
      <c r="D299" s="41" t="s">
        <v>1107</v>
      </c>
      <c r="E299" s="41" t="s">
        <v>1339</v>
      </c>
      <c r="F299" s="42" t="s">
        <v>1752</v>
      </c>
      <c r="J299" s="39">
        <f t="shared" si="81"/>
        <v>-2.1</v>
      </c>
      <c r="K299" s="39">
        <f t="shared" si="82"/>
        <v>2.2000000000000002</v>
      </c>
      <c r="L299" s="39">
        <f t="shared" si="83"/>
        <v>-3</v>
      </c>
      <c r="M299" s="43">
        <v>-2.9</v>
      </c>
    </row>
    <row r="300" spans="1:13" ht="30" customHeight="1" x14ac:dyDescent="0.3">
      <c r="A300" s="37" t="s">
        <v>878</v>
      </c>
      <c r="B300" s="38">
        <f>-4.3</f>
        <v>-4.3</v>
      </c>
      <c r="C300" s="41" t="s">
        <v>333</v>
      </c>
      <c r="D300" s="41" t="s">
        <v>363</v>
      </c>
      <c r="E300" s="41" t="s">
        <v>792</v>
      </c>
      <c r="F300" s="42" t="s">
        <v>1596</v>
      </c>
      <c r="J300" s="39">
        <f t="shared" si="81"/>
        <v>-1</v>
      </c>
      <c r="K300" s="39">
        <f t="shared" si="82"/>
        <v>-0.3</v>
      </c>
      <c r="L300" s="39">
        <f t="shared" si="83"/>
        <v>-1.6</v>
      </c>
      <c r="M300" s="43">
        <v>-2.9</v>
      </c>
    </row>
    <row r="301" spans="1:13" ht="30" customHeight="1" x14ac:dyDescent="0.3">
      <c r="A301" s="37" t="s">
        <v>879</v>
      </c>
      <c r="B301" s="38">
        <f>3.6</f>
        <v>3.6</v>
      </c>
      <c r="C301" s="41" t="s">
        <v>472</v>
      </c>
      <c r="D301" s="41" t="s">
        <v>790</v>
      </c>
      <c r="E301" s="41" t="s">
        <v>1343</v>
      </c>
      <c r="F301" s="42" t="s">
        <v>1753</v>
      </c>
      <c r="J301" s="39">
        <f t="shared" si="81"/>
        <v>0</v>
      </c>
      <c r="K301" s="39">
        <f t="shared" si="82"/>
        <v>1.2</v>
      </c>
      <c r="L301" s="39">
        <f t="shared" si="83"/>
        <v>-3</v>
      </c>
      <c r="M301" s="43">
        <v>-1.8</v>
      </c>
    </row>
    <row r="302" spans="1:13" ht="30" customHeight="1" x14ac:dyDescent="0.3">
      <c r="A302" s="37" t="s">
        <v>136</v>
      </c>
      <c r="B302" s="38">
        <f>3.8</f>
        <v>3.8</v>
      </c>
      <c r="C302" s="41" t="s">
        <v>502</v>
      </c>
      <c r="D302" s="41" t="s">
        <v>913</v>
      </c>
      <c r="E302" s="41" t="s">
        <v>536</v>
      </c>
      <c r="F302" s="42" t="s">
        <v>1598</v>
      </c>
      <c r="J302" s="39">
        <f t="shared" si="81"/>
        <v>0.8</v>
      </c>
      <c r="K302" s="39">
        <f t="shared" si="82"/>
        <v>1.2</v>
      </c>
      <c r="L302" s="39">
        <f t="shared" si="83"/>
        <v>1.6</v>
      </c>
      <c r="M302" s="43">
        <v>3.6</v>
      </c>
    </row>
    <row r="303" spans="1:13" ht="30" customHeight="1" x14ac:dyDescent="0.3">
      <c r="A303" s="37" t="s">
        <v>140</v>
      </c>
      <c r="B303" s="38">
        <f>8.8</f>
        <v>8.8000000000000007</v>
      </c>
      <c r="C303" s="41" t="s">
        <v>347</v>
      </c>
      <c r="D303" s="41" t="s">
        <v>684</v>
      </c>
      <c r="E303" s="41" t="s">
        <v>1344</v>
      </c>
      <c r="F303" s="42" t="s">
        <v>564</v>
      </c>
      <c r="J303" s="39">
        <f t="shared" si="81"/>
        <v>-1</v>
      </c>
      <c r="K303" s="39">
        <f t="shared" si="82"/>
        <v>3.3</v>
      </c>
      <c r="L303" s="39">
        <f t="shared" si="83"/>
        <v>0</v>
      </c>
      <c r="M303" s="43">
        <v>2.2999999999999998</v>
      </c>
    </row>
    <row r="304" spans="1:13" ht="30" customHeight="1" x14ac:dyDescent="0.3">
      <c r="A304" s="37" t="s">
        <v>877</v>
      </c>
      <c r="B304" s="38">
        <f>6.8</f>
        <v>6.8</v>
      </c>
      <c r="C304" s="41" t="s">
        <v>703</v>
      </c>
      <c r="D304" s="41" t="s">
        <v>1104</v>
      </c>
      <c r="E304" s="41" t="s">
        <v>347</v>
      </c>
      <c r="F304" s="42" t="s">
        <v>383</v>
      </c>
      <c r="J304" s="39">
        <f t="shared" si="81"/>
        <v>2.1</v>
      </c>
      <c r="K304" s="39">
        <f t="shared" si="82"/>
        <v>1.2</v>
      </c>
      <c r="L304" s="39">
        <f t="shared" si="83"/>
        <v>0</v>
      </c>
      <c r="M304" s="43">
        <v>3.3</v>
      </c>
    </row>
    <row r="305" spans="1:13" ht="30" customHeight="1" x14ac:dyDescent="0.3">
      <c r="A305" s="37" t="s">
        <v>143</v>
      </c>
      <c r="B305" s="38">
        <f>5.6</f>
        <v>5.6</v>
      </c>
      <c r="C305" s="41" t="s">
        <v>313</v>
      </c>
      <c r="D305" s="41" t="s">
        <v>754</v>
      </c>
      <c r="E305" s="41" t="s">
        <v>783</v>
      </c>
      <c r="F305" s="42" t="s">
        <v>1754</v>
      </c>
      <c r="J305" s="39">
        <f t="shared" si="81"/>
        <v>-2.1</v>
      </c>
      <c r="K305" s="39">
        <f t="shared" si="82"/>
        <v>-0.3</v>
      </c>
      <c r="L305" s="39">
        <f t="shared" si="83"/>
        <v>2.8</v>
      </c>
      <c r="M305" s="43">
        <v>0.4</v>
      </c>
    </row>
    <row r="306" spans="1:13" ht="30" customHeight="1" x14ac:dyDescent="0.3">
      <c r="A306" s="37" t="s">
        <v>873</v>
      </c>
      <c r="B306" s="38">
        <f>2.5</f>
        <v>2.5</v>
      </c>
      <c r="C306" s="41" t="s">
        <v>940</v>
      </c>
      <c r="D306" s="41" t="s">
        <v>1108</v>
      </c>
      <c r="E306" s="41" t="s">
        <v>1026</v>
      </c>
      <c r="F306" s="42" t="s">
        <v>1757</v>
      </c>
      <c r="J306" s="39">
        <f t="shared" si="81"/>
        <v>0</v>
      </c>
      <c r="K306" s="39">
        <f t="shared" si="82"/>
        <v>1.2</v>
      </c>
      <c r="L306" s="39">
        <f t="shared" si="83"/>
        <v>-1.6</v>
      </c>
      <c r="M306" s="43">
        <v>-0.4</v>
      </c>
    </row>
    <row r="307" spans="1:13" ht="30" customHeight="1" x14ac:dyDescent="0.3">
      <c r="A307" s="37" t="s">
        <v>869</v>
      </c>
      <c r="B307" s="38">
        <f>3.6</f>
        <v>3.6</v>
      </c>
      <c r="C307" s="41" t="s">
        <v>647</v>
      </c>
      <c r="D307" s="41" t="s">
        <v>1145</v>
      </c>
      <c r="E307" s="41" t="s">
        <v>742</v>
      </c>
      <c r="F307" s="42" t="s">
        <v>665</v>
      </c>
      <c r="J307" s="39">
        <f t="shared" si="81"/>
        <v>0.8</v>
      </c>
      <c r="K307" s="39">
        <f t="shared" si="82"/>
        <v>-0.3</v>
      </c>
      <c r="L307" s="39">
        <f t="shared" si="83"/>
        <v>0</v>
      </c>
      <c r="M307" s="43">
        <v>0.5</v>
      </c>
    </row>
    <row r="308" spans="1:13" ht="30" customHeight="1" x14ac:dyDescent="0.3">
      <c r="A308" s="37" t="s">
        <v>144</v>
      </c>
      <c r="B308" s="38">
        <f>-4</f>
        <v>-4</v>
      </c>
      <c r="C308" s="41" t="s">
        <v>325</v>
      </c>
      <c r="D308" s="41" t="s">
        <v>534</v>
      </c>
      <c r="E308" s="41" t="s">
        <v>899</v>
      </c>
      <c r="F308" s="42" t="s">
        <v>1698</v>
      </c>
      <c r="J308" s="39">
        <f t="shared" si="81"/>
        <v>-1</v>
      </c>
      <c r="K308" s="39">
        <f t="shared" si="82"/>
        <v>-1.2</v>
      </c>
      <c r="L308" s="39">
        <f t="shared" si="83"/>
        <v>0</v>
      </c>
      <c r="M308" s="43">
        <v>-2.2000000000000002</v>
      </c>
    </row>
    <row r="309" spans="1:13" ht="30" customHeight="1" x14ac:dyDescent="0.3">
      <c r="A309" s="37" t="s">
        <v>145</v>
      </c>
      <c r="B309" s="38">
        <f>-6.8</f>
        <v>-6.8</v>
      </c>
      <c r="C309" s="41" t="s">
        <v>312</v>
      </c>
      <c r="D309" s="41" t="s">
        <v>792</v>
      </c>
      <c r="E309" s="41" t="s">
        <v>687</v>
      </c>
      <c r="F309" s="42" t="s">
        <v>1756</v>
      </c>
      <c r="J309" s="39">
        <f t="shared" si="81"/>
        <v>0</v>
      </c>
      <c r="K309" s="39">
        <f t="shared" si="82"/>
        <v>-0.3</v>
      </c>
      <c r="L309" s="39">
        <f t="shared" si="83"/>
        <v>-3.7</v>
      </c>
      <c r="M309" s="43">
        <v>-4</v>
      </c>
    </row>
    <row r="310" spans="1:13" ht="30" customHeight="1" x14ac:dyDescent="0.3">
      <c r="A310" s="37" t="s">
        <v>162</v>
      </c>
      <c r="B310" s="38">
        <f>8.1</f>
        <v>8.1</v>
      </c>
      <c r="C310" s="41" t="s">
        <v>941</v>
      </c>
      <c r="D310" s="41" t="s">
        <v>1109</v>
      </c>
      <c r="E310" s="41" t="s">
        <v>1103</v>
      </c>
      <c r="F310" s="42" t="s">
        <v>1141</v>
      </c>
      <c r="J310" s="39">
        <f t="shared" si="81"/>
        <v>0</v>
      </c>
      <c r="K310" s="39">
        <f t="shared" si="82"/>
        <v>-3.4</v>
      </c>
      <c r="L310" s="39">
        <f t="shared" si="83"/>
        <v>1.6</v>
      </c>
      <c r="M310" s="43">
        <v>-1.8</v>
      </c>
    </row>
    <row r="311" spans="1:13" ht="30" customHeight="1" x14ac:dyDescent="0.3">
      <c r="A311" s="37" t="s">
        <v>146</v>
      </c>
      <c r="B311" s="38">
        <f>5</f>
        <v>5</v>
      </c>
      <c r="C311" s="41" t="s">
        <v>939</v>
      </c>
      <c r="D311" s="41" t="s">
        <v>814</v>
      </c>
      <c r="E311" s="41" t="s">
        <v>1340</v>
      </c>
      <c r="F311" s="42" t="s">
        <v>1755</v>
      </c>
      <c r="J311" s="39">
        <f t="shared" si="81"/>
        <v>0</v>
      </c>
      <c r="K311" s="39">
        <f t="shared" si="82"/>
        <v>-2.2000000000000002</v>
      </c>
      <c r="L311" s="39">
        <f t="shared" si="83"/>
        <v>3.7</v>
      </c>
      <c r="M311" s="43">
        <v>1.5</v>
      </c>
    </row>
    <row r="312" spans="1:13" ht="30" customHeight="1" x14ac:dyDescent="0.3">
      <c r="A312" s="37" t="s">
        <v>149</v>
      </c>
      <c r="B312" s="38">
        <f>2</f>
        <v>2</v>
      </c>
      <c r="C312" s="41" t="s">
        <v>443</v>
      </c>
      <c r="D312" s="41" t="s">
        <v>1110</v>
      </c>
      <c r="E312" s="41" t="s">
        <v>998</v>
      </c>
      <c r="F312" s="42" t="s">
        <v>1618</v>
      </c>
      <c r="J312" s="39">
        <f t="shared" si="81"/>
        <v>0</v>
      </c>
      <c r="K312" s="39">
        <f t="shared" si="82"/>
        <v>-1.2</v>
      </c>
      <c r="L312" s="39">
        <f t="shared" si="83"/>
        <v>1.6</v>
      </c>
      <c r="M312" s="43">
        <v>0.4</v>
      </c>
    </row>
    <row r="313" spans="1:13" ht="30" customHeight="1" x14ac:dyDescent="0.3">
      <c r="A313" s="37" t="s">
        <v>872</v>
      </c>
      <c r="B313" s="38">
        <f>-4.4</f>
        <v>-4.4000000000000004</v>
      </c>
      <c r="C313" s="41" t="s">
        <v>942</v>
      </c>
      <c r="D313" s="41" t="s">
        <v>1111</v>
      </c>
      <c r="E313" s="41" t="s">
        <v>556</v>
      </c>
      <c r="F313" s="42" t="s">
        <v>595</v>
      </c>
      <c r="J313" s="39">
        <f t="shared" si="81"/>
        <v>-1.4</v>
      </c>
      <c r="K313" s="39">
        <f t="shared" si="82"/>
        <v>2.2000000000000002</v>
      </c>
      <c r="L313" s="39">
        <f t="shared" si="83"/>
        <v>0</v>
      </c>
      <c r="M313" s="43">
        <v>0.8</v>
      </c>
    </row>
    <row r="314" spans="1:13" ht="30" customHeight="1" x14ac:dyDescent="0.3">
      <c r="B314" s="38" t="s">
        <v>254</v>
      </c>
    </row>
    <row r="315" spans="1:13" ht="30" customHeight="1" x14ac:dyDescent="0.3">
      <c r="B315" s="38" t="s">
        <v>254</v>
      </c>
    </row>
    <row r="316" spans="1:13" ht="30" customHeight="1" x14ac:dyDescent="0.3">
      <c r="B316" s="38" t="s">
        <v>254</v>
      </c>
    </row>
    <row r="317" spans="1:13" ht="30" customHeight="1" x14ac:dyDescent="0.3">
      <c r="B317" s="38" t="s">
        <v>254</v>
      </c>
      <c r="C317" s="39">
        <v>2</v>
      </c>
      <c r="D317" s="39">
        <v>3</v>
      </c>
      <c r="E317" s="39">
        <v>4</v>
      </c>
      <c r="F317" s="39">
        <v>5</v>
      </c>
      <c r="G317" s="39">
        <v>6</v>
      </c>
      <c r="H317" s="39">
        <v>7</v>
      </c>
    </row>
    <row r="318" spans="1:13" ht="30" customHeight="1" x14ac:dyDescent="0.3">
      <c r="A318" s="37" t="s">
        <v>892</v>
      </c>
      <c r="B318" s="38">
        <f>2.9</f>
        <v>2.9</v>
      </c>
      <c r="C318" s="41" t="s">
        <v>904</v>
      </c>
      <c r="D318" s="41" t="s">
        <v>504</v>
      </c>
      <c r="E318" s="42" t="s">
        <v>1505</v>
      </c>
      <c r="F318" s="42" t="s">
        <v>441</v>
      </c>
      <c r="G318" s="42">
        <v>20.100000000000001</v>
      </c>
      <c r="J318" s="39">
        <f t="shared" ref="J318" si="84">LOOKUP(,-SEARCH( $Q$6:$Q$12, D318), $R$6:$R$12 )</f>
        <v>0</v>
      </c>
      <c r="K318" s="39">
        <f t="shared" ref="K318" si="85">LOOKUP(,-SEARCH( $S$6:$S$12, E318), $T$6:$T$12 )</f>
        <v>3.3</v>
      </c>
      <c r="L318" s="39">
        <f t="shared" ref="L318" si="86">LOOKUP(,-SEARCH( $U$6:$U$12, F318), $V$6:$V$12 )</f>
        <v>0</v>
      </c>
      <c r="M318" s="43">
        <v>3.3</v>
      </c>
    </row>
    <row r="319" spans="1:13" ht="30" customHeight="1" x14ac:dyDescent="0.3">
      <c r="A319" s="37" t="s">
        <v>108</v>
      </c>
      <c r="B319" s="38">
        <f>-19.6</f>
        <v>-19.600000000000001</v>
      </c>
      <c r="C319" s="41" t="s">
        <v>812</v>
      </c>
      <c r="D319" s="41" t="s">
        <v>1345</v>
      </c>
      <c r="E319" s="42" t="s">
        <v>1510</v>
      </c>
      <c r="F319" s="42" t="s">
        <v>1759</v>
      </c>
      <c r="G319" s="42">
        <v>17</v>
      </c>
      <c r="J319" s="39">
        <f t="shared" ref="J319:J337" si="87">LOOKUP(,-SEARCH( $Q$6:$Q$12, D319), $R$6:$R$12 )</f>
        <v>-2.1</v>
      </c>
      <c r="K319" s="39">
        <f t="shared" ref="K319:K337" si="88">LOOKUP(,-SEARCH( $S$6:$S$12, E319), $T$6:$T$12 )</f>
        <v>-3.4</v>
      </c>
      <c r="L319" s="39">
        <f t="shared" ref="L319:L337" si="89">LOOKUP(,-SEARCH( $U$6:$U$12, F319), $V$6:$V$12 )</f>
        <v>-3</v>
      </c>
      <c r="M319" s="43">
        <v>-8.5</v>
      </c>
    </row>
    <row r="320" spans="1:13" ht="30" customHeight="1" x14ac:dyDescent="0.3">
      <c r="A320" s="37" t="s">
        <v>880</v>
      </c>
      <c r="B320" s="38">
        <f>1.6</f>
        <v>1.6</v>
      </c>
      <c r="C320" s="41" t="s">
        <v>1112</v>
      </c>
      <c r="D320" s="41" t="s">
        <v>1355</v>
      </c>
      <c r="E320" s="42" t="s">
        <v>682</v>
      </c>
      <c r="F320" s="42" t="s">
        <v>674</v>
      </c>
      <c r="G320" s="42">
        <v>-10.3</v>
      </c>
      <c r="J320" s="39">
        <f t="shared" si="87"/>
        <v>-1</v>
      </c>
      <c r="K320" s="39">
        <f t="shared" si="88"/>
        <v>-0.3</v>
      </c>
      <c r="L320" s="39">
        <f t="shared" si="89"/>
        <v>1.6</v>
      </c>
      <c r="M320" s="43">
        <v>0.3</v>
      </c>
    </row>
    <row r="321" spans="1:13" ht="30" customHeight="1" x14ac:dyDescent="0.3">
      <c r="A321" s="37" t="s">
        <v>894</v>
      </c>
      <c r="B321" s="38">
        <f>-12.3</f>
        <v>-12.3</v>
      </c>
      <c r="C321" s="41" t="s">
        <v>1115</v>
      </c>
      <c r="D321" s="41" t="s">
        <v>1354</v>
      </c>
      <c r="E321" s="42" t="s">
        <v>564</v>
      </c>
      <c r="F321" s="42" t="s">
        <v>527</v>
      </c>
      <c r="G321" s="42">
        <v>8.1</v>
      </c>
      <c r="J321" s="39">
        <f t="shared" si="87"/>
        <v>-2.1</v>
      </c>
      <c r="K321" s="39">
        <f t="shared" si="88"/>
        <v>-0.3</v>
      </c>
      <c r="L321" s="39">
        <f t="shared" si="89"/>
        <v>-3.7</v>
      </c>
      <c r="M321" s="43">
        <v>-6.1</v>
      </c>
    </row>
    <row r="322" spans="1:13" ht="30" customHeight="1" x14ac:dyDescent="0.3">
      <c r="A322" s="37" t="s">
        <v>889</v>
      </c>
      <c r="B322" s="38">
        <f>-10.3</f>
        <v>-10.3</v>
      </c>
      <c r="C322" s="41" t="s">
        <v>335</v>
      </c>
      <c r="D322" s="41" t="s">
        <v>540</v>
      </c>
      <c r="E322" s="42" t="s">
        <v>734</v>
      </c>
      <c r="F322" s="42" t="s">
        <v>1758</v>
      </c>
      <c r="G322" s="42">
        <v>1.6</v>
      </c>
      <c r="J322" s="39">
        <f t="shared" si="87"/>
        <v>-1</v>
      </c>
      <c r="K322" s="39">
        <f t="shared" si="88"/>
        <v>-0.3</v>
      </c>
      <c r="L322" s="39">
        <f t="shared" si="89"/>
        <v>-1.6</v>
      </c>
      <c r="M322" s="43">
        <v>-2.9</v>
      </c>
    </row>
    <row r="323" spans="1:13" ht="30" customHeight="1" x14ac:dyDescent="0.3">
      <c r="A323" s="37" t="s">
        <v>882</v>
      </c>
      <c r="B323" s="38">
        <f>17</f>
        <v>17</v>
      </c>
      <c r="C323" s="41" t="s">
        <v>807</v>
      </c>
      <c r="D323" s="41" t="s">
        <v>1357</v>
      </c>
      <c r="E323" s="42" t="s">
        <v>758</v>
      </c>
      <c r="F323" s="42" t="s">
        <v>1336</v>
      </c>
      <c r="G323" s="42">
        <v>-19.600000000000001</v>
      </c>
      <c r="J323" s="39">
        <f t="shared" si="87"/>
        <v>1.4</v>
      </c>
      <c r="K323" s="39">
        <f t="shared" si="88"/>
        <v>-0.3</v>
      </c>
      <c r="L323" s="39">
        <f t="shared" si="89"/>
        <v>1.6</v>
      </c>
      <c r="M323" s="43">
        <v>2.7</v>
      </c>
    </row>
    <row r="324" spans="1:13" ht="30" customHeight="1" x14ac:dyDescent="0.3">
      <c r="A324" s="37" t="s">
        <v>897</v>
      </c>
      <c r="B324" s="38">
        <f>-6.7</f>
        <v>-6.7</v>
      </c>
      <c r="C324" s="41" t="s">
        <v>904</v>
      </c>
      <c r="D324" s="41" t="s">
        <v>1349</v>
      </c>
      <c r="E324" s="42" t="s">
        <v>515</v>
      </c>
      <c r="F324" s="42" t="s">
        <v>970</v>
      </c>
      <c r="G324" s="42">
        <v>20.100000000000001</v>
      </c>
      <c r="J324" s="39">
        <f t="shared" si="87"/>
        <v>1.4</v>
      </c>
      <c r="K324" s="39">
        <f t="shared" si="88"/>
        <v>-1.2</v>
      </c>
      <c r="L324" s="39">
        <f t="shared" si="89"/>
        <v>-3</v>
      </c>
      <c r="M324" s="43">
        <v>-2.8</v>
      </c>
    </row>
    <row r="325" spans="1:13" ht="30" customHeight="1" x14ac:dyDescent="0.3">
      <c r="A325" s="37" t="s">
        <v>884</v>
      </c>
      <c r="B325" s="38">
        <f>-9.2</f>
        <v>-9.1999999999999993</v>
      </c>
      <c r="C325" s="41" t="s">
        <v>1114</v>
      </c>
      <c r="D325" s="41" t="s">
        <v>1356</v>
      </c>
      <c r="E325" s="42" t="s">
        <v>1506</v>
      </c>
      <c r="F325" s="42" t="s">
        <v>1760</v>
      </c>
      <c r="G325" s="42">
        <v>-11.8</v>
      </c>
      <c r="J325" s="39">
        <f t="shared" si="87"/>
        <v>-1.4</v>
      </c>
      <c r="K325" s="39">
        <f t="shared" si="88"/>
        <v>-3.4</v>
      </c>
      <c r="L325" s="39">
        <f t="shared" si="89"/>
        <v>2.8</v>
      </c>
      <c r="M325" s="43">
        <v>-2</v>
      </c>
    </row>
    <row r="326" spans="1:13" ht="30" customHeight="1" x14ac:dyDescent="0.3">
      <c r="A326" s="37" t="s">
        <v>891</v>
      </c>
      <c r="B326" s="38">
        <f>1.7</f>
        <v>1.7</v>
      </c>
      <c r="C326" s="41" t="s">
        <v>1118</v>
      </c>
      <c r="D326" s="41" t="s">
        <v>555</v>
      </c>
      <c r="E326" s="42" t="s">
        <v>1361</v>
      </c>
      <c r="F326" s="42" t="s">
        <v>631</v>
      </c>
      <c r="G326" s="42">
        <v>-1.9</v>
      </c>
      <c r="J326" s="39">
        <f t="shared" si="87"/>
        <v>0</v>
      </c>
      <c r="K326" s="39">
        <f t="shared" si="88"/>
        <v>-0.3</v>
      </c>
      <c r="L326" s="39">
        <f t="shared" si="89"/>
        <v>2.8</v>
      </c>
      <c r="M326" s="43">
        <v>2.5</v>
      </c>
    </row>
    <row r="327" spans="1:13" ht="30" customHeight="1" x14ac:dyDescent="0.3">
      <c r="A327" s="37" t="s">
        <v>886</v>
      </c>
      <c r="B327" s="38">
        <f>10.7</f>
        <v>10.7</v>
      </c>
      <c r="C327" s="41" t="s">
        <v>1113</v>
      </c>
      <c r="D327" s="41" t="s">
        <v>364</v>
      </c>
      <c r="E327" s="42" t="s">
        <v>1508</v>
      </c>
      <c r="F327" s="42" t="s">
        <v>717</v>
      </c>
      <c r="G327" s="42">
        <v>-8.6999999999999993</v>
      </c>
      <c r="J327" s="39">
        <f t="shared" si="87"/>
        <v>0.8</v>
      </c>
      <c r="K327" s="39">
        <f t="shared" si="88"/>
        <v>-3.4</v>
      </c>
      <c r="L327" s="39">
        <f t="shared" si="89"/>
        <v>3.7</v>
      </c>
      <c r="M327" s="43">
        <v>1.1000000000000001</v>
      </c>
    </row>
    <row r="328" spans="1:13" ht="30" customHeight="1" x14ac:dyDescent="0.3">
      <c r="A328" s="37" t="s">
        <v>885</v>
      </c>
      <c r="B328" s="38">
        <f>2.8</f>
        <v>2.8</v>
      </c>
      <c r="C328" s="41" t="s">
        <v>361</v>
      </c>
      <c r="D328" s="41" t="s">
        <v>744</v>
      </c>
      <c r="E328" s="42" t="s">
        <v>1008</v>
      </c>
      <c r="F328" s="42" t="s">
        <v>1761</v>
      </c>
      <c r="G328" s="42">
        <v>10</v>
      </c>
      <c r="J328" s="39">
        <f t="shared" si="87"/>
        <v>0.8</v>
      </c>
      <c r="K328" s="39">
        <f t="shared" si="88"/>
        <v>2.2000000000000002</v>
      </c>
      <c r="L328" s="39">
        <f t="shared" si="89"/>
        <v>-3</v>
      </c>
      <c r="M328" s="43">
        <v>0</v>
      </c>
    </row>
    <row r="329" spans="1:13" ht="30" customHeight="1" x14ac:dyDescent="0.3">
      <c r="A329" s="37" t="s">
        <v>895</v>
      </c>
      <c r="B329" s="38">
        <f>20.1</f>
        <v>20.100000000000001</v>
      </c>
      <c r="C329" s="41" t="s">
        <v>636</v>
      </c>
      <c r="D329" s="41" t="s">
        <v>1346</v>
      </c>
      <c r="E329" s="42" t="s">
        <v>1509</v>
      </c>
      <c r="F329" s="42" t="s">
        <v>1449</v>
      </c>
      <c r="G329" s="42">
        <v>-6.7</v>
      </c>
      <c r="J329" s="39">
        <f t="shared" si="87"/>
        <v>2.1</v>
      </c>
      <c r="K329" s="39">
        <f t="shared" si="88"/>
        <v>3.3</v>
      </c>
      <c r="L329" s="39">
        <f t="shared" si="89"/>
        <v>1.6</v>
      </c>
      <c r="M329" s="43">
        <v>7</v>
      </c>
    </row>
    <row r="330" spans="1:13" ht="30" customHeight="1" x14ac:dyDescent="0.3">
      <c r="A330" s="37" t="s">
        <v>893</v>
      </c>
      <c r="B330" s="38">
        <f>10</f>
        <v>10</v>
      </c>
      <c r="C330" s="41" t="s">
        <v>632</v>
      </c>
      <c r="D330" s="41" t="s">
        <v>1353</v>
      </c>
      <c r="E330" s="42" t="s">
        <v>1511</v>
      </c>
      <c r="F330" s="42" t="s">
        <v>749</v>
      </c>
      <c r="G330" s="42">
        <v>2.8</v>
      </c>
      <c r="J330" s="39">
        <f t="shared" si="87"/>
        <v>2.1</v>
      </c>
      <c r="K330" s="39">
        <f t="shared" si="88"/>
        <v>3.3</v>
      </c>
      <c r="L330" s="39">
        <f t="shared" si="89"/>
        <v>2.8</v>
      </c>
      <c r="M330" s="43">
        <v>8.1999999999999993</v>
      </c>
    </row>
    <row r="331" spans="1:13" ht="30" customHeight="1" x14ac:dyDescent="0.3">
      <c r="A331" s="37" t="s">
        <v>887</v>
      </c>
      <c r="B331" s="38">
        <f>11.3</f>
        <v>11.3</v>
      </c>
      <c r="C331" s="41" t="s">
        <v>898</v>
      </c>
      <c r="D331" s="41" t="s">
        <v>1209</v>
      </c>
      <c r="E331" s="42" t="s">
        <v>1507</v>
      </c>
      <c r="F331" s="42" t="s">
        <v>642</v>
      </c>
      <c r="G331" s="42">
        <v>-12.4</v>
      </c>
      <c r="J331" s="39">
        <f t="shared" si="87"/>
        <v>0</v>
      </c>
      <c r="K331" s="39">
        <f t="shared" si="88"/>
        <v>-0.3</v>
      </c>
      <c r="L331" s="39">
        <f t="shared" si="89"/>
        <v>2.8</v>
      </c>
      <c r="M331" s="43">
        <v>2.5</v>
      </c>
    </row>
    <row r="332" spans="1:13" ht="30" customHeight="1" x14ac:dyDescent="0.3">
      <c r="A332" s="37" t="s">
        <v>888</v>
      </c>
      <c r="B332" s="38">
        <f>-8.7</f>
        <v>-8.6999999999999993</v>
      </c>
      <c r="C332" s="41" t="s">
        <v>1114</v>
      </c>
      <c r="D332" s="41" t="s">
        <v>1352</v>
      </c>
      <c r="E332" s="42" t="s">
        <v>1499</v>
      </c>
      <c r="F332" s="42" t="s">
        <v>476</v>
      </c>
      <c r="G332" s="42">
        <v>10.7</v>
      </c>
      <c r="J332" s="39">
        <f t="shared" si="87"/>
        <v>-1.4</v>
      </c>
      <c r="K332" s="39">
        <f t="shared" si="88"/>
        <v>1.2</v>
      </c>
      <c r="L332" s="39">
        <f t="shared" si="89"/>
        <v>-1.6</v>
      </c>
      <c r="M332" s="43">
        <v>-1.8</v>
      </c>
    </row>
    <row r="333" spans="1:13" ht="30" customHeight="1" x14ac:dyDescent="0.3">
      <c r="A333" s="37" t="s">
        <v>120</v>
      </c>
      <c r="B333" s="38">
        <f>-11.8</f>
        <v>-11.8</v>
      </c>
      <c r="C333" s="41" t="s">
        <v>1116</v>
      </c>
      <c r="D333" s="41" t="s">
        <v>1350</v>
      </c>
      <c r="E333" s="42" t="s">
        <v>781</v>
      </c>
      <c r="F333" s="42" t="s">
        <v>1764</v>
      </c>
      <c r="G333" s="42">
        <v>-9.1999999999999993</v>
      </c>
      <c r="J333" s="39">
        <f t="shared" si="87"/>
        <v>-1.4</v>
      </c>
      <c r="K333" s="39">
        <f t="shared" si="88"/>
        <v>-2.2000000000000002</v>
      </c>
      <c r="L333" s="39">
        <f t="shared" si="89"/>
        <v>-1.6</v>
      </c>
      <c r="M333" s="43">
        <v>-5.2</v>
      </c>
    </row>
    <row r="334" spans="1:13" ht="30" customHeight="1" x14ac:dyDescent="0.3">
      <c r="A334" s="37" t="s">
        <v>881</v>
      </c>
      <c r="B334" s="38">
        <f>8.1</f>
        <v>8.1</v>
      </c>
      <c r="C334" s="41" t="s">
        <v>778</v>
      </c>
      <c r="D334" s="41" t="s">
        <v>1348</v>
      </c>
      <c r="E334" s="42" t="s">
        <v>1324</v>
      </c>
      <c r="F334" s="42" t="s">
        <v>1762</v>
      </c>
      <c r="G334" s="42">
        <v>-12.3</v>
      </c>
      <c r="J334" s="39">
        <f t="shared" si="87"/>
        <v>0</v>
      </c>
      <c r="K334" s="39">
        <f t="shared" si="88"/>
        <v>1.2</v>
      </c>
      <c r="L334" s="39">
        <f t="shared" si="89"/>
        <v>-3.7</v>
      </c>
      <c r="M334" s="43">
        <v>-2.5</v>
      </c>
    </row>
    <row r="335" spans="1:13" ht="30" customHeight="1" x14ac:dyDescent="0.3">
      <c r="A335" s="37" t="s">
        <v>890</v>
      </c>
      <c r="B335" s="38">
        <f>-12.4</f>
        <v>-12.4</v>
      </c>
      <c r="C335" s="41" t="s">
        <v>380</v>
      </c>
      <c r="D335" s="41" t="s">
        <v>1347</v>
      </c>
      <c r="E335" s="42" t="s">
        <v>1481</v>
      </c>
      <c r="F335" s="42" t="s">
        <v>1236</v>
      </c>
      <c r="G335" s="42">
        <v>11.3</v>
      </c>
      <c r="J335" s="39">
        <f t="shared" si="87"/>
        <v>-1</v>
      </c>
      <c r="K335" s="39">
        <f t="shared" si="88"/>
        <v>-1.2</v>
      </c>
      <c r="L335" s="39">
        <f t="shared" si="89"/>
        <v>-3</v>
      </c>
      <c r="M335" s="43">
        <v>-5.2</v>
      </c>
    </row>
    <row r="336" spans="1:13" ht="30" customHeight="1" x14ac:dyDescent="0.3">
      <c r="A336" s="37" t="s">
        <v>883</v>
      </c>
      <c r="B336" s="38">
        <f>-1.9</f>
        <v>-1.9</v>
      </c>
      <c r="C336" s="41" t="s">
        <v>704</v>
      </c>
      <c r="D336" s="41" t="s">
        <v>655</v>
      </c>
      <c r="E336" s="42" t="s">
        <v>1124</v>
      </c>
      <c r="F336" s="42" t="s">
        <v>915</v>
      </c>
      <c r="G336" s="42">
        <v>1.7</v>
      </c>
      <c r="J336" s="39">
        <f t="shared" si="87"/>
        <v>0.8</v>
      </c>
      <c r="K336" s="39">
        <f t="shared" si="88"/>
        <v>-1.2</v>
      </c>
      <c r="L336" s="39">
        <f t="shared" si="89"/>
        <v>0</v>
      </c>
      <c r="M336" s="43">
        <v>-0.4</v>
      </c>
    </row>
    <row r="337" spans="1:13" ht="30" customHeight="1" x14ac:dyDescent="0.3">
      <c r="A337" s="37" t="s">
        <v>896</v>
      </c>
      <c r="B337" s="38">
        <f>20.1</f>
        <v>20.100000000000001</v>
      </c>
      <c r="C337" s="41" t="s">
        <v>1117</v>
      </c>
      <c r="D337" s="41" t="s">
        <v>1351</v>
      </c>
      <c r="E337" s="42" t="s">
        <v>1237</v>
      </c>
      <c r="F337" s="42" t="s">
        <v>1763</v>
      </c>
      <c r="G337" s="42">
        <v>2.9</v>
      </c>
      <c r="J337" s="39">
        <f t="shared" si="87"/>
        <v>1.4</v>
      </c>
      <c r="K337" s="39">
        <f t="shared" si="88"/>
        <v>1.2</v>
      </c>
      <c r="L337" s="39">
        <f t="shared" si="89"/>
        <v>3.7</v>
      </c>
      <c r="M337" s="43">
        <v>6.3</v>
      </c>
    </row>
    <row r="338" spans="1:13" ht="30" customHeight="1" x14ac:dyDescent="0.3">
      <c r="B338" s="38" t="s">
        <v>254</v>
      </c>
    </row>
    <row r="339" spans="1:13" ht="30" customHeight="1" x14ac:dyDescent="0.3">
      <c r="B339" s="38" t="s">
        <v>254</v>
      </c>
      <c r="C339" s="39">
        <v>14</v>
      </c>
      <c r="D339" s="39">
        <v>15</v>
      </c>
      <c r="E339" s="39">
        <v>16</v>
      </c>
      <c r="F339" s="39">
        <v>17</v>
      </c>
      <c r="G339" s="39">
        <v>18</v>
      </c>
    </row>
    <row r="340" spans="1:13" ht="30" customHeight="1" x14ac:dyDescent="0.3">
      <c r="A340" s="37" t="s">
        <v>386</v>
      </c>
      <c r="B340" s="38">
        <f>-58.2</f>
        <v>-58.2</v>
      </c>
      <c r="C340" s="41" t="s">
        <v>766</v>
      </c>
      <c r="D340" s="41" t="s">
        <v>1050</v>
      </c>
      <c r="E340" s="41" t="s">
        <v>1394</v>
      </c>
      <c r="F340" s="42" t="s">
        <v>1799</v>
      </c>
      <c r="G340" s="51">
        <v>-0.5</v>
      </c>
      <c r="J340" s="39">
        <f t="shared" ref="J340" si="90">LOOKUP(,-SEARCH( $Q$6:$Q$12, D340), $R$6:$R$12 )</f>
        <v>0</v>
      </c>
      <c r="K340" s="39">
        <f t="shared" ref="K340" si="91">LOOKUP(,-SEARCH( $S$6:$S$12, E340), $T$6:$T$12 )</f>
        <v>-2.2000000000000002</v>
      </c>
      <c r="L340" s="39">
        <f t="shared" ref="L340" si="92">LOOKUP(,-SEARCH( $U$6:$U$12, F340), $V$6:$V$12 )</f>
        <v>0</v>
      </c>
      <c r="M340" s="43">
        <v>-2.2000000000000002</v>
      </c>
    </row>
    <row r="341" spans="1:13" ht="30" customHeight="1" x14ac:dyDescent="0.3">
      <c r="A341" s="37" t="s">
        <v>387</v>
      </c>
      <c r="B341" s="38">
        <f>-0.5</f>
        <v>-0.5</v>
      </c>
      <c r="C341" s="41" t="s">
        <v>774</v>
      </c>
      <c r="D341" s="41" t="s">
        <v>1048</v>
      </c>
      <c r="E341" s="41" t="s">
        <v>1395</v>
      </c>
      <c r="F341" s="42" t="s">
        <v>1789</v>
      </c>
      <c r="G341" s="51">
        <v>14.5</v>
      </c>
      <c r="J341" s="39">
        <f t="shared" ref="J341:J357" si="93">LOOKUP(,-SEARCH( $Q$6:$Q$12, D341), $R$6:$R$12 )</f>
        <v>2.1</v>
      </c>
      <c r="K341" s="39">
        <f t="shared" ref="K341:K357" si="94">LOOKUP(,-SEARCH( $S$6:$S$12, E341), $T$6:$T$12 )</f>
        <v>-1.2</v>
      </c>
      <c r="L341" s="39">
        <f t="shared" ref="L341:L357" si="95">LOOKUP(,-SEARCH( $U$6:$U$12, F341), $V$6:$V$12 )</f>
        <v>3.7</v>
      </c>
      <c r="M341" s="43">
        <v>4.5999999999999996</v>
      </c>
    </row>
    <row r="342" spans="1:13" ht="30" customHeight="1" x14ac:dyDescent="0.3">
      <c r="A342" s="37" t="s">
        <v>388</v>
      </c>
      <c r="B342" s="38">
        <f>15.4</f>
        <v>15.4</v>
      </c>
      <c r="C342" s="41" t="s">
        <v>770</v>
      </c>
      <c r="D342" s="41" t="s">
        <v>1052</v>
      </c>
      <c r="E342" s="41" t="s">
        <v>1396</v>
      </c>
      <c r="F342" s="42" t="s">
        <v>1787</v>
      </c>
      <c r="G342" s="51">
        <v>36.6</v>
      </c>
      <c r="J342" s="39">
        <f t="shared" si="93"/>
        <v>-1</v>
      </c>
      <c r="K342" s="39">
        <f t="shared" si="94"/>
        <v>-0.3</v>
      </c>
      <c r="L342" s="39">
        <f t="shared" si="95"/>
        <v>-1.6</v>
      </c>
      <c r="M342" s="43">
        <v>-2.9</v>
      </c>
    </row>
    <row r="343" spans="1:13" ht="30" customHeight="1" x14ac:dyDescent="0.3">
      <c r="A343" s="37" t="s">
        <v>389</v>
      </c>
      <c r="B343" s="38">
        <f>35.9</f>
        <v>35.9</v>
      </c>
      <c r="C343" s="41" t="s">
        <v>364</v>
      </c>
      <c r="D343" s="41" t="s">
        <v>1063</v>
      </c>
      <c r="E343" s="41" t="s">
        <v>1397</v>
      </c>
      <c r="F343" s="42" t="s">
        <v>1793</v>
      </c>
      <c r="G343" s="42">
        <v>5.0999999999999996</v>
      </c>
      <c r="J343" s="39">
        <f t="shared" si="93"/>
        <v>-1</v>
      </c>
      <c r="K343" s="39">
        <f t="shared" si="94"/>
        <v>-0.3</v>
      </c>
      <c r="L343" s="39">
        <f t="shared" si="95"/>
        <v>1.6</v>
      </c>
      <c r="M343" s="43">
        <v>0.3</v>
      </c>
    </row>
    <row r="344" spans="1:13" ht="30" customHeight="1" x14ac:dyDescent="0.3">
      <c r="A344" s="37" t="s">
        <v>393</v>
      </c>
      <c r="B344" s="38">
        <f>36.6</f>
        <v>36.6</v>
      </c>
      <c r="C344" s="41" t="s">
        <v>764</v>
      </c>
      <c r="D344" s="41" t="s">
        <v>1055</v>
      </c>
      <c r="E344" s="41" t="s">
        <v>1398</v>
      </c>
      <c r="F344" s="42" t="s">
        <v>1791</v>
      </c>
      <c r="G344" s="42">
        <v>15.4</v>
      </c>
      <c r="J344" s="39">
        <f t="shared" si="93"/>
        <v>-2.1</v>
      </c>
      <c r="K344" s="39">
        <f t="shared" si="94"/>
        <v>-0.3</v>
      </c>
      <c r="L344" s="39">
        <f t="shared" si="95"/>
        <v>-1.6</v>
      </c>
      <c r="M344" s="43">
        <v>-4</v>
      </c>
    </row>
    <row r="345" spans="1:13" ht="30" customHeight="1" x14ac:dyDescent="0.3">
      <c r="A345" s="37" t="s">
        <v>390</v>
      </c>
      <c r="B345" s="38">
        <f>53.5</f>
        <v>53.5</v>
      </c>
      <c r="C345" s="41" t="s">
        <v>775</v>
      </c>
      <c r="D345" s="41" t="s">
        <v>1054</v>
      </c>
      <c r="E345" s="41" t="s">
        <v>1399</v>
      </c>
      <c r="F345" s="42" t="s">
        <v>560</v>
      </c>
      <c r="G345" s="51">
        <v>35</v>
      </c>
      <c r="J345" s="39">
        <f t="shared" si="93"/>
        <v>2.1</v>
      </c>
      <c r="K345" s="39">
        <f t="shared" si="94"/>
        <v>3.3</v>
      </c>
      <c r="L345" s="39">
        <f t="shared" si="95"/>
        <v>0</v>
      </c>
      <c r="M345" s="43">
        <v>5.4</v>
      </c>
    </row>
    <row r="346" spans="1:13" ht="30" customHeight="1" x14ac:dyDescent="0.3">
      <c r="A346" s="37" t="s">
        <v>391</v>
      </c>
      <c r="B346" s="38">
        <f>48.2</f>
        <v>48.2</v>
      </c>
      <c r="C346" s="41" t="s">
        <v>760</v>
      </c>
      <c r="D346" s="41" t="s">
        <v>1056</v>
      </c>
      <c r="E346" s="41" t="s">
        <v>1400</v>
      </c>
      <c r="F346" s="42" t="s">
        <v>1794</v>
      </c>
      <c r="G346" s="51">
        <v>-17.600000000000001</v>
      </c>
      <c r="J346" s="39">
        <f t="shared" si="93"/>
        <v>0.8</v>
      </c>
      <c r="K346" s="39">
        <f t="shared" si="94"/>
        <v>-0.3</v>
      </c>
      <c r="L346" s="39">
        <f t="shared" si="95"/>
        <v>3.7</v>
      </c>
      <c r="M346" s="43">
        <v>4.2</v>
      </c>
    </row>
    <row r="347" spans="1:13" ht="30" customHeight="1" x14ac:dyDescent="0.3">
      <c r="A347" s="37" t="s">
        <v>392</v>
      </c>
      <c r="B347" s="38">
        <f>54.9</f>
        <v>54.9</v>
      </c>
      <c r="C347" s="41" t="s">
        <v>771</v>
      </c>
      <c r="D347" s="41" t="s">
        <v>1060</v>
      </c>
      <c r="E347" s="41" t="s">
        <v>1401</v>
      </c>
      <c r="F347" s="42" t="s">
        <v>1692</v>
      </c>
      <c r="G347" s="42">
        <v>15.6</v>
      </c>
      <c r="J347" s="39">
        <f t="shared" si="93"/>
        <v>0.8</v>
      </c>
      <c r="K347" s="39">
        <f t="shared" si="94"/>
        <v>2.2000000000000002</v>
      </c>
      <c r="L347" s="39">
        <f t="shared" si="95"/>
        <v>1.6</v>
      </c>
      <c r="M347" s="43">
        <v>4.5999999999999996</v>
      </c>
    </row>
    <row r="348" spans="1:13" ht="30" customHeight="1" x14ac:dyDescent="0.3">
      <c r="A348" s="37" t="s">
        <v>394</v>
      </c>
      <c r="B348" s="38">
        <f>-0.5</f>
        <v>-0.5</v>
      </c>
      <c r="C348" s="41" t="s">
        <v>763</v>
      </c>
      <c r="D348" s="41" t="s">
        <v>1053</v>
      </c>
      <c r="E348" s="41" t="s">
        <v>1402</v>
      </c>
      <c r="F348" s="42" t="s">
        <v>1788</v>
      </c>
      <c r="J348" s="39">
        <f t="shared" si="93"/>
        <v>0.8</v>
      </c>
      <c r="K348" s="39">
        <f t="shared" si="94"/>
        <v>2.2000000000000002</v>
      </c>
      <c r="L348" s="39">
        <f t="shared" si="95"/>
        <v>0</v>
      </c>
      <c r="M348" s="43">
        <v>3</v>
      </c>
    </row>
    <row r="349" spans="1:13" ht="30" customHeight="1" x14ac:dyDescent="0.3">
      <c r="A349" s="37" t="s">
        <v>395</v>
      </c>
      <c r="B349" s="38">
        <f>-17.6</f>
        <v>-17.600000000000001</v>
      </c>
      <c r="C349" s="41" t="s">
        <v>759</v>
      </c>
      <c r="D349" s="41" t="s">
        <v>1062</v>
      </c>
      <c r="E349" s="41" t="s">
        <v>1403</v>
      </c>
      <c r="F349" s="42" t="s">
        <v>1790</v>
      </c>
      <c r="G349" s="42">
        <v>48.2</v>
      </c>
      <c r="J349" s="39">
        <f t="shared" si="93"/>
        <v>-1</v>
      </c>
      <c r="K349" s="39">
        <f t="shared" si="94"/>
        <v>-1.2</v>
      </c>
      <c r="L349" s="39">
        <f t="shared" si="95"/>
        <v>1.6</v>
      </c>
      <c r="M349" s="43">
        <v>-0.6</v>
      </c>
    </row>
    <row r="350" spans="1:13" ht="30" customHeight="1" x14ac:dyDescent="0.3">
      <c r="A350" s="37" t="s">
        <v>396</v>
      </c>
      <c r="B350" s="38">
        <f>-31.7</f>
        <v>-31.7</v>
      </c>
      <c r="C350" s="41" t="s">
        <v>767</v>
      </c>
      <c r="D350" s="41" t="s">
        <v>1061</v>
      </c>
      <c r="E350" s="41" t="s">
        <v>1404</v>
      </c>
      <c r="F350" s="42" t="s">
        <v>1792</v>
      </c>
      <c r="G350" s="51">
        <v>-13.9</v>
      </c>
      <c r="J350" s="39">
        <f t="shared" si="93"/>
        <v>-1</v>
      </c>
      <c r="K350" s="39">
        <f t="shared" si="94"/>
        <v>-0.3</v>
      </c>
      <c r="L350" s="39">
        <f t="shared" si="95"/>
        <v>-1.6</v>
      </c>
      <c r="M350" s="43">
        <v>-2.9</v>
      </c>
    </row>
    <row r="351" spans="1:13" ht="30" customHeight="1" x14ac:dyDescent="0.3">
      <c r="A351" s="37" t="s">
        <v>397</v>
      </c>
      <c r="B351" s="38">
        <f>-21.4</f>
        <v>-21.4</v>
      </c>
      <c r="C351" s="41" t="s">
        <v>773</v>
      </c>
      <c r="D351" s="41" t="s">
        <v>1064</v>
      </c>
      <c r="E351" s="41" t="s">
        <v>1405</v>
      </c>
      <c r="F351" s="42" t="s">
        <v>1798</v>
      </c>
      <c r="G351" s="42">
        <v>-13.6</v>
      </c>
      <c r="J351" s="39">
        <f t="shared" si="93"/>
        <v>0.8</v>
      </c>
      <c r="K351" s="39">
        <f t="shared" si="94"/>
        <v>-2.2000000000000002</v>
      </c>
      <c r="L351" s="39">
        <f t="shared" si="95"/>
        <v>0</v>
      </c>
      <c r="M351" s="43">
        <v>-1.4</v>
      </c>
    </row>
    <row r="352" spans="1:13" ht="30" customHeight="1" x14ac:dyDescent="0.3">
      <c r="A352" s="37" t="s">
        <v>398</v>
      </c>
      <c r="B352" s="38">
        <f>-13.9</f>
        <v>-13.9</v>
      </c>
      <c r="C352" s="41" t="s">
        <v>761</v>
      </c>
      <c r="D352" s="41" t="s">
        <v>974</v>
      </c>
      <c r="E352" s="41" t="s">
        <v>1406</v>
      </c>
      <c r="F352" s="42" t="s">
        <v>1796</v>
      </c>
      <c r="G352" s="42">
        <v>-31.7</v>
      </c>
      <c r="J352" s="39">
        <f t="shared" si="93"/>
        <v>0.8</v>
      </c>
      <c r="K352" s="39">
        <f t="shared" si="94"/>
        <v>-3.4</v>
      </c>
      <c r="L352" s="39">
        <f t="shared" si="95"/>
        <v>-3</v>
      </c>
      <c r="M352" s="43">
        <v>-5.6</v>
      </c>
    </row>
    <row r="353" spans="1:18" ht="30" customHeight="1" x14ac:dyDescent="0.3">
      <c r="A353" s="37" t="s">
        <v>399</v>
      </c>
      <c r="B353" s="38">
        <f>35</f>
        <v>35</v>
      </c>
      <c r="C353" s="41" t="s">
        <v>772</v>
      </c>
      <c r="D353" s="41" t="s">
        <v>1059</v>
      </c>
      <c r="E353" s="41" t="s">
        <v>1407</v>
      </c>
      <c r="F353" s="42" t="s">
        <v>1694</v>
      </c>
      <c r="G353" s="42">
        <v>53.5</v>
      </c>
      <c r="J353" s="39">
        <f t="shared" si="93"/>
        <v>2.1</v>
      </c>
      <c r="K353" s="39">
        <f t="shared" si="94"/>
        <v>-1.2</v>
      </c>
      <c r="L353" s="39">
        <f t="shared" si="95"/>
        <v>-3.7</v>
      </c>
      <c r="M353" s="43">
        <v>-2.8</v>
      </c>
    </row>
    <row r="354" spans="1:18" ht="30" customHeight="1" x14ac:dyDescent="0.3">
      <c r="A354" s="37" t="s">
        <v>400</v>
      </c>
      <c r="B354" s="38">
        <f>15.6</f>
        <v>15.6</v>
      </c>
      <c r="C354" s="41" t="s">
        <v>769</v>
      </c>
      <c r="D354" s="41" t="s">
        <v>1049</v>
      </c>
      <c r="E354" s="41" t="s">
        <v>1408</v>
      </c>
      <c r="F354" s="42" t="s">
        <v>1607</v>
      </c>
      <c r="G354" s="51">
        <v>54.9</v>
      </c>
      <c r="J354" s="39">
        <f t="shared" si="93"/>
        <v>-2.1</v>
      </c>
      <c r="K354" s="39">
        <f t="shared" si="94"/>
        <v>1.2</v>
      </c>
      <c r="L354" s="39">
        <f t="shared" si="95"/>
        <v>0</v>
      </c>
      <c r="M354" s="43">
        <v>-0.9</v>
      </c>
    </row>
    <row r="355" spans="1:18" ht="30" customHeight="1" x14ac:dyDescent="0.3">
      <c r="A355" s="37" t="s">
        <v>401</v>
      </c>
      <c r="B355" s="38">
        <f>5.1</f>
        <v>5.0999999999999996</v>
      </c>
      <c r="C355" s="41" t="s">
        <v>765</v>
      </c>
      <c r="D355" s="41" t="s">
        <v>1058</v>
      </c>
      <c r="E355" s="41" t="s">
        <v>1409</v>
      </c>
      <c r="F355" s="42" t="s">
        <v>1795</v>
      </c>
      <c r="G355" s="51">
        <v>35.9</v>
      </c>
      <c r="J355" s="39">
        <f t="shared" si="93"/>
        <v>-2.1</v>
      </c>
      <c r="K355" s="39">
        <f t="shared" si="94"/>
        <v>1.2</v>
      </c>
      <c r="L355" s="39">
        <f t="shared" si="95"/>
        <v>-3.7</v>
      </c>
      <c r="M355" s="43">
        <v>-4.5999999999999996</v>
      </c>
    </row>
    <row r="356" spans="1:18" ht="30" customHeight="1" x14ac:dyDescent="0.3">
      <c r="A356" s="37" t="s">
        <v>402</v>
      </c>
      <c r="B356" s="38">
        <f>14.5</f>
        <v>14.5</v>
      </c>
      <c r="C356" s="41" t="s">
        <v>762</v>
      </c>
      <c r="D356" s="41" t="s">
        <v>1057</v>
      </c>
      <c r="E356" s="41" t="s">
        <v>1410</v>
      </c>
      <c r="F356" s="42" t="s">
        <v>1766</v>
      </c>
      <c r="G356" s="42">
        <v>-0.5</v>
      </c>
      <c r="J356" s="39">
        <f t="shared" si="93"/>
        <v>-1</v>
      </c>
      <c r="K356" s="39">
        <f t="shared" si="94"/>
        <v>-0.3</v>
      </c>
      <c r="L356" s="39">
        <f t="shared" si="95"/>
        <v>0</v>
      </c>
      <c r="M356" s="43">
        <v>-1.3</v>
      </c>
    </row>
    <row r="357" spans="1:18" ht="30" customHeight="1" x14ac:dyDescent="0.3">
      <c r="A357" s="37" t="s">
        <v>403</v>
      </c>
      <c r="B357" s="38">
        <f>-13.6</f>
        <v>-13.6</v>
      </c>
      <c r="C357" s="41" t="s">
        <v>768</v>
      </c>
      <c r="D357" s="41" t="s">
        <v>1051</v>
      </c>
      <c r="E357" s="41" t="s">
        <v>1411</v>
      </c>
      <c r="F357" s="42" t="s">
        <v>1797</v>
      </c>
      <c r="G357" s="51">
        <v>-21.4</v>
      </c>
      <c r="J357" s="39">
        <f t="shared" si="93"/>
        <v>0</v>
      </c>
      <c r="K357" s="39">
        <f t="shared" si="94"/>
        <v>1.2</v>
      </c>
      <c r="L357" s="39">
        <f t="shared" si="95"/>
        <v>2.8</v>
      </c>
      <c r="M357" s="43">
        <v>4</v>
      </c>
      <c r="O357" s="38"/>
      <c r="Q357" s="38"/>
      <c r="R357" s="38"/>
    </row>
    <row r="358" spans="1:18" ht="30" customHeight="1" x14ac:dyDescent="0.3">
      <c r="B358" s="38" t="s">
        <v>254</v>
      </c>
    </row>
    <row r="359" spans="1:18" ht="30" customHeight="1" x14ac:dyDescent="0.3">
      <c r="B359" s="38" t="s">
        <v>254</v>
      </c>
      <c r="O359" s="38"/>
      <c r="Q359" s="38"/>
      <c r="R359" s="38"/>
    </row>
    <row r="360" spans="1:18" ht="30" customHeight="1" x14ac:dyDescent="0.3">
      <c r="B360" s="38" t="s">
        <v>254</v>
      </c>
    </row>
    <row r="361" spans="1:18" ht="30" customHeight="1" x14ac:dyDescent="0.3">
      <c r="B361" s="38" t="s">
        <v>254</v>
      </c>
      <c r="C361" s="39">
        <v>20</v>
      </c>
      <c r="D361" s="39">
        <v>21</v>
      </c>
      <c r="E361" s="39">
        <v>22</v>
      </c>
      <c r="F361" s="39">
        <v>23</v>
      </c>
      <c r="G361" s="39">
        <v>24</v>
      </c>
      <c r="H361" s="39">
        <v>25</v>
      </c>
    </row>
    <row r="362" spans="1:18" ht="30" customHeight="1" x14ac:dyDescent="0.3">
      <c r="A362" s="37" t="s">
        <v>407</v>
      </c>
      <c r="B362" s="38">
        <f>45.5</f>
        <v>45.5</v>
      </c>
      <c r="C362" s="41" t="s">
        <v>919</v>
      </c>
      <c r="D362" s="41" t="s">
        <v>1066</v>
      </c>
      <c r="E362" s="41" t="s">
        <v>1374</v>
      </c>
      <c r="F362" s="42" t="s">
        <v>1767</v>
      </c>
      <c r="G362" s="42">
        <v>17.7</v>
      </c>
      <c r="J362" s="39">
        <f t="shared" ref="J362" si="96">LOOKUP(,-SEARCH( $Q$6:$Q$12, D362), $R$6:$R$12 )</f>
        <v>0.8</v>
      </c>
      <c r="K362" s="39">
        <f t="shared" ref="K362" si="97">LOOKUP(,-SEARCH( $S$6:$S$12, E362), $T$6:$T$12 )</f>
        <v>1.2</v>
      </c>
      <c r="L362" s="39">
        <f t="shared" ref="L362" si="98">LOOKUP(,-SEARCH( $U$6:$U$12, F362), $V$6:$V$12 )</f>
        <v>1.6</v>
      </c>
      <c r="M362" s="43">
        <v>3.6</v>
      </c>
    </row>
    <row r="363" spans="1:18" ht="30" customHeight="1" x14ac:dyDescent="0.3">
      <c r="A363" s="37" t="s">
        <v>408</v>
      </c>
      <c r="B363" s="38">
        <f>8.3</f>
        <v>8.3000000000000007</v>
      </c>
      <c r="C363" s="41" t="s">
        <v>918</v>
      </c>
      <c r="D363" s="41" t="s">
        <v>1065</v>
      </c>
      <c r="E363" s="41" t="s">
        <v>1375</v>
      </c>
      <c r="F363" s="42" t="s">
        <v>1777</v>
      </c>
      <c r="G363" s="51">
        <v>24.1</v>
      </c>
      <c r="J363" s="39">
        <f t="shared" ref="J363:J383" si="99">LOOKUP(,-SEARCH( $Q$6:$Q$12, D363), $R$6:$R$12 )</f>
        <v>0.8</v>
      </c>
      <c r="K363" s="39">
        <f t="shared" ref="K363:K383" si="100">LOOKUP(,-SEARCH( $S$6:$S$12, E363), $T$6:$T$12 )</f>
        <v>1.2</v>
      </c>
      <c r="L363" s="39">
        <f t="shared" ref="L363:L383" si="101">LOOKUP(,-SEARCH( $U$6:$U$12, F363), $V$6:$V$12 )</f>
        <v>-1.6</v>
      </c>
      <c r="M363" s="43">
        <v>0.4</v>
      </c>
    </row>
    <row r="364" spans="1:18" ht="30" customHeight="1" x14ac:dyDescent="0.3">
      <c r="A364" s="37" t="s">
        <v>393</v>
      </c>
      <c r="B364" s="38">
        <f>34</f>
        <v>34</v>
      </c>
      <c r="C364" s="41" t="s">
        <v>926</v>
      </c>
      <c r="D364" s="41" t="s">
        <v>1076</v>
      </c>
      <c r="E364" s="41" t="s">
        <v>1376</v>
      </c>
      <c r="F364" s="42" t="s">
        <v>1772</v>
      </c>
      <c r="G364" s="42">
        <v>-79.5</v>
      </c>
      <c r="J364" s="39">
        <f t="shared" si="99"/>
        <v>1.4</v>
      </c>
      <c r="K364" s="39">
        <f t="shared" si="100"/>
        <v>-0.3</v>
      </c>
      <c r="L364" s="39">
        <f t="shared" si="101"/>
        <v>1.6</v>
      </c>
      <c r="M364" s="43">
        <v>2.7</v>
      </c>
    </row>
    <row r="365" spans="1:18" ht="30" customHeight="1" x14ac:dyDescent="0.3">
      <c r="A365" s="37" t="s">
        <v>409</v>
      </c>
      <c r="B365" s="38">
        <f>-25.1</f>
        <v>-25.1</v>
      </c>
      <c r="C365" s="41" t="s">
        <v>920</v>
      </c>
      <c r="D365" s="41" t="s">
        <v>1075</v>
      </c>
      <c r="E365" s="41" t="s">
        <v>1377</v>
      </c>
      <c r="F365" s="42" t="s">
        <v>1774</v>
      </c>
      <c r="G365" s="42">
        <v>75.099999999999994</v>
      </c>
      <c r="J365" s="39">
        <f t="shared" si="99"/>
        <v>-1.4</v>
      </c>
      <c r="K365" s="39">
        <f t="shared" si="100"/>
        <v>2.2000000000000002</v>
      </c>
      <c r="L365" s="39">
        <f t="shared" si="101"/>
        <v>0</v>
      </c>
      <c r="M365" s="43">
        <v>0.8</v>
      </c>
    </row>
    <row r="366" spans="1:18" ht="30" customHeight="1" x14ac:dyDescent="0.3">
      <c r="A366" s="37" t="s">
        <v>410</v>
      </c>
      <c r="B366" s="38">
        <f>8.6</f>
        <v>8.6</v>
      </c>
      <c r="C366" s="41" t="s">
        <v>776</v>
      </c>
      <c r="D366" s="41" t="s">
        <v>929</v>
      </c>
      <c r="E366" s="41" t="s">
        <v>1082</v>
      </c>
      <c r="F366" s="42" t="s">
        <v>1784</v>
      </c>
      <c r="G366" s="52">
        <f>16+1.5-4.4+1.3-4.5+4.1-3.8</f>
        <v>10.199999999999999</v>
      </c>
      <c r="J366" s="39">
        <f t="shared" si="99"/>
        <v>-1</v>
      </c>
      <c r="K366" s="39">
        <f t="shared" si="100"/>
        <v>-0.3</v>
      </c>
      <c r="L366" s="39">
        <f t="shared" si="101"/>
        <v>0</v>
      </c>
      <c r="M366" s="43">
        <v>-1.3</v>
      </c>
    </row>
    <row r="367" spans="1:18" ht="30" customHeight="1" x14ac:dyDescent="0.3">
      <c r="A367" s="37" t="s">
        <v>411</v>
      </c>
      <c r="B367" s="38">
        <f>-20.3</f>
        <v>-20.3</v>
      </c>
      <c r="C367" s="41" t="s">
        <v>922</v>
      </c>
      <c r="D367" s="41" t="s">
        <v>1072</v>
      </c>
      <c r="E367" s="41" t="s">
        <v>1378</v>
      </c>
      <c r="F367" s="42" t="s">
        <v>1775</v>
      </c>
      <c r="G367" s="51">
        <v>1.5</v>
      </c>
      <c r="J367" s="39">
        <f t="shared" si="99"/>
        <v>0</v>
      </c>
      <c r="K367" s="39">
        <f t="shared" si="100"/>
        <v>-0.3</v>
      </c>
      <c r="L367" s="39">
        <f t="shared" si="101"/>
        <v>1.6</v>
      </c>
      <c r="M367" s="43">
        <v>1.3</v>
      </c>
    </row>
    <row r="368" spans="1:18" ht="30" customHeight="1" x14ac:dyDescent="0.3">
      <c r="A368" s="37" t="s">
        <v>412</v>
      </c>
      <c r="B368" s="38">
        <f>-14.1</f>
        <v>-14.1</v>
      </c>
      <c r="C368" s="41" t="s">
        <v>927</v>
      </c>
      <c r="D368" s="41" t="s">
        <v>1071</v>
      </c>
      <c r="E368" s="41" t="s">
        <v>1379</v>
      </c>
      <c r="F368" s="42" t="s">
        <v>1785</v>
      </c>
      <c r="G368" s="51">
        <v>38.5</v>
      </c>
      <c r="J368" s="39">
        <f t="shared" si="99"/>
        <v>0</v>
      </c>
      <c r="K368" s="39">
        <f t="shared" si="100"/>
        <v>-1.2</v>
      </c>
      <c r="L368" s="39">
        <f t="shared" si="101"/>
        <v>1.6</v>
      </c>
      <c r="M368" s="43">
        <v>0.4</v>
      </c>
    </row>
    <row r="369" spans="1:15" ht="30" customHeight="1" x14ac:dyDescent="0.3">
      <c r="A369" s="37" t="s">
        <v>413</v>
      </c>
      <c r="B369" s="38">
        <f>-79.5</f>
        <v>-79.5</v>
      </c>
      <c r="C369" s="41" t="s">
        <v>923</v>
      </c>
      <c r="D369" s="41" t="s">
        <v>798</v>
      </c>
      <c r="E369" s="41" t="s">
        <v>1380</v>
      </c>
      <c r="F369" s="42" t="s">
        <v>1781</v>
      </c>
      <c r="G369" s="51">
        <v>34</v>
      </c>
      <c r="J369" s="39">
        <f t="shared" si="99"/>
        <v>1.4</v>
      </c>
      <c r="K369" s="39">
        <f t="shared" si="100"/>
        <v>-3.4</v>
      </c>
      <c r="L369" s="39">
        <f t="shared" si="101"/>
        <v>-3.7</v>
      </c>
      <c r="M369" s="43">
        <v>-5.7</v>
      </c>
    </row>
    <row r="370" spans="1:15" ht="30" customHeight="1" x14ac:dyDescent="0.3">
      <c r="A370" s="37" t="s">
        <v>414</v>
      </c>
      <c r="B370" s="38">
        <f>19.8</f>
        <v>19.8</v>
      </c>
      <c r="C370" s="41" t="s">
        <v>921</v>
      </c>
      <c r="D370" s="41" t="s">
        <v>1073</v>
      </c>
      <c r="E370" s="41" t="s">
        <v>1381</v>
      </c>
      <c r="F370" s="42" t="s">
        <v>1783</v>
      </c>
      <c r="G370" s="42">
        <v>27.9</v>
      </c>
      <c r="J370" s="39">
        <f t="shared" si="99"/>
        <v>0</v>
      </c>
      <c r="K370" s="39">
        <f t="shared" si="100"/>
        <v>-0.3</v>
      </c>
      <c r="L370" s="39">
        <f t="shared" si="101"/>
        <v>0</v>
      </c>
      <c r="M370" s="43">
        <v>-0.3</v>
      </c>
    </row>
    <row r="371" spans="1:15" ht="30" customHeight="1" x14ac:dyDescent="0.3">
      <c r="A371" s="37" t="s">
        <v>417</v>
      </c>
      <c r="B371" s="38">
        <f>34.7</f>
        <v>34.700000000000003</v>
      </c>
      <c r="C371" s="41" t="s">
        <v>930</v>
      </c>
      <c r="D371" s="41" t="s">
        <v>1069</v>
      </c>
      <c r="E371" s="41" t="s">
        <v>1382</v>
      </c>
      <c r="F371" s="42" t="s">
        <v>1778</v>
      </c>
      <c r="G371" s="42">
        <v>26.9</v>
      </c>
      <c r="J371" s="39">
        <f t="shared" si="99"/>
        <v>0.8</v>
      </c>
      <c r="K371" s="39">
        <f t="shared" si="100"/>
        <v>3.3</v>
      </c>
      <c r="L371" s="39">
        <f t="shared" si="101"/>
        <v>-1.6</v>
      </c>
      <c r="M371" s="43">
        <v>2.5</v>
      </c>
    </row>
    <row r="372" spans="1:15" ht="30" customHeight="1" x14ac:dyDescent="0.3">
      <c r="A372" s="37" t="s">
        <v>416</v>
      </c>
      <c r="B372" s="38">
        <f>26.9</f>
        <v>26.9</v>
      </c>
      <c r="C372" s="41" t="s">
        <v>933</v>
      </c>
      <c r="D372" s="41" t="s">
        <v>902</v>
      </c>
      <c r="E372" s="41" t="s">
        <v>1383</v>
      </c>
      <c r="F372" s="42" t="s">
        <v>1780</v>
      </c>
      <c r="G372" s="51">
        <v>34.700000000000003</v>
      </c>
      <c r="J372" s="39">
        <f t="shared" si="99"/>
        <v>-1</v>
      </c>
      <c r="K372" s="39">
        <f t="shared" si="100"/>
        <v>-1.2</v>
      </c>
      <c r="L372" s="39">
        <f t="shared" si="101"/>
        <v>3.7</v>
      </c>
      <c r="M372" s="43">
        <v>1.5</v>
      </c>
      <c r="O372" s="43"/>
    </row>
    <row r="373" spans="1:15" ht="30" customHeight="1" x14ac:dyDescent="0.3">
      <c r="A373" s="37" t="s">
        <v>415</v>
      </c>
      <c r="B373" s="38">
        <f>24.1</f>
        <v>24.1</v>
      </c>
      <c r="C373" s="41" t="s">
        <v>932</v>
      </c>
      <c r="D373" s="41" t="s">
        <v>1077</v>
      </c>
      <c r="E373" s="41" t="s">
        <v>1384</v>
      </c>
      <c r="F373" s="42" t="s">
        <v>1769</v>
      </c>
      <c r="G373" s="42">
        <v>8.3000000000000007</v>
      </c>
      <c r="J373" s="39">
        <f t="shared" si="99"/>
        <v>-1</v>
      </c>
      <c r="K373" s="39">
        <f t="shared" si="100"/>
        <v>-2.2000000000000002</v>
      </c>
      <c r="L373" s="39">
        <f t="shared" si="101"/>
        <v>3.7</v>
      </c>
      <c r="M373" s="43">
        <v>0.5</v>
      </c>
    </row>
    <row r="374" spans="1:15" ht="30" customHeight="1" x14ac:dyDescent="0.3">
      <c r="A374" s="37" t="s">
        <v>418</v>
      </c>
      <c r="B374" s="38">
        <f>28.3</f>
        <v>28.3</v>
      </c>
      <c r="C374" s="41" t="s">
        <v>910</v>
      </c>
      <c r="D374" s="41" t="s">
        <v>1074</v>
      </c>
      <c r="E374" s="41" t="s">
        <v>1385</v>
      </c>
      <c r="F374" s="42" t="s">
        <v>1786</v>
      </c>
      <c r="G374" s="51">
        <v>30.7</v>
      </c>
      <c r="J374" s="39">
        <f t="shared" si="99"/>
        <v>0</v>
      </c>
      <c r="K374" s="39">
        <f t="shared" si="100"/>
        <v>-0.3</v>
      </c>
      <c r="L374" s="39">
        <f t="shared" si="101"/>
        <v>-1.6</v>
      </c>
      <c r="M374" s="43">
        <v>-1.9</v>
      </c>
    </row>
    <row r="375" spans="1:15" ht="30" customHeight="1" x14ac:dyDescent="0.3">
      <c r="A375" s="37" t="s">
        <v>419</v>
      </c>
      <c r="B375" s="38">
        <f>30.7</f>
        <v>30.7</v>
      </c>
      <c r="C375" s="41" t="s">
        <v>924</v>
      </c>
      <c r="D375" s="41" t="s">
        <v>1078</v>
      </c>
      <c r="E375" s="41" t="s">
        <v>1386</v>
      </c>
      <c r="F375" s="42" t="s">
        <v>1773</v>
      </c>
      <c r="G375" s="42">
        <v>28.3</v>
      </c>
      <c r="J375" s="39">
        <f t="shared" si="99"/>
        <v>0.8</v>
      </c>
      <c r="K375" s="39">
        <f t="shared" si="100"/>
        <v>-1.2</v>
      </c>
      <c r="L375" s="39">
        <f t="shared" si="101"/>
        <v>0</v>
      </c>
      <c r="M375" s="43">
        <v>-0.4</v>
      </c>
    </row>
    <row r="376" spans="1:15" ht="30" customHeight="1" x14ac:dyDescent="0.3">
      <c r="A376" s="37" t="s">
        <v>425</v>
      </c>
      <c r="B376" s="38">
        <f>-38.7</f>
        <v>-38.700000000000003</v>
      </c>
      <c r="C376" s="41" t="s">
        <v>928</v>
      </c>
      <c r="D376" s="41" t="s">
        <v>1079</v>
      </c>
      <c r="E376" s="41" t="s">
        <v>1387</v>
      </c>
      <c r="F376" s="42" t="s">
        <v>1779</v>
      </c>
      <c r="G376" s="42">
        <v>42.8</v>
      </c>
      <c r="J376" s="39">
        <f t="shared" si="99"/>
        <v>-1.4</v>
      </c>
      <c r="K376" s="39">
        <f t="shared" si="100"/>
        <v>-1.2</v>
      </c>
      <c r="L376" s="39">
        <f t="shared" si="101"/>
        <v>1.6</v>
      </c>
      <c r="M376" s="43">
        <v>-1</v>
      </c>
    </row>
    <row r="377" spans="1:15" ht="30" customHeight="1" x14ac:dyDescent="0.3">
      <c r="A377" s="37" t="s">
        <v>427</v>
      </c>
      <c r="B377" s="38">
        <f>38.5</f>
        <v>38.5</v>
      </c>
      <c r="C377" s="41" t="s">
        <v>931</v>
      </c>
      <c r="D377" s="41" t="s">
        <v>1067</v>
      </c>
      <c r="E377" s="41" t="s">
        <v>1388</v>
      </c>
      <c r="F377" s="42" t="s">
        <v>1782</v>
      </c>
      <c r="G377" s="46">
        <f>-24.7+4.4+3.9+1.3+1.3-4.1+3.8</f>
        <v>-14.099999999999998</v>
      </c>
      <c r="J377" s="39">
        <f t="shared" si="99"/>
        <v>-1</v>
      </c>
      <c r="K377" s="39">
        <f t="shared" si="100"/>
        <v>-0.3</v>
      </c>
      <c r="L377" s="39">
        <f t="shared" si="101"/>
        <v>0</v>
      </c>
      <c r="M377" s="43">
        <v>-1.3</v>
      </c>
    </row>
    <row r="378" spans="1:15" ht="30" customHeight="1" x14ac:dyDescent="0.3">
      <c r="A378" s="37" t="s">
        <v>420</v>
      </c>
      <c r="B378" s="38">
        <f>27.9</f>
        <v>27.9</v>
      </c>
      <c r="C378" s="41" t="s">
        <v>800</v>
      </c>
      <c r="D378" s="41" t="s">
        <v>1070</v>
      </c>
      <c r="E378" s="41" t="s">
        <v>1389</v>
      </c>
      <c r="F378" s="42" t="s">
        <v>1770</v>
      </c>
      <c r="G378" s="51">
        <v>19.8</v>
      </c>
      <c r="J378" s="39">
        <f t="shared" si="99"/>
        <v>-1</v>
      </c>
      <c r="K378" s="39">
        <f t="shared" si="100"/>
        <v>-0.3</v>
      </c>
      <c r="L378" s="39">
        <f t="shared" si="101"/>
        <v>-3.7</v>
      </c>
      <c r="M378" s="43">
        <v>-5</v>
      </c>
    </row>
    <row r="379" spans="1:15" ht="30" customHeight="1" x14ac:dyDescent="0.3">
      <c r="A379" s="37" t="s">
        <v>424</v>
      </c>
      <c r="B379" s="38">
        <f>75.1</f>
        <v>75.099999999999994</v>
      </c>
      <c r="C379" s="41" t="s">
        <v>925</v>
      </c>
      <c r="D379" s="41" t="s">
        <v>1080</v>
      </c>
      <c r="E379" s="41" t="s">
        <v>1390</v>
      </c>
      <c r="F379" s="42" t="s">
        <v>661</v>
      </c>
      <c r="G379" s="51">
        <v>-25.1</v>
      </c>
      <c r="J379" s="39">
        <f t="shared" si="99"/>
        <v>1.4</v>
      </c>
      <c r="K379" s="39">
        <f t="shared" si="100"/>
        <v>1.2</v>
      </c>
      <c r="L379" s="39">
        <f t="shared" si="101"/>
        <v>0</v>
      </c>
      <c r="M379" s="43">
        <v>2.6</v>
      </c>
    </row>
    <row r="380" spans="1:15" ht="30" customHeight="1" x14ac:dyDescent="0.3">
      <c r="A380" s="37" t="s">
        <v>421</v>
      </c>
      <c r="B380" s="38">
        <f>42.8</f>
        <v>42.8</v>
      </c>
      <c r="C380" s="41" t="s">
        <v>554</v>
      </c>
      <c r="D380" s="41" t="s">
        <v>1009</v>
      </c>
      <c r="E380" s="41" t="s">
        <v>1391</v>
      </c>
      <c r="F380" s="42" t="s">
        <v>1765</v>
      </c>
      <c r="G380" s="51">
        <v>-38.700000000000003</v>
      </c>
      <c r="J380" s="39">
        <f t="shared" si="99"/>
        <v>-1</v>
      </c>
      <c r="K380" s="39">
        <f t="shared" si="100"/>
        <v>-0.3</v>
      </c>
      <c r="L380" s="39">
        <f t="shared" si="101"/>
        <v>1.6</v>
      </c>
      <c r="M380" s="43">
        <v>0.3</v>
      </c>
    </row>
    <row r="381" spans="1:15" ht="30" customHeight="1" x14ac:dyDescent="0.3">
      <c r="A381" s="37" t="s">
        <v>426</v>
      </c>
      <c r="B381" s="38">
        <f>10.2</f>
        <v>10.199999999999999</v>
      </c>
      <c r="C381" s="41" t="s">
        <v>934</v>
      </c>
      <c r="D381" s="41" t="s">
        <v>1068</v>
      </c>
      <c r="E381" s="41" t="s">
        <v>1392</v>
      </c>
      <c r="F381" s="42" t="s">
        <v>1768</v>
      </c>
      <c r="G381" s="42">
        <v>8.6</v>
      </c>
      <c r="J381" s="39">
        <f t="shared" si="99"/>
        <v>-1.4</v>
      </c>
      <c r="K381" s="39">
        <f t="shared" si="100"/>
        <v>1.2</v>
      </c>
      <c r="L381" s="39">
        <f t="shared" si="101"/>
        <v>-1.6</v>
      </c>
      <c r="M381" s="43">
        <v>-1.8</v>
      </c>
    </row>
    <row r="382" spans="1:15" ht="30" customHeight="1" x14ac:dyDescent="0.3">
      <c r="A382" s="37" t="s">
        <v>422</v>
      </c>
      <c r="B382" s="38">
        <f>1.5</f>
        <v>1.5</v>
      </c>
      <c r="C382" s="41" t="s">
        <v>406</v>
      </c>
      <c r="D382" s="41" t="s">
        <v>905</v>
      </c>
      <c r="E382" s="42" t="s">
        <v>1081</v>
      </c>
      <c r="F382" s="42" t="s">
        <v>1771</v>
      </c>
      <c r="G382" s="42">
        <v>-20.3</v>
      </c>
      <c r="J382" s="39">
        <f t="shared" si="99"/>
        <v>-1</v>
      </c>
      <c r="K382" s="39">
        <f t="shared" si="100"/>
        <v>1.2</v>
      </c>
      <c r="L382" s="39">
        <f t="shared" si="101"/>
        <v>-1.6</v>
      </c>
      <c r="M382" s="43">
        <v>-1.4</v>
      </c>
    </row>
    <row r="383" spans="1:15" ht="30" customHeight="1" x14ac:dyDescent="0.3">
      <c r="A383" s="37" t="s">
        <v>423</v>
      </c>
      <c r="B383" s="38">
        <f>17.7</f>
        <v>17.7</v>
      </c>
      <c r="C383" s="41" t="s">
        <v>935</v>
      </c>
      <c r="D383" s="41" t="s">
        <v>679</v>
      </c>
      <c r="E383" s="41" t="s">
        <v>1393</v>
      </c>
      <c r="F383" s="42" t="s">
        <v>1776</v>
      </c>
      <c r="G383" s="51">
        <v>45.5</v>
      </c>
      <c r="J383" s="39">
        <f t="shared" si="99"/>
        <v>0</v>
      </c>
      <c r="K383" s="39">
        <f t="shared" si="100"/>
        <v>-0.3</v>
      </c>
      <c r="L383" s="39">
        <f t="shared" si="101"/>
        <v>-1.6</v>
      </c>
      <c r="M383" s="43">
        <v>-1.9</v>
      </c>
    </row>
    <row r="384" spans="1:15" ht="30" customHeight="1" x14ac:dyDescent="0.3">
      <c r="B384" s="38" t="s">
        <v>254</v>
      </c>
    </row>
    <row r="385" spans="2:19" ht="30" customHeight="1" x14ac:dyDescent="0.3">
      <c r="B385" s="38"/>
      <c r="P385" s="38"/>
      <c r="Q385" s="38"/>
      <c r="R385" s="38"/>
      <c r="S385" s="38"/>
    </row>
    <row r="386" spans="2:19" ht="30" customHeight="1" x14ac:dyDescent="0.3">
      <c r="B386" s="38"/>
    </row>
    <row r="387" spans="2:19" ht="30" customHeight="1" x14ac:dyDescent="0.3">
      <c r="B387" s="38"/>
      <c r="P387" s="38"/>
      <c r="Q387" s="38"/>
      <c r="R387" s="38"/>
      <c r="S387" s="38"/>
    </row>
    <row r="388" spans="2:19" ht="30" customHeight="1" x14ac:dyDescent="0.3">
      <c r="B388" s="38"/>
    </row>
    <row r="389" spans="2:19" ht="30" customHeight="1" x14ac:dyDescent="0.3">
      <c r="B389" s="38"/>
    </row>
    <row r="390" spans="2:19" ht="30" customHeight="1" x14ac:dyDescent="0.3">
      <c r="B390" s="38"/>
    </row>
    <row r="391" spans="2:19" ht="30" customHeight="1" x14ac:dyDescent="0.3">
      <c r="B391" s="38"/>
    </row>
    <row r="392" spans="2:19" ht="30" customHeight="1" x14ac:dyDescent="0.3">
      <c r="B392" s="38"/>
    </row>
    <row r="393" spans="2:19" ht="30" customHeight="1" x14ac:dyDescent="0.3">
      <c r="B393" s="38"/>
    </row>
    <row r="394" spans="2:19" ht="30" customHeight="1" x14ac:dyDescent="0.3">
      <c r="B394" s="38"/>
    </row>
    <row r="395" spans="2:19" ht="30" customHeight="1" x14ac:dyDescent="0.3">
      <c r="B395" s="38"/>
    </row>
    <row r="396" spans="2:19" ht="30" customHeight="1" x14ac:dyDescent="0.3">
      <c r="B396" s="38"/>
    </row>
    <row r="397" spans="2:19" ht="30" customHeight="1" x14ac:dyDescent="0.3">
      <c r="B397" s="38"/>
    </row>
    <row r="398" spans="2:19" ht="30" customHeight="1" x14ac:dyDescent="0.3">
      <c r="B398" s="38"/>
    </row>
    <row r="399" spans="2:19" ht="30" customHeight="1" x14ac:dyDescent="0.3">
      <c r="B399" s="38"/>
    </row>
    <row r="400" spans="2:19" ht="30" customHeight="1" x14ac:dyDescent="0.3">
      <c r="B400" s="38"/>
    </row>
    <row r="401" spans="2:10" ht="30" customHeight="1" x14ac:dyDescent="0.3">
      <c r="B401" s="38"/>
    </row>
    <row r="402" spans="2:10" ht="30" customHeight="1" x14ac:dyDescent="0.3">
      <c r="B402" s="38"/>
    </row>
    <row r="403" spans="2:10" ht="30" customHeight="1" x14ac:dyDescent="0.3">
      <c r="B403" s="38"/>
    </row>
    <row r="404" spans="2:10" ht="30" customHeight="1" x14ac:dyDescent="0.3">
      <c r="B404" s="38"/>
    </row>
    <row r="405" spans="2:10" ht="30" customHeight="1" x14ac:dyDescent="0.3">
      <c r="B405" s="38"/>
    </row>
    <row r="406" spans="2:10" ht="30" customHeight="1" x14ac:dyDescent="0.3">
      <c r="B406" s="38"/>
    </row>
    <row r="407" spans="2:10" ht="30" customHeight="1" x14ac:dyDescent="0.3">
      <c r="B407" s="38"/>
    </row>
    <row r="408" spans="2:10" ht="30" customHeight="1" x14ac:dyDescent="0.3">
      <c r="B408" s="38"/>
    </row>
    <row r="409" spans="2:10" ht="30" customHeight="1" x14ac:dyDescent="0.3">
      <c r="B409" s="38"/>
      <c r="C409" s="43"/>
    </row>
    <row r="410" spans="2:10" ht="30" customHeight="1" x14ac:dyDescent="0.3">
      <c r="B410" s="38"/>
      <c r="C410" s="43"/>
      <c r="D410" s="43"/>
      <c r="G410" s="53"/>
      <c r="H410" s="41"/>
      <c r="I410" s="43"/>
      <c r="J410" s="43"/>
    </row>
    <row r="411" spans="2:10" ht="30" customHeight="1" x14ac:dyDescent="0.3">
      <c r="B411" s="38"/>
      <c r="C411" s="43"/>
      <c r="D411" s="43"/>
      <c r="G411" s="53"/>
      <c r="H411" s="41"/>
      <c r="I411" s="43"/>
      <c r="J411" s="43"/>
    </row>
    <row r="412" spans="2:10" ht="30" customHeight="1" x14ac:dyDescent="0.3">
      <c r="B412" s="38"/>
      <c r="C412" s="43"/>
      <c r="D412" s="43"/>
      <c r="G412" s="53"/>
      <c r="H412" s="41"/>
      <c r="I412" s="43"/>
      <c r="J412" s="43"/>
    </row>
    <row r="413" spans="2:10" ht="30" customHeight="1" x14ac:dyDescent="0.3">
      <c r="B413" s="38"/>
      <c r="C413" s="43"/>
      <c r="D413" s="43"/>
    </row>
    <row r="414" spans="2:10" ht="30" customHeight="1" x14ac:dyDescent="0.3">
      <c r="B414" s="38"/>
      <c r="C414" s="43"/>
      <c r="D414" s="43"/>
    </row>
    <row r="415" spans="2:10" ht="30" customHeight="1" x14ac:dyDescent="0.3">
      <c r="B415" s="38"/>
      <c r="C415" s="43"/>
      <c r="D415" s="43"/>
    </row>
    <row r="416" spans="2:10" ht="30" customHeight="1" x14ac:dyDescent="0.3">
      <c r="B416" s="38"/>
      <c r="C416" s="43"/>
      <c r="D416" s="43"/>
    </row>
    <row r="417" spans="2:4" ht="30" customHeight="1" x14ac:dyDescent="0.3">
      <c r="B417" s="38"/>
      <c r="D417" s="43"/>
    </row>
  </sheetData>
  <conditionalFormatting sqref="B268:B287">
    <cfRule type="duplicateValues" dxfId="7" priority="2"/>
  </conditionalFormatting>
  <conditionalFormatting sqref="B165:B182">
    <cfRule type="duplicateValues" dxfId="6" priority="1"/>
  </conditionalFormatting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ED8-AD03-C04F-BC9D-38DDF6291DEB}">
  <dimension ref="A1:Y75"/>
  <sheetViews>
    <sheetView topLeftCell="C4" zoomScaleNormal="60" zoomScaleSheetLayoutView="100" workbookViewId="0">
      <selection activeCell="H2" sqref="H2"/>
    </sheetView>
  </sheetViews>
  <sheetFormatPr defaultColWidth="12" defaultRowHeight="24.75" customHeight="1" x14ac:dyDescent="0.3"/>
  <cols>
    <col min="1" max="16384" width="12" style="28"/>
  </cols>
  <sheetData>
    <row r="1" spans="1:25" ht="24.75" customHeight="1" x14ac:dyDescent="0.3">
      <c r="B1" s="28" t="s">
        <v>250</v>
      </c>
      <c r="C1" s="28" t="s">
        <v>193</v>
      </c>
      <c r="D1" s="28" t="s">
        <v>278</v>
      </c>
      <c r="E1" s="28" t="s">
        <v>284</v>
      </c>
    </row>
    <row r="2" spans="1:25" ht="24.75" customHeight="1" x14ac:dyDescent="0.35">
      <c r="A2" s="28" t="s">
        <v>251</v>
      </c>
      <c r="B2" s="28" t="s">
        <v>271</v>
      </c>
      <c r="C2" s="28" t="s">
        <v>247</v>
      </c>
      <c r="D2" s="28" t="s">
        <v>281</v>
      </c>
      <c r="E2" s="28" t="s">
        <v>283</v>
      </c>
      <c r="G2" s="35" t="s">
        <v>1416</v>
      </c>
      <c r="H2" s="33" t="s">
        <v>1433</v>
      </c>
      <c r="I2" s="33" t="s">
        <v>1446</v>
      </c>
      <c r="J2" s="34" t="s">
        <v>1427</v>
      </c>
      <c r="K2" s="35" t="s">
        <v>1420</v>
      </c>
      <c r="L2" s="33" t="s">
        <v>1430</v>
      </c>
      <c r="M2" s="33" t="s">
        <v>1434</v>
      </c>
      <c r="N2" s="33" t="s">
        <v>1452</v>
      </c>
      <c r="O2" s="33" t="s">
        <v>1440</v>
      </c>
    </row>
    <row r="3" spans="1:25" ht="24.75" customHeight="1" x14ac:dyDescent="0.35">
      <c r="A3" s="28" t="s">
        <v>252</v>
      </c>
      <c r="B3" s="28" t="s">
        <v>270</v>
      </c>
      <c r="C3" s="28" t="s">
        <v>273</v>
      </c>
      <c r="D3" s="28" t="s">
        <v>275</v>
      </c>
      <c r="E3" s="28" t="s">
        <v>282</v>
      </c>
      <c r="G3" s="35" t="s">
        <v>1415</v>
      </c>
      <c r="H3" s="33" t="s">
        <v>1432</v>
      </c>
      <c r="I3" s="33" t="s">
        <v>1445</v>
      </c>
      <c r="J3" s="34" t="s">
        <v>1426</v>
      </c>
      <c r="K3" s="33" t="s">
        <v>1421</v>
      </c>
      <c r="L3" s="33" t="s">
        <v>263</v>
      </c>
      <c r="M3" s="33" t="s">
        <v>1458</v>
      </c>
      <c r="N3" s="33" t="s">
        <v>1453</v>
      </c>
      <c r="O3" s="33" t="s">
        <v>1441</v>
      </c>
    </row>
    <row r="4" spans="1:25" ht="24.75" customHeight="1" x14ac:dyDescent="0.35">
      <c r="A4" s="28" t="s">
        <v>253</v>
      </c>
      <c r="B4" s="28" t="s">
        <v>269</v>
      </c>
      <c r="C4" s="28" t="s">
        <v>272</v>
      </c>
      <c r="D4" s="28" t="s">
        <v>274</v>
      </c>
      <c r="E4" s="28" t="s">
        <v>277</v>
      </c>
      <c r="G4" s="35" t="s">
        <v>1413</v>
      </c>
      <c r="H4" s="33" t="s">
        <v>1461</v>
      </c>
      <c r="I4" s="33" t="s">
        <v>1448</v>
      </c>
      <c r="J4" s="34" t="s">
        <v>1425</v>
      </c>
      <c r="K4" s="33" t="s">
        <v>1422</v>
      </c>
      <c r="L4" s="33" t="s">
        <v>1429</v>
      </c>
      <c r="M4" s="33" t="s">
        <v>1433</v>
      </c>
      <c r="N4" s="33" t="s">
        <v>1446</v>
      </c>
      <c r="O4" s="33" t="s">
        <v>1427</v>
      </c>
    </row>
    <row r="5" spans="1:25" ht="24.75" customHeight="1" x14ac:dyDescent="0.35">
      <c r="A5" s="28" t="s">
        <v>254</v>
      </c>
      <c r="B5" s="28" t="s">
        <v>265</v>
      </c>
      <c r="C5" s="28" t="s">
        <v>266</v>
      </c>
      <c r="D5" s="28" t="s">
        <v>267</v>
      </c>
      <c r="E5" s="28" t="s">
        <v>268</v>
      </c>
      <c r="G5" s="35" t="s">
        <v>1417</v>
      </c>
      <c r="H5" s="33" t="s">
        <v>1463</v>
      </c>
      <c r="I5" s="33" t="s">
        <v>1447</v>
      </c>
      <c r="J5" s="34" t="s">
        <v>1464</v>
      </c>
      <c r="K5" s="33" t="s">
        <v>1423</v>
      </c>
      <c r="L5" s="33" t="s">
        <v>1428</v>
      </c>
      <c r="M5" s="33" t="s">
        <v>1432</v>
      </c>
      <c r="N5" s="33" t="s">
        <v>1445</v>
      </c>
      <c r="O5" s="33" t="s">
        <v>1426</v>
      </c>
    </row>
    <row r="6" spans="1:25" ht="24.75" customHeight="1" x14ac:dyDescent="0.35">
      <c r="A6" s="28" t="s">
        <v>255</v>
      </c>
      <c r="B6" s="28" t="s">
        <v>248</v>
      </c>
      <c r="C6" s="28" t="s">
        <v>249</v>
      </c>
      <c r="D6" s="28" t="s">
        <v>262</v>
      </c>
      <c r="E6" s="28" t="s">
        <v>246</v>
      </c>
      <c r="G6" s="35" t="s">
        <v>1419</v>
      </c>
      <c r="H6" s="33" t="s">
        <v>1462</v>
      </c>
      <c r="I6" s="33" t="s">
        <v>1424</v>
      </c>
      <c r="J6" s="34" t="s">
        <v>1424</v>
      </c>
      <c r="K6" s="33" t="s">
        <v>1424</v>
      </c>
      <c r="L6" s="33" t="s">
        <v>1431</v>
      </c>
      <c r="M6" s="33" t="s">
        <v>1431</v>
      </c>
      <c r="N6" s="33" t="s">
        <v>1431</v>
      </c>
      <c r="O6" s="35" t="s">
        <v>1442</v>
      </c>
    </row>
    <row r="7" spans="1:25" ht="24.75" customHeight="1" x14ac:dyDescent="0.35">
      <c r="A7" s="28" t="s">
        <v>257</v>
      </c>
      <c r="B7" s="28" t="s">
        <v>280</v>
      </c>
      <c r="C7" s="28" t="s">
        <v>259</v>
      </c>
      <c r="D7" s="28" t="s">
        <v>261</v>
      </c>
      <c r="E7" s="28" t="s">
        <v>264</v>
      </c>
      <c r="G7" s="35" t="s">
        <v>1418</v>
      </c>
      <c r="H7" s="33"/>
      <c r="I7" s="33"/>
      <c r="J7" s="33"/>
      <c r="K7" s="34"/>
      <c r="L7" s="33"/>
      <c r="M7" s="33"/>
      <c r="N7" s="33"/>
      <c r="O7" s="33"/>
    </row>
    <row r="8" spans="1:25" ht="24.75" customHeight="1" x14ac:dyDescent="0.35">
      <c r="A8" s="28" t="s">
        <v>256</v>
      </c>
      <c r="B8" s="28" t="s">
        <v>279</v>
      </c>
      <c r="C8" s="28" t="s">
        <v>258</v>
      </c>
      <c r="D8" s="28" t="s">
        <v>260</v>
      </c>
      <c r="E8" s="28" t="s">
        <v>263</v>
      </c>
      <c r="G8" s="35" t="s">
        <v>1414</v>
      </c>
      <c r="H8" s="33"/>
      <c r="I8" s="33"/>
      <c r="J8" s="33"/>
      <c r="K8" s="34"/>
      <c r="L8" s="33"/>
      <c r="M8" s="33"/>
      <c r="N8" s="33"/>
      <c r="O8" s="33"/>
    </row>
    <row r="11" spans="1:25" ht="24.75" customHeight="1" x14ac:dyDescent="0.3">
      <c r="A11" s="28" t="s">
        <v>276</v>
      </c>
    </row>
    <row r="13" spans="1:25" ht="24.75" customHeight="1" x14ac:dyDescent="0.3">
      <c r="C13" s="28" t="s">
        <v>283</v>
      </c>
      <c r="D13" s="28" t="s">
        <v>294</v>
      </c>
      <c r="E13" s="28" t="s">
        <v>295</v>
      </c>
      <c r="F13" s="28" t="s">
        <v>296</v>
      </c>
      <c r="G13" s="28" t="s">
        <v>297</v>
      </c>
      <c r="H13" s="28" t="s">
        <v>298</v>
      </c>
      <c r="I13" s="28" t="s">
        <v>299</v>
      </c>
      <c r="J13" s="28" t="s">
        <v>300</v>
      </c>
      <c r="K13" s="28" t="s">
        <v>301</v>
      </c>
      <c r="L13" s="28" t="s">
        <v>302</v>
      </c>
      <c r="M13" s="28" t="s">
        <v>303</v>
      </c>
      <c r="N13" s="28" t="s">
        <v>304</v>
      </c>
      <c r="O13" s="28" t="s">
        <v>305</v>
      </c>
      <c r="P13" s="28" t="s">
        <v>293</v>
      </c>
      <c r="Q13" s="28" t="s">
        <v>428</v>
      </c>
      <c r="R13" s="28" t="s">
        <v>429</v>
      </c>
      <c r="S13" s="28" t="s">
        <v>430</v>
      </c>
      <c r="T13" s="28" t="s">
        <v>321</v>
      </c>
      <c r="U13" s="28" t="s">
        <v>431</v>
      </c>
      <c r="V13" s="28" t="s">
        <v>432</v>
      </c>
      <c r="W13" s="28" t="s">
        <v>433</v>
      </c>
      <c r="X13" s="28" t="s">
        <v>438</v>
      </c>
      <c r="Y13" s="28" t="s">
        <v>475</v>
      </c>
    </row>
    <row r="14" spans="1:25" ht="24.75" customHeight="1" x14ac:dyDescent="0.3">
      <c r="C14" s="28" t="s">
        <v>290</v>
      </c>
      <c r="D14" s="28" t="s">
        <v>306</v>
      </c>
      <c r="E14" s="28" t="s">
        <v>306</v>
      </c>
      <c r="F14" s="28" t="s">
        <v>307</v>
      </c>
      <c r="G14" s="28" t="s">
        <v>307</v>
      </c>
      <c r="H14" s="28" t="s">
        <v>308</v>
      </c>
      <c r="I14" s="28" t="s">
        <v>308</v>
      </c>
      <c r="J14" s="28" t="s">
        <v>268</v>
      </c>
      <c r="K14" s="28" t="s">
        <v>268</v>
      </c>
      <c r="L14" s="28" t="s">
        <v>309</v>
      </c>
      <c r="M14" s="28" t="s">
        <v>309</v>
      </c>
      <c r="N14" s="28" t="s">
        <v>310</v>
      </c>
      <c r="O14" s="28" t="s">
        <v>310</v>
      </c>
      <c r="P14" s="28" t="s">
        <v>311</v>
      </c>
      <c r="Q14" s="28" t="s">
        <v>311</v>
      </c>
      <c r="R14" s="28" t="s">
        <v>434</v>
      </c>
      <c r="S14" s="28" t="s">
        <v>434</v>
      </c>
      <c r="T14" s="28" t="s">
        <v>435</v>
      </c>
      <c r="U14" s="28" t="s">
        <v>435</v>
      </c>
      <c r="V14" s="28" t="s">
        <v>436</v>
      </c>
      <c r="W14" s="28" t="s">
        <v>436</v>
      </c>
      <c r="X14" s="28" t="s">
        <v>437</v>
      </c>
      <c r="Y14" s="28" t="s">
        <v>437</v>
      </c>
    </row>
    <row r="15" spans="1:25" ht="24.75" customHeight="1" x14ac:dyDescent="0.3">
      <c r="C15" s="28" t="s">
        <v>267</v>
      </c>
      <c r="D15" s="28" t="s">
        <v>268</v>
      </c>
      <c r="E15" s="28" t="s">
        <v>269</v>
      </c>
      <c r="F15" s="28" t="s">
        <v>270</v>
      </c>
      <c r="G15" s="28" t="s">
        <v>271</v>
      </c>
      <c r="H15" s="28" t="s">
        <v>272</v>
      </c>
      <c r="I15" s="28" t="s">
        <v>273</v>
      </c>
      <c r="J15" s="28" t="s">
        <v>247</v>
      </c>
      <c r="K15" s="28" t="s">
        <v>274</v>
      </c>
      <c r="L15" s="28" t="s">
        <v>275</v>
      </c>
      <c r="M15" s="28" t="s">
        <v>281</v>
      </c>
      <c r="N15" s="28" t="s">
        <v>277</v>
      </c>
      <c r="O15" s="28" t="s">
        <v>282</v>
      </c>
    </row>
    <row r="16" spans="1:25" ht="24.75" customHeight="1" x14ac:dyDescent="0.3">
      <c r="D16" s="28" t="s">
        <v>266</v>
      </c>
      <c r="E16" s="28" t="s">
        <v>286</v>
      </c>
      <c r="F16" s="28" t="s">
        <v>286</v>
      </c>
      <c r="G16" s="28" t="s">
        <v>287</v>
      </c>
      <c r="H16" s="28" t="s">
        <v>287</v>
      </c>
      <c r="I16" s="28" t="s">
        <v>288</v>
      </c>
      <c r="J16" s="28" t="s">
        <v>288</v>
      </c>
      <c r="K16" s="28" t="s">
        <v>289</v>
      </c>
      <c r="L16" s="28" t="s">
        <v>289</v>
      </c>
      <c r="M16" s="28" t="s">
        <v>285</v>
      </c>
      <c r="N16" s="28" t="s">
        <v>285</v>
      </c>
      <c r="O16" s="28" t="s">
        <v>290</v>
      </c>
    </row>
    <row r="22" spans="3:12" ht="24.75" customHeight="1" x14ac:dyDescent="0.3">
      <c r="C22" s="28" t="s">
        <v>300</v>
      </c>
      <c r="D22" s="28" t="s">
        <v>431</v>
      </c>
      <c r="E22" s="28" t="s">
        <v>944</v>
      </c>
      <c r="J22" s="32" t="s">
        <v>949</v>
      </c>
      <c r="K22" s="32" t="s">
        <v>947</v>
      </c>
      <c r="L22" s="32" t="s">
        <v>945</v>
      </c>
    </row>
    <row r="23" spans="3:12" ht="24.75" customHeight="1" x14ac:dyDescent="0.3">
      <c r="C23" s="28" t="s">
        <v>275</v>
      </c>
      <c r="D23" s="28" t="s">
        <v>295</v>
      </c>
      <c r="E23" s="28" t="s">
        <v>303</v>
      </c>
      <c r="J23" s="32" t="s">
        <v>258</v>
      </c>
      <c r="K23" s="32" t="s">
        <v>948</v>
      </c>
      <c r="L23" s="32" t="s">
        <v>946</v>
      </c>
    </row>
    <row r="24" spans="3:12" ht="24.75" customHeight="1" x14ac:dyDescent="0.3">
      <c r="C24" s="28" t="s">
        <v>271</v>
      </c>
      <c r="D24" s="28" t="s">
        <v>247</v>
      </c>
      <c r="E24" s="28" t="s">
        <v>277</v>
      </c>
      <c r="J24" s="32" t="s">
        <v>262</v>
      </c>
      <c r="K24" s="32" t="s">
        <v>249</v>
      </c>
      <c r="L24" s="32" t="s">
        <v>280</v>
      </c>
    </row>
    <row r="25" spans="3:12" ht="24.75" customHeight="1" x14ac:dyDescent="0.3">
      <c r="C25" s="28" t="s">
        <v>268</v>
      </c>
      <c r="D25" s="28" t="s">
        <v>270</v>
      </c>
      <c r="E25" s="28" t="s">
        <v>272</v>
      </c>
    </row>
    <row r="28" spans="3:12" ht="24.75" customHeight="1" x14ac:dyDescent="0.3">
      <c r="F28" s="28" t="s">
        <v>295</v>
      </c>
      <c r="G28" s="28" t="s">
        <v>431</v>
      </c>
      <c r="H28" s="28" t="s">
        <v>944</v>
      </c>
    </row>
    <row r="29" spans="3:12" ht="24.75" customHeight="1" x14ac:dyDescent="0.3">
      <c r="F29" s="28" t="s">
        <v>277</v>
      </c>
      <c r="G29" s="28" t="s">
        <v>303</v>
      </c>
      <c r="H29" s="28" t="s">
        <v>475</v>
      </c>
    </row>
    <row r="30" spans="3:12" ht="24.75" customHeight="1" x14ac:dyDescent="0.3">
      <c r="F30" s="28" t="s">
        <v>247</v>
      </c>
      <c r="G30" s="28" t="s">
        <v>295</v>
      </c>
      <c r="H30" s="28" t="s">
        <v>303</v>
      </c>
    </row>
    <row r="31" spans="3:12" ht="24.75" customHeight="1" x14ac:dyDescent="0.3">
      <c r="F31" s="28" t="s">
        <v>270</v>
      </c>
      <c r="G31" s="28" t="s">
        <v>247</v>
      </c>
      <c r="H31" s="28" t="s">
        <v>277</v>
      </c>
    </row>
    <row r="37" spans="3:12" ht="24.75" customHeight="1" x14ac:dyDescent="0.3">
      <c r="C37" s="32"/>
      <c r="D37" s="32"/>
      <c r="E37" s="32"/>
      <c r="G37" s="32"/>
      <c r="H37" s="32"/>
      <c r="I37" s="32"/>
      <c r="K37" s="32"/>
      <c r="L37" s="32"/>
    </row>
    <row r="38" spans="3:12" ht="24.75" customHeight="1" x14ac:dyDescent="0.3">
      <c r="C38" s="32"/>
      <c r="D38" s="32"/>
      <c r="E38" s="32"/>
      <c r="G38" s="32"/>
      <c r="H38" s="32"/>
      <c r="I38" s="32"/>
      <c r="K38" s="32"/>
      <c r="L38" s="32"/>
    </row>
    <row r="39" spans="3:12" ht="24.75" customHeight="1" x14ac:dyDescent="0.3">
      <c r="C39" s="32"/>
      <c r="D39" s="32"/>
      <c r="E39" s="32"/>
      <c r="G39" s="32"/>
      <c r="H39" s="32"/>
      <c r="I39" s="32"/>
      <c r="K39" s="32"/>
      <c r="L39" s="32"/>
    </row>
    <row r="40" spans="3:12" ht="24.75" customHeight="1" x14ac:dyDescent="0.3">
      <c r="C40" s="32"/>
      <c r="D40" s="32"/>
      <c r="E40" s="32"/>
      <c r="G40" s="32"/>
      <c r="H40" s="32"/>
      <c r="I40" s="32"/>
      <c r="K40" s="32"/>
      <c r="L40" s="32"/>
    </row>
    <row r="41" spans="3:12" ht="24.75" customHeight="1" x14ac:dyDescent="0.3">
      <c r="C41" s="32"/>
      <c r="D41" s="32"/>
      <c r="E41" s="32"/>
      <c r="G41" s="32"/>
      <c r="H41" s="32"/>
      <c r="I41" s="32"/>
      <c r="K41" s="32"/>
      <c r="L41" s="32"/>
    </row>
    <row r="42" spans="3:12" ht="24.75" customHeight="1" x14ac:dyDescent="0.3">
      <c r="C42" s="32"/>
      <c r="D42" s="32"/>
      <c r="E42" s="32"/>
      <c r="G42" s="32"/>
      <c r="H42" s="32"/>
      <c r="I42" s="32"/>
      <c r="K42" s="32"/>
      <c r="L42" s="32"/>
    </row>
    <row r="43" spans="3:12" ht="24.75" customHeight="1" x14ac:dyDescent="0.3">
      <c r="C43" s="32"/>
      <c r="D43" s="32"/>
      <c r="E43" s="32"/>
      <c r="G43" s="32"/>
      <c r="H43" s="32"/>
      <c r="I43" s="32"/>
      <c r="K43" s="32"/>
      <c r="L43" s="32"/>
    </row>
    <row r="44" spans="3:12" ht="24.75" customHeight="1" x14ac:dyDescent="0.3">
      <c r="C44" s="32"/>
      <c r="D44" s="32"/>
      <c r="E44" s="32"/>
      <c r="G44" s="32"/>
      <c r="H44" s="32"/>
      <c r="I44" s="32"/>
      <c r="K44" s="32"/>
      <c r="L44" s="32"/>
    </row>
    <row r="45" spans="3:12" ht="24.75" customHeight="1" x14ac:dyDescent="0.3">
      <c r="C45" s="32"/>
      <c r="D45" s="32"/>
      <c r="E45" s="32"/>
      <c r="G45" s="32"/>
      <c r="H45" s="32"/>
      <c r="I45" s="32"/>
      <c r="K45" s="32"/>
      <c r="L45" s="32"/>
    </row>
    <row r="46" spans="3:12" ht="24.75" customHeight="1" x14ac:dyDescent="0.3">
      <c r="C46" s="32"/>
      <c r="D46" s="32"/>
      <c r="E46" s="32"/>
      <c r="G46" s="32"/>
      <c r="H46" s="32"/>
      <c r="I46" s="32"/>
      <c r="K46" s="32"/>
      <c r="L46" s="32"/>
    </row>
    <row r="47" spans="3:12" ht="24.75" customHeight="1" x14ac:dyDescent="0.3">
      <c r="C47" s="32"/>
      <c r="D47" s="32"/>
      <c r="E47" s="32"/>
      <c r="G47" s="32"/>
      <c r="H47" s="32"/>
      <c r="I47" s="32"/>
      <c r="K47" s="32"/>
      <c r="L47" s="32"/>
    </row>
    <row r="48" spans="3:12" ht="24.75" customHeight="1" x14ac:dyDescent="0.3">
      <c r="C48" s="32"/>
      <c r="D48" s="32"/>
      <c r="E48" s="32"/>
      <c r="G48" s="32"/>
      <c r="H48" s="32"/>
      <c r="I48" s="32"/>
      <c r="K48" s="32"/>
      <c r="L48" s="32"/>
    </row>
    <row r="49" spans="3:12" ht="24.75" customHeight="1" x14ac:dyDescent="0.3">
      <c r="C49" s="32"/>
      <c r="D49" s="32"/>
      <c r="E49" s="32"/>
      <c r="G49" s="32"/>
      <c r="H49" s="32"/>
      <c r="I49" s="32"/>
      <c r="K49" s="32"/>
      <c r="L49" s="32"/>
    </row>
    <row r="51" spans="3:12" ht="24.75" customHeight="1" x14ac:dyDescent="0.3">
      <c r="C51" s="32"/>
      <c r="D51" s="32"/>
      <c r="E51" s="32"/>
      <c r="G51" s="32"/>
      <c r="H51" s="32"/>
      <c r="I51" s="32"/>
      <c r="K51" s="32"/>
      <c r="L51" s="32"/>
    </row>
    <row r="52" spans="3:12" ht="24.75" customHeight="1" x14ac:dyDescent="0.3">
      <c r="C52" s="32"/>
      <c r="D52" s="32"/>
      <c r="E52" s="32"/>
      <c r="G52" s="32"/>
      <c r="H52" s="32"/>
      <c r="I52" s="32"/>
      <c r="K52" s="32"/>
      <c r="L52" s="32"/>
    </row>
    <row r="53" spans="3:12" ht="24.75" customHeight="1" x14ac:dyDescent="0.3">
      <c r="C53" s="32"/>
      <c r="D53" s="32"/>
      <c r="E53" s="32"/>
      <c r="G53" s="32"/>
      <c r="H53" s="32"/>
      <c r="I53" s="32"/>
      <c r="K53" s="32"/>
      <c r="L53" s="32"/>
    </row>
    <row r="54" spans="3:12" ht="24.75" customHeight="1" x14ac:dyDescent="0.3">
      <c r="C54" s="32"/>
      <c r="D54" s="32"/>
      <c r="E54" s="32"/>
      <c r="G54" s="32"/>
      <c r="H54" s="32"/>
      <c r="I54" s="32"/>
      <c r="K54" s="32"/>
      <c r="L54" s="32"/>
    </row>
    <row r="55" spans="3:12" ht="24.75" customHeight="1" x14ac:dyDescent="0.3">
      <c r="C55" s="32"/>
      <c r="D55" s="32"/>
      <c r="E55" s="32"/>
      <c r="G55" s="32"/>
      <c r="H55" s="32"/>
      <c r="I55" s="32"/>
      <c r="K55" s="32"/>
      <c r="L55" s="32"/>
    </row>
    <row r="56" spans="3:12" ht="24.75" customHeight="1" x14ac:dyDescent="0.3">
      <c r="C56" s="32"/>
      <c r="D56" s="32"/>
      <c r="E56" s="32"/>
      <c r="G56" s="32"/>
      <c r="H56" s="32"/>
      <c r="I56" s="32"/>
      <c r="K56" s="32"/>
      <c r="L56" s="32"/>
    </row>
    <row r="57" spans="3:12" ht="24.75" customHeight="1" x14ac:dyDescent="0.3">
      <c r="C57" s="32"/>
      <c r="D57" s="32"/>
      <c r="E57" s="32"/>
      <c r="G57" s="32"/>
      <c r="H57" s="32"/>
      <c r="I57" s="32"/>
      <c r="K57" s="32"/>
      <c r="L57" s="32"/>
    </row>
    <row r="58" spans="3:12" ht="24.75" customHeight="1" x14ac:dyDescent="0.3">
      <c r="C58" s="32"/>
      <c r="D58" s="32"/>
      <c r="E58" s="32"/>
      <c r="G58" s="32"/>
      <c r="H58" s="32"/>
      <c r="I58" s="32"/>
      <c r="K58" s="32"/>
      <c r="L58" s="32"/>
    </row>
    <row r="59" spans="3:12" ht="24.75" customHeight="1" x14ac:dyDescent="0.3">
      <c r="C59" s="32"/>
      <c r="D59" s="32"/>
      <c r="E59" s="32"/>
      <c r="G59" s="32"/>
      <c r="H59" s="32"/>
      <c r="I59" s="32"/>
      <c r="K59" s="32"/>
      <c r="L59" s="32"/>
    </row>
    <row r="60" spans="3:12" ht="24.75" customHeight="1" x14ac:dyDescent="0.3">
      <c r="C60" s="32"/>
      <c r="D60" s="32"/>
      <c r="E60" s="32"/>
      <c r="G60" s="32"/>
      <c r="H60" s="32"/>
      <c r="I60" s="32"/>
      <c r="K60" s="32"/>
      <c r="L60" s="32"/>
    </row>
    <row r="61" spans="3:12" ht="24.75" customHeight="1" x14ac:dyDescent="0.3">
      <c r="C61" s="32"/>
      <c r="D61" s="32"/>
      <c r="E61" s="32"/>
      <c r="G61" s="32"/>
      <c r="H61" s="32"/>
      <c r="I61" s="32"/>
      <c r="K61" s="32"/>
      <c r="L61" s="32"/>
    </row>
    <row r="65" spans="3:13" ht="24.75" customHeight="1" x14ac:dyDescent="0.3">
      <c r="C65" s="32"/>
      <c r="D65" s="32"/>
      <c r="E65" s="32"/>
      <c r="G65" s="32"/>
      <c r="H65" s="32"/>
      <c r="I65" s="32"/>
      <c r="M65" s="32"/>
    </row>
    <row r="66" spans="3:13" ht="24.75" customHeight="1" x14ac:dyDescent="0.3">
      <c r="C66" s="32"/>
      <c r="D66" s="32"/>
      <c r="E66" s="32"/>
      <c r="G66" s="32"/>
      <c r="H66" s="32"/>
      <c r="I66" s="32"/>
      <c r="M66" s="32"/>
    </row>
    <row r="67" spans="3:13" ht="24.75" customHeight="1" x14ac:dyDescent="0.3">
      <c r="C67" s="32"/>
      <c r="D67" s="32"/>
      <c r="E67" s="32"/>
      <c r="G67" s="32"/>
      <c r="H67" s="32"/>
      <c r="I67" s="32"/>
      <c r="M67" s="32"/>
    </row>
    <row r="68" spans="3:13" ht="24.75" customHeight="1" x14ac:dyDescent="0.3">
      <c r="C68" s="32"/>
      <c r="D68" s="32"/>
      <c r="E68" s="32"/>
      <c r="G68" s="32"/>
      <c r="H68" s="32"/>
      <c r="I68" s="32"/>
      <c r="M68" s="32"/>
    </row>
    <row r="69" spans="3:13" ht="24.75" customHeight="1" x14ac:dyDescent="0.3">
      <c r="C69" s="32"/>
      <c r="D69" s="32"/>
      <c r="E69" s="32"/>
      <c r="G69" s="32"/>
      <c r="H69" s="32"/>
      <c r="I69" s="32"/>
      <c r="M69" s="32"/>
    </row>
    <row r="70" spans="3:13" ht="24.75" customHeight="1" x14ac:dyDescent="0.3">
      <c r="C70" s="32"/>
      <c r="D70" s="32"/>
      <c r="E70" s="32"/>
      <c r="G70" s="32"/>
      <c r="H70" s="32"/>
      <c r="I70" s="32"/>
      <c r="M70" s="32"/>
    </row>
    <row r="71" spans="3:13" ht="24.75" customHeight="1" x14ac:dyDescent="0.3">
      <c r="C71" s="32"/>
      <c r="D71" s="32"/>
      <c r="E71" s="32"/>
      <c r="G71" s="32"/>
      <c r="H71" s="32"/>
      <c r="I71" s="32"/>
      <c r="M71" s="32"/>
    </row>
    <row r="72" spans="3:13" ht="24.75" customHeight="1" x14ac:dyDescent="0.3">
      <c r="C72" s="32"/>
      <c r="D72" s="32"/>
      <c r="E72" s="32"/>
      <c r="G72" s="32"/>
      <c r="H72" s="32"/>
      <c r="I72" s="32"/>
      <c r="M72" s="32"/>
    </row>
    <row r="73" spans="3:13" ht="24.75" customHeight="1" x14ac:dyDescent="0.3">
      <c r="C73" s="32"/>
      <c r="D73" s="32"/>
      <c r="E73" s="32"/>
      <c r="G73" s="32"/>
      <c r="H73" s="32"/>
      <c r="I73" s="32"/>
      <c r="M73" s="32"/>
    </row>
    <row r="74" spans="3:13" ht="24.75" customHeight="1" x14ac:dyDescent="0.3">
      <c r="C74" s="32"/>
      <c r="D74" s="32"/>
      <c r="E74" s="32"/>
      <c r="G74" s="32"/>
      <c r="H74" s="32"/>
      <c r="I74" s="32"/>
      <c r="M74" s="32"/>
    </row>
    <row r="75" spans="3:13" ht="24.75" customHeight="1" x14ac:dyDescent="0.3">
      <c r="C75" s="32"/>
      <c r="D75" s="32"/>
      <c r="E75" s="32"/>
      <c r="G75" s="32"/>
      <c r="H75" s="32"/>
      <c r="I75" s="32"/>
      <c r="M75" s="32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5"/>
  <sheetViews>
    <sheetView topLeftCell="D61" workbookViewId="0">
      <selection activeCell="V66" sqref="V66"/>
    </sheetView>
  </sheetViews>
  <sheetFormatPr defaultColWidth="8.88671875" defaultRowHeight="25.2" customHeight="1" x14ac:dyDescent="0.4"/>
  <cols>
    <col min="1" max="1" width="24.77734375" style="1" customWidth="1"/>
    <col min="2" max="15" width="6.6640625" style="1" customWidth="1"/>
    <col min="16" max="16" width="7.109375" style="1" customWidth="1"/>
    <col min="17" max="19" width="6.6640625" style="1" customWidth="1"/>
    <col min="20" max="20" width="6.33203125" style="1" customWidth="1"/>
    <col min="21" max="26" width="6.6640625" style="1" customWidth="1"/>
    <col min="27" max="27" width="5.88671875" style="1" customWidth="1"/>
    <col min="28" max="33" width="8.88671875" style="1" customWidth="1"/>
    <col min="34" max="16384" width="8.88671875" style="1"/>
  </cols>
  <sheetData>
    <row r="1" spans="1:49" ht="25.2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3" spans="1:49" ht="25.2" customHeight="1" x14ac:dyDescent="0.4">
      <c r="A3" s="1" t="s">
        <v>0</v>
      </c>
      <c r="B3" s="3">
        <v>234</v>
      </c>
      <c r="C3" s="1">
        <v>235</v>
      </c>
      <c r="D3" s="2">
        <v>249</v>
      </c>
      <c r="E3" s="2">
        <f>249+12</f>
        <v>261</v>
      </c>
      <c r="F3" s="2">
        <v>281</v>
      </c>
      <c r="G3" s="2">
        <v>301</v>
      </c>
      <c r="H3" s="2">
        <v>314</v>
      </c>
      <c r="I3" s="2">
        <v>325</v>
      </c>
    </row>
    <row r="4" spans="1:49" ht="25.2" customHeight="1" x14ac:dyDescent="0.4">
      <c r="A4" s="1" t="s">
        <v>1</v>
      </c>
      <c r="B4" s="3">
        <v>231</v>
      </c>
      <c r="C4" s="3">
        <f>231-14</f>
        <v>217</v>
      </c>
      <c r="D4" s="1">
        <v>218</v>
      </c>
      <c r="E4" s="2">
        <v>231</v>
      </c>
      <c r="F4" s="3">
        <f>231-15</f>
        <v>216</v>
      </c>
      <c r="G4" s="2">
        <v>232</v>
      </c>
      <c r="H4" s="1">
        <v>233</v>
      </c>
      <c r="I4" s="2">
        <f>233+14</f>
        <v>247</v>
      </c>
    </row>
    <row r="5" spans="1:49" ht="25.2" customHeight="1" x14ac:dyDescent="0.4">
      <c r="A5" s="1" t="s">
        <v>2</v>
      </c>
      <c r="B5" s="3">
        <v>234</v>
      </c>
      <c r="C5" s="2">
        <v>251</v>
      </c>
      <c r="D5" s="3">
        <f>251-14</f>
        <v>237</v>
      </c>
      <c r="E5" s="1">
        <v>238</v>
      </c>
      <c r="F5" s="3">
        <v>220</v>
      </c>
      <c r="G5" s="2">
        <v>236</v>
      </c>
      <c r="H5" s="3">
        <v>225</v>
      </c>
      <c r="I5" s="3">
        <f>225-16</f>
        <v>209</v>
      </c>
    </row>
    <row r="6" spans="1:49" ht="25.2" customHeight="1" x14ac:dyDescent="0.4">
      <c r="A6" s="1" t="s">
        <v>3</v>
      </c>
      <c r="B6" s="3">
        <v>237</v>
      </c>
      <c r="C6" s="2">
        <v>249</v>
      </c>
      <c r="D6" s="3">
        <f>249-13</f>
        <v>236</v>
      </c>
      <c r="E6" s="3">
        <f>236-21</f>
        <v>215</v>
      </c>
      <c r="F6" s="3">
        <f>215-18</f>
        <v>197</v>
      </c>
      <c r="G6" s="3">
        <f>197-21</f>
        <v>176</v>
      </c>
      <c r="H6" s="1">
        <v>177</v>
      </c>
      <c r="I6" s="2">
        <f>177+17</f>
        <v>194</v>
      </c>
    </row>
    <row r="7" spans="1:49" ht="25.2" customHeight="1" x14ac:dyDescent="0.4">
      <c r="A7" s="1" t="s">
        <v>4</v>
      </c>
      <c r="B7" s="2">
        <v>266</v>
      </c>
      <c r="C7" s="3">
        <v>250</v>
      </c>
      <c r="D7" s="1">
        <v>251</v>
      </c>
      <c r="E7" s="3">
        <f>251-15</f>
        <v>236</v>
      </c>
      <c r="F7" s="2">
        <v>249</v>
      </c>
      <c r="G7" s="1">
        <v>250</v>
      </c>
      <c r="H7" s="1">
        <v>251</v>
      </c>
      <c r="I7" s="1">
        <v>252</v>
      </c>
    </row>
    <row r="8" spans="1:49" ht="25.2" customHeight="1" x14ac:dyDescent="0.4">
      <c r="A8" s="1" t="s">
        <v>5</v>
      </c>
      <c r="B8" s="3">
        <f>250-16</f>
        <v>234</v>
      </c>
      <c r="C8" s="1">
        <v>231</v>
      </c>
      <c r="D8" s="1">
        <v>232</v>
      </c>
      <c r="E8" s="2">
        <v>249</v>
      </c>
      <c r="F8" s="2">
        <f>249+14</f>
        <v>263</v>
      </c>
      <c r="G8" s="2">
        <f>263+12</f>
        <v>275</v>
      </c>
      <c r="H8" s="1">
        <v>276</v>
      </c>
      <c r="I8" s="3">
        <v>256</v>
      </c>
    </row>
    <row r="9" spans="1:49" ht="25.2" customHeight="1" x14ac:dyDescent="0.4">
      <c r="A9" s="1" t="s">
        <v>6</v>
      </c>
      <c r="B9" s="2">
        <v>266</v>
      </c>
      <c r="C9" s="3">
        <f>266-17</f>
        <v>249</v>
      </c>
      <c r="D9" s="1">
        <v>250</v>
      </c>
      <c r="E9" s="2">
        <v>267</v>
      </c>
      <c r="F9" s="2">
        <f>267+19</f>
        <v>286</v>
      </c>
      <c r="G9" s="2">
        <f>286+17</f>
        <v>303</v>
      </c>
      <c r="H9" s="2">
        <v>316</v>
      </c>
      <c r="I9" s="1">
        <v>317</v>
      </c>
    </row>
    <row r="10" spans="1:49" ht="25.2" customHeight="1" x14ac:dyDescent="0.4">
      <c r="A10" s="1" t="s">
        <v>7</v>
      </c>
      <c r="B10" s="3">
        <v>237</v>
      </c>
      <c r="C10" s="1">
        <v>238</v>
      </c>
      <c r="D10" s="2">
        <v>251</v>
      </c>
      <c r="E10" s="3">
        <f>251-17</f>
        <v>234</v>
      </c>
      <c r="F10" s="2">
        <v>250</v>
      </c>
      <c r="G10" s="3">
        <v>234</v>
      </c>
      <c r="H10" s="1">
        <v>235</v>
      </c>
      <c r="I10" s="3">
        <f>235-14</f>
        <v>221</v>
      </c>
    </row>
    <row r="11" spans="1:49" ht="25.2" customHeight="1" x14ac:dyDescent="0.4">
      <c r="A11" s="1" t="s">
        <v>8</v>
      </c>
      <c r="B11" s="2">
        <v>263</v>
      </c>
      <c r="C11" s="2">
        <v>283</v>
      </c>
      <c r="D11" s="2">
        <f>283+16</f>
        <v>299</v>
      </c>
      <c r="E11" s="2">
        <f>299+19</f>
        <v>318</v>
      </c>
      <c r="F11" s="2">
        <f>318+18</f>
        <v>336</v>
      </c>
      <c r="G11" s="2">
        <v>353</v>
      </c>
      <c r="H11" s="3">
        <f>353-12</f>
        <v>341</v>
      </c>
      <c r="I11" s="1">
        <v>343</v>
      </c>
    </row>
    <row r="12" spans="1:49" ht="25.2" customHeight="1" x14ac:dyDescent="0.4">
      <c r="A12" s="1" t="s">
        <v>9</v>
      </c>
      <c r="B12" s="1">
        <v>251</v>
      </c>
      <c r="C12" s="2">
        <v>265</v>
      </c>
      <c r="D12" s="1">
        <v>266</v>
      </c>
      <c r="E12" s="3">
        <f>266-17</f>
        <v>249</v>
      </c>
      <c r="F12" s="3">
        <f>249-13</f>
        <v>236</v>
      </c>
      <c r="G12" s="3">
        <v>223</v>
      </c>
      <c r="H12" s="1">
        <v>224</v>
      </c>
      <c r="I12" s="3">
        <f>224-17</f>
        <v>207</v>
      </c>
    </row>
    <row r="13" spans="1:49" ht="25.2" customHeight="1" x14ac:dyDescent="0.4">
      <c r="A13" s="1" t="s">
        <v>19</v>
      </c>
      <c r="B13" s="2">
        <v>269</v>
      </c>
      <c r="C13" s="2">
        <f>269+16</f>
        <v>285</v>
      </c>
      <c r="D13" s="2">
        <f>285+17</f>
        <v>302</v>
      </c>
      <c r="E13" s="3">
        <f>302-13</f>
        <v>289</v>
      </c>
      <c r="F13" s="3">
        <f>289-17</f>
        <v>272</v>
      </c>
      <c r="G13" s="2">
        <f>272+17</f>
        <v>289</v>
      </c>
      <c r="H13" s="1">
        <v>290</v>
      </c>
      <c r="I13" s="1">
        <v>291</v>
      </c>
    </row>
    <row r="14" spans="1:49" ht="25.2" customHeight="1" x14ac:dyDescent="0.4">
      <c r="A14" s="1" t="s">
        <v>10</v>
      </c>
      <c r="B14" s="2">
        <v>266</v>
      </c>
      <c r="C14" s="3">
        <v>250</v>
      </c>
      <c r="D14" s="3">
        <v>236</v>
      </c>
      <c r="E14" s="1">
        <v>238</v>
      </c>
      <c r="F14" s="3">
        <f>238-14</f>
        <v>224</v>
      </c>
      <c r="G14" s="3">
        <f>224-11</f>
        <v>213</v>
      </c>
      <c r="H14" s="3">
        <v>201</v>
      </c>
      <c r="I14" s="2">
        <v>191</v>
      </c>
    </row>
    <row r="15" spans="1:49" ht="25.2" customHeight="1" x14ac:dyDescent="0.4">
      <c r="A15" s="1" t="s">
        <v>17</v>
      </c>
      <c r="B15" s="3">
        <v>237</v>
      </c>
      <c r="C15" s="3">
        <f>237-16</f>
        <v>221</v>
      </c>
      <c r="D15" s="1">
        <v>222</v>
      </c>
      <c r="E15" s="3">
        <v>204</v>
      </c>
      <c r="F15" s="3">
        <f>204-11</f>
        <v>193</v>
      </c>
      <c r="G15" s="3">
        <f>193-14</f>
        <v>179</v>
      </c>
      <c r="H15" s="1">
        <v>180</v>
      </c>
      <c r="I15" s="3">
        <f>180-19</f>
        <v>161</v>
      </c>
    </row>
    <row r="16" spans="1:49" ht="25.2" customHeight="1" x14ac:dyDescent="0.4">
      <c r="A16" s="1" t="s">
        <v>11</v>
      </c>
      <c r="B16" s="1">
        <v>251</v>
      </c>
      <c r="C16" s="3">
        <f>251-14</f>
        <v>237</v>
      </c>
      <c r="D16" s="1">
        <v>238</v>
      </c>
      <c r="E16" s="3">
        <f>238-13</f>
        <v>225</v>
      </c>
      <c r="F16" s="2">
        <f>12+225</f>
        <v>237</v>
      </c>
      <c r="G16" s="2">
        <v>252</v>
      </c>
      <c r="H16" s="1">
        <v>253</v>
      </c>
      <c r="I16" s="2">
        <v>267</v>
      </c>
    </row>
    <row r="17" spans="1:15" ht="25.2" customHeight="1" x14ac:dyDescent="0.4">
      <c r="A17" s="1" t="s">
        <v>12</v>
      </c>
      <c r="B17" s="1">
        <v>251</v>
      </c>
      <c r="C17" s="3">
        <f>251-16</f>
        <v>235</v>
      </c>
      <c r="D17" s="3">
        <f>235-12</f>
        <v>223</v>
      </c>
      <c r="E17" s="3">
        <v>205</v>
      </c>
      <c r="F17" s="3">
        <f>205-17</f>
        <v>188</v>
      </c>
      <c r="G17" s="1">
        <v>189</v>
      </c>
      <c r="H17" s="1">
        <v>190</v>
      </c>
      <c r="I17" s="2">
        <v>202</v>
      </c>
    </row>
    <row r="18" spans="1:15" ht="25.2" customHeight="1" x14ac:dyDescent="0.4">
      <c r="A18" s="1" t="s">
        <v>18</v>
      </c>
      <c r="B18" s="1">
        <v>251</v>
      </c>
      <c r="C18" s="2">
        <v>264</v>
      </c>
      <c r="D18" s="1">
        <v>265</v>
      </c>
      <c r="E18" s="2">
        <f>265+18</f>
        <v>283</v>
      </c>
      <c r="F18" s="2">
        <v>294</v>
      </c>
      <c r="G18" s="2">
        <f>294+14</f>
        <v>308</v>
      </c>
      <c r="H18" s="2">
        <v>330</v>
      </c>
      <c r="I18" s="1">
        <v>331</v>
      </c>
    </row>
    <row r="19" spans="1:15" ht="25.2" customHeight="1" x14ac:dyDescent="0.4">
      <c r="A19" s="1" t="s">
        <v>13</v>
      </c>
      <c r="B19" s="1">
        <v>251</v>
      </c>
      <c r="C19" s="3">
        <f>251-14</f>
        <v>237</v>
      </c>
      <c r="D19" s="3">
        <v>220</v>
      </c>
      <c r="E19" s="2">
        <v>236</v>
      </c>
      <c r="F19" s="2">
        <f>236+18</f>
        <v>254</v>
      </c>
      <c r="G19" s="3">
        <f>254-18</f>
        <v>236</v>
      </c>
      <c r="H19" s="1">
        <v>237</v>
      </c>
      <c r="I19" s="2">
        <f>237+14</f>
        <v>251</v>
      </c>
    </row>
    <row r="20" spans="1:15" ht="25.2" customHeight="1" x14ac:dyDescent="0.4">
      <c r="A20" s="1" t="s">
        <v>16</v>
      </c>
      <c r="B20" s="2">
        <v>267</v>
      </c>
      <c r="C20" s="2">
        <f>267+16</f>
        <v>283</v>
      </c>
      <c r="D20" s="2">
        <v>300</v>
      </c>
      <c r="E20" s="1">
        <v>301</v>
      </c>
      <c r="F20" s="3">
        <f>301-14</f>
        <v>287</v>
      </c>
      <c r="G20" s="3">
        <f>287-14</f>
        <v>273</v>
      </c>
      <c r="H20" s="2">
        <v>287</v>
      </c>
      <c r="I20" s="2">
        <f>287+15</f>
        <v>302</v>
      </c>
    </row>
    <row r="21" spans="1:15" ht="25.2" customHeight="1" x14ac:dyDescent="0.4">
      <c r="A21" s="1" t="s">
        <v>14</v>
      </c>
      <c r="B21" s="1">
        <v>253</v>
      </c>
      <c r="C21" s="2">
        <f>253+17</f>
        <v>270</v>
      </c>
      <c r="D21" s="3">
        <v>258</v>
      </c>
      <c r="E21" s="1">
        <v>259</v>
      </c>
      <c r="F21" s="3">
        <f>259-18</f>
        <v>241</v>
      </c>
      <c r="G21" s="3">
        <f>241-14</f>
        <v>227</v>
      </c>
      <c r="H21" s="3">
        <f>227-14</f>
        <v>213</v>
      </c>
      <c r="I21" s="3">
        <f>213-18</f>
        <v>195</v>
      </c>
    </row>
    <row r="22" spans="1:15" ht="25.2" customHeight="1" x14ac:dyDescent="0.4">
      <c r="A22" s="1" t="s">
        <v>15</v>
      </c>
      <c r="B22" s="1">
        <v>251</v>
      </c>
      <c r="C22" s="2">
        <v>268</v>
      </c>
      <c r="D22" s="2">
        <v>280</v>
      </c>
      <c r="E22" s="2">
        <v>298</v>
      </c>
      <c r="F22" s="2">
        <v>314</v>
      </c>
      <c r="G22" s="3">
        <v>299</v>
      </c>
      <c r="H22" s="1">
        <v>300</v>
      </c>
      <c r="I22" s="1">
        <v>302</v>
      </c>
    </row>
    <row r="26" spans="1:15" ht="25.2" customHeight="1" x14ac:dyDescent="0.4">
      <c r="A26" s="1" t="s">
        <v>20</v>
      </c>
      <c r="B26" s="3">
        <v>237</v>
      </c>
      <c r="C26" s="2">
        <v>254</v>
      </c>
      <c r="D26" s="1">
        <v>255</v>
      </c>
      <c r="E26" s="1">
        <v>256</v>
      </c>
      <c r="F26" s="3">
        <v>240</v>
      </c>
      <c r="G26" s="1">
        <v>241</v>
      </c>
      <c r="H26" s="1">
        <v>242</v>
      </c>
      <c r="I26" s="1">
        <v>243</v>
      </c>
      <c r="J26" s="4">
        <v>247</v>
      </c>
      <c r="K26" s="1">
        <v>250</v>
      </c>
      <c r="L26" s="3">
        <v>233</v>
      </c>
      <c r="M26" s="1">
        <v>236</v>
      </c>
      <c r="N26" s="2">
        <v>254</v>
      </c>
      <c r="O26" s="2">
        <f>254+27</f>
        <v>281</v>
      </c>
    </row>
    <row r="27" spans="1:15" ht="25.2" customHeight="1" x14ac:dyDescent="0.4">
      <c r="A27" s="1" t="s">
        <v>21</v>
      </c>
      <c r="B27" s="3">
        <v>237</v>
      </c>
      <c r="C27" s="2">
        <v>254</v>
      </c>
      <c r="D27" s="2">
        <v>267</v>
      </c>
      <c r="E27" s="3">
        <f>267-15</f>
        <v>252</v>
      </c>
      <c r="F27" s="1">
        <v>253</v>
      </c>
      <c r="G27" s="2">
        <v>273</v>
      </c>
      <c r="H27" s="1">
        <v>274</v>
      </c>
      <c r="I27" s="2">
        <v>288</v>
      </c>
      <c r="J27" s="3">
        <v>275</v>
      </c>
      <c r="K27" s="11">
        <v>295</v>
      </c>
      <c r="L27" s="1">
        <v>296</v>
      </c>
      <c r="M27" s="3">
        <v>285</v>
      </c>
      <c r="N27" s="1">
        <v>286</v>
      </c>
      <c r="O27" s="3">
        <f>286-31</f>
        <v>255</v>
      </c>
    </row>
    <row r="28" spans="1:15" ht="25.2" customHeight="1" x14ac:dyDescent="0.4">
      <c r="A28" s="1" t="s">
        <v>22</v>
      </c>
      <c r="B28" s="3">
        <v>237</v>
      </c>
      <c r="C28" s="3">
        <f>237-14</f>
        <v>223</v>
      </c>
      <c r="D28" s="2">
        <v>240</v>
      </c>
      <c r="E28" s="1">
        <v>241</v>
      </c>
      <c r="F28" s="2">
        <v>254</v>
      </c>
      <c r="G28" s="1">
        <v>255</v>
      </c>
      <c r="H28" s="1">
        <v>256</v>
      </c>
      <c r="I28" s="3">
        <v>242</v>
      </c>
      <c r="J28" s="3">
        <v>230</v>
      </c>
      <c r="K28" s="1">
        <v>231</v>
      </c>
      <c r="L28" s="2">
        <v>242</v>
      </c>
      <c r="M28" s="1">
        <v>243</v>
      </c>
      <c r="N28" s="3">
        <f>243-16</f>
        <v>227</v>
      </c>
      <c r="O28" s="2">
        <v>267</v>
      </c>
    </row>
    <row r="29" spans="1:15" ht="25.2" customHeight="1" x14ac:dyDescent="0.4">
      <c r="A29" s="1" t="s">
        <v>23</v>
      </c>
      <c r="B29" s="3">
        <v>230</v>
      </c>
      <c r="C29" s="3">
        <f>230-18</f>
        <v>212</v>
      </c>
      <c r="D29" s="3">
        <v>198</v>
      </c>
      <c r="E29" s="1">
        <v>199</v>
      </c>
      <c r="F29" s="3">
        <v>185</v>
      </c>
      <c r="G29" s="1">
        <v>186</v>
      </c>
      <c r="H29" s="3">
        <f>186-15</f>
        <v>171</v>
      </c>
      <c r="I29" s="2">
        <v>184</v>
      </c>
      <c r="J29" s="2">
        <v>197</v>
      </c>
      <c r="K29" s="3">
        <v>181</v>
      </c>
      <c r="L29" s="3">
        <v>172</v>
      </c>
      <c r="M29" s="1">
        <v>174</v>
      </c>
      <c r="N29" s="2">
        <v>187</v>
      </c>
      <c r="O29" s="3">
        <f>187-23</f>
        <v>164</v>
      </c>
    </row>
    <row r="30" spans="1:15" ht="25.2" customHeight="1" x14ac:dyDescent="0.4">
      <c r="A30" s="1" t="s">
        <v>24</v>
      </c>
      <c r="B30" s="1">
        <v>251</v>
      </c>
      <c r="C30" s="2">
        <v>265</v>
      </c>
      <c r="D30" s="1">
        <v>266</v>
      </c>
      <c r="E30" s="2">
        <v>283</v>
      </c>
      <c r="F30" s="2">
        <v>303</v>
      </c>
      <c r="G30" s="2">
        <v>321</v>
      </c>
      <c r="H30" s="1">
        <v>322</v>
      </c>
      <c r="I30" s="2">
        <v>335</v>
      </c>
      <c r="J30" s="1">
        <v>337</v>
      </c>
      <c r="K30" s="1">
        <v>338</v>
      </c>
      <c r="L30" s="2">
        <v>348</v>
      </c>
      <c r="M30" s="3">
        <v>331</v>
      </c>
      <c r="N30" s="2">
        <v>341</v>
      </c>
      <c r="O30" s="3">
        <f>341-32</f>
        <v>309</v>
      </c>
    </row>
    <row r="31" spans="1:15" ht="25.2" customHeight="1" x14ac:dyDescent="0.4">
      <c r="A31" s="1" t="s">
        <v>25</v>
      </c>
      <c r="B31" s="2">
        <v>263</v>
      </c>
      <c r="C31" s="2">
        <v>277</v>
      </c>
      <c r="D31" s="3">
        <v>265</v>
      </c>
      <c r="E31" s="3">
        <f>265-17</f>
        <v>248</v>
      </c>
      <c r="F31" s="2">
        <v>264</v>
      </c>
      <c r="G31" s="1">
        <v>265</v>
      </c>
      <c r="H31" s="3">
        <f>265-14</f>
        <v>251</v>
      </c>
      <c r="I31" s="1">
        <v>252</v>
      </c>
      <c r="J31" s="11">
        <v>275</v>
      </c>
      <c r="K31" s="2">
        <v>283</v>
      </c>
      <c r="L31" s="2">
        <v>295</v>
      </c>
      <c r="M31" s="7">
        <f>295-18</f>
        <v>277</v>
      </c>
      <c r="N31" s="3">
        <v>265</v>
      </c>
      <c r="O31" s="2">
        <f>265+19</f>
        <v>284</v>
      </c>
    </row>
    <row r="32" spans="1:15" ht="25.2" customHeight="1" x14ac:dyDescent="0.4">
      <c r="A32" s="1" t="s">
        <v>26</v>
      </c>
      <c r="B32" s="1">
        <v>251</v>
      </c>
      <c r="C32" s="2">
        <v>269</v>
      </c>
      <c r="D32" s="2">
        <v>285</v>
      </c>
      <c r="E32" s="1">
        <v>286</v>
      </c>
      <c r="F32" s="3">
        <v>270</v>
      </c>
      <c r="G32" s="3">
        <v>252</v>
      </c>
      <c r="H32" s="2">
        <v>269</v>
      </c>
      <c r="I32" s="2">
        <v>285</v>
      </c>
      <c r="J32" s="11">
        <v>303</v>
      </c>
      <c r="K32" s="1">
        <v>302</v>
      </c>
      <c r="L32" s="2">
        <v>319</v>
      </c>
      <c r="M32" s="1">
        <v>319</v>
      </c>
      <c r="N32" s="2">
        <v>333</v>
      </c>
      <c r="O32" s="2">
        <f>21+333</f>
        <v>354</v>
      </c>
    </row>
    <row r="33" spans="1:15" ht="25.2" customHeight="1" x14ac:dyDescent="0.4">
      <c r="A33" s="1" t="s">
        <v>27</v>
      </c>
      <c r="B33" s="3">
        <v>234</v>
      </c>
      <c r="C33" s="2">
        <v>250</v>
      </c>
      <c r="D33" s="2">
        <v>265</v>
      </c>
      <c r="E33" s="3">
        <f>265-12</f>
        <v>253</v>
      </c>
      <c r="F33" s="2">
        <v>269</v>
      </c>
      <c r="G33" s="2">
        <v>282</v>
      </c>
      <c r="H33" s="2">
        <v>303</v>
      </c>
      <c r="I33" s="3">
        <v>289</v>
      </c>
      <c r="J33" s="3">
        <v>276</v>
      </c>
      <c r="K33" s="1">
        <v>278</v>
      </c>
      <c r="L33" s="3">
        <v>264</v>
      </c>
      <c r="M33" s="3">
        <v>246</v>
      </c>
      <c r="N33" s="3">
        <v>235</v>
      </c>
      <c r="O33" s="2">
        <v>270</v>
      </c>
    </row>
    <row r="34" spans="1:15" ht="25.2" customHeight="1" x14ac:dyDescent="0.4">
      <c r="A34" s="1" t="s">
        <v>28</v>
      </c>
      <c r="B34" s="1">
        <v>251</v>
      </c>
      <c r="C34" s="2">
        <v>268</v>
      </c>
      <c r="D34" s="1">
        <v>269</v>
      </c>
      <c r="E34" s="2">
        <v>289</v>
      </c>
      <c r="F34" s="3">
        <v>278</v>
      </c>
      <c r="G34" s="1">
        <v>279</v>
      </c>
      <c r="H34" s="3">
        <v>262</v>
      </c>
      <c r="I34" s="2">
        <v>284</v>
      </c>
      <c r="J34" s="11">
        <v>302</v>
      </c>
      <c r="K34" s="3">
        <f>302-16</f>
        <v>286</v>
      </c>
      <c r="L34" s="3">
        <v>276</v>
      </c>
      <c r="M34" s="1">
        <v>277</v>
      </c>
      <c r="N34" s="3">
        <v>267</v>
      </c>
      <c r="O34" s="3">
        <v>240</v>
      </c>
    </row>
    <row r="35" spans="1:15" ht="25.2" customHeight="1" x14ac:dyDescent="0.4">
      <c r="A35" s="1" t="s">
        <v>31</v>
      </c>
      <c r="B35" s="1">
        <v>251</v>
      </c>
      <c r="C35" s="3">
        <f>251-17</f>
        <v>234</v>
      </c>
      <c r="D35" s="2">
        <v>248</v>
      </c>
      <c r="E35" s="1">
        <v>249</v>
      </c>
      <c r="F35" s="3">
        <v>236</v>
      </c>
      <c r="G35" s="3">
        <f>236-17</f>
        <v>219</v>
      </c>
      <c r="H35" s="3">
        <v>203</v>
      </c>
      <c r="I35" s="1">
        <v>204</v>
      </c>
      <c r="J35" s="7">
        <f>204-19</f>
        <v>185</v>
      </c>
      <c r="K35" s="2">
        <v>199</v>
      </c>
      <c r="L35" s="1">
        <v>202</v>
      </c>
      <c r="M35" s="2">
        <v>215</v>
      </c>
      <c r="N35" s="1">
        <v>218</v>
      </c>
      <c r="O35" s="3">
        <v>200</v>
      </c>
    </row>
    <row r="36" spans="1:15" ht="25.2" customHeight="1" x14ac:dyDescent="0.4">
      <c r="A36" s="1" t="s">
        <v>32</v>
      </c>
      <c r="B36" s="2">
        <v>266</v>
      </c>
      <c r="C36" s="3">
        <v>249</v>
      </c>
      <c r="D36" s="1">
        <v>250</v>
      </c>
      <c r="E36" s="1">
        <v>251</v>
      </c>
      <c r="F36" s="2">
        <v>263</v>
      </c>
      <c r="G36" s="3">
        <v>250</v>
      </c>
      <c r="H36" s="2">
        <v>263</v>
      </c>
      <c r="I36" s="1">
        <v>264</v>
      </c>
      <c r="J36" s="3">
        <v>250</v>
      </c>
      <c r="K36" s="4">
        <v>254</v>
      </c>
      <c r="L36" s="3">
        <v>244</v>
      </c>
      <c r="M36" s="1">
        <v>244</v>
      </c>
      <c r="N36" s="2">
        <v>260</v>
      </c>
      <c r="O36" s="3">
        <v>242</v>
      </c>
    </row>
    <row r="37" spans="1:15" ht="25.2" customHeight="1" x14ac:dyDescent="0.4">
      <c r="A37" s="1" t="s">
        <v>29</v>
      </c>
      <c r="B37" s="2">
        <v>267</v>
      </c>
      <c r="C37" s="2">
        <f>267+16</f>
        <v>283</v>
      </c>
      <c r="D37" s="3">
        <v>270</v>
      </c>
      <c r="E37" s="3">
        <v>249</v>
      </c>
      <c r="F37" s="2">
        <v>265</v>
      </c>
      <c r="G37" s="1">
        <v>266</v>
      </c>
      <c r="H37" s="3">
        <f>266-17</f>
        <v>249</v>
      </c>
      <c r="I37" s="3">
        <v>239</v>
      </c>
      <c r="J37" s="4">
        <v>243</v>
      </c>
      <c r="K37" s="1">
        <v>244</v>
      </c>
      <c r="L37" s="2">
        <v>261</v>
      </c>
      <c r="M37" s="1">
        <v>264</v>
      </c>
      <c r="N37" s="2">
        <v>278</v>
      </c>
      <c r="O37" s="3">
        <f>278-22</f>
        <v>256</v>
      </c>
    </row>
    <row r="38" spans="1:15" ht="25.2" customHeight="1" x14ac:dyDescent="0.4">
      <c r="A38" s="1" t="s">
        <v>33</v>
      </c>
      <c r="B38" s="1">
        <v>251</v>
      </c>
      <c r="C38" s="3">
        <f>251-14</f>
        <v>237</v>
      </c>
      <c r="D38" s="2">
        <v>248</v>
      </c>
      <c r="E38" s="1">
        <v>249</v>
      </c>
      <c r="F38" s="3">
        <v>232</v>
      </c>
      <c r="G38" s="3">
        <v>220</v>
      </c>
      <c r="H38" s="3">
        <v>199</v>
      </c>
      <c r="I38" s="3">
        <f>199-21</f>
        <v>178</v>
      </c>
      <c r="J38" s="2">
        <v>190</v>
      </c>
      <c r="K38" s="7">
        <f>190-22</f>
        <v>168</v>
      </c>
      <c r="L38" s="3">
        <v>151</v>
      </c>
      <c r="M38" s="2">
        <v>165</v>
      </c>
      <c r="N38" s="10">
        <v>169</v>
      </c>
      <c r="O38" s="2">
        <v>192</v>
      </c>
    </row>
    <row r="39" spans="1:15" ht="25.2" customHeight="1" x14ac:dyDescent="0.4">
      <c r="A39" s="1" t="s">
        <v>30</v>
      </c>
      <c r="B39" s="3">
        <v>233</v>
      </c>
      <c r="C39" s="3">
        <f>233-16</f>
        <v>217</v>
      </c>
      <c r="D39" s="1">
        <v>218</v>
      </c>
      <c r="E39" s="2">
        <v>236</v>
      </c>
      <c r="F39" s="3">
        <v>220</v>
      </c>
      <c r="G39" s="3">
        <v>208</v>
      </c>
      <c r="H39" s="2">
        <v>218</v>
      </c>
      <c r="I39" s="2">
        <v>232</v>
      </c>
      <c r="J39" s="2">
        <v>246</v>
      </c>
      <c r="K39" s="3">
        <v>234</v>
      </c>
      <c r="L39" s="2">
        <v>248</v>
      </c>
      <c r="M39" s="3">
        <v>233</v>
      </c>
      <c r="N39" s="1">
        <v>234</v>
      </c>
      <c r="O39" s="2">
        <f>27+234</f>
        <v>261</v>
      </c>
    </row>
    <row r="40" spans="1:15" ht="25.2" customHeight="1" x14ac:dyDescent="0.4">
      <c r="A40" s="1" t="s">
        <v>34</v>
      </c>
      <c r="B40" s="2">
        <v>270</v>
      </c>
      <c r="C40" s="1">
        <v>271</v>
      </c>
      <c r="D40" s="1">
        <v>285</v>
      </c>
      <c r="E40" s="2">
        <v>286</v>
      </c>
      <c r="F40" s="3">
        <v>272</v>
      </c>
      <c r="G40" s="2">
        <v>284</v>
      </c>
      <c r="H40" s="2">
        <v>295</v>
      </c>
      <c r="I40" s="2">
        <v>312</v>
      </c>
      <c r="J40" s="2">
        <v>328</v>
      </c>
      <c r="K40" s="3">
        <v>317</v>
      </c>
      <c r="L40" s="2">
        <v>335</v>
      </c>
      <c r="M40" s="2">
        <v>345</v>
      </c>
      <c r="N40" s="1">
        <v>348</v>
      </c>
      <c r="O40" s="3">
        <f>348-23</f>
        <v>325</v>
      </c>
    </row>
    <row r="41" spans="1:15" ht="25.2" customHeight="1" x14ac:dyDescent="0.4">
      <c r="A41" s="1" t="s">
        <v>35</v>
      </c>
      <c r="B41" s="2">
        <v>263</v>
      </c>
      <c r="C41" s="3">
        <f>263-17</f>
        <v>246</v>
      </c>
      <c r="D41" s="3">
        <v>233</v>
      </c>
      <c r="E41" s="2">
        <v>246</v>
      </c>
      <c r="F41" s="2">
        <v>260</v>
      </c>
      <c r="G41" s="1">
        <v>261</v>
      </c>
      <c r="H41" s="1">
        <v>262</v>
      </c>
      <c r="I41" s="3">
        <v>249</v>
      </c>
      <c r="J41" s="3">
        <v>236</v>
      </c>
      <c r="K41" s="1">
        <v>238</v>
      </c>
      <c r="L41" s="3">
        <v>227</v>
      </c>
      <c r="M41" s="2">
        <v>249</v>
      </c>
      <c r="N41" s="3">
        <v>232</v>
      </c>
      <c r="O41" s="3">
        <v>200</v>
      </c>
    </row>
    <row r="42" spans="1:15" ht="25.2" customHeight="1" x14ac:dyDescent="0.4">
      <c r="A42" s="1" t="s">
        <v>36</v>
      </c>
      <c r="B42" s="3">
        <v>237</v>
      </c>
      <c r="C42" s="3">
        <f>237-14</f>
        <v>223</v>
      </c>
      <c r="D42" s="2">
        <v>240</v>
      </c>
      <c r="E42" s="2">
        <v>257</v>
      </c>
      <c r="F42" s="2">
        <f>18+257</f>
        <v>275</v>
      </c>
      <c r="G42" s="2">
        <v>292</v>
      </c>
      <c r="H42" s="2">
        <v>313</v>
      </c>
      <c r="I42" s="3">
        <v>296</v>
      </c>
      <c r="J42" s="1">
        <v>298</v>
      </c>
      <c r="K42" s="2">
        <v>315</v>
      </c>
      <c r="L42" s="2">
        <v>326</v>
      </c>
      <c r="M42" s="2">
        <v>344</v>
      </c>
      <c r="N42" s="2">
        <v>362</v>
      </c>
      <c r="O42" s="2">
        <v>396</v>
      </c>
    </row>
    <row r="43" spans="1:15" ht="25.2" customHeight="1" x14ac:dyDescent="0.4">
      <c r="A43" s="1" t="s">
        <v>37</v>
      </c>
      <c r="B43" s="3">
        <v>237</v>
      </c>
      <c r="C43" s="3">
        <f>237-14</f>
        <v>223</v>
      </c>
      <c r="D43" s="1" t="b">
        <f>241=223-17</f>
        <v>0</v>
      </c>
      <c r="E43" s="1">
        <v>226</v>
      </c>
      <c r="F43" s="3">
        <v>213</v>
      </c>
      <c r="G43" s="3">
        <v>199</v>
      </c>
      <c r="H43" s="2">
        <v>215</v>
      </c>
      <c r="I43" s="3">
        <v>198</v>
      </c>
      <c r="J43" s="2">
        <v>209</v>
      </c>
      <c r="K43" s="4">
        <v>213</v>
      </c>
      <c r="L43" s="2">
        <v>229</v>
      </c>
      <c r="M43" s="4">
        <v>234</v>
      </c>
      <c r="N43" s="2">
        <v>269</v>
      </c>
      <c r="O43" s="2">
        <v>307</v>
      </c>
    </row>
    <row r="44" spans="1:15" ht="25.2" customHeight="1" x14ac:dyDescent="0.4">
      <c r="A44" s="1" t="s">
        <v>38</v>
      </c>
      <c r="B44" s="2">
        <v>263</v>
      </c>
      <c r="C44" s="3">
        <f>263-16</f>
        <v>247</v>
      </c>
      <c r="D44" s="3">
        <v>229</v>
      </c>
      <c r="E44" s="1">
        <v>230</v>
      </c>
      <c r="F44" s="2">
        <v>246</v>
      </c>
      <c r="G44" s="2">
        <v>260</v>
      </c>
      <c r="H44" s="1">
        <v>261</v>
      </c>
      <c r="I44" s="2">
        <v>280</v>
      </c>
      <c r="J44" s="2">
        <v>297</v>
      </c>
      <c r="K44" s="3">
        <f>297-16</f>
        <v>281</v>
      </c>
      <c r="L44" s="1">
        <v>281</v>
      </c>
      <c r="M44" s="1">
        <v>283</v>
      </c>
      <c r="N44" s="3">
        <f>283-17</f>
        <v>266</v>
      </c>
      <c r="O44" s="2">
        <v>279</v>
      </c>
    </row>
    <row r="45" spans="1:15" ht="25.2" customHeight="1" x14ac:dyDescent="0.4">
      <c r="A45" s="1" t="s">
        <v>39</v>
      </c>
      <c r="B45" s="1">
        <v>251</v>
      </c>
      <c r="C45" s="3">
        <f>251-18</f>
        <v>233</v>
      </c>
      <c r="D45" s="3">
        <f>233-16</f>
        <v>217</v>
      </c>
      <c r="E45" s="2">
        <v>231</v>
      </c>
      <c r="F45" s="3">
        <f>231-17</f>
        <v>214</v>
      </c>
      <c r="G45" s="1">
        <v>215</v>
      </c>
      <c r="H45" s="1">
        <v>216</v>
      </c>
      <c r="I45" s="3">
        <v>194</v>
      </c>
      <c r="J45" s="7">
        <v>174</v>
      </c>
      <c r="K45" s="3">
        <v>164</v>
      </c>
      <c r="L45" s="3">
        <v>152</v>
      </c>
      <c r="M45" s="3">
        <v>141</v>
      </c>
      <c r="N45" s="3">
        <v>130</v>
      </c>
      <c r="O45" s="3">
        <v>107</v>
      </c>
    </row>
    <row r="46" spans="1:15" ht="25.2" customHeight="1" x14ac:dyDescent="0.4">
      <c r="A46" s="1" t="s">
        <v>40</v>
      </c>
      <c r="B46" s="3">
        <v>237</v>
      </c>
      <c r="C46" s="2">
        <f>237+16</f>
        <v>253</v>
      </c>
      <c r="D46" s="1">
        <v>254</v>
      </c>
      <c r="E46" s="3">
        <v>240</v>
      </c>
      <c r="F46" s="3">
        <v>224</v>
      </c>
      <c r="G46" s="3">
        <v>210</v>
      </c>
      <c r="H46" s="3">
        <v>199</v>
      </c>
      <c r="I46" s="1">
        <v>200</v>
      </c>
      <c r="J46" s="3">
        <v>184</v>
      </c>
      <c r="K46" s="2">
        <v>200</v>
      </c>
      <c r="L46" s="1">
        <v>203</v>
      </c>
      <c r="M46" s="1">
        <v>205</v>
      </c>
      <c r="N46" s="1">
        <v>206</v>
      </c>
      <c r="O46" s="3">
        <f>206-17</f>
        <v>189</v>
      </c>
    </row>
    <row r="47" spans="1:15" ht="25.2" customHeight="1" x14ac:dyDescent="0.4">
      <c r="A47" s="1" t="s">
        <v>42</v>
      </c>
      <c r="B47" s="2">
        <v>263</v>
      </c>
      <c r="C47" s="2">
        <v>277</v>
      </c>
      <c r="D47" s="1">
        <v>278</v>
      </c>
      <c r="E47" s="1">
        <v>279</v>
      </c>
      <c r="F47" s="2">
        <v>291</v>
      </c>
      <c r="G47" s="3">
        <f>291-12</f>
        <v>279</v>
      </c>
      <c r="H47" s="1">
        <v>280</v>
      </c>
      <c r="I47" s="1">
        <v>281</v>
      </c>
      <c r="J47" s="7">
        <f>281-18</f>
        <v>263</v>
      </c>
      <c r="K47" s="1">
        <v>265</v>
      </c>
      <c r="L47" s="3">
        <f>265-16</f>
        <v>249</v>
      </c>
      <c r="M47" s="2">
        <v>269</v>
      </c>
      <c r="N47" s="4">
        <v>273</v>
      </c>
      <c r="O47" s="3">
        <f>273-25</f>
        <v>248</v>
      </c>
    </row>
    <row r="48" spans="1:15" ht="25.2" customHeight="1" x14ac:dyDescent="0.4">
      <c r="A48" s="1" t="s">
        <v>41</v>
      </c>
      <c r="B48" s="2">
        <v>263</v>
      </c>
      <c r="C48" s="2">
        <v>277</v>
      </c>
      <c r="D48" s="1">
        <v>278</v>
      </c>
      <c r="E48" s="2">
        <v>292</v>
      </c>
      <c r="F48" s="2">
        <v>307</v>
      </c>
      <c r="G48" s="2">
        <v>321</v>
      </c>
      <c r="H48" s="3">
        <v>308</v>
      </c>
      <c r="I48" s="2">
        <v>321</v>
      </c>
      <c r="J48" s="3">
        <v>309</v>
      </c>
      <c r="K48" s="2">
        <v>318</v>
      </c>
      <c r="L48" s="2">
        <v>334</v>
      </c>
      <c r="M48" s="3">
        <v>323</v>
      </c>
      <c r="N48" s="7">
        <f>323-32</f>
        <v>291</v>
      </c>
      <c r="O48" s="2">
        <f>291+22</f>
        <v>313</v>
      </c>
    </row>
    <row r="49" spans="1:16" ht="25.2" customHeight="1" x14ac:dyDescent="0.4">
      <c r="A49" s="1" t="s">
        <v>43</v>
      </c>
      <c r="B49" s="2">
        <v>263</v>
      </c>
      <c r="C49" s="1">
        <v>264</v>
      </c>
      <c r="D49" s="3">
        <f>264-17</f>
        <v>247</v>
      </c>
      <c r="E49" s="3">
        <f>247-21</f>
        <v>226</v>
      </c>
      <c r="F49" s="1">
        <v>227</v>
      </c>
      <c r="G49" s="2">
        <v>239</v>
      </c>
      <c r="H49" s="2">
        <v>254</v>
      </c>
      <c r="I49" s="3">
        <v>245</v>
      </c>
      <c r="J49" s="2">
        <v>258</v>
      </c>
      <c r="K49" s="2">
        <v>270</v>
      </c>
      <c r="L49" s="5">
        <v>258</v>
      </c>
      <c r="M49" s="2">
        <v>278</v>
      </c>
      <c r="N49" s="10">
        <v>278</v>
      </c>
      <c r="O49" s="2">
        <v>306</v>
      </c>
    </row>
    <row r="52" spans="1:16" ht="25.2" customHeight="1" x14ac:dyDescent="0.4">
      <c r="L52" s="10"/>
    </row>
    <row r="54" spans="1:16" ht="25.2" customHeight="1" x14ac:dyDescent="0.4">
      <c r="A54" s="1" t="s">
        <v>44</v>
      </c>
      <c r="B54" s="2">
        <v>263</v>
      </c>
      <c r="C54" s="3">
        <v>251</v>
      </c>
      <c r="D54" s="1">
        <v>253</v>
      </c>
      <c r="E54" s="3">
        <f>253-17</f>
        <v>236</v>
      </c>
      <c r="F54" s="1">
        <v>238</v>
      </c>
      <c r="G54" s="2">
        <v>253</v>
      </c>
      <c r="H54" s="2">
        <v>263</v>
      </c>
      <c r="I54" s="2">
        <v>275</v>
      </c>
      <c r="J54" s="2">
        <v>288</v>
      </c>
      <c r="K54" s="2">
        <f>288+16</f>
        <v>304</v>
      </c>
      <c r="L54" s="3">
        <v>294</v>
      </c>
      <c r="M54" s="3">
        <f>294-16</f>
        <v>278</v>
      </c>
      <c r="N54" s="3">
        <f>278-14</f>
        <v>264</v>
      </c>
      <c r="O54" s="3">
        <v>251</v>
      </c>
      <c r="P54" s="3">
        <f>251-13</f>
        <v>238</v>
      </c>
    </row>
    <row r="55" spans="1:16" ht="25.2" customHeight="1" x14ac:dyDescent="0.4">
      <c r="A55" s="1" t="s">
        <v>45</v>
      </c>
      <c r="B55" s="2">
        <v>260</v>
      </c>
      <c r="C55" s="2">
        <v>272</v>
      </c>
      <c r="D55" s="2">
        <v>285</v>
      </c>
      <c r="E55" s="2">
        <v>296</v>
      </c>
      <c r="F55" s="1">
        <v>299</v>
      </c>
      <c r="G55" s="1">
        <v>300</v>
      </c>
      <c r="H55" s="1">
        <v>302</v>
      </c>
      <c r="I55" s="3">
        <v>288</v>
      </c>
      <c r="J55" s="4">
        <v>292</v>
      </c>
      <c r="K55" s="3">
        <f>292-14</f>
        <v>278</v>
      </c>
      <c r="L55" s="3">
        <f>278-17</f>
        <v>261</v>
      </c>
      <c r="M55" s="9">
        <v>272</v>
      </c>
      <c r="N55" s="9">
        <v>286</v>
      </c>
      <c r="O55" s="9">
        <v>300</v>
      </c>
      <c r="P55" s="2">
        <v>316</v>
      </c>
    </row>
    <row r="56" spans="1:16" ht="25.2" customHeight="1" x14ac:dyDescent="0.4">
      <c r="A56" s="1" t="s">
        <v>46</v>
      </c>
      <c r="B56" s="1">
        <v>252</v>
      </c>
      <c r="C56" s="2">
        <v>266</v>
      </c>
      <c r="D56" s="2">
        <v>280</v>
      </c>
      <c r="E56" s="2">
        <v>293</v>
      </c>
      <c r="F56" s="1">
        <v>295</v>
      </c>
      <c r="G56" s="1">
        <v>298</v>
      </c>
      <c r="H56" s="1">
        <v>300</v>
      </c>
      <c r="I56" s="1">
        <v>302</v>
      </c>
      <c r="J56" s="1">
        <v>305</v>
      </c>
      <c r="K56" s="9">
        <v>318</v>
      </c>
      <c r="L56" s="9">
        <v>330</v>
      </c>
      <c r="M56" s="9">
        <v>343</v>
      </c>
      <c r="N56" s="3">
        <f>343-14</f>
        <v>329</v>
      </c>
      <c r="O56" s="1">
        <v>330</v>
      </c>
      <c r="P56" s="1">
        <v>333</v>
      </c>
    </row>
    <row r="57" spans="1:16" ht="25.2" customHeight="1" x14ac:dyDescent="0.4">
      <c r="A57" s="1" t="s">
        <v>47</v>
      </c>
      <c r="B57" s="3">
        <v>234</v>
      </c>
      <c r="C57" s="2">
        <v>244</v>
      </c>
      <c r="D57" s="3">
        <v>230</v>
      </c>
      <c r="E57" s="1">
        <v>232</v>
      </c>
      <c r="F57" s="1">
        <v>232</v>
      </c>
      <c r="G57" s="1">
        <v>233</v>
      </c>
      <c r="H57" s="4">
        <v>237</v>
      </c>
      <c r="I57" s="2">
        <v>249</v>
      </c>
      <c r="J57" s="2">
        <f>249+14</f>
        <v>263</v>
      </c>
      <c r="K57" s="3">
        <v>250</v>
      </c>
      <c r="L57" s="9">
        <v>265</v>
      </c>
      <c r="M57" s="9">
        <v>277</v>
      </c>
      <c r="N57" s="1">
        <v>279</v>
      </c>
      <c r="O57" s="2">
        <f>279+14</f>
        <v>293</v>
      </c>
    </row>
    <row r="58" spans="1:16" ht="25.2" customHeight="1" x14ac:dyDescent="0.4">
      <c r="A58" s="1" t="s">
        <v>56</v>
      </c>
      <c r="B58" s="3">
        <v>237</v>
      </c>
      <c r="C58" s="1">
        <v>239</v>
      </c>
      <c r="D58" s="1">
        <v>241</v>
      </c>
      <c r="E58" s="3">
        <f>241-12</f>
        <v>229</v>
      </c>
      <c r="F58" s="1">
        <v>231</v>
      </c>
      <c r="G58" s="3">
        <f>231-14</f>
        <v>217</v>
      </c>
      <c r="H58" s="1">
        <v>220</v>
      </c>
      <c r="I58" s="1">
        <v>222</v>
      </c>
      <c r="J58" s="3">
        <f>222-12</f>
        <v>210</v>
      </c>
      <c r="K58" s="6">
        <v>211</v>
      </c>
      <c r="L58" s="2">
        <v>228</v>
      </c>
      <c r="M58" s="3">
        <f>228-17</f>
        <v>211</v>
      </c>
      <c r="N58" s="9">
        <v>224</v>
      </c>
      <c r="O58" s="2">
        <v>240</v>
      </c>
    </row>
    <row r="59" spans="1:16" ht="25.2" customHeight="1" x14ac:dyDescent="0.4">
      <c r="A59" s="1" t="s">
        <v>48</v>
      </c>
      <c r="B59" s="2">
        <v>266</v>
      </c>
      <c r="C59" s="2">
        <v>277</v>
      </c>
      <c r="D59" s="1">
        <v>279</v>
      </c>
      <c r="E59" s="3">
        <f>279-16</f>
        <v>263</v>
      </c>
      <c r="F59" s="2">
        <v>275</v>
      </c>
      <c r="G59" s="3">
        <f>275-18</f>
        <v>257</v>
      </c>
      <c r="H59" s="1">
        <v>260</v>
      </c>
      <c r="I59" s="3">
        <v>247</v>
      </c>
      <c r="J59" s="2">
        <v>259</v>
      </c>
      <c r="K59" s="1">
        <v>261</v>
      </c>
      <c r="L59" s="3">
        <f>261-18</f>
        <v>243</v>
      </c>
      <c r="M59" s="3">
        <f>243-15</f>
        <v>228</v>
      </c>
      <c r="N59" s="3">
        <v>216</v>
      </c>
      <c r="O59" s="1">
        <v>218</v>
      </c>
      <c r="P59" s="1">
        <v>220</v>
      </c>
    </row>
    <row r="60" spans="1:16" ht="25.2" customHeight="1" x14ac:dyDescent="0.4">
      <c r="A60" s="1" t="s">
        <v>49</v>
      </c>
      <c r="B60" s="2">
        <v>260</v>
      </c>
      <c r="C60" s="1">
        <v>262</v>
      </c>
      <c r="D60" s="3">
        <f>262-17</f>
        <v>245</v>
      </c>
      <c r="E60" s="2">
        <v>254</v>
      </c>
      <c r="F60" s="2">
        <v>268</v>
      </c>
      <c r="G60" s="4">
        <v>272</v>
      </c>
      <c r="H60" s="1">
        <v>273</v>
      </c>
      <c r="I60" s="3">
        <f>273-15</f>
        <v>258</v>
      </c>
      <c r="J60" s="3">
        <v>243</v>
      </c>
      <c r="K60" s="3">
        <f>243-16</f>
        <v>227</v>
      </c>
      <c r="L60" s="3">
        <f>227-14</f>
        <v>213</v>
      </c>
      <c r="M60" s="2">
        <v>231</v>
      </c>
      <c r="N60" s="3">
        <f>231-13</f>
        <v>218</v>
      </c>
      <c r="O60" s="2">
        <v>232</v>
      </c>
    </row>
    <row r="61" spans="1:16" ht="25.2" customHeight="1" x14ac:dyDescent="0.4">
      <c r="A61" s="1" t="s">
        <v>50</v>
      </c>
      <c r="B61" s="2">
        <v>263</v>
      </c>
      <c r="C61" s="1">
        <v>265</v>
      </c>
      <c r="D61" s="3">
        <f>265-14</f>
        <v>251</v>
      </c>
      <c r="E61" s="2">
        <v>263</v>
      </c>
      <c r="F61" s="3">
        <f>263-18</f>
        <v>245</v>
      </c>
      <c r="G61" s="3">
        <v>232</v>
      </c>
      <c r="H61" s="4">
        <v>236</v>
      </c>
      <c r="I61" s="1">
        <v>238</v>
      </c>
      <c r="J61" s="2">
        <v>256</v>
      </c>
      <c r="K61" s="3">
        <f>256-13</f>
        <v>243</v>
      </c>
      <c r="L61" s="9">
        <v>257</v>
      </c>
      <c r="M61" s="3">
        <v>244</v>
      </c>
      <c r="N61" s="3">
        <v>235</v>
      </c>
      <c r="O61" s="1">
        <v>238</v>
      </c>
      <c r="P61" s="3">
        <v>218</v>
      </c>
    </row>
    <row r="62" spans="1:16" ht="25.2" customHeight="1" x14ac:dyDescent="0.4">
      <c r="A62" s="1" t="s">
        <v>51</v>
      </c>
      <c r="B62" s="1">
        <v>252</v>
      </c>
      <c r="C62" s="1">
        <v>254</v>
      </c>
      <c r="D62" s="1">
        <v>256</v>
      </c>
      <c r="E62" s="1">
        <v>257</v>
      </c>
      <c r="F62" s="1">
        <v>258</v>
      </c>
      <c r="G62" s="2">
        <v>268</v>
      </c>
      <c r="H62" s="2">
        <v>280</v>
      </c>
      <c r="I62" s="3">
        <v>263</v>
      </c>
      <c r="J62" s="2">
        <v>277</v>
      </c>
      <c r="K62" s="9">
        <v>291</v>
      </c>
      <c r="L62" s="3">
        <f>291-13</f>
        <v>278</v>
      </c>
      <c r="M62" s="4">
        <v>282</v>
      </c>
      <c r="N62" s="3">
        <f>282-18</f>
        <v>264</v>
      </c>
      <c r="O62" s="3">
        <f>264-17</f>
        <v>247</v>
      </c>
      <c r="P62" s="2">
        <v>258</v>
      </c>
    </row>
    <row r="63" spans="1:16" ht="25.2" customHeight="1" x14ac:dyDescent="0.4">
      <c r="A63" s="1" t="s">
        <v>52</v>
      </c>
      <c r="B63" s="1">
        <v>252</v>
      </c>
      <c r="C63" s="3">
        <f>252-14</f>
        <v>238</v>
      </c>
      <c r="D63" s="3">
        <f>238-16</f>
        <v>222</v>
      </c>
      <c r="E63" s="2">
        <v>233</v>
      </c>
      <c r="F63" s="3">
        <f>233-15</f>
        <v>218</v>
      </c>
      <c r="G63" s="2">
        <v>227</v>
      </c>
      <c r="H63" s="2">
        <v>240</v>
      </c>
      <c r="I63" s="1">
        <v>242</v>
      </c>
      <c r="J63" s="1">
        <v>244</v>
      </c>
      <c r="K63" s="3">
        <f>244-16</f>
        <v>228</v>
      </c>
      <c r="L63" s="2">
        <v>245</v>
      </c>
      <c r="M63" s="3">
        <f>245-17</f>
        <v>228</v>
      </c>
      <c r="N63" s="2">
        <v>246</v>
      </c>
      <c r="O63" s="3">
        <f>246-15</f>
        <v>231</v>
      </c>
      <c r="P63" s="1">
        <v>233</v>
      </c>
    </row>
    <row r="64" spans="1:16" ht="25.2" customHeight="1" x14ac:dyDescent="0.4">
      <c r="A64" s="1" t="s">
        <v>54</v>
      </c>
      <c r="B64" s="3">
        <f>250-17</f>
        <v>233</v>
      </c>
      <c r="C64" s="1">
        <v>235</v>
      </c>
      <c r="D64" s="1">
        <v>237</v>
      </c>
      <c r="E64" s="2">
        <v>250</v>
      </c>
      <c r="F64" s="4">
        <v>254</v>
      </c>
      <c r="G64" s="3">
        <f>254-18</f>
        <v>236</v>
      </c>
      <c r="H64" s="1">
        <v>238</v>
      </c>
      <c r="I64" s="1">
        <v>239</v>
      </c>
      <c r="J64" s="3">
        <f>239-18</f>
        <v>221</v>
      </c>
      <c r="K64" s="1">
        <v>223</v>
      </c>
      <c r="L64" s="3">
        <f>223-16</f>
        <v>207</v>
      </c>
      <c r="M64" s="9">
        <v>220</v>
      </c>
      <c r="N64" s="3">
        <v>206</v>
      </c>
      <c r="O64" s="2">
        <v>228</v>
      </c>
      <c r="P64" s="3">
        <f>228-14</f>
        <v>214</v>
      </c>
    </row>
    <row r="65" spans="1:26" ht="25.2" customHeight="1" x14ac:dyDescent="0.4">
      <c r="A65" s="1" t="s">
        <v>53</v>
      </c>
      <c r="B65" s="1">
        <v>252</v>
      </c>
      <c r="C65" s="1">
        <v>264</v>
      </c>
      <c r="D65" s="1">
        <v>274</v>
      </c>
      <c r="E65" s="1">
        <v>260</v>
      </c>
      <c r="F65" s="1">
        <v>275</v>
      </c>
      <c r="G65" s="3">
        <f>275-18</f>
        <v>257</v>
      </c>
      <c r="H65" s="1">
        <v>260</v>
      </c>
      <c r="I65" s="1">
        <v>271</v>
      </c>
      <c r="J65" s="1">
        <f>271-13</f>
        <v>258</v>
      </c>
      <c r="K65" s="9">
        <f>258+16</f>
        <v>274</v>
      </c>
      <c r="L65" s="3">
        <f>274-18</f>
        <v>256</v>
      </c>
      <c r="M65" s="2">
        <v>269</v>
      </c>
      <c r="N65" s="3">
        <v>253</v>
      </c>
      <c r="O65" s="1">
        <v>255</v>
      </c>
      <c r="P65" s="1">
        <v>256</v>
      </c>
      <c r="Y65" s="27" t="s">
        <v>291</v>
      </c>
      <c r="Z65" s="27" t="s">
        <v>292</v>
      </c>
    </row>
    <row r="66" spans="1:26" ht="25.2" customHeight="1" x14ac:dyDescent="0.4">
      <c r="A66" s="1" t="s">
        <v>55</v>
      </c>
      <c r="B66" s="2">
        <v>263</v>
      </c>
      <c r="C66" s="3">
        <f>263-16</f>
        <v>247</v>
      </c>
      <c r="D66" s="2">
        <f>247+15</f>
        <v>262</v>
      </c>
      <c r="E66" s="3">
        <f>262-14</f>
        <v>248</v>
      </c>
      <c r="F66" s="2">
        <v>265</v>
      </c>
      <c r="G66" s="1">
        <v>267</v>
      </c>
      <c r="H66" s="1">
        <v>269</v>
      </c>
      <c r="I66" s="3">
        <v>255</v>
      </c>
      <c r="J66" s="1">
        <v>257</v>
      </c>
      <c r="K66" s="1">
        <v>258</v>
      </c>
      <c r="L66" s="1">
        <v>259</v>
      </c>
      <c r="M66" s="2">
        <f>18+259</f>
        <v>277</v>
      </c>
      <c r="N66" s="3">
        <v>260</v>
      </c>
      <c r="O66" s="2">
        <v>278</v>
      </c>
      <c r="P66" s="3">
        <v>265</v>
      </c>
    </row>
    <row r="67" spans="1:26" ht="25.2" customHeight="1" x14ac:dyDescent="0.4">
      <c r="A67" s="1" t="s">
        <v>57</v>
      </c>
      <c r="B67" s="3">
        <v>234</v>
      </c>
      <c r="C67" s="1">
        <v>236</v>
      </c>
      <c r="D67" s="3">
        <f>236-12</f>
        <v>224</v>
      </c>
      <c r="E67" s="3">
        <f>224-16</f>
        <v>208</v>
      </c>
      <c r="F67" s="1">
        <v>209</v>
      </c>
      <c r="G67" s="3">
        <f>209-15</f>
        <v>194</v>
      </c>
      <c r="H67" s="1">
        <v>196</v>
      </c>
      <c r="I67" s="2">
        <v>208</v>
      </c>
      <c r="J67" s="2">
        <v>221</v>
      </c>
      <c r="K67" s="9">
        <f>15+221</f>
        <v>236</v>
      </c>
      <c r="L67" s="9">
        <v>249</v>
      </c>
      <c r="M67" s="9">
        <v>263</v>
      </c>
      <c r="N67" s="9">
        <v>280</v>
      </c>
      <c r="O67" s="3">
        <v>259</v>
      </c>
      <c r="P67" s="3">
        <f>259-17</f>
        <v>242</v>
      </c>
    </row>
    <row r="68" spans="1:26" ht="25.2" customHeight="1" x14ac:dyDescent="0.4">
      <c r="A68" s="1" t="s">
        <v>58</v>
      </c>
      <c r="B68" s="3">
        <v>232</v>
      </c>
      <c r="C68" s="3">
        <v>215</v>
      </c>
      <c r="D68" s="2">
        <v>231</v>
      </c>
      <c r="E68" s="1">
        <v>233</v>
      </c>
      <c r="F68" s="3">
        <f>233-18</f>
        <v>215</v>
      </c>
      <c r="G68" s="4">
        <v>218</v>
      </c>
      <c r="H68" s="3">
        <v>202</v>
      </c>
      <c r="I68" s="2">
        <v>216</v>
      </c>
      <c r="J68" s="3">
        <v>200</v>
      </c>
      <c r="K68" s="9">
        <v>213</v>
      </c>
      <c r="L68" s="1">
        <v>215</v>
      </c>
      <c r="M68" s="3">
        <v>198</v>
      </c>
      <c r="N68" s="9">
        <v>210</v>
      </c>
      <c r="O68" s="4">
        <v>214</v>
      </c>
      <c r="P68" s="2">
        <v>230</v>
      </c>
    </row>
    <row r="69" spans="1:26" ht="25.2" customHeight="1" x14ac:dyDescent="0.4">
      <c r="A69" s="1" t="s">
        <v>59</v>
      </c>
      <c r="B69" s="1">
        <v>252</v>
      </c>
      <c r="C69" s="3">
        <f>252-16</f>
        <v>236</v>
      </c>
      <c r="D69" s="1">
        <v>239</v>
      </c>
      <c r="E69" s="2">
        <v>250</v>
      </c>
      <c r="F69" s="1">
        <v>253</v>
      </c>
      <c r="G69" s="3">
        <f>253-17</f>
        <v>236</v>
      </c>
      <c r="H69" s="3">
        <f>236-14</f>
        <v>222</v>
      </c>
      <c r="I69" s="3">
        <f>222-14</f>
        <v>208</v>
      </c>
      <c r="J69" s="2">
        <v>222</v>
      </c>
      <c r="K69" s="3">
        <v>208</v>
      </c>
      <c r="L69" s="1">
        <v>209</v>
      </c>
      <c r="M69" s="3">
        <f>209-12</f>
        <v>197</v>
      </c>
      <c r="N69" s="1">
        <v>199</v>
      </c>
      <c r="O69" s="2">
        <v>219</v>
      </c>
      <c r="P69" s="3">
        <v>203</v>
      </c>
    </row>
    <row r="70" spans="1:26" ht="25.2" customHeight="1" x14ac:dyDescent="0.4">
      <c r="A70" s="1" t="s">
        <v>60</v>
      </c>
      <c r="B70" s="2">
        <v>263</v>
      </c>
      <c r="C70" s="1">
        <v>265</v>
      </c>
      <c r="D70" s="2">
        <f>11+265</f>
        <v>276</v>
      </c>
      <c r="E70" s="2">
        <v>291</v>
      </c>
      <c r="F70" s="3">
        <f>291-16</f>
        <v>275</v>
      </c>
      <c r="G70" s="2">
        <v>287</v>
      </c>
      <c r="H70" s="2">
        <v>298</v>
      </c>
      <c r="I70" s="1">
        <v>300</v>
      </c>
      <c r="J70" s="1">
        <v>302</v>
      </c>
      <c r="K70" s="2">
        <v>319</v>
      </c>
      <c r="L70" s="9">
        <v>335</v>
      </c>
      <c r="M70" s="1">
        <v>338</v>
      </c>
      <c r="N70" s="9">
        <v>351</v>
      </c>
      <c r="O70" s="3">
        <f>351-18</f>
        <v>333</v>
      </c>
      <c r="P70" s="2">
        <v>347</v>
      </c>
    </row>
    <row r="71" spans="1:26" ht="25.2" customHeight="1" x14ac:dyDescent="0.4">
      <c r="A71" s="1" t="s">
        <v>61</v>
      </c>
      <c r="B71" s="2">
        <v>263</v>
      </c>
      <c r="C71" s="1">
        <v>265</v>
      </c>
      <c r="D71" s="3">
        <v>253</v>
      </c>
      <c r="E71" s="3">
        <f>253-16</f>
        <v>237</v>
      </c>
      <c r="F71" s="1">
        <v>239</v>
      </c>
      <c r="G71" s="3">
        <v>225</v>
      </c>
      <c r="H71" s="1">
        <v>227</v>
      </c>
      <c r="I71" s="2">
        <v>240</v>
      </c>
      <c r="J71" s="1">
        <v>242</v>
      </c>
      <c r="K71" s="7">
        <f>242-13</f>
        <v>229</v>
      </c>
      <c r="L71" s="9">
        <v>241</v>
      </c>
      <c r="M71" s="9">
        <v>252</v>
      </c>
      <c r="N71" s="1">
        <v>253</v>
      </c>
      <c r="O71" s="2">
        <v>266</v>
      </c>
    </row>
    <row r="72" spans="1:26" ht="25.2" customHeight="1" x14ac:dyDescent="0.4">
      <c r="A72" s="1" t="s">
        <v>65</v>
      </c>
      <c r="B72" s="3">
        <v>234</v>
      </c>
      <c r="C72" s="3">
        <f>234-16</f>
        <v>218</v>
      </c>
      <c r="D72" s="3">
        <v>202</v>
      </c>
      <c r="E72" s="1">
        <v>203</v>
      </c>
      <c r="F72" s="1">
        <v>204</v>
      </c>
      <c r="G72" s="2">
        <v>214</v>
      </c>
      <c r="H72" s="3">
        <v>197</v>
      </c>
      <c r="I72" s="2">
        <v>211</v>
      </c>
      <c r="J72" s="1">
        <v>212</v>
      </c>
      <c r="K72" s="1">
        <v>213</v>
      </c>
      <c r="L72" s="9">
        <v>230</v>
      </c>
      <c r="M72" s="9">
        <v>246</v>
      </c>
      <c r="N72" s="1">
        <v>246</v>
      </c>
      <c r="O72" s="9">
        <v>260</v>
      </c>
      <c r="P72" s="2">
        <v>274</v>
      </c>
    </row>
    <row r="73" spans="1:26" ht="25.2" customHeight="1" x14ac:dyDescent="0.4">
      <c r="A73" s="1" t="s">
        <v>62</v>
      </c>
      <c r="B73" s="1">
        <v>252</v>
      </c>
      <c r="C73" s="1">
        <v>255</v>
      </c>
      <c r="D73" s="2">
        <v>267</v>
      </c>
      <c r="E73" s="3">
        <f>267-11</f>
        <v>256</v>
      </c>
      <c r="F73" s="2">
        <v>270</v>
      </c>
      <c r="G73" s="2">
        <v>282</v>
      </c>
      <c r="H73" s="1">
        <v>285</v>
      </c>
      <c r="I73" s="3">
        <f>285-16</f>
        <v>269</v>
      </c>
      <c r="J73" s="3">
        <f>269-18</f>
        <v>251</v>
      </c>
      <c r="K73" s="3">
        <v>241</v>
      </c>
      <c r="L73" s="1">
        <v>244</v>
      </c>
      <c r="M73" s="9">
        <v>261</v>
      </c>
      <c r="N73" s="2">
        <v>272</v>
      </c>
      <c r="O73" s="3">
        <f>272-15</f>
        <v>257</v>
      </c>
    </row>
    <row r="74" spans="1:26" ht="25.2" customHeight="1" x14ac:dyDescent="0.4">
      <c r="A74" s="1" t="s">
        <v>63</v>
      </c>
      <c r="B74" s="3">
        <f>250-16</f>
        <v>234</v>
      </c>
      <c r="C74" s="1">
        <v>236</v>
      </c>
      <c r="D74" s="2">
        <v>249</v>
      </c>
      <c r="E74" s="2">
        <v>262</v>
      </c>
      <c r="F74" s="4">
        <v>266</v>
      </c>
      <c r="G74" s="1">
        <v>269</v>
      </c>
      <c r="H74" s="3">
        <v>250</v>
      </c>
      <c r="I74" s="4">
        <v>254</v>
      </c>
      <c r="J74" s="1">
        <v>256</v>
      </c>
      <c r="K74" s="1">
        <v>257</v>
      </c>
      <c r="L74" s="3">
        <f>257-14</f>
        <v>243</v>
      </c>
      <c r="M74" s="9">
        <v>259</v>
      </c>
      <c r="N74" s="1">
        <v>261</v>
      </c>
      <c r="O74" s="1">
        <v>262</v>
      </c>
    </row>
    <row r="75" spans="1:26" ht="25.2" customHeight="1" x14ac:dyDescent="0.4">
      <c r="A75" s="1" t="s">
        <v>64</v>
      </c>
      <c r="B75" s="1">
        <v>252</v>
      </c>
      <c r="C75" s="2">
        <v>265</v>
      </c>
      <c r="D75" s="2">
        <v>279</v>
      </c>
      <c r="E75" s="3">
        <f>279-15</f>
        <v>264</v>
      </c>
      <c r="F75" s="3">
        <f>264-18</f>
        <v>246</v>
      </c>
      <c r="G75" s="3">
        <f>246-15</f>
        <v>231</v>
      </c>
      <c r="H75" s="1">
        <v>233</v>
      </c>
      <c r="I75" s="2">
        <v>248</v>
      </c>
      <c r="J75" s="3">
        <v>236</v>
      </c>
      <c r="K75" s="1">
        <v>238</v>
      </c>
      <c r="L75" s="3">
        <v>228</v>
      </c>
      <c r="M75" s="3">
        <f>228-16</f>
        <v>212</v>
      </c>
      <c r="N75" s="3">
        <v>200</v>
      </c>
      <c r="O75" s="3">
        <v>188</v>
      </c>
    </row>
    <row r="76" spans="1:26" ht="25.2" customHeight="1" x14ac:dyDescent="0.4">
      <c r="A76" s="1" t="s">
        <v>66</v>
      </c>
      <c r="B76" s="3">
        <v>234</v>
      </c>
      <c r="C76" s="1">
        <v>236</v>
      </c>
      <c r="D76" s="3">
        <f>236-18</f>
        <v>218</v>
      </c>
      <c r="E76" s="2">
        <v>228</v>
      </c>
      <c r="F76" s="3">
        <f>228-14</f>
        <v>214</v>
      </c>
      <c r="G76" s="2">
        <v>227</v>
      </c>
      <c r="H76" s="3">
        <v>214</v>
      </c>
      <c r="I76" s="1">
        <v>211</v>
      </c>
      <c r="J76" s="1">
        <v>212</v>
      </c>
      <c r="K76" s="1">
        <v>214</v>
      </c>
      <c r="L76" s="1">
        <v>215</v>
      </c>
      <c r="M76" s="3">
        <v>204</v>
      </c>
      <c r="N76" s="3">
        <f>204-13</f>
        <v>191</v>
      </c>
      <c r="O76" s="3">
        <f>191-14</f>
        <v>177</v>
      </c>
      <c r="P76" s="3">
        <f>177-16</f>
        <v>161</v>
      </c>
    </row>
    <row r="77" spans="1:26" ht="25.2" customHeight="1" x14ac:dyDescent="0.4">
      <c r="A77" s="1" t="s">
        <v>43</v>
      </c>
      <c r="B77" s="3">
        <v>237</v>
      </c>
      <c r="C77" s="1">
        <v>239</v>
      </c>
      <c r="D77" s="5">
        <f>239-23</f>
        <v>216</v>
      </c>
      <c r="E77" s="3">
        <v>203</v>
      </c>
      <c r="F77" s="2">
        <v>213</v>
      </c>
      <c r="G77" s="2">
        <f>213+14</f>
        <v>227</v>
      </c>
      <c r="H77" s="2">
        <v>238</v>
      </c>
      <c r="I77" s="2">
        <v>249</v>
      </c>
      <c r="J77" s="4">
        <v>253</v>
      </c>
      <c r="K77" s="9">
        <f>14+253</f>
        <v>267</v>
      </c>
      <c r="L77" s="1">
        <v>269</v>
      </c>
      <c r="M77" s="9">
        <f>18+269</f>
        <v>287</v>
      </c>
      <c r="N77" s="9">
        <v>300</v>
      </c>
      <c r="O77" s="1">
        <v>304</v>
      </c>
    </row>
    <row r="82" spans="1:10" ht="25.2" customHeight="1" x14ac:dyDescent="0.4">
      <c r="A82" s="1" t="s">
        <v>67</v>
      </c>
      <c r="B82" s="3">
        <v>237</v>
      </c>
      <c r="C82" s="3">
        <v>224</v>
      </c>
      <c r="D82" s="3">
        <f>224-16</f>
        <v>208</v>
      </c>
      <c r="E82" s="2">
        <v>224</v>
      </c>
      <c r="F82" s="2">
        <v>240</v>
      </c>
      <c r="G82" s="2">
        <v>252</v>
      </c>
      <c r="H82" s="3">
        <v>242</v>
      </c>
      <c r="I82" s="1">
        <v>244</v>
      </c>
      <c r="J82" s="2">
        <v>256</v>
      </c>
    </row>
    <row r="83" spans="1:10" ht="25.2" customHeight="1" x14ac:dyDescent="0.4">
      <c r="A83" s="1" t="s">
        <v>68</v>
      </c>
      <c r="B83" s="3">
        <v>237</v>
      </c>
      <c r="C83" s="2">
        <v>253</v>
      </c>
      <c r="D83" s="3">
        <f>253-16</f>
        <v>237</v>
      </c>
      <c r="E83" s="2">
        <v>251</v>
      </c>
      <c r="F83" s="3">
        <f>251-13</f>
        <v>238</v>
      </c>
      <c r="G83" s="1">
        <v>239</v>
      </c>
      <c r="H83" s="2">
        <v>253</v>
      </c>
      <c r="I83" s="3">
        <v>238</v>
      </c>
      <c r="J83" s="3">
        <v>225</v>
      </c>
    </row>
    <row r="84" spans="1:10" ht="25.2" customHeight="1" x14ac:dyDescent="0.4">
      <c r="A84" s="1" t="s">
        <v>69</v>
      </c>
      <c r="B84" s="2">
        <v>263</v>
      </c>
      <c r="C84" s="3">
        <f>263-17</f>
        <v>246</v>
      </c>
      <c r="D84" s="2">
        <v>259</v>
      </c>
      <c r="E84" s="2">
        <v>276</v>
      </c>
      <c r="F84" s="3">
        <v>262</v>
      </c>
      <c r="G84" s="2">
        <v>280</v>
      </c>
      <c r="H84" s="1">
        <v>281</v>
      </c>
      <c r="I84" s="3">
        <f>281-13</f>
        <v>268</v>
      </c>
      <c r="J84" s="1">
        <v>271</v>
      </c>
    </row>
    <row r="85" spans="1:10" ht="25.2" customHeight="1" x14ac:dyDescent="0.4">
      <c r="A85" s="1" t="s">
        <v>70</v>
      </c>
      <c r="B85" s="1">
        <v>252</v>
      </c>
      <c r="C85" s="2">
        <v>265</v>
      </c>
      <c r="D85" s="2">
        <v>278</v>
      </c>
      <c r="E85" s="1">
        <v>280</v>
      </c>
      <c r="F85" s="3">
        <f>280-13</f>
        <v>267</v>
      </c>
      <c r="G85" s="2">
        <v>277</v>
      </c>
      <c r="H85" s="3">
        <v>263</v>
      </c>
      <c r="I85" s="3">
        <v>250</v>
      </c>
      <c r="J85" s="2">
        <v>261</v>
      </c>
    </row>
    <row r="86" spans="1:10" ht="25.2" customHeight="1" x14ac:dyDescent="0.4">
      <c r="A86" s="1" t="s">
        <v>71</v>
      </c>
      <c r="B86" s="3">
        <v>237</v>
      </c>
      <c r="C86" s="3">
        <f>237-14</f>
        <v>223</v>
      </c>
      <c r="D86" s="2">
        <f>18+223</f>
        <v>241</v>
      </c>
      <c r="E86" s="3">
        <f>241-18</f>
        <v>223</v>
      </c>
      <c r="F86" s="1">
        <v>227</v>
      </c>
      <c r="G86" s="3">
        <v>213</v>
      </c>
      <c r="H86" s="2">
        <v>231</v>
      </c>
      <c r="I86" s="1">
        <v>232</v>
      </c>
      <c r="J86" s="1">
        <v>235</v>
      </c>
    </row>
    <row r="87" spans="1:10" ht="25.2" customHeight="1" x14ac:dyDescent="0.4">
      <c r="A87" s="1" t="s">
        <v>72</v>
      </c>
      <c r="B87" s="2">
        <v>263</v>
      </c>
      <c r="C87" s="3">
        <v>251</v>
      </c>
      <c r="D87" s="2">
        <v>267</v>
      </c>
      <c r="E87" s="3">
        <v>251</v>
      </c>
      <c r="F87" s="3">
        <f>251-16</f>
        <v>235</v>
      </c>
      <c r="G87" s="3">
        <v>221</v>
      </c>
      <c r="H87" s="1">
        <v>224</v>
      </c>
      <c r="I87" s="2">
        <v>240</v>
      </c>
      <c r="J87" s="3">
        <v>226</v>
      </c>
    </row>
    <row r="88" spans="1:10" ht="25.2" customHeight="1" x14ac:dyDescent="0.4">
      <c r="A88" s="1" t="s">
        <v>73</v>
      </c>
      <c r="B88" s="3">
        <v>237</v>
      </c>
      <c r="C88" s="2">
        <v>249</v>
      </c>
      <c r="D88" s="1">
        <v>251</v>
      </c>
      <c r="E88" s="3">
        <f>251-14</f>
        <v>237</v>
      </c>
      <c r="F88" s="3">
        <v>221</v>
      </c>
      <c r="G88" s="3">
        <v>209</v>
      </c>
      <c r="H88" s="3">
        <v>195</v>
      </c>
      <c r="I88" s="2">
        <v>206</v>
      </c>
      <c r="J88" s="3">
        <v>193</v>
      </c>
    </row>
    <row r="89" spans="1:10" ht="25.2" customHeight="1" x14ac:dyDescent="0.4">
      <c r="A89" s="1" t="s">
        <v>74</v>
      </c>
      <c r="B89" s="3">
        <v>237</v>
      </c>
      <c r="C89" s="3">
        <f>237-18</f>
        <v>219</v>
      </c>
      <c r="D89" s="3">
        <v>202</v>
      </c>
      <c r="E89" s="3">
        <f>202-18</f>
        <v>184</v>
      </c>
      <c r="F89" s="2">
        <v>196</v>
      </c>
      <c r="G89" s="3">
        <v>188</v>
      </c>
      <c r="H89" s="2">
        <v>202</v>
      </c>
      <c r="I89" s="3">
        <v>192</v>
      </c>
      <c r="J89" s="3">
        <f>192-14</f>
        <v>178</v>
      </c>
    </row>
    <row r="90" spans="1:10" ht="25.2" customHeight="1" x14ac:dyDescent="0.4">
      <c r="A90" s="1" t="s">
        <v>75</v>
      </c>
      <c r="B90" s="2">
        <v>267</v>
      </c>
      <c r="C90" s="2">
        <v>284</v>
      </c>
      <c r="D90" s="3">
        <f>284-17</f>
        <v>267</v>
      </c>
      <c r="E90" s="3">
        <v>251</v>
      </c>
      <c r="F90" s="1">
        <v>253</v>
      </c>
      <c r="G90" s="2">
        <v>270</v>
      </c>
      <c r="H90" s="3">
        <v>254</v>
      </c>
      <c r="I90" s="2">
        <v>272</v>
      </c>
      <c r="J90" s="3">
        <v>261</v>
      </c>
    </row>
    <row r="91" spans="1:10" ht="25.2" customHeight="1" x14ac:dyDescent="0.4">
      <c r="A91" s="1" t="s">
        <v>76</v>
      </c>
      <c r="B91" s="1">
        <v>252</v>
      </c>
      <c r="C91" s="3">
        <f>252-13</f>
        <v>239</v>
      </c>
      <c r="D91" s="2">
        <v>252</v>
      </c>
      <c r="E91" s="3">
        <v>240</v>
      </c>
      <c r="F91" s="1">
        <v>242</v>
      </c>
      <c r="G91" s="3">
        <f>242-13</f>
        <v>229</v>
      </c>
      <c r="H91" s="2">
        <v>241</v>
      </c>
      <c r="I91" s="1">
        <v>243</v>
      </c>
      <c r="J91" s="2">
        <v>257</v>
      </c>
    </row>
    <row r="92" spans="1:10" ht="25.2" customHeight="1" x14ac:dyDescent="0.4">
      <c r="A92" s="1" t="s">
        <v>86</v>
      </c>
      <c r="B92" s="2">
        <v>263</v>
      </c>
      <c r="C92" s="3">
        <f>263-16</f>
        <v>247</v>
      </c>
      <c r="D92" s="2">
        <v>261</v>
      </c>
      <c r="E92" s="2">
        <v>277</v>
      </c>
      <c r="F92" s="1">
        <v>278</v>
      </c>
      <c r="G92" s="3">
        <v>262</v>
      </c>
      <c r="H92" s="2">
        <v>274</v>
      </c>
      <c r="I92" s="3">
        <v>261</v>
      </c>
      <c r="J92" s="3">
        <v>248</v>
      </c>
    </row>
    <row r="93" spans="1:10" ht="25.2" customHeight="1" x14ac:dyDescent="0.4">
      <c r="A93" s="1" t="s">
        <v>77</v>
      </c>
      <c r="B93" s="1">
        <v>252</v>
      </c>
      <c r="C93" s="2">
        <v>266</v>
      </c>
      <c r="D93" s="2">
        <f>18+266</f>
        <v>284</v>
      </c>
      <c r="E93" s="2">
        <v>301</v>
      </c>
      <c r="F93" s="2">
        <v>318</v>
      </c>
      <c r="G93" s="3">
        <v>304</v>
      </c>
      <c r="H93" s="2">
        <v>317</v>
      </c>
      <c r="I93" s="2">
        <v>335</v>
      </c>
      <c r="J93" s="3">
        <v>323</v>
      </c>
    </row>
    <row r="94" spans="1:10" ht="25.2" customHeight="1" x14ac:dyDescent="0.4">
      <c r="A94" s="1" t="s">
        <v>78</v>
      </c>
      <c r="B94" s="2">
        <v>263</v>
      </c>
      <c r="C94" s="3">
        <f>263-17</f>
        <v>246</v>
      </c>
      <c r="D94" s="1">
        <v>248</v>
      </c>
      <c r="E94" s="1">
        <v>251</v>
      </c>
      <c r="F94" s="1">
        <v>254</v>
      </c>
      <c r="G94" s="3">
        <v>237</v>
      </c>
      <c r="H94" s="3">
        <v>225</v>
      </c>
      <c r="I94" s="1">
        <v>227</v>
      </c>
      <c r="J94" s="2">
        <v>240</v>
      </c>
    </row>
    <row r="95" spans="1:10" ht="25.2" customHeight="1" x14ac:dyDescent="0.4">
      <c r="A95" s="1" t="s">
        <v>79</v>
      </c>
      <c r="B95" s="3">
        <v>233</v>
      </c>
      <c r="C95" s="3">
        <f>233-17</f>
        <v>216</v>
      </c>
      <c r="D95" s="3">
        <v>202</v>
      </c>
      <c r="E95" s="2">
        <v>215</v>
      </c>
      <c r="F95" s="1">
        <v>216</v>
      </c>
      <c r="G95" s="1">
        <v>218</v>
      </c>
      <c r="H95" s="3">
        <v>208</v>
      </c>
      <c r="I95" s="3">
        <v>192</v>
      </c>
      <c r="J95" s="3">
        <v>182</v>
      </c>
    </row>
    <row r="96" spans="1:10" ht="25.2" customHeight="1" x14ac:dyDescent="0.4">
      <c r="A96" s="1" t="s">
        <v>80</v>
      </c>
      <c r="B96" s="1">
        <v>253</v>
      </c>
      <c r="C96" s="2">
        <v>265</v>
      </c>
      <c r="D96" s="1">
        <v>267</v>
      </c>
      <c r="E96" s="2">
        <v>280</v>
      </c>
      <c r="F96" s="1">
        <v>282</v>
      </c>
      <c r="G96" s="2">
        <v>303</v>
      </c>
      <c r="H96" s="2">
        <v>314</v>
      </c>
      <c r="I96" s="2">
        <v>325</v>
      </c>
      <c r="J96" s="2">
        <v>342</v>
      </c>
    </row>
    <row r="97" spans="1:13" ht="25.2" customHeight="1" x14ac:dyDescent="0.4">
      <c r="A97" s="1" t="s">
        <v>81</v>
      </c>
      <c r="B97" s="2">
        <v>263</v>
      </c>
      <c r="C97" s="3">
        <v>250</v>
      </c>
      <c r="D97" s="3">
        <v>237</v>
      </c>
      <c r="E97" s="3">
        <f>237-16</f>
        <v>221</v>
      </c>
      <c r="F97" s="1">
        <v>222</v>
      </c>
      <c r="G97" s="1">
        <v>225</v>
      </c>
      <c r="H97" s="3">
        <v>211</v>
      </c>
      <c r="I97" s="2">
        <v>224</v>
      </c>
      <c r="J97" s="2">
        <v>234</v>
      </c>
    </row>
    <row r="98" spans="1:13" ht="25.2" customHeight="1" x14ac:dyDescent="0.4">
      <c r="A98" s="1" t="s">
        <v>83</v>
      </c>
      <c r="B98" s="2">
        <v>263</v>
      </c>
      <c r="C98" s="2">
        <v>281</v>
      </c>
      <c r="D98" s="3">
        <f>281-14</f>
        <v>267</v>
      </c>
      <c r="E98" s="1">
        <v>269</v>
      </c>
      <c r="F98" s="2">
        <v>286</v>
      </c>
      <c r="G98" s="2">
        <v>302</v>
      </c>
      <c r="H98" s="3">
        <v>289</v>
      </c>
      <c r="I98" s="2">
        <v>308</v>
      </c>
      <c r="J98" s="2">
        <v>318</v>
      </c>
    </row>
    <row r="99" spans="1:13" ht="25.2" customHeight="1" x14ac:dyDescent="0.4">
      <c r="A99" s="1" t="s">
        <v>82</v>
      </c>
      <c r="B99" s="3">
        <v>237</v>
      </c>
      <c r="C99" s="2">
        <v>251</v>
      </c>
      <c r="D99" s="1">
        <v>253</v>
      </c>
      <c r="E99" s="2">
        <v>270</v>
      </c>
      <c r="F99" s="3">
        <f>270-13</f>
        <v>257</v>
      </c>
      <c r="G99" s="2">
        <v>269</v>
      </c>
      <c r="H99" s="3">
        <v>249</v>
      </c>
      <c r="I99" s="2">
        <v>263</v>
      </c>
      <c r="J99" s="1">
        <v>266</v>
      </c>
    </row>
    <row r="100" spans="1:13" ht="25.2" customHeight="1" x14ac:dyDescent="0.4">
      <c r="A100" s="1" t="s">
        <v>84</v>
      </c>
      <c r="B100" s="3">
        <v>237</v>
      </c>
      <c r="C100" s="2">
        <v>254</v>
      </c>
      <c r="D100" s="1">
        <v>257</v>
      </c>
      <c r="E100" s="1">
        <v>260</v>
      </c>
      <c r="F100" s="2">
        <v>273</v>
      </c>
      <c r="G100" s="1">
        <v>274</v>
      </c>
      <c r="H100" s="2">
        <v>287</v>
      </c>
      <c r="I100" s="3">
        <v>271</v>
      </c>
      <c r="J100" s="1">
        <v>273</v>
      </c>
    </row>
    <row r="101" spans="1:13" ht="25.2" customHeight="1" x14ac:dyDescent="0.4">
      <c r="A101" s="1" t="s">
        <v>85</v>
      </c>
      <c r="B101" s="1">
        <v>252</v>
      </c>
      <c r="C101" s="2">
        <v>270</v>
      </c>
      <c r="D101" s="1">
        <v>272</v>
      </c>
      <c r="E101" s="3">
        <f>272-14</f>
        <v>258</v>
      </c>
      <c r="F101" s="2">
        <v>273</v>
      </c>
      <c r="G101" s="2">
        <v>285</v>
      </c>
      <c r="H101" s="2">
        <v>304</v>
      </c>
      <c r="I101" s="3">
        <v>290</v>
      </c>
      <c r="J101" s="2">
        <v>310</v>
      </c>
    </row>
    <row r="106" spans="1:13" ht="25.2" customHeight="1" x14ac:dyDescent="0.4">
      <c r="A106" s="1" t="s">
        <v>87</v>
      </c>
      <c r="B106" s="1">
        <v>252</v>
      </c>
      <c r="C106" s="3">
        <v>239</v>
      </c>
      <c r="D106" s="2">
        <v>252</v>
      </c>
      <c r="E106" s="2">
        <v>266</v>
      </c>
      <c r="F106" s="2">
        <v>278</v>
      </c>
      <c r="G106" s="2">
        <v>294</v>
      </c>
      <c r="H106" s="1">
        <v>297</v>
      </c>
      <c r="I106" s="2">
        <v>309</v>
      </c>
      <c r="J106" s="1">
        <v>311</v>
      </c>
      <c r="K106" s="3">
        <v>298</v>
      </c>
      <c r="L106" s="2">
        <v>314</v>
      </c>
      <c r="M106" s="1">
        <v>316</v>
      </c>
    </row>
    <row r="107" spans="1:13" ht="25.2" customHeight="1" x14ac:dyDescent="0.4">
      <c r="A107" s="1" t="s">
        <v>88</v>
      </c>
      <c r="B107" s="1">
        <v>252</v>
      </c>
      <c r="C107" s="2">
        <v>265</v>
      </c>
      <c r="D107" s="3">
        <v>251</v>
      </c>
      <c r="E107" s="2">
        <v>265</v>
      </c>
      <c r="F107" s="3">
        <v>251</v>
      </c>
      <c r="G107" s="3">
        <v>237</v>
      </c>
      <c r="H107" s="1">
        <v>240</v>
      </c>
      <c r="I107" s="2">
        <v>254</v>
      </c>
      <c r="J107" s="3">
        <v>243</v>
      </c>
      <c r="K107" s="1">
        <v>247</v>
      </c>
      <c r="L107" s="2">
        <v>263</v>
      </c>
      <c r="M107" s="3">
        <v>250</v>
      </c>
    </row>
    <row r="108" spans="1:13" ht="25.2" customHeight="1" x14ac:dyDescent="0.4">
      <c r="A108" s="1" t="s">
        <v>89</v>
      </c>
      <c r="B108" s="1">
        <v>252</v>
      </c>
      <c r="C108" s="3">
        <f>252-13</f>
        <v>239</v>
      </c>
      <c r="D108" s="3">
        <v>222</v>
      </c>
      <c r="E108" s="3">
        <v>206</v>
      </c>
      <c r="F108" s="1">
        <v>207</v>
      </c>
      <c r="G108" s="1">
        <v>209</v>
      </c>
      <c r="H108" s="2">
        <v>223</v>
      </c>
      <c r="I108" s="2">
        <v>237</v>
      </c>
      <c r="J108" s="1">
        <v>238</v>
      </c>
      <c r="K108" s="1">
        <v>241</v>
      </c>
      <c r="L108" s="3">
        <f>241-13</f>
        <v>228</v>
      </c>
      <c r="M108" s="3">
        <v>217</v>
      </c>
    </row>
    <row r="109" spans="1:13" ht="25.2" customHeight="1" x14ac:dyDescent="0.4">
      <c r="A109" s="1" t="s">
        <v>90</v>
      </c>
      <c r="B109" s="1">
        <v>252</v>
      </c>
      <c r="C109" s="2">
        <v>265</v>
      </c>
      <c r="D109" s="2">
        <v>282</v>
      </c>
      <c r="E109" s="2">
        <v>296</v>
      </c>
      <c r="F109" s="1">
        <v>299</v>
      </c>
      <c r="G109" s="3">
        <v>283</v>
      </c>
      <c r="H109" s="2">
        <v>296</v>
      </c>
      <c r="I109" s="1">
        <v>299</v>
      </c>
      <c r="J109" s="2">
        <v>315</v>
      </c>
      <c r="K109" s="1">
        <v>317</v>
      </c>
      <c r="L109" s="2">
        <v>331</v>
      </c>
      <c r="M109" s="2">
        <v>342</v>
      </c>
    </row>
    <row r="110" spans="1:13" ht="25.2" customHeight="1" x14ac:dyDescent="0.4">
      <c r="A110" s="1" t="s">
        <v>91</v>
      </c>
      <c r="B110" s="2">
        <v>266</v>
      </c>
      <c r="C110" s="1">
        <v>269</v>
      </c>
      <c r="D110" s="1">
        <v>272</v>
      </c>
      <c r="E110" s="3">
        <v>261</v>
      </c>
      <c r="F110" s="2">
        <v>275</v>
      </c>
      <c r="G110" s="1">
        <v>278</v>
      </c>
      <c r="H110" s="1">
        <v>280</v>
      </c>
      <c r="I110" s="4">
        <v>284</v>
      </c>
      <c r="J110" s="3">
        <v>272</v>
      </c>
      <c r="K110" s="2">
        <v>290</v>
      </c>
      <c r="L110" s="2">
        <v>304</v>
      </c>
      <c r="M110" s="3">
        <f>304-21</f>
        <v>283</v>
      </c>
    </row>
    <row r="111" spans="1:13" ht="25.2" customHeight="1" x14ac:dyDescent="0.4">
      <c r="A111" s="1" t="s">
        <v>92</v>
      </c>
      <c r="B111" s="2">
        <v>263</v>
      </c>
      <c r="C111" s="2">
        <v>276</v>
      </c>
      <c r="D111" s="1">
        <v>279</v>
      </c>
      <c r="E111" s="3">
        <v>262</v>
      </c>
      <c r="F111" s="1">
        <v>263</v>
      </c>
      <c r="G111" s="1">
        <v>266</v>
      </c>
      <c r="H111" s="3">
        <v>251</v>
      </c>
      <c r="I111" s="4">
        <v>255</v>
      </c>
      <c r="J111" s="2">
        <v>266</v>
      </c>
      <c r="K111" s="2">
        <v>282</v>
      </c>
      <c r="L111" s="2">
        <v>299</v>
      </c>
      <c r="M111" s="2">
        <v>316</v>
      </c>
    </row>
    <row r="112" spans="1:13" ht="25.2" customHeight="1" x14ac:dyDescent="0.4">
      <c r="A112" s="1" t="s">
        <v>93</v>
      </c>
      <c r="B112" s="1">
        <v>252</v>
      </c>
      <c r="C112" s="2">
        <v>265</v>
      </c>
      <c r="D112" s="1">
        <v>268</v>
      </c>
      <c r="E112" s="2">
        <v>281</v>
      </c>
      <c r="F112" s="1">
        <v>285</v>
      </c>
      <c r="G112" s="3">
        <v>272</v>
      </c>
      <c r="H112" s="1">
        <v>273</v>
      </c>
      <c r="I112" s="3">
        <f>273-16</f>
        <v>257</v>
      </c>
      <c r="J112" s="4">
        <v>261</v>
      </c>
      <c r="K112" s="2">
        <v>274</v>
      </c>
      <c r="L112" s="3">
        <v>262</v>
      </c>
      <c r="M112" s="2">
        <v>275</v>
      </c>
    </row>
    <row r="113" spans="1:13" ht="25.2" customHeight="1" x14ac:dyDescent="0.4">
      <c r="A113" s="1" t="s">
        <v>99</v>
      </c>
      <c r="B113" s="3">
        <v>234</v>
      </c>
      <c r="C113" s="1">
        <v>236</v>
      </c>
      <c r="D113" s="3">
        <v>224</v>
      </c>
      <c r="E113" s="2">
        <v>237</v>
      </c>
      <c r="F113" s="2">
        <v>251</v>
      </c>
      <c r="G113" s="2">
        <v>269</v>
      </c>
      <c r="H113" s="1">
        <v>271</v>
      </c>
      <c r="I113" s="3">
        <v>261</v>
      </c>
      <c r="J113" s="1">
        <v>264</v>
      </c>
      <c r="K113" s="1">
        <v>265</v>
      </c>
      <c r="L113" s="3">
        <v>252</v>
      </c>
      <c r="M113" s="3">
        <f>252-14</f>
        <v>238</v>
      </c>
    </row>
    <row r="114" spans="1:13" ht="25.2" customHeight="1" x14ac:dyDescent="0.4">
      <c r="A114" s="1" t="s">
        <v>97</v>
      </c>
      <c r="B114" s="1">
        <v>252</v>
      </c>
      <c r="C114" s="1">
        <v>254</v>
      </c>
      <c r="D114" s="3">
        <v>240</v>
      </c>
      <c r="E114" s="3">
        <v>228</v>
      </c>
      <c r="F114" s="3">
        <v>211</v>
      </c>
      <c r="G114" s="2">
        <v>227</v>
      </c>
      <c r="H114" s="3">
        <v>214</v>
      </c>
      <c r="I114" s="1">
        <v>218</v>
      </c>
      <c r="J114" s="1">
        <v>220</v>
      </c>
      <c r="K114" s="1">
        <v>223</v>
      </c>
      <c r="L114" s="3">
        <v>204</v>
      </c>
      <c r="M114" s="3">
        <v>195</v>
      </c>
    </row>
    <row r="115" spans="1:13" ht="25.2" customHeight="1" x14ac:dyDescent="0.4">
      <c r="A115" s="1" t="s">
        <v>98</v>
      </c>
      <c r="B115" s="1">
        <v>252</v>
      </c>
      <c r="C115" s="1">
        <v>254</v>
      </c>
      <c r="D115" s="2">
        <v>268</v>
      </c>
      <c r="E115" s="3">
        <v>255</v>
      </c>
      <c r="F115" s="1">
        <v>257</v>
      </c>
      <c r="G115" s="1">
        <v>258</v>
      </c>
      <c r="H115" s="1">
        <v>260</v>
      </c>
      <c r="I115" s="2">
        <v>276</v>
      </c>
      <c r="J115" s="2">
        <v>291</v>
      </c>
      <c r="K115" s="2">
        <v>307</v>
      </c>
      <c r="L115" s="3">
        <v>296</v>
      </c>
      <c r="M115" s="1">
        <v>300</v>
      </c>
    </row>
    <row r="116" spans="1:13" ht="25.2" customHeight="1" x14ac:dyDescent="0.4">
      <c r="A116" s="1" t="s">
        <v>100</v>
      </c>
      <c r="B116" s="1">
        <v>252</v>
      </c>
      <c r="C116" s="3">
        <f>252-13</f>
        <v>239</v>
      </c>
      <c r="D116" s="3">
        <v>223</v>
      </c>
      <c r="E116" s="1">
        <v>226</v>
      </c>
      <c r="F116" s="3">
        <v>214</v>
      </c>
      <c r="G116" s="2">
        <v>228</v>
      </c>
      <c r="H116" s="2">
        <v>244</v>
      </c>
      <c r="I116" s="1">
        <v>246</v>
      </c>
      <c r="J116" s="2">
        <v>263</v>
      </c>
      <c r="K116" s="1">
        <v>265</v>
      </c>
      <c r="L116" s="1">
        <v>266</v>
      </c>
      <c r="M116" s="1">
        <v>270</v>
      </c>
    </row>
    <row r="117" spans="1:13" ht="25.2" customHeight="1" x14ac:dyDescent="0.4">
      <c r="A117" s="1" t="s">
        <v>101</v>
      </c>
      <c r="B117" s="1">
        <v>252</v>
      </c>
      <c r="C117" s="1">
        <v>254</v>
      </c>
      <c r="D117" s="3">
        <v>240</v>
      </c>
      <c r="E117" s="3">
        <v>222</v>
      </c>
      <c r="F117" s="1">
        <v>223</v>
      </c>
      <c r="G117" s="3">
        <v>205</v>
      </c>
      <c r="H117" s="1">
        <v>207</v>
      </c>
      <c r="I117" s="1">
        <v>210</v>
      </c>
      <c r="J117" s="2">
        <v>223</v>
      </c>
      <c r="K117" s="2">
        <v>234</v>
      </c>
      <c r="L117" s="3">
        <v>221</v>
      </c>
      <c r="M117" s="2">
        <v>234</v>
      </c>
    </row>
    <row r="118" spans="1:13" ht="25.2" customHeight="1" x14ac:dyDescent="0.4">
      <c r="A118" s="1" t="s">
        <v>102</v>
      </c>
      <c r="B118" s="3">
        <v>237</v>
      </c>
      <c r="C118" s="3">
        <v>224</v>
      </c>
      <c r="D118" s="2">
        <v>238</v>
      </c>
      <c r="E118" s="1">
        <v>241</v>
      </c>
      <c r="F118" s="1">
        <v>243</v>
      </c>
      <c r="G118" s="3">
        <f>243-18</f>
        <v>225</v>
      </c>
      <c r="H118" s="2">
        <v>243</v>
      </c>
      <c r="I118" s="3">
        <f>243-16</f>
        <v>227</v>
      </c>
      <c r="J118" s="3">
        <v>216</v>
      </c>
      <c r="K118" s="3">
        <v>202</v>
      </c>
      <c r="L118" s="1">
        <v>202</v>
      </c>
      <c r="M118" s="3">
        <f>202-14</f>
        <v>188</v>
      </c>
    </row>
    <row r="119" spans="1:13" ht="25.2" customHeight="1" x14ac:dyDescent="0.4">
      <c r="A119" s="1" t="s">
        <v>94</v>
      </c>
      <c r="B119" s="1">
        <v>252</v>
      </c>
      <c r="C119" s="3">
        <f>252-13</f>
        <v>239</v>
      </c>
      <c r="D119" s="2">
        <v>253</v>
      </c>
      <c r="E119" s="3">
        <v>239</v>
      </c>
      <c r="F119" s="1">
        <v>241</v>
      </c>
      <c r="G119" s="1">
        <v>244</v>
      </c>
      <c r="H119" s="3">
        <v>233</v>
      </c>
      <c r="I119" s="3">
        <v>216</v>
      </c>
      <c r="J119" s="3">
        <v>203</v>
      </c>
      <c r="K119" s="3">
        <v>190</v>
      </c>
      <c r="L119" s="2">
        <v>204</v>
      </c>
      <c r="M119" s="3">
        <f>204-12</f>
        <v>192</v>
      </c>
    </row>
    <row r="120" spans="1:13" ht="25.2" customHeight="1" x14ac:dyDescent="0.4">
      <c r="A120" s="1" t="s">
        <v>95</v>
      </c>
      <c r="B120" s="1">
        <v>252</v>
      </c>
      <c r="C120" s="1">
        <v>254</v>
      </c>
      <c r="D120" s="3">
        <f>254-16</f>
        <v>238</v>
      </c>
      <c r="E120" s="3">
        <v>226</v>
      </c>
      <c r="F120" s="1">
        <v>229</v>
      </c>
      <c r="G120" s="2">
        <v>242</v>
      </c>
      <c r="H120" s="2">
        <v>254</v>
      </c>
      <c r="I120" s="1">
        <v>257</v>
      </c>
      <c r="J120" s="3">
        <v>242</v>
      </c>
      <c r="K120" s="3">
        <f>242-13</f>
        <v>229</v>
      </c>
      <c r="L120" s="1">
        <v>232</v>
      </c>
      <c r="M120" s="1">
        <v>236</v>
      </c>
    </row>
    <row r="121" spans="1:13" ht="25.2" customHeight="1" x14ac:dyDescent="0.4">
      <c r="A121" s="1" t="s">
        <v>96</v>
      </c>
      <c r="B121" s="1">
        <v>252</v>
      </c>
      <c r="C121" s="2">
        <v>265</v>
      </c>
      <c r="D121" s="1">
        <v>268</v>
      </c>
      <c r="E121" s="2">
        <v>280</v>
      </c>
      <c r="F121" s="1">
        <v>282</v>
      </c>
      <c r="G121" s="2">
        <v>300</v>
      </c>
      <c r="H121" s="1">
        <v>303</v>
      </c>
      <c r="I121" s="2">
        <v>316</v>
      </c>
      <c r="J121" s="3">
        <v>305</v>
      </c>
      <c r="K121" s="2">
        <v>319</v>
      </c>
      <c r="L121" s="3">
        <v>306</v>
      </c>
      <c r="M121" s="1">
        <v>309</v>
      </c>
    </row>
    <row r="122" spans="1:13" ht="25.2" customHeight="1" x14ac:dyDescent="0.4">
      <c r="A122" s="1" t="s">
        <v>103</v>
      </c>
      <c r="B122" s="1">
        <v>252</v>
      </c>
      <c r="C122" s="2">
        <v>265</v>
      </c>
      <c r="D122" s="2">
        <v>278</v>
      </c>
      <c r="E122" s="1">
        <v>279</v>
      </c>
      <c r="F122" s="1">
        <v>282</v>
      </c>
      <c r="G122" s="2">
        <v>298</v>
      </c>
      <c r="H122" s="3">
        <v>281</v>
      </c>
      <c r="I122" s="1">
        <v>283</v>
      </c>
      <c r="J122" s="1">
        <v>286</v>
      </c>
      <c r="K122" s="3">
        <v>272</v>
      </c>
      <c r="L122" s="3">
        <v>262</v>
      </c>
      <c r="M122" s="2">
        <v>273</v>
      </c>
    </row>
    <row r="123" spans="1:13" ht="25.2" customHeight="1" x14ac:dyDescent="0.4">
      <c r="A123" s="1" t="s">
        <v>104</v>
      </c>
      <c r="B123" s="2">
        <v>266</v>
      </c>
      <c r="C123" s="1">
        <v>269</v>
      </c>
      <c r="D123" s="2">
        <v>281</v>
      </c>
      <c r="E123" s="1">
        <v>283</v>
      </c>
      <c r="F123" s="1">
        <v>287</v>
      </c>
      <c r="G123" s="1">
        <v>289</v>
      </c>
      <c r="H123" s="1">
        <v>293</v>
      </c>
      <c r="I123" s="1">
        <v>294</v>
      </c>
      <c r="J123" s="2">
        <v>307</v>
      </c>
      <c r="K123" s="3">
        <f>307-12</f>
        <v>295</v>
      </c>
      <c r="L123" s="2">
        <v>311</v>
      </c>
      <c r="M123" s="1">
        <v>314</v>
      </c>
    </row>
    <row r="124" spans="1:13" ht="25.2" customHeight="1" x14ac:dyDescent="0.4">
      <c r="A124" s="1" t="s">
        <v>105</v>
      </c>
      <c r="B124" s="3">
        <v>234</v>
      </c>
      <c r="C124" s="3">
        <f>234-13</f>
        <v>221</v>
      </c>
      <c r="D124" s="2">
        <v>234</v>
      </c>
      <c r="E124" s="2">
        <v>250</v>
      </c>
      <c r="F124" s="1">
        <v>252</v>
      </c>
      <c r="G124" s="3">
        <f>252-13</f>
        <v>239</v>
      </c>
      <c r="H124" s="1">
        <v>240</v>
      </c>
      <c r="I124" s="1">
        <v>242</v>
      </c>
      <c r="J124" s="2">
        <v>253</v>
      </c>
      <c r="K124" s="2">
        <v>269</v>
      </c>
      <c r="L124" s="2">
        <v>283</v>
      </c>
      <c r="M124" s="2">
        <v>295</v>
      </c>
    </row>
    <row r="125" spans="1:13" ht="25.2" customHeight="1" x14ac:dyDescent="0.4">
      <c r="A125" s="1" t="s">
        <v>106</v>
      </c>
      <c r="B125" s="1">
        <v>252</v>
      </c>
      <c r="C125" s="1">
        <v>254</v>
      </c>
      <c r="D125" s="3">
        <v>240</v>
      </c>
      <c r="E125" s="2">
        <v>257</v>
      </c>
      <c r="F125" s="1">
        <v>259</v>
      </c>
      <c r="G125" s="3">
        <v>245</v>
      </c>
      <c r="H125" s="3">
        <f>245-17</f>
        <v>228</v>
      </c>
      <c r="I125" s="3">
        <v>211</v>
      </c>
      <c r="J125" s="3">
        <v>198</v>
      </c>
      <c r="K125" s="3">
        <v>182</v>
      </c>
      <c r="L125" s="1">
        <v>183</v>
      </c>
      <c r="M125" s="2">
        <v>204</v>
      </c>
    </row>
    <row r="131" spans="1:12" ht="25.2" customHeight="1" x14ac:dyDescent="0.4">
      <c r="I131" s="1">
        <f>34</f>
        <v>34</v>
      </c>
    </row>
    <row r="137" spans="1:12" ht="25.2" customHeight="1" x14ac:dyDescent="0.4">
      <c r="A137" s="1" t="s">
        <v>113</v>
      </c>
      <c r="B137" s="1">
        <v>252</v>
      </c>
      <c r="C137" s="1">
        <v>254</v>
      </c>
      <c r="D137" s="1">
        <v>256</v>
      </c>
      <c r="E137" s="2">
        <v>281</v>
      </c>
      <c r="F137" s="3">
        <f>281-22</f>
        <v>259</v>
      </c>
      <c r="G137" s="1">
        <v>260</v>
      </c>
      <c r="H137" s="3">
        <v>236</v>
      </c>
      <c r="I137" s="3">
        <v>206</v>
      </c>
      <c r="J137" s="3">
        <f>206-14</f>
        <v>192</v>
      </c>
      <c r="K137" s="2">
        <f>17+192</f>
        <v>209</v>
      </c>
      <c r="L137" s="1">
        <v>211</v>
      </c>
    </row>
    <row r="138" spans="1:12" ht="25.2" customHeight="1" x14ac:dyDescent="0.4">
      <c r="A138" s="1" t="s">
        <v>107</v>
      </c>
      <c r="B138" s="1">
        <v>252</v>
      </c>
      <c r="C138" s="3">
        <f>252-34</f>
        <v>218</v>
      </c>
      <c r="D138" s="1">
        <v>220</v>
      </c>
      <c r="E138" s="3">
        <f>220-24</f>
        <v>196</v>
      </c>
      <c r="F138" s="3">
        <v>183</v>
      </c>
      <c r="G138" s="1">
        <v>183</v>
      </c>
      <c r="H138" s="2">
        <v>207</v>
      </c>
      <c r="I138" s="3">
        <f>207-32</f>
        <v>175</v>
      </c>
      <c r="J138" s="2">
        <v>207</v>
      </c>
      <c r="K138" s="3">
        <f>207-16</f>
        <v>191</v>
      </c>
      <c r="L138" s="2">
        <v>202</v>
      </c>
    </row>
    <row r="139" spans="1:12" ht="25.2" customHeight="1" x14ac:dyDescent="0.4">
      <c r="A139" s="1" t="s">
        <v>108</v>
      </c>
      <c r="B139" s="2">
        <v>280</v>
      </c>
      <c r="C139" s="1">
        <v>283</v>
      </c>
      <c r="D139" s="2">
        <f>283+34</f>
        <v>317</v>
      </c>
      <c r="E139" s="1">
        <v>317</v>
      </c>
      <c r="F139" s="1">
        <v>318</v>
      </c>
      <c r="G139" s="2">
        <f>318+36</f>
        <v>354</v>
      </c>
      <c r="H139" s="2">
        <v>375</v>
      </c>
      <c r="I139" s="3">
        <v>345</v>
      </c>
      <c r="J139" s="3">
        <v>323</v>
      </c>
      <c r="K139" s="1">
        <v>325</v>
      </c>
      <c r="L139" s="3">
        <v>307</v>
      </c>
    </row>
    <row r="140" spans="1:12" ht="25.2" customHeight="1" x14ac:dyDescent="0.4">
      <c r="A140" s="1" t="s">
        <v>109</v>
      </c>
      <c r="B140" s="1">
        <v>252</v>
      </c>
      <c r="C140" s="2">
        <f>34+252</f>
        <v>286</v>
      </c>
      <c r="D140" s="1">
        <v>287</v>
      </c>
      <c r="E140" s="3">
        <f>287-25</f>
        <v>262</v>
      </c>
      <c r="F140" s="1">
        <v>265</v>
      </c>
      <c r="G140" s="2">
        <f>265+51</f>
        <v>316</v>
      </c>
      <c r="H140" s="1">
        <v>320</v>
      </c>
      <c r="I140" s="1">
        <v>325</v>
      </c>
      <c r="J140" s="1">
        <v>327</v>
      </c>
      <c r="K140" s="3">
        <f>327-13</f>
        <v>314</v>
      </c>
      <c r="L140" s="2">
        <v>324</v>
      </c>
    </row>
    <row r="141" spans="1:12" ht="25.2" customHeight="1" x14ac:dyDescent="0.4">
      <c r="A141" s="1" t="s">
        <v>110</v>
      </c>
      <c r="B141" s="3">
        <v>225</v>
      </c>
      <c r="C141" s="2">
        <v>250</v>
      </c>
      <c r="D141" s="1">
        <v>250</v>
      </c>
      <c r="E141" s="2">
        <v>278</v>
      </c>
      <c r="F141" s="1">
        <v>280</v>
      </c>
      <c r="G141" s="3">
        <f>280-23</f>
        <v>257</v>
      </c>
      <c r="H141" s="1">
        <v>261</v>
      </c>
      <c r="I141" s="1">
        <v>264</v>
      </c>
      <c r="J141" s="3">
        <f>264-28</f>
        <v>236</v>
      </c>
      <c r="K141" s="2">
        <v>248</v>
      </c>
      <c r="L141" s="3">
        <f>248-15</f>
        <v>233</v>
      </c>
    </row>
    <row r="142" spans="1:12" ht="25.2" customHeight="1" x14ac:dyDescent="0.4">
      <c r="A142" s="1" t="s">
        <v>111</v>
      </c>
      <c r="B142" s="3">
        <v>220</v>
      </c>
      <c r="C142" s="3">
        <f>220-36</f>
        <v>184</v>
      </c>
      <c r="D142" s="1">
        <v>186</v>
      </c>
      <c r="E142" s="2">
        <v>209</v>
      </c>
      <c r="F142" s="3">
        <f>209-24</f>
        <v>185</v>
      </c>
      <c r="G142" s="1">
        <v>185</v>
      </c>
      <c r="H142" s="3">
        <f>185-32</f>
        <v>153</v>
      </c>
      <c r="I142" s="1">
        <v>154</v>
      </c>
      <c r="J142" s="2">
        <f>154+28</f>
        <v>182</v>
      </c>
      <c r="K142" s="1">
        <v>186</v>
      </c>
      <c r="L142" s="3">
        <v>176</v>
      </c>
    </row>
    <row r="143" spans="1:12" ht="25.2" customHeight="1" x14ac:dyDescent="0.4">
      <c r="A143" s="1" t="s">
        <v>112</v>
      </c>
      <c r="B143" s="3">
        <v>220</v>
      </c>
      <c r="C143" s="2">
        <v>250</v>
      </c>
      <c r="D143" s="1">
        <v>252</v>
      </c>
      <c r="E143" s="1">
        <v>254</v>
      </c>
      <c r="F143" s="2">
        <v>277</v>
      </c>
      <c r="G143" s="3">
        <f>277-24</f>
        <v>253</v>
      </c>
      <c r="H143" s="2">
        <v>278</v>
      </c>
      <c r="I143" s="1">
        <v>281</v>
      </c>
      <c r="J143" s="2">
        <f>281+35</f>
        <v>316</v>
      </c>
      <c r="K143" s="1">
        <v>318</v>
      </c>
      <c r="L143" s="2">
        <v>330</v>
      </c>
    </row>
    <row r="144" spans="1:12" ht="25.2" customHeight="1" x14ac:dyDescent="0.4">
      <c r="A144" s="1" t="s">
        <v>115</v>
      </c>
      <c r="B144" s="2">
        <v>280</v>
      </c>
      <c r="C144" s="1">
        <v>283</v>
      </c>
      <c r="D144" s="3">
        <f>283-25</f>
        <v>258</v>
      </c>
      <c r="E144" s="1">
        <v>261</v>
      </c>
      <c r="F144" s="1">
        <v>263</v>
      </c>
      <c r="G144" s="2">
        <f>28+263</f>
        <v>291</v>
      </c>
      <c r="H144" s="1">
        <v>295</v>
      </c>
      <c r="I144" s="2">
        <v>330</v>
      </c>
      <c r="J144" s="2">
        <v>358</v>
      </c>
      <c r="K144" s="3">
        <f>358-16</f>
        <v>342</v>
      </c>
      <c r="L144" s="2">
        <v>362</v>
      </c>
    </row>
    <row r="145" spans="1:12" ht="25.2" customHeight="1" x14ac:dyDescent="0.4">
      <c r="A145" s="1" t="s">
        <v>114</v>
      </c>
      <c r="B145" s="3">
        <v>218</v>
      </c>
      <c r="C145" s="1">
        <v>219</v>
      </c>
      <c r="D145" s="3">
        <f>219-25</f>
        <v>194</v>
      </c>
      <c r="E145" s="1">
        <v>198</v>
      </c>
      <c r="F145" s="1">
        <v>200</v>
      </c>
      <c r="G145" s="1">
        <v>201</v>
      </c>
      <c r="H145" s="1">
        <v>202</v>
      </c>
      <c r="I145" s="2">
        <v>227</v>
      </c>
      <c r="J145" s="3">
        <v>207</v>
      </c>
      <c r="K145" s="1">
        <v>209</v>
      </c>
      <c r="L145" s="1">
        <v>211</v>
      </c>
    </row>
    <row r="146" spans="1:12" ht="25.2" customHeight="1" x14ac:dyDescent="0.4">
      <c r="A146" s="1" t="s">
        <v>116</v>
      </c>
      <c r="B146" s="1">
        <v>252</v>
      </c>
      <c r="C146" s="3">
        <f>252-25</f>
        <v>227</v>
      </c>
      <c r="D146" s="2">
        <v>252</v>
      </c>
      <c r="E146" s="3">
        <f>252-19</f>
        <v>233</v>
      </c>
      <c r="F146" s="1">
        <v>233</v>
      </c>
      <c r="G146" s="3">
        <v>211</v>
      </c>
      <c r="H146" s="3">
        <v>196</v>
      </c>
      <c r="I146" s="2">
        <v>219</v>
      </c>
      <c r="J146" s="3">
        <f>218-27</f>
        <v>191</v>
      </c>
      <c r="K146" s="2">
        <v>202</v>
      </c>
      <c r="L146" s="2">
        <v>215</v>
      </c>
    </row>
    <row r="147" spans="1:12" ht="25.2" customHeight="1" x14ac:dyDescent="0.4">
      <c r="A147" s="1" t="s">
        <v>117</v>
      </c>
      <c r="B147" s="1">
        <v>252</v>
      </c>
      <c r="C147" s="3">
        <f>252-27</f>
        <v>225</v>
      </c>
      <c r="D147" s="1">
        <v>228</v>
      </c>
      <c r="E147" s="1">
        <v>230</v>
      </c>
      <c r="F147" s="3">
        <v>205</v>
      </c>
      <c r="G147" s="2">
        <v>228</v>
      </c>
      <c r="H147" s="2">
        <v>253</v>
      </c>
      <c r="I147" s="2">
        <v>280</v>
      </c>
      <c r="J147" s="2">
        <f>280+36</f>
        <v>316</v>
      </c>
      <c r="K147" s="1">
        <v>320</v>
      </c>
      <c r="L147" s="3">
        <v>310</v>
      </c>
    </row>
    <row r="148" spans="1:12" ht="25.2" customHeight="1" x14ac:dyDescent="0.4">
      <c r="A148" s="1" t="s">
        <v>128</v>
      </c>
      <c r="B148" s="2">
        <v>275</v>
      </c>
      <c r="C148" s="3">
        <f>275-28</f>
        <v>247</v>
      </c>
      <c r="D148" s="1">
        <v>249</v>
      </c>
      <c r="E148" s="2">
        <f>249+29</f>
        <v>278</v>
      </c>
      <c r="F148" s="1">
        <v>281</v>
      </c>
      <c r="G148" s="2">
        <v>309</v>
      </c>
      <c r="H148" s="1">
        <v>313</v>
      </c>
      <c r="I148" s="3">
        <f>313-27</f>
        <v>286</v>
      </c>
      <c r="J148" s="3">
        <f>286-35</f>
        <v>251</v>
      </c>
      <c r="K148" s="1">
        <v>252</v>
      </c>
      <c r="L148" s="1">
        <v>257</v>
      </c>
    </row>
    <row r="149" spans="1:12" ht="25.2" customHeight="1" x14ac:dyDescent="0.4">
      <c r="A149" s="1" t="s">
        <v>118</v>
      </c>
      <c r="B149" s="1">
        <v>252</v>
      </c>
      <c r="C149" s="1">
        <v>254</v>
      </c>
      <c r="D149" s="3">
        <f>254-19</f>
        <v>235</v>
      </c>
      <c r="E149" s="3">
        <v>210</v>
      </c>
      <c r="F149" s="1">
        <v>214</v>
      </c>
      <c r="G149" s="2">
        <v>239</v>
      </c>
      <c r="H149" s="3">
        <v>207</v>
      </c>
      <c r="I149" s="2">
        <v>231</v>
      </c>
      <c r="J149" s="2">
        <v>253</v>
      </c>
      <c r="K149" s="7">
        <v>246</v>
      </c>
      <c r="L149" s="1">
        <v>247</v>
      </c>
    </row>
    <row r="150" spans="1:12" ht="25.2" customHeight="1" x14ac:dyDescent="0.4">
      <c r="A150" s="1" t="s">
        <v>119</v>
      </c>
      <c r="B150" s="1">
        <v>252</v>
      </c>
      <c r="C150" s="1">
        <v>253</v>
      </c>
      <c r="D150" s="1">
        <v>255</v>
      </c>
      <c r="E150" s="2">
        <f>255+24</f>
        <v>279</v>
      </c>
      <c r="F150" s="1">
        <v>281</v>
      </c>
      <c r="G150" s="2">
        <f>23+281</f>
        <v>304</v>
      </c>
      <c r="H150" s="2">
        <v>335</v>
      </c>
      <c r="I150" s="3">
        <v>315</v>
      </c>
      <c r="J150" s="8">
        <f>315-32</f>
        <v>283</v>
      </c>
      <c r="K150" s="2">
        <v>303</v>
      </c>
      <c r="L150" s="1">
        <v>307</v>
      </c>
    </row>
    <row r="151" spans="1:12" ht="25.2" customHeight="1" x14ac:dyDescent="0.4">
      <c r="A151" s="1" t="s">
        <v>120</v>
      </c>
      <c r="B151" s="3">
        <v>220</v>
      </c>
      <c r="C151" s="2">
        <v>249</v>
      </c>
      <c r="D151" s="1">
        <v>251</v>
      </c>
      <c r="E151" s="1">
        <v>253</v>
      </c>
      <c r="F151" s="3">
        <v>231</v>
      </c>
      <c r="G151" s="3">
        <v>202</v>
      </c>
      <c r="H151" s="2">
        <v>225</v>
      </c>
      <c r="I151" s="2">
        <v>256</v>
      </c>
      <c r="J151" s="1">
        <v>257</v>
      </c>
      <c r="K151" s="2">
        <v>279</v>
      </c>
      <c r="L151" s="3">
        <v>268</v>
      </c>
    </row>
    <row r="152" spans="1:12" ht="25.2" customHeight="1" x14ac:dyDescent="0.4">
      <c r="A152" s="1" t="s">
        <v>126</v>
      </c>
      <c r="B152" s="1">
        <v>252</v>
      </c>
      <c r="C152" s="1">
        <v>255</v>
      </c>
      <c r="D152" s="3">
        <f>255-27</f>
        <v>228</v>
      </c>
      <c r="E152" s="3">
        <f>228-31</f>
        <v>197</v>
      </c>
      <c r="F152" s="1">
        <v>199</v>
      </c>
      <c r="G152" s="2">
        <v>230</v>
      </c>
      <c r="H152" s="3">
        <v>200</v>
      </c>
      <c r="I152" s="2">
        <v>238</v>
      </c>
      <c r="J152" s="1">
        <v>243</v>
      </c>
      <c r="K152" s="1">
        <v>247</v>
      </c>
      <c r="L152" s="1">
        <v>248</v>
      </c>
    </row>
    <row r="153" spans="1:12" ht="25.2" customHeight="1" x14ac:dyDescent="0.4">
      <c r="A153" s="1" t="s">
        <v>127</v>
      </c>
      <c r="B153" s="3">
        <v>224</v>
      </c>
      <c r="C153" s="2">
        <f>224+28</f>
        <v>252</v>
      </c>
      <c r="D153" s="1">
        <v>254</v>
      </c>
      <c r="E153" s="1">
        <v>255</v>
      </c>
      <c r="F153" s="1">
        <v>258</v>
      </c>
      <c r="G153" s="1">
        <v>259</v>
      </c>
      <c r="H153" s="3">
        <v>240</v>
      </c>
      <c r="I153" s="3">
        <f>240-29</f>
        <v>211</v>
      </c>
      <c r="J153" s="1">
        <v>211</v>
      </c>
      <c r="K153" s="1">
        <v>213</v>
      </c>
      <c r="L153" s="3">
        <v>197</v>
      </c>
    </row>
    <row r="154" spans="1:12" ht="25.2" customHeight="1" x14ac:dyDescent="0.4">
      <c r="A154" s="1" t="s">
        <v>121</v>
      </c>
      <c r="B154" s="1">
        <v>252</v>
      </c>
      <c r="C154" s="1">
        <v>254</v>
      </c>
      <c r="D154" s="1">
        <v>255</v>
      </c>
      <c r="E154" s="1">
        <v>257</v>
      </c>
      <c r="F154" s="1">
        <v>260</v>
      </c>
      <c r="G154" s="3">
        <f>260-36</f>
        <v>224</v>
      </c>
      <c r="H154" s="3">
        <v>207</v>
      </c>
      <c r="I154" s="3">
        <f>207-36</f>
        <v>171</v>
      </c>
      <c r="J154" s="1">
        <v>172</v>
      </c>
      <c r="K154" s="3">
        <f>172-18</f>
        <v>154</v>
      </c>
      <c r="L154" s="2">
        <v>171</v>
      </c>
    </row>
    <row r="155" spans="1:12" ht="25.2" customHeight="1" x14ac:dyDescent="0.4">
      <c r="A155" s="1" t="s">
        <v>122</v>
      </c>
      <c r="B155" s="2">
        <v>280</v>
      </c>
      <c r="C155" s="3">
        <v>250</v>
      </c>
      <c r="D155" s="2">
        <v>272</v>
      </c>
      <c r="E155" s="1">
        <v>274</v>
      </c>
      <c r="F155" s="1">
        <v>277</v>
      </c>
      <c r="G155" s="3">
        <f>277-23</f>
        <v>254</v>
      </c>
      <c r="H155" s="3">
        <v>227</v>
      </c>
      <c r="I155" s="2">
        <f>227+38</f>
        <v>265</v>
      </c>
      <c r="J155" s="2">
        <v>296</v>
      </c>
      <c r="K155" s="1">
        <v>296</v>
      </c>
      <c r="L155" s="2">
        <v>310</v>
      </c>
    </row>
    <row r="156" spans="1:12" ht="25.2" customHeight="1" x14ac:dyDescent="0.4">
      <c r="A156" s="1" t="s">
        <v>123</v>
      </c>
      <c r="B156" s="2">
        <v>275</v>
      </c>
      <c r="C156" s="2">
        <v>305</v>
      </c>
      <c r="D156" s="2">
        <v>337</v>
      </c>
      <c r="E156" s="2">
        <v>367</v>
      </c>
      <c r="F156" s="2">
        <v>387</v>
      </c>
      <c r="G156" s="3">
        <v>357</v>
      </c>
      <c r="H156" s="2">
        <f>357+26</f>
        <v>383</v>
      </c>
      <c r="I156" s="3">
        <f>383-27</f>
        <v>356</v>
      </c>
      <c r="J156" s="3">
        <f>356-22</f>
        <v>334</v>
      </c>
      <c r="K156" s="3">
        <f>334-16</f>
        <v>318</v>
      </c>
      <c r="L156" s="1">
        <v>321</v>
      </c>
    </row>
    <row r="157" spans="1:12" ht="25.2" customHeight="1" x14ac:dyDescent="0.4">
      <c r="A157" s="1" t="s">
        <v>125</v>
      </c>
      <c r="B157" s="1">
        <v>252</v>
      </c>
      <c r="C157" s="2">
        <v>280</v>
      </c>
      <c r="D157" s="3">
        <v>255</v>
      </c>
      <c r="E157" s="1">
        <v>255</v>
      </c>
      <c r="F157" s="3">
        <f>255-29</f>
        <v>226</v>
      </c>
      <c r="G157" s="1">
        <v>228</v>
      </c>
      <c r="H157" s="1">
        <v>229</v>
      </c>
      <c r="I157" s="1">
        <v>229</v>
      </c>
      <c r="J157" s="1">
        <v>231</v>
      </c>
      <c r="K157" s="1">
        <v>232</v>
      </c>
      <c r="L157" s="3">
        <v>222</v>
      </c>
    </row>
    <row r="158" spans="1:12" ht="25.2" customHeight="1" x14ac:dyDescent="0.4">
      <c r="A158" s="1" t="s">
        <v>124</v>
      </c>
      <c r="B158" s="2">
        <v>282</v>
      </c>
      <c r="C158" s="1">
        <v>284</v>
      </c>
      <c r="D158" s="3">
        <f>284-26</f>
        <v>258</v>
      </c>
      <c r="E158" s="2">
        <f>258+26</f>
        <v>284</v>
      </c>
      <c r="F158" s="2">
        <v>314</v>
      </c>
      <c r="G158" s="2">
        <f>314+34</f>
        <v>348</v>
      </c>
      <c r="H158" s="2">
        <f>348+34</f>
        <v>382</v>
      </c>
      <c r="I158" s="1">
        <v>387</v>
      </c>
      <c r="J158" s="2">
        <v>414</v>
      </c>
      <c r="K158" s="2">
        <v>431</v>
      </c>
      <c r="L158" s="1">
        <v>433</v>
      </c>
    </row>
    <row r="163" spans="1:7" ht="25.2" customHeight="1" x14ac:dyDescent="0.4">
      <c r="A163" s="1" t="s">
        <v>129</v>
      </c>
      <c r="B163" s="1">
        <v>252</v>
      </c>
      <c r="C163" s="3">
        <f>252-26</f>
        <v>226</v>
      </c>
      <c r="G163" s="3"/>
    </row>
    <row r="164" spans="1:7" ht="25.2" customHeight="1" x14ac:dyDescent="0.4">
      <c r="A164" s="1" t="s">
        <v>130</v>
      </c>
      <c r="B164" s="1">
        <v>252</v>
      </c>
      <c r="C164" s="3">
        <v>220</v>
      </c>
    </row>
    <row r="165" spans="1:7" ht="25.2" customHeight="1" x14ac:dyDescent="0.4">
      <c r="A165" s="1" t="s">
        <v>131</v>
      </c>
      <c r="B165" s="2">
        <v>275</v>
      </c>
      <c r="C165" s="1">
        <v>276</v>
      </c>
    </row>
    <row r="166" spans="1:7" ht="25.2" customHeight="1" x14ac:dyDescent="0.4">
      <c r="A166" s="1" t="s">
        <v>132</v>
      </c>
      <c r="B166" s="1">
        <v>252</v>
      </c>
      <c r="C166" s="1">
        <v>254</v>
      </c>
    </row>
    <row r="167" spans="1:7" ht="25.2" customHeight="1" x14ac:dyDescent="0.4">
      <c r="A167" s="1" t="s">
        <v>133</v>
      </c>
      <c r="B167" s="1">
        <v>252</v>
      </c>
      <c r="C167" s="2">
        <v>286</v>
      </c>
    </row>
    <row r="168" spans="1:7" ht="25.2" customHeight="1" x14ac:dyDescent="0.4">
      <c r="A168" s="1" t="s">
        <v>139</v>
      </c>
      <c r="B168" s="1">
        <v>252</v>
      </c>
      <c r="C168" s="1">
        <v>253</v>
      </c>
    </row>
    <row r="169" spans="1:7" ht="25.2" customHeight="1" x14ac:dyDescent="0.4">
      <c r="A169" s="1" t="s">
        <v>134</v>
      </c>
      <c r="B169" s="2">
        <v>275</v>
      </c>
      <c r="C169" s="1">
        <v>276</v>
      </c>
    </row>
    <row r="170" spans="1:7" ht="25.2" customHeight="1" x14ac:dyDescent="0.4">
      <c r="A170" s="1" t="s">
        <v>135</v>
      </c>
      <c r="B170" s="2">
        <v>275</v>
      </c>
      <c r="C170" s="2">
        <v>305</v>
      </c>
    </row>
    <row r="171" spans="1:7" ht="25.2" customHeight="1" x14ac:dyDescent="0.4">
      <c r="A171" s="1" t="s">
        <v>136</v>
      </c>
      <c r="B171" s="1">
        <v>252</v>
      </c>
      <c r="C171" s="1">
        <v>255</v>
      </c>
    </row>
    <row r="172" spans="1:7" ht="25.2" customHeight="1" x14ac:dyDescent="0.4">
      <c r="A172" s="1" t="s">
        <v>137</v>
      </c>
      <c r="B172" s="1">
        <v>252</v>
      </c>
      <c r="C172" s="1">
        <v>255</v>
      </c>
    </row>
    <row r="173" spans="1:7" ht="25.2" customHeight="1" x14ac:dyDescent="0.4">
      <c r="A173" s="1" t="s">
        <v>138</v>
      </c>
      <c r="B173" s="3">
        <v>225</v>
      </c>
      <c r="C173" s="1">
        <v>227</v>
      </c>
    </row>
    <row r="174" spans="1:7" ht="25.2" customHeight="1" x14ac:dyDescent="0.4">
      <c r="A174" s="1" t="s">
        <v>140</v>
      </c>
      <c r="B174" s="3">
        <v>225</v>
      </c>
      <c r="C174" s="1">
        <v>227</v>
      </c>
    </row>
    <row r="175" spans="1:7" ht="25.2" customHeight="1" x14ac:dyDescent="0.4">
      <c r="A175" s="1" t="s">
        <v>141</v>
      </c>
      <c r="B175" s="3">
        <v>225</v>
      </c>
      <c r="C175" s="2">
        <v>255</v>
      </c>
    </row>
    <row r="176" spans="1:7" ht="25.2" customHeight="1" x14ac:dyDescent="0.4">
      <c r="A176" s="1" t="s">
        <v>142</v>
      </c>
      <c r="B176" s="2">
        <v>275</v>
      </c>
      <c r="C176" s="1">
        <v>277</v>
      </c>
    </row>
    <row r="177" spans="1:3" ht="25.2" customHeight="1" x14ac:dyDescent="0.4">
      <c r="A177" s="1" t="s">
        <v>143</v>
      </c>
      <c r="B177" s="3">
        <v>225</v>
      </c>
      <c r="C177" s="1">
        <v>228</v>
      </c>
    </row>
    <row r="178" spans="1:3" ht="25.2" customHeight="1" x14ac:dyDescent="0.4">
      <c r="A178" s="1" t="s">
        <v>144</v>
      </c>
      <c r="B178" s="2">
        <v>280</v>
      </c>
      <c r="C178" s="1">
        <v>282</v>
      </c>
    </row>
    <row r="179" spans="1:3" ht="25.2" customHeight="1" x14ac:dyDescent="0.4">
      <c r="A179" s="1" t="s">
        <v>145</v>
      </c>
      <c r="B179" s="1">
        <v>252</v>
      </c>
      <c r="C179" s="1">
        <v>253</v>
      </c>
    </row>
    <row r="180" spans="1:3" ht="25.2" customHeight="1" x14ac:dyDescent="0.4">
      <c r="A180" s="1" t="s">
        <v>146</v>
      </c>
      <c r="B180" s="3">
        <v>225</v>
      </c>
      <c r="C180" s="1">
        <v>227</v>
      </c>
    </row>
    <row r="181" spans="1:3" ht="25.2" customHeight="1" x14ac:dyDescent="0.4">
      <c r="A181" s="1" t="s">
        <v>149</v>
      </c>
      <c r="B181" s="1">
        <v>252</v>
      </c>
      <c r="C181" s="1">
        <v>254</v>
      </c>
    </row>
    <row r="182" spans="1:3" ht="25.2" customHeight="1" x14ac:dyDescent="0.4">
      <c r="A182" s="1" t="s">
        <v>147</v>
      </c>
      <c r="B182" s="3">
        <v>220</v>
      </c>
      <c r="C182" s="1">
        <v>223</v>
      </c>
    </row>
    <row r="183" spans="1:3" ht="25.2" customHeight="1" x14ac:dyDescent="0.4">
      <c r="A183" s="1" t="s">
        <v>148</v>
      </c>
      <c r="B183" s="1">
        <v>252</v>
      </c>
      <c r="C183" s="1">
        <v>253</v>
      </c>
    </row>
    <row r="184" spans="1:3" ht="25.2" customHeight="1" x14ac:dyDescent="0.4">
      <c r="A184" s="1" t="s">
        <v>150</v>
      </c>
      <c r="B184" s="2">
        <v>275</v>
      </c>
      <c r="C184" s="3">
        <v>245</v>
      </c>
    </row>
    <row r="191" spans="1:3" ht="25.2" customHeight="1" x14ac:dyDescent="0.4">
      <c r="A191" s="1" t="s">
        <v>151</v>
      </c>
    </row>
    <row r="192" spans="1:3" ht="25.2" customHeight="1" x14ac:dyDescent="0.4">
      <c r="A192" s="1" t="s">
        <v>152</v>
      </c>
    </row>
    <row r="193" spans="1:1" ht="25.2" customHeight="1" x14ac:dyDescent="0.4">
      <c r="A193" s="1" t="s">
        <v>153</v>
      </c>
    </row>
    <row r="194" spans="1:1" ht="25.2" customHeight="1" x14ac:dyDescent="0.4">
      <c r="A194" s="1" t="s">
        <v>157</v>
      </c>
    </row>
    <row r="195" spans="1:1" ht="25.2" customHeight="1" x14ac:dyDescent="0.4">
      <c r="A195" s="1" t="s">
        <v>154</v>
      </c>
    </row>
    <row r="196" spans="1:1" ht="25.2" customHeight="1" x14ac:dyDescent="0.4">
      <c r="A196" s="1" t="s">
        <v>155</v>
      </c>
    </row>
    <row r="197" spans="1:1" ht="25.2" customHeight="1" x14ac:dyDescent="0.4">
      <c r="A197" s="1" t="s">
        <v>156</v>
      </c>
    </row>
    <row r="198" spans="1:1" ht="25.2" customHeight="1" x14ac:dyDescent="0.4">
      <c r="A198" s="1" t="s">
        <v>158</v>
      </c>
    </row>
    <row r="199" spans="1:1" ht="25.2" customHeight="1" x14ac:dyDescent="0.4">
      <c r="A199" s="1" t="s">
        <v>159</v>
      </c>
    </row>
    <row r="200" spans="1:1" ht="25.2" customHeight="1" x14ac:dyDescent="0.4">
      <c r="A200" s="1" t="s">
        <v>166</v>
      </c>
    </row>
    <row r="201" spans="1:1" ht="25.2" customHeight="1" x14ac:dyDescent="0.4">
      <c r="A201" s="1" t="s">
        <v>168</v>
      </c>
    </row>
    <row r="202" spans="1:1" ht="25.2" customHeight="1" x14ac:dyDescent="0.4">
      <c r="A202" s="1" t="s">
        <v>160</v>
      </c>
    </row>
    <row r="203" spans="1:1" ht="25.2" customHeight="1" x14ac:dyDescent="0.4">
      <c r="A203" s="1" t="s">
        <v>161</v>
      </c>
    </row>
    <row r="204" spans="1:1" ht="25.2" customHeight="1" x14ac:dyDescent="0.4">
      <c r="A204" s="1" t="s">
        <v>162</v>
      </c>
    </row>
    <row r="205" spans="1:1" ht="25.2" customHeight="1" x14ac:dyDescent="0.4">
      <c r="A205" s="1" t="s">
        <v>163</v>
      </c>
    </row>
    <row r="206" spans="1:1" ht="25.2" customHeight="1" x14ac:dyDescent="0.4">
      <c r="A206" s="1" t="s">
        <v>164</v>
      </c>
    </row>
    <row r="207" spans="1:1" ht="25.2" customHeight="1" x14ac:dyDescent="0.4">
      <c r="A207" s="1" t="s">
        <v>167</v>
      </c>
    </row>
    <row r="208" spans="1:1" ht="25.2" customHeight="1" x14ac:dyDescent="0.4">
      <c r="A208" s="1" t="s">
        <v>165</v>
      </c>
    </row>
    <row r="215" spans="1:27" ht="25.2" customHeight="1" x14ac:dyDescent="0.4">
      <c r="A215" s="1" t="s">
        <v>129</v>
      </c>
      <c r="B215" s="1">
        <v>0</v>
      </c>
      <c r="C215" s="1">
        <v>0</v>
      </c>
      <c r="D215" s="1">
        <v>1</v>
      </c>
      <c r="E215" s="1">
        <v>1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P215" s="1" t="s">
        <v>129</v>
      </c>
      <c r="Q215" s="1">
        <v>0</v>
      </c>
      <c r="R215" s="1">
        <v>2</v>
      </c>
      <c r="S215" s="1">
        <v>1</v>
      </c>
      <c r="T215" s="1">
        <v>0</v>
      </c>
      <c r="U215" s="1">
        <v>2</v>
      </c>
      <c r="V215" s="1">
        <v>1</v>
      </c>
      <c r="W215" s="1">
        <v>1</v>
      </c>
      <c r="X215" s="1">
        <v>0</v>
      </c>
      <c r="Y215" s="1">
        <v>2</v>
      </c>
      <c r="Z215" s="1">
        <v>0</v>
      </c>
      <c r="AA215" s="1">
        <v>1</v>
      </c>
    </row>
    <row r="216" spans="1:27" ht="25.2" customHeight="1" x14ac:dyDescent="0.4">
      <c r="A216" s="1" t="s">
        <v>130</v>
      </c>
      <c r="B216" s="1">
        <v>1</v>
      </c>
      <c r="C216" s="1">
        <v>0</v>
      </c>
      <c r="D216" s="1">
        <v>3</v>
      </c>
      <c r="E216" s="1">
        <v>3</v>
      </c>
      <c r="F216" s="1">
        <v>0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3</v>
      </c>
      <c r="P216" s="1" t="s">
        <v>130</v>
      </c>
      <c r="Q216" s="1">
        <v>1</v>
      </c>
      <c r="R216" s="1">
        <v>2</v>
      </c>
      <c r="S216" s="1">
        <v>0</v>
      </c>
      <c r="T216" s="1">
        <v>3</v>
      </c>
      <c r="U216" s="1">
        <v>1</v>
      </c>
      <c r="V216" s="1">
        <v>4</v>
      </c>
      <c r="W216" s="1">
        <v>0</v>
      </c>
      <c r="X216" s="1">
        <v>2</v>
      </c>
      <c r="Y216" s="1">
        <v>2</v>
      </c>
      <c r="Z216" s="1">
        <v>0</v>
      </c>
      <c r="AA216" s="1">
        <v>0</v>
      </c>
    </row>
    <row r="217" spans="1:27" ht="25.2" customHeight="1" x14ac:dyDescent="0.4">
      <c r="A217" s="1" t="s">
        <v>131</v>
      </c>
      <c r="B217" s="1">
        <v>1</v>
      </c>
      <c r="C217" s="1">
        <v>0</v>
      </c>
      <c r="D217" s="1">
        <v>2</v>
      </c>
      <c r="E217" s="1">
        <v>0</v>
      </c>
      <c r="F217" s="1">
        <v>0</v>
      </c>
      <c r="G217" s="1">
        <v>0</v>
      </c>
      <c r="H217" s="1">
        <v>1</v>
      </c>
      <c r="I217" s="1">
        <v>2</v>
      </c>
      <c r="J217" s="1">
        <v>2</v>
      </c>
      <c r="K217" s="1">
        <v>2</v>
      </c>
      <c r="L217" s="1">
        <v>0</v>
      </c>
      <c r="P217" s="1" t="s">
        <v>131</v>
      </c>
      <c r="Q217" s="1">
        <v>0</v>
      </c>
      <c r="R217" s="1">
        <v>0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3</v>
      </c>
      <c r="Y217" s="1">
        <v>0</v>
      </c>
      <c r="Z217" s="1">
        <v>1</v>
      </c>
      <c r="AA217" s="1">
        <v>0</v>
      </c>
    </row>
    <row r="218" spans="1:27" ht="25.2" customHeight="1" x14ac:dyDescent="0.4">
      <c r="A218" s="1" t="s">
        <v>132</v>
      </c>
      <c r="B218" s="1">
        <v>2</v>
      </c>
      <c r="C218" s="1">
        <v>1</v>
      </c>
      <c r="D218" s="1">
        <v>1</v>
      </c>
      <c r="E218" s="1">
        <v>0</v>
      </c>
      <c r="F218" s="1">
        <v>0</v>
      </c>
      <c r="G218" s="1">
        <v>0</v>
      </c>
      <c r="H218" s="1">
        <v>0</v>
      </c>
      <c r="I218" s="1">
        <v>1</v>
      </c>
      <c r="J218" s="1">
        <v>4</v>
      </c>
      <c r="K218" s="1">
        <v>1</v>
      </c>
      <c r="L218" s="1">
        <v>0</v>
      </c>
      <c r="P218" s="1" t="s">
        <v>132</v>
      </c>
      <c r="Q218" s="1">
        <v>2</v>
      </c>
      <c r="R218" s="1">
        <v>1</v>
      </c>
      <c r="S218" s="1">
        <v>1</v>
      </c>
      <c r="T218" s="1">
        <v>1</v>
      </c>
      <c r="U218" s="1">
        <v>1</v>
      </c>
      <c r="V218" s="1">
        <v>0</v>
      </c>
      <c r="W218" s="1">
        <v>2</v>
      </c>
      <c r="X218" s="1">
        <v>1</v>
      </c>
      <c r="Y218" s="1">
        <v>4</v>
      </c>
      <c r="Z218" s="1">
        <v>2</v>
      </c>
      <c r="AA218" s="1">
        <v>3</v>
      </c>
    </row>
    <row r="219" spans="1:27" ht="25.2" customHeight="1" x14ac:dyDescent="0.4">
      <c r="A219" s="1" t="s">
        <v>133</v>
      </c>
      <c r="B219" s="1">
        <v>3</v>
      </c>
      <c r="C219" s="1">
        <v>3</v>
      </c>
      <c r="D219" s="1">
        <v>1</v>
      </c>
      <c r="E219" s="1">
        <v>3</v>
      </c>
      <c r="F219" s="1">
        <v>0</v>
      </c>
      <c r="G219" s="1">
        <v>1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P219" s="1" t="s">
        <v>133</v>
      </c>
      <c r="Q219" s="1">
        <v>3</v>
      </c>
      <c r="R219" s="1">
        <v>1</v>
      </c>
      <c r="S219" s="1">
        <v>2</v>
      </c>
      <c r="T219" s="1">
        <v>3</v>
      </c>
      <c r="U219" s="1">
        <v>1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1</v>
      </c>
    </row>
    <row r="220" spans="1:27" ht="25.2" customHeight="1" x14ac:dyDescent="0.4">
      <c r="A220" s="1" t="s">
        <v>139</v>
      </c>
      <c r="B220" s="1">
        <v>1</v>
      </c>
      <c r="C220" s="1">
        <v>1</v>
      </c>
      <c r="D220" s="1">
        <v>2</v>
      </c>
      <c r="E220" s="1">
        <v>3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1</v>
      </c>
      <c r="L220" s="1">
        <v>2</v>
      </c>
      <c r="P220" s="1" t="s">
        <v>139</v>
      </c>
      <c r="Q220" s="1">
        <v>1</v>
      </c>
      <c r="R220" s="1">
        <v>1</v>
      </c>
      <c r="S220" s="1">
        <v>3</v>
      </c>
      <c r="T220" s="1">
        <v>0</v>
      </c>
      <c r="U220" s="1">
        <v>1</v>
      </c>
      <c r="V220" s="1">
        <v>0</v>
      </c>
      <c r="W220" s="1">
        <v>2</v>
      </c>
      <c r="X220" s="1">
        <v>3</v>
      </c>
      <c r="Y220" s="1">
        <v>0</v>
      </c>
      <c r="Z220" s="1">
        <v>1</v>
      </c>
      <c r="AA220" s="1">
        <v>2</v>
      </c>
    </row>
    <row r="221" spans="1:27" ht="25.2" customHeight="1" x14ac:dyDescent="0.4">
      <c r="A221" s="1" t="s">
        <v>134</v>
      </c>
      <c r="B221" s="1">
        <v>1</v>
      </c>
      <c r="C221" s="1">
        <v>1</v>
      </c>
      <c r="D221" s="1">
        <v>3</v>
      </c>
      <c r="E221" s="1">
        <v>0</v>
      </c>
      <c r="F221" s="1">
        <v>1</v>
      </c>
      <c r="G221" s="1">
        <v>1</v>
      </c>
      <c r="H221" s="1">
        <v>2</v>
      </c>
      <c r="I221" s="1">
        <v>1</v>
      </c>
      <c r="J221" s="1">
        <v>1</v>
      </c>
      <c r="K221" s="1">
        <v>0</v>
      </c>
      <c r="L221" s="1">
        <v>1</v>
      </c>
      <c r="P221" s="1" t="s">
        <v>134</v>
      </c>
      <c r="Q221" s="1">
        <v>0</v>
      </c>
      <c r="R221" s="1">
        <v>1</v>
      </c>
      <c r="S221" s="1">
        <v>3</v>
      </c>
      <c r="T221" s="1">
        <v>3</v>
      </c>
      <c r="U221" s="1">
        <v>0</v>
      </c>
      <c r="V221" s="1">
        <v>0</v>
      </c>
      <c r="W221" s="1">
        <v>0</v>
      </c>
      <c r="X221" s="1">
        <v>1</v>
      </c>
      <c r="Y221" s="1">
        <v>1</v>
      </c>
      <c r="Z221" s="1">
        <v>1</v>
      </c>
      <c r="AA221" s="1">
        <v>1</v>
      </c>
    </row>
    <row r="222" spans="1:27" ht="25.2" customHeight="1" x14ac:dyDescent="0.4">
      <c r="A222" s="1" t="s">
        <v>135</v>
      </c>
      <c r="B222" s="1">
        <v>1</v>
      </c>
      <c r="C222" s="1">
        <v>2</v>
      </c>
      <c r="D222" s="1">
        <v>1</v>
      </c>
      <c r="E222" s="1">
        <v>4</v>
      </c>
      <c r="F222" s="1">
        <v>0</v>
      </c>
      <c r="G222" s="1">
        <v>1</v>
      </c>
      <c r="H222" s="1">
        <v>1</v>
      </c>
      <c r="I222" s="1">
        <v>3</v>
      </c>
      <c r="J222" s="1">
        <v>2</v>
      </c>
      <c r="K222" s="1">
        <v>2</v>
      </c>
      <c r="L222" s="1">
        <v>3</v>
      </c>
      <c r="P222" s="1" t="s">
        <v>135</v>
      </c>
      <c r="Q222" s="1">
        <v>0</v>
      </c>
      <c r="R222" s="1">
        <v>0</v>
      </c>
      <c r="S222" s="1">
        <v>1</v>
      </c>
      <c r="T222" s="1">
        <v>2</v>
      </c>
      <c r="U222" s="1">
        <v>1</v>
      </c>
      <c r="V222" s="1">
        <v>0</v>
      </c>
      <c r="W222" s="1">
        <v>0</v>
      </c>
      <c r="X222" s="1">
        <v>2</v>
      </c>
      <c r="Y222" s="1">
        <v>2</v>
      </c>
      <c r="Z222" s="1">
        <v>1</v>
      </c>
      <c r="AA222" s="1">
        <v>0</v>
      </c>
    </row>
    <row r="223" spans="1:27" ht="25.2" customHeight="1" x14ac:dyDescent="0.4">
      <c r="A223" s="1" t="s">
        <v>136</v>
      </c>
      <c r="B223" s="1">
        <v>2</v>
      </c>
      <c r="C223" s="1">
        <v>3</v>
      </c>
      <c r="D223" s="1">
        <v>3</v>
      </c>
      <c r="E223" s="1">
        <v>1</v>
      </c>
      <c r="F223" s="1">
        <v>3</v>
      </c>
      <c r="G223" s="1">
        <v>1</v>
      </c>
      <c r="H223" s="1">
        <v>0</v>
      </c>
      <c r="I223" s="1">
        <v>3</v>
      </c>
      <c r="J223" s="1">
        <v>2</v>
      </c>
      <c r="K223" s="1">
        <v>0</v>
      </c>
      <c r="L223" s="1">
        <v>1</v>
      </c>
      <c r="P223" s="1" t="s">
        <v>136</v>
      </c>
      <c r="Q223" s="1">
        <v>2</v>
      </c>
      <c r="R223" s="1">
        <v>3</v>
      </c>
      <c r="S223" s="1">
        <v>3</v>
      </c>
      <c r="T223" s="1">
        <v>0</v>
      </c>
      <c r="U223" s="1">
        <v>0</v>
      </c>
      <c r="V223" s="1">
        <v>0</v>
      </c>
      <c r="W223" s="1">
        <v>0</v>
      </c>
      <c r="X223" s="1">
        <v>1</v>
      </c>
      <c r="Y223" s="1">
        <v>2</v>
      </c>
      <c r="Z223" s="1">
        <v>1</v>
      </c>
      <c r="AA223" s="1">
        <v>2</v>
      </c>
    </row>
    <row r="224" spans="1:27" ht="25.2" customHeight="1" x14ac:dyDescent="0.4">
      <c r="A224" s="1" t="s">
        <v>137</v>
      </c>
      <c r="B224" s="1">
        <v>1</v>
      </c>
      <c r="C224" s="1">
        <v>1</v>
      </c>
      <c r="D224" s="1">
        <v>3</v>
      </c>
      <c r="E224" s="1">
        <v>0</v>
      </c>
      <c r="F224" s="1">
        <v>2</v>
      </c>
      <c r="G224" s="1">
        <v>1</v>
      </c>
      <c r="H224" s="1">
        <v>3</v>
      </c>
      <c r="I224" s="1">
        <v>2</v>
      </c>
      <c r="J224" s="1">
        <v>2</v>
      </c>
      <c r="K224" s="1">
        <v>0</v>
      </c>
      <c r="L224" s="1">
        <v>0</v>
      </c>
      <c r="P224" s="1" t="s">
        <v>137</v>
      </c>
      <c r="Q224" s="1">
        <v>1</v>
      </c>
      <c r="R224" s="1">
        <v>1</v>
      </c>
      <c r="S224" s="1">
        <v>2</v>
      </c>
      <c r="T224" s="1">
        <v>0</v>
      </c>
      <c r="U224" s="1">
        <v>1</v>
      </c>
      <c r="V224" s="1">
        <v>1</v>
      </c>
      <c r="W224" s="1">
        <v>2</v>
      </c>
      <c r="X224" s="1">
        <v>2</v>
      </c>
      <c r="Y224" s="1">
        <v>2</v>
      </c>
      <c r="Z224" s="1">
        <v>3</v>
      </c>
      <c r="AA224" s="1">
        <v>3</v>
      </c>
    </row>
    <row r="225" spans="1:27" ht="25.2" customHeight="1" x14ac:dyDescent="0.4">
      <c r="A225" s="1" t="s">
        <v>138</v>
      </c>
      <c r="B225" s="1">
        <v>0</v>
      </c>
      <c r="C225" s="1">
        <v>1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1</v>
      </c>
      <c r="J225" s="1">
        <v>3</v>
      </c>
      <c r="K225" s="1">
        <v>1</v>
      </c>
      <c r="L225" s="1">
        <v>1</v>
      </c>
      <c r="P225" s="1" t="s">
        <v>138</v>
      </c>
      <c r="Q225" s="1">
        <v>1</v>
      </c>
      <c r="R225" s="1">
        <v>1</v>
      </c>
      <c r="S225" s="1">
        <v>0</v>
      </c>
      <c r="T225" s="1">
        <v>1</v>
      </c>
      <c r="U225" s="1">
        <v>0</v>
      </c>
      <c r="V225" s="1">
        <v>0</v>
      </c>
      <c r="W225" s="1">
        <v>0</v>
      </c>
      <c r="X225" s="1">
        <v>3</v>
      </c>
      <c r="Y225" s="1">
        <v>0</v>
      </c>
      <c r="Z225" s="1">
        <v>2</v>
      </c>
      <c r="AA225" s="1">
        <v>0</v>
      </c>
    </row>
    <row r="226" spans="1:27" ht="25.2" customHeight="1" x14ac:dyDescent="0.4">
      <c r="A226" s="1" t="s">
        <v>140</v>
      </c>
      <c r="B226" s="1">
        <v>0</v>
      </c>
      <c r="C226" s="1">
        <v>0</v>
      </c>
      <c r="D226" s="1">
        <v>1</v>
      </c>
      <c r="E226" s="1">
        <v>1</v>
      </c>
      <c r="F226" s="1">
        <v>1</v>
      </c>
      <c r="G226" s="1">
        <v>0</v>
      </c>
      <c r="H226" s="1">
        <v>2</v>
      </c>
      <c r="I226" s="1">
        <v>2</v>
      </c>
      <c r="J226" s="1">
        <v>1</v>
      </c>
      <c r="K226" s="1">
        <v>3</v>
      </c>
      <c r="L226" s="1">
        <v>1</v>
      </c>
      <c r="P226" s="1" t="s">
        <v>140</v>
      </c>
      <c r="Q226" s="1">
        <v>1</v>
      </c>
      <c r="R226" s="1">
        <v>0</v>
      </c>
      <c r="S226" s="1">
        <v>1</v>
      </c>
      <c r="T226" s="1">
        <v>1</v>
      </c>
      <c r="U226" s="1">
        <v>0</v>
      </c>
      <c r="V226" s="1">
        <v>1</v>
      </c>
      <c r="W226" s="1">
        <v>1</v>
      </c>
      <c r="X226" s="1">
        <v>2</v>
      </c>
      <c r="Y226" s="1">
        <v>1</v>
      </c>
      <c r="Z226" s="1">
        <v>3</v>
      </c>
      <c r="AA226" s="1">
        <v>2</v>
      </c>
    </row>
    <row r="227" spans="1:27" ht="25.2" customHeight="1" x14ac:dyDescent="0.4">
      <c r="A227" s="1" t="s">
        <v>141</v>
      </c>
      <c r="B227" s="1">
        <v>0</v>
      </c>
      <c r="C227" s="1">
        <v>2</v>
      </c>
      <c r="D227" s="1">
        <v>0</v>
      </c>
      <c r="E227" s="1">
        <v>0</v>
      </c>
      <c r="F227" s="1">
        <v>1</v>
      </c>
      <c r="G227" s="1">
        <v>0</v>
      </c>
      <c r="H227" s="1">
        <v>2</v>
      </c>
      <c r="I227" s="1">
        <v>2</v>
      </c>
      <c r="J227" s="1">
        <v>2</v>
      </c>
      <c r="K227" s="1">
        <v>0</v>
      </c>
      <c r="L227" s="1">
        <v>2</v>
      </c>
      <c r="P227" s="1" t="s">
        <v>141</v>
      </c>
      <c r="Q227" s="1">
        <v>1</v>
      </c>
      <c r="R227" s="1">
        <v>0</v>
      </c>
      <c r="S227" s="1">
        <v>0</v>
      </c>
      <c r="T227" s="1">
        <v>0</v>
      </c>
      <c r="U227" s="1">
        <v>2</v>
      </c>
      <c r="V227" s="1">
        <v>1</v>
      </c>
      <c r="W227" s="1">
        <v>0</v>
      </c>
      <c r="X227" s="1">
        <v>2</v>
      </c>
      <c r="Y227" s="1">
        <v>0</v>
      </c>
      <c r="Z227" s="1">
        <v>0</v>
      </c>
      <c r="AA227" s="1">
        <v>0</v>
      </c>
    </row>
    <row r="228" spans="1:27" ht="25.2" customHeight="1" x14ac:dyDescent="0.4">
      <c r="A228" s="1" t="s">
        <v>142</v>
      </c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0</v>
      </c>
      <c r="J228" s="1">
        <v>0</v>
      </c>
      <c r="K228" s="1">
        <v>2</v>
      </c>
      <c r="L228" s="1">
        <v>2</v>
      </c>
      <c r="P228" s="1" t="s">
        <v>142</v>
      </c>
      <c r="Q228" s="1">
        <v>0</v>
      </c>
      <c r="R228" s="1">
        <v>1</v>
      </c>
      <c r="S228" s="1">
        <v>1</v>
      </c>
      <c r="T228" s="1">
        <v>1</v>
      </c>
      <c r="U228" s="1">
        <v>0</v>
      </c>
      <c r="V228" s="1">
        <v>0</v>
      </c>
      <c r="W228" s="1">
        <v>1</v>
      </c>
      <c r="X228" s="1">
        <v>1</v>
      </c>
      <c r="Y228" s="1">
        <v>0</v>
      </c>
      <c r="Z228" s="1">
        <v>0</v>
      </c>
      <c r="AA228" s="1">
        <v>1</v>
      </c>
    </row>
    <row r="229" spans="1:27" ht="25.2" customHeight="1" x14ac:dyDescent="0.4">
      <c r="A229" s="1" t="s">
        <v>143</v>
      </c>
      <c r="B229" s="1">
        <v>1</v>
      </c>
      <c r="C229" s="1">
        <v>0</v>
      </c>
      <c r="D229" s="1">
        <v>0</v>
      </c>
      <c r="E229" s="1">
        <v>1</v>
      </c>
      <c r="F229" s="1">
        <v>1</v>
      </c>
      <c r="G229" s="1">
        <v>2</v>
      </c>
      <c r="H229" s="1">
        <v>1</v>
      </c>
      <c r="I229" s="1">
        <v>3</v>
      </c>
      <c r="J229" s="1">
        <v>0</v>
      </c>
      <c r="K229" s="1">
        <v>3</v>
      </c>
      <c r="L229" s="1">
        <v>1</v>
      </c>
      <c r="P229" s="1" t="s">
        <v>143</v>
      </c>
      <c r="Q229" s="1">
        <v>2</v>
      </c>
      <c r="R229" s="1">
        <v>0</v>
      </c>
      <c r="S229" s="1">
        <v>3</v>
      </c>
      <c r="T229" s="1">
        <v>0</v>
      </c>
      <c r="U229" s="1">
        <v>2</v>
      </c>
      <c r="V229" s="1">
        <v>0</v>
      </c>
      <c r="W229" s="1">
        <v>1</v>
      </c>
      <c r="X229" s="1">
        <v>0</v>
      </c>
      <c r="Y229" s="1">
        <v>2</v>
      </c>
      <c r="Z229" s="1">
        <v>3</v>
      </c>
      <c r="AA229" s="1">
        <v>0</v>
      </c>
    </row>
    <row r="230" spans="1:27" ht="25.2" customHeight="1" x14ac:dyDescent="0.4">
      <c r="A230" s="1" t="s">
        <v>144</v>
      </c>
      <c r="B230" s="1">
        <v>3</v>
      </c>
      <c r="C230" s="1">
        <v>3</v>
      </c>
      <c r="D230" s="1">
        <v>1</v>
      </c>
      <c r="E230" s="1">
        <v>2</v>
      </c>
      <c r="F230" s="1">
        <v>2</v>
      </c>
      <c r="G230" s="1">
        <v>0</v>
      </c>
      <c r="H230" s="1">
        <v>1</v>
      </c>
      <c r="I230" s="1">
        <v>1</v>
      </c>
      <c r="J230" s="1">
        <v>1</v>
      </c>
      <c r="K230" s="1">
        <v>1</v>
      </c>
      <c r="L230" s="1">
        <v>0</v>
      </c>
      <c r="P230" s="1" t="s">
        <v>144</v>
      </c>
      <c r="Q230" s="1">
        <v>1</v>
      </c>
      <c r="R230" s="1">
        <v>3</v>
      </c>
      <c r="S230" s="1">
        <v>0</v>
      </c>
      <c r="T230" s="1">
        <v>2</v>
      </c>
      <c r="U230" s="1">
        <v>0</v>
      </c>
      <c r="V230" s="1">
        <v>0</v>
      </c>
      <c r="W230" s="1">
        <v>2</v>
      </c>
      <c r="X230" s="1">
        <v>1</v>
      </c>
      <c r="Y230" s="1">
        <v>2</v>
      </c>
      <c r="Z230" s="1">
        <v>3</v>
      </c>
      <c r="AA230" s="1">
        <v>0</v>
      </c>
    </row>
    <row r="231" spans="1:27" ht="25.2" customHeight="1" x14ac:dyDescent="0.4">
      <c r="A231" s="1" t="s">
        <v>145</v>
      </c>
      <c r="B231" s="1">
        <v>3</v>
      </c>
      <c r="C231" s="1">
        <v>1</v>
      </c>
      <c r="D231" s="1">
        <v>1</v>
      </c>
      <c r="E231" s="1">
        <v>0</v>
      </c>
      <c r="F231" s="1">
        <v>2</v>
      </c>
      <c r="G231" s="1">
        <v>0</v>
      </c>
      <c r="H231" s="1">
        <v>1</v>
      </c>
      <c r="I231" s="1">
        <v>1</v>
      </c>
      <c r="J231" s="1">
        <v>2</v>
      </c>
      <c r="K231" s="1">
        <v>1</v>
      </c>
      <c r="L231" s="1">
        <v>2</v>
      </c>
      <c r="P231" s="1" t="s">
        <v>145</v>
      </c>
      <c r="Q231" s="1">
        <v>3</v>
      </c>
      <c r="R231" s="1">
        <v>1</v>
      </c>
      <c r="S231" s="1">
        <v>1</v>
      </c>
      <c r="T231" s="1">
        <v>1</v>
      </c>
      <c r="U231" s="1">
        <v>0</v>
      </c>
      <c r="V231" s="1">
        <v>1</v>
      </c>
      <c r="W231" s="1">
        <v>1</v>
      </c>
      <c r="X231" s="1">
        <v>1</v>
      </c>
      <c r="Y231" s="1">
        <v>1</v>
      </c>
      <c r="Z231" s="1">
        <v>0</v>
      </c>
      <c r="AA231" s="1">
        <v>1</v>
      </c>
    </row>
    <row r="232" spans="1:27" ht="25.2" customHeight="1" x14ac:dyDescent="0.4">
      <c r="A232" s="1" t="s">
        <v>146</v>
      </c>
      <c r="B232" s="1">
        <v>0</v>
      </c>
      <c r="C232" s="1">
        <v>1</v>
      </c>
      <c r="D232" s="1">
        <v>1</v>
      </c>
      <c r="E232" s="1">
        <v>1</v>
      </c>
      <c r="F232" s="1">
        <v>1</v>
      </c>
      <c r="G232" s="1">
        <v>0</v>
      </c>
      <c r="H232" s="1">
        <v>2</v>
      </c>
      <c r="I232" s="1">
        <v>0</v>
      </c>
      <c r="J232" s="1">
        <v>0</v>
      </c>
      <c r="K232" s="1">
        <v>1</v>
      </c>
      <c r="L232" s="1">
        <v>0</v>
      </c>
      <c r="P232" s="1" t="s">
        <v>146</v>
      </c>
      <c r="Q232" s="1">
        <v>1</v>
      </c>
      <c r="R232" s="1">
        <v>1</v>
      </c>
      <c r="S232" s="1">
        <v>3</v>
      </c>
      <c r="T232" s="1">
        <v>0</v>
      </c>
      <c r="U232" s="1">
        <v>0</v>
      </c>
      <c r="V232" s="1">
        <v>0</v>
      </c>
      <c r="W232" s="1">
        <v>3</v>
      </c>
      <c r="X232" s="1">
        <v>0</v>
      </c>
      <c r="Y232" s="1">
        <v>0</v>
      </c>
      <c r="Z232" s="1">
        <v>1</v>
      </c>
      <c r="AA232" s="1">
        <v>2</v>
      </c>
    </row>
    <row r="233" spans="1:27" ht="25.2" customHeight="1" x14ac:dyDescent="0.4">
      <c r="A233" s="1" t="s">
        <v>149</v>
      </c>
      <c r="B233" s="1">
        <v>0</v>
      </c>
      <c r="C233" s="1">
        <v>1</v>
      </c>
      <c r="D233" s="1">
        <v>0</v>
      </c>
      <c r="E233" s="1">
        <v>3</v>
      </c>
      <c r="F233" s="1">
        <v>0</v>
      </c>
      <c r="G233" s="1">
        <v>0</v>
      </c>
      <c r="H233" s="1">
        <v>2</v>
      </c>
      <c r="I233" s="1">
        <v>2</v>
      </c>
      <c r="J233" s="1">
        <v>0</v>
      </c>
      <c r="K233" s="1">
        <v>3</v>
      </c>
      <c r="L233" s="1">
        <v>1</v>
      </c>
      <c r="P233" s="1" t="s">
        <v>149</v>
      </c>
      <c r="Q233" s="1">
        <v>0</v>
      </c>
      <c r="R233" s="1">
        <v>1</v>
      </c>
      <c r="S233" s="1">
        <v>1</v>
      </c>
      <c r="T233" s="1">
        <v>0</v>
      </c>
      <c r="U233" s="1">
        <v>2</v>
      </c>
      <c r="V233" s="1">
        <v>3</v>
      </c>
      <c r="W233" s="1">
        <v>1</v>
      </c>
      <c r="X233" s="1">
        <v>0</v>
      </c>
      <c r="Y233" s="1">
        <v>3</v>
      </c>
      <c r="Z233" s="1">
        <v>0</v>
      </c>
      <c r="AA233" s="1">
        <v>1</v>
      </c>
    </row>
    <row r="234" spans="1:27" ht="25.2" customHeight="1" x14ac:dyDescent="0.4">
      <c r="A234" s="1" t="s">
        <v>147</v>
      </c>
      <c r="B234" s="1">
        <v>1</v>
      </c>
      <c r="C234" s="1">
        <v>1</v>
      </c>
      <c r="D234" s="1">
        <v>1</v>
      </c>
      <c r="E234" s="1">
        <v>1</v>
      </c>
      <c r="F234" s="1">
        <v>1</v>
      </c>
      <c r="G234" s="1">
        <v>4</v>
      </c>
      <c r="H234" s="1">
        <v>0</v>
      </c>
      <c r="I234" s="1">
        <v>2</v>
      </c>
      <c r="J234" s="1">
        <v>0</v>
      </c>
      <c r="K234" s="1">
        <v>0</v>
      </c>
      <c r="L234" s="1">
        <v>2</v>
      </c>
      <c r="P234" s="1" t="s">
        <v>147</v>
      </c>
      <c r="Q234" s="1">
        <v>3</v>
      </c>
      <c r="R234" s="1">
        <v>1</v>
      </c>
      <c r="S234" s="1">
        <v>1</v>
      </c>
      <c r="T234" s="1">
        <v>1</v>
      </c>
      <c r="U234" s="1">
        <v>0</v>
      </c>
      <c r="V234" s="1">
        <v>0</v>
      </c>
      <c r="W234" s="1">
        <v>0</v>
      </c>
      <c r="X234" s="1">
        <v>2</v>
      </c>
      <c r="Y234" s="1">
        <v>2</v>
      </c>
      <c r="Z234" s="1">
        <v>2</v>
      </c>
      <c r="AA234" s="1">
        <v>2</v>
      </c>
    </row>
    <row r="235" spans="1:27" ht="25.2" customHeight="1" x14ac:dyDescent="0.4">
      <c r="A235" s="1" t="s">
        <v>148</v>
      </c>
      <c r="B235" s="1">
        <v>1</v>
      </c>
      <c r="C235" s="1">
        <v>0</v>
      </c>
      <c r="D235" s="1">
        <v>1</v>
      </c>
      <c r="E235" s="1">
        <v>0</v>
      </c>
      <c r="F235" s="1">
        <v>2</v>
      </c>
      <c r="G235" s="1">
        <v>0</v>
      </c>
      <c r="H235" s="1">
        <v>0</v>
      </c>
      <c r="I235" s="1">
        <v>0</v>
      </c>
      <c r="J235" s="1">
        <v>2</v>
      </c>
      <c r="K235" s="1">
        <v>1</v>
      </c>
      <c r="L235" s="1">
        <v>1</v>
      </c>
      <c r="P235" s="1" t="s">
        <v>148</v>
      </c>
      <c r="Q235" s="1">
        <v>1</v>
      </c>
      <c r="R235" s="1">
        <v>0</v>
      </c>
      <c r="S235" s="1">
        <v>1</v>
      </c>
      <c r="T235" s="1">
        <v>3</v>
      </c>
      <c r="U235" s="1">
        <v>1</v>
      </c>
      <c r="V235" s="1">
        <v>2</v>
      </c>
      <c r="W235" s="1">
        <v>2</v>
      </c>
      <c r="X235" s="1">
        <v>0</v>
      </c>
      <c r="Y235" s="1">
        <v>0</v>
      </c>
      <c r="Z235" s="1">
        <v>0</v>
      </c>
      <c r="AA235" s="1">
        <v>1</v>
      </c>
    </row>
    <row r="236" spans="1:27" ht="25.2" customHeight="1" x14ac:dyDescent="0.4">
      <c r="A236" s="1" t="s">
        <v>150</v>
      </c>
      <c r="B236" s="1">
        <v>2</v>
      </c>
      <c r="C236" s="1">
        <v>1</v>
      </c>
      <c r="D236" s="1">
        <v>3</v>
      </c>
      <c r="E236" s="1">
        <v>1</v>
      </c>
      <c r="F236" s="1">
        <v>0</v>
      </c>
      <c r="G236" s="1">
        <v>3</v>
      </c>
      <c r="H236" s="1">
        <v>0</v>
      </c>
      <c r="I236" s="1">
        <v>0</v>
      </c>
      <c r="J236" s="1">
        <v>4</v>
      </c>
      <c r="K236" s="1">
        <v>3</v>
      </c>
      <c r="L236" s="1">
        <v>1</v>
      </c>
      <c r="P236" s="1" t="s">
        <v>150</v>
      </c>
      <c r="Q236" s="1">
        <v>1</v>
      </c>
      <c r="R236" s="1">
        <v>3</v>
      </c>
      <c r="S236" s="1">
        <v>1</v>
      </c>
      <c r="T236" s="1">
        <v>1</v>
      </c>
      <c r="U236" s="1">
        <v>3</v>
      </c>
      <c r="V236" s="1">
        <v>0</v>
      </c>
      <c r="W236" s="1">
        <v>1</v>
      </c>
      <c r="X236" s="1">
        <v>1</v>
      </c>
      <c r="Y236" s="1">
        <v>4</v>
      </c>
      <c r="Z236" s="1">
        <v>1</v>
      </c>
      <c r="AA236" s="1">
        <v>1</v>
      </c>
    </row>
    <row r="240" spans="1:27" ht="25.2" customHeight="1" x14ac:dyDescent="0.4">
      <c r="B240" s="1">
        <v>1</v>
      </c>
      <c r="C240" s="1">
        <v>2</v>
      </c>
      <c r="D240" s="1">
        <v>3</v>
      </c>
      <c r="E240" s="1">
        <v>4</v>
      </c>
      <c r="F240" s="1">
        <v>5</v>
      </c>
      <c r="G240" s="1">
        <v>6</v>
      </c>
      <c r="H240" s="1">
        <v>7</v>
      </c>
      <c r="I240" s="1">
        <v>8</v>
      </c>
      <c r="J240" s="1">
        <v>9</v>
      </c>
      <c r="K240" s="1">
        <v>10</v>
      </c>
      <c r="L240" s="1">
        <v>11</v>
      </c>
      <c r="M240" s="1">
        <v>12</v>
      </c>
      <c r="N240" s="1">
        <v>13</v>
      </c>
      <c r="O240" s="1">
        <v>14</v>
      </c>
      <c r="P240" s="1">
        <v>15</v>
      </c>
      <c r="Q240" s="1">
        <v>16</v>
      </c>
      <c r="R240" s="1">
        <v>17</v>
      </c>
      <c r="S240" s="1">
        <v>18</v>
      </c>
      <c r="T240" s="1">
        <v>19</v>
      </c>
      <c r="U240" s="1">
        <v>20</v>
      </c>
      <c r="V240" s="1">
        <v>21</v>
      </c>
      <c r="W240" s="1">
        <v>22</v>
      </c>
      <c r="X240" s="1">
        <v>23</v>
      </c>
      <c r="Y240" s="1">
        <v>24</v>
      </c>
      <c r="Z240" s="1">
        <v>25</v>
      </c>
    </row>
    <row r="242" spans="1:82" ht="25.2" customHeight="1" thickBot="1" x14ac:dyDescent="0.45">
      <c r="A242" s="12" t="s">
        <v>175</v>
      </c>
      <c r="B242" s="13" t="s">
        <v>187</v>
      </c>
      <c r="C242" s="12" t="s">
        <v>188</v>
      </c>
      <c r="D242" s="14" t="s">
        <v>197</v>
      </c>
      <c r="E242" s="13" t="s">
        <v>189</v>
      </c>
      <c r="F242" s="13" t="s">
        <v>201</v>
      </c>
      <c r="G242" s="13" t="s">
        <v>202</v>
      </c>
      <c r="H242" s="13" t="s">
        <v>204</v>
      </c>
      <c r="I242" s="13" t="s">
        <v>242</v>
      </c>
      <c r="J242" s="13" t="s">
        <v>202</v>
      </c>
      <c r="K242" s="12" t="s">
        <v>194</v>
      </c>
      <c r="L242" s="13" t="s">
        <v>201</v>
      </c>
      <c r="M242" s="12" t="s">
        <v>188</v>
      </c>
      <c r="N242" s="13" t="s">
        <v>198</v>
      </c>
      <c r="O242" s="13" t="s">
        <v>201</v>
      </c>
      <c r="P242" s="13" t="s">
        <v>202</v>
      </c>
      <c r="Q242" s="21" t="s">
        <v>199</v>
      </c>
      <c r="R242" s="12" t="s">
        <v>194</v>
      </c>
      <c r="S242" s="13" t="s">
        <v>187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25.2" customHeight="1" thickTop="1" thickBot="1" x14ac:dyDescent="0.45">
      <c r="A243" s="12" t="s">
        <v>169</v>
      </c>
      <c r="B243" s="12" t="s">
        <v>188</v>
      </c>
      <c r="C243" s="14" t="s">
        <v>199</v>
      </c>
      <c r="D243" s="13" t="s">
        <v>195</v>
      </c>
      <c r="E243" s="13" t="s">
        <v>202</v>
      </c>
      <c r="F243" s="13" t="s">
        <v>202</v>
      </c>
      <c r="G243" s="13" t="s">
        <v>202</v>
      </c>
      <c r="H243" s="12" t="s">
        <v>188</v>
      </c>
      <c r="I243" s="12" t="s">
        <v>194</v>
      </c>
      <c r="J243" s="12" t="s">
        <v>188</v>
      </c>
      <c r="K243" s="14" t="s">
        <v>200</v>
      </c>
      <c r="L243" s="13" t="s">
        <v>201</v>
      </c>
      <c r="M243" s="12" t="s">
        <v>188</v>
      </c>
      <c r="N243" s="12" t="s">
        <v>194</v>
      </c>
      <c r="O243" s="13" t="s">
        <v>204</v>
      </c>
      <c r="P243" s="12" t="s">
        <v>240</v>
      </c>
      <c r="Q243" s="23" t="s">
        <v>207</v>
      </c>
      <c r="R243" s="20" t="s">
        <v>195</v>
      </c>
      <c r="S243" s="13" t="s">
        <v>187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25.2" customHeight="1" thickTop="1" x14ac:dyDescent="0.4">
      <c r="A244" s="12" t="s">
        <v>170</v>
      </c>
      <c r="B244" s="13" t="s">
        <v>189</v>
      </c>
      <c r="C244" s="13" t="s">
        <v>195</v>
      </c>
      <c r="D244" s="13" t="s">
        <v>195</v>
      </c>
      <c r="E244" s="12" t="s">
        <v>194</v>
      </c>
      <c r="F244" s="14" t="s">
        <v>196</v>
      </c>
      <c r="G244" s="14" t="s">
        <v>191</v>
      </c>
      <c r="H244" s="14" t="s">
        <v>192</v>
      </c>
      <c r="I244" s="14" t="s">
        <v>197</v>
      </c>
      <c r="J244" s="14" t="s">
        <v>200</v>
      </c>
      <c r="K244" s="12" t="s">
        <v>194</v>
      </c>
      <c r="L244" s="14" t="s">
        <v>199</v>
      </c>
      <c r="M244" s="13" t="s">
        <v>201</v>
      </c>
      <c r="N244" s="14" t="s">
        <v>197</v>
      </c>
      <c r="O244" s="14" t="s">
        <v>196</v>
      </c>
      <c r="P244" s="14" t="s">
        <v>200</v>
      </c>
      <c r="Q244" s="23" t="s">
        <v>192</v>
      </c>
      <c r="R244" s="13" t="s">
        <v>201</v>
      </c>
      <c r="S244" s="14" t="s">
        <v>200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25.2" customHeight="1" thickBot="1" x14ac:dyDescent="0.45">
      <c r="A245" s="12" t="s">
        <v>171</v>
      </c>
      <c r="B245" s="13" t="s">
        <v>190</v>
      </c>
      <c r="C245" s="14" t="s">
        <v>197</v>
      </c>
      <c r="D245" s="13" t="s">
        <v>201</v>
      </c>
      <c r="E245" s="12" t="s">
        <v>194</v>
      </c>
      <c r="F245" s="14" t="s">
        <v>199</v>
      </c>
      <c r="G245" s="13" t="s">
        <v>202</v>
      </c>
      <c r="H245" s="14" t="s">
        <v>197</v>
      </c>
      <c r="I245" s="13" t="s">
        <v>195</v>
      </c>
      <c r="J245" s="12" t="s">
        <v>188</v>
      </c>
      <c r="K245" s="12" t="s">
        <v>194</v>
      </c>
      <c r="L245" s="14" t="s">
        <v>200</v>
      </c>
      <c r="M245" s="14" t="s">
        <v>197</v>
      </c>
      <c r="N245" s="12" t="s">
        <v>194</v>
      </c>
      <c r="O245" s="12" t="s">
        <v>188</v>
      </c>
      <c r="P245" s="13" t="s">
        <v>187</v>
      </c>
      <c r="Q245" s="24" t="s">
        <v>201</v>
      </c>
      <c r="R245" s="14" t="s">
        <v>196</v>
      </c>
      <c r="S245" s="13" t="s">
        <v>187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25.2" customHeight="1" thickTop="1" thickBot="1" x14ac:dyDescent="0.45">
      <c r="A246" s="12" t="s">
        <v>173</v>
      </c>
      <c r="B246" s="14" t="s">
        <v>191</v>
      </c>
      <c r="C246" s="14" t="s">
        <v>196</v>
      </c>
      <c r="D246" s="13" t="s">
        <v>195</v>
      </c>
      <c r="E246" s="12" t="s">
        <v>203</v>
      </c>
      <c r="F246" s="14" t="s">
        <v>200</v>
      </c>
      <c r="G246" s="12" t="s">
        <v>194</v>
      </c>
      <c r="H246" s="12" t="s">
        <v>203</v>
      </c>
      <c r="I246" s="14" t="s">
        <v>200</v>
      </c>
      <c r="J246" s="12" t="s">
        <v>188</v>
      </c>
      <c r="K246" s="14" t="s">
        <v>199</v>
      </c>
      <c r="L246" s="13" t="s">
        <v>195</v>
      </c>
      <c r="M246" s="14" t="s">
        <v>199</v>
      </c>
      <c r="N246" s="12" t="s">
        <v>203</v>
      </c>
      <c r="O246" s="13" t="s">
        <v>201</v>
      </c>
      <c r="P246" s="12" t="s">
        <v>203</v>
      </c>
      <c r="Q246" s="19" t="s">
        <v>203</v>
      </c>
      <c r="R246" s="13" t="s">
        <v>195</v>
      </c>
      <c r="S246" s="23" t="s">
        <v>199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25.2" customHeight="1" thickTop="1" thickBot="1" x14ac:dyDescent="0.45">
      <c r="A247" s="12" t="s">
        <v>176</v>
      </c>
      <c r="B247" s="14" t="s">
        <v>192</v>
      </c>
      <c r="C247" s="12" t="s">
        <v>188</v>
      </c>
      <c r="D247" s="14" t="s">
        <v>199</v>
      </c>
      <c r="E247" s="14" t="s">
        <v>192</v>
      </c>
      <c r="F247" s="13" t="s">
        <v>202</v>
      </c>
      <c r="G247" s="14" t="s">
        <v>200</v>
      </c>
      <c r="H247" s="12" t="s">
        <v>188</v>
      </c>
      <c r="I247" s="13" t="s">
        <v>189</v>
      </c>
      <c r="J247" s="14" t="s">
        <v>192</v>
      </c>
      <c r="K247" s="14" t="s">
        <v>200</v>
      </c>
      <c r="L247" s="14" t="s">
        <v>200</v>
      </c>
      <c r="M247" s="13" t="s">
        <v>201</v>
      </c>
      <c r="N247" s="14" t="s">
        <v>197</v>
      </c>
      <c r="O247" s="14" t="s">
        <v>199</v>
      </c>
      <c r="P247" s="14" t="s">
        <v>196</v>
      </c>
      <c r="Q247" s="18" t="s">
        <v>199</v>
      </c>
      <c r="R247" s="19" t="s">
        <v>194</v>
      </c>
      <c r="S247" s="14" t="s">
        <v>196</v>
      </c>
      <c r="T247" s="17"/>
      <c r="U247" s="17"/>
      <c r="V247" s="17"/>
      <c r="W247" s="17"/>
      <c r="X247" s="17"/>
      <c r="Y247" s="17" t="s">
        <v>243</v>
      </c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25.2" customHeight="1" thickTop="1" thickBot="1" x14ac:dyDescent="0.45">
      <c r="A248" s="12" t="s">
        <v>172</v>
      </c>
      <c r="B248" s="14" t="s">
        <v>193</v>
      </c>
      <c r="C248" s="14" t="s">
        <v>200</v>
      </c>
      <c r="D248" s="14" t="s">
        <v>205</v>
      </c>
      <c r="E248" s="12" t="s">
        <v>203</v>
      </c>
      <c r="F248" s="12" t="s">
        <v>194</v>
      </c>
      <c r="G248" s="13" t="s">
        <v>204</v>
      </c>
      <c r="H248" s="12" t="s">
        <v>203</v>
      </c>
      <c r="I248" s="14" t="s">
        <v>197</v>
      </c>
      <c r="J248" s="14" t="s">
        <v>192</v>
      </c>
      <c r="K248" s="13" t="s">
        <v>202</v>
      </c>
      <c r="L248" s="14" t="s">
        <v>197</v>
      </c>
      <c r="M248" s="12" t="s">
        <v>194</v>
      </c>
      <c r="N248" s="13" t="s">
        <v>195</v>
      </c>
      <c r="O248" s="13" t="s">
        <v>208</v>
      </c>
      <c r="P248" s="14" t="s">
        <v>200</v>
      </c>
      <c r="Q248" s="13" t="s">
        <v>202</v>
      </c>
      <c r="R248" s="22" t="s">
        <v>194</v>
      </c>
      <c r="S248" s="20" t="s">
        <v>190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25.2" customHeight="1" thickTop="1" thickBot="1" x14ac:dyDescent="0.45">
      <c r="A249" s="12" t="s">
        <v>174</v>
      </c>
      <c r="B249" s="12" t="s">
        <v>194</v>
      </c>
      <c r="C249" s="14" t="s">
        <v>192</v>
      </c>
      <c r="D249" s="14" t="s">
        <v>207</v>
      </c>
      <c r="E249" s="14" t="s">
        <v>199</v>
      </c>
      <c r="F249" s="12" t="s">
        <v>194</v>
      </c>
      <c r="G249" s="14" t="s">
        <v>200</v>
      </c>
      <c r="H249" s="14" t="s">
        <v>209</v>
      </c>
      <c r="I249" s="13" t="s">
        <v>195</v>
      </c>
      <c r="J249" s="12" t="s">
        <v>188</v>
      </c>
      <c r="K249" s="13" t="s">
        <v>202</v>
      </c>
      <c r="L249" s="13" t="s">
        <v>202</v>
      </c>
      <c r="M249" s="12" t="s">
        <v>203</v>
      </c>
      <c r="N249" s="14" t="s">
        <v>192</v>
      </c>
      <c r="O249" s="18" t="s">
        <v>207</v>
      </c>
      <c r="P249" s="14" t="s">
        <v>196</v>
      </c>
      <c r="Q249" s="17" t="s">
        <v>203</v>
      </c>
      <c r="R249" s="25" t="s">
        <v>192</v>
      </c>
      <c r="S249" s="14" t="s">
        <v>196</v>
      </c>
      <c r="T249" s="17"/>
      <c r="U249" s="17"/>
      <c r="V249" s="17"/>
      <c r="W249" s="17"/>
      <c r="X249" s="17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25.2" customHeight="1" thickTop="1" thickBot="1" x14ac:dyDescent="0.45">
      <c r="A250" s="12" t="s">
        <v>177</v>
      </c>
      <c r="B250" s="12" t="s">
        <v>194</v>
      </c>
      <c r="C250" s="12" t="s">
        <v>188</v>
      </c>
      <c r="D250" s="13" t="s">
        <v>195</v>
      </c>
      <c r="E250" s="14" t="s">
        <v>200</v>
      </c>
      <c r="F250" s="14" t="s">
        <v>207</v>
      </c>
      <c r="G250" s="14" t="s">
        <v>200</v>
      </c>
      <c r="H250" s="12" t="s">
        <v>203</v>
      </c>
      <c r="I250" s="13" t="s">
        <v>201</v>
      </c>
      <c r="J250" s="14" t="s">
        <v>197</v>
      </c>
      <c r="K250" s="12" t="s">
        <v>194</v>
      </c>
      <c r="L250" s="12" t="s">
        <v>194</v>
      </c>
      <c r="M250" s="12" t="s">
        <v>194</v>
      </c>
      <c r="N250" s="14" t="s">
        <v>193</v>
      </c>
      <c r="O250" s="13" t="s">
        <v>242</v>
      </c>
      <c r="P250" s="14" t="s">
        <v>200</v>
      </c>
      <c r="Q250" s="20" t="s">
        <v>189</v>
      </c>
      <c r="R250" s="12" t="s">
        <v>188</v>
      </c>
      <c r="S250" s="20" t="s">
        <v>201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25.2" customHeight="1" thickTop="1" x14ac:dyDescent="0.4">
      <c r="A251" s="12" t="s">
        <v>178</v>
      </c>
      <c r="B251" s="13" t="s">
        <v>195</v>
      </c>
      <c r="C251" s="13" t="s">
        <v>201</v>
      </c>
      <c r="D251" s="13" t="s">
        <v>208</v>
      </c>
      <c r="E251" s="12" t="s">
        <v>203</v>
      </c>
      <c r="F251" s="13" t="s">
        <v>208</v>
      </c>
      <c r="G251" s="14" t="s">
        <v>199</v>
      </c>
      <c r="H251" s="13" t="s">
        <v>187</v>
      </c>
      <c r="I251" s="12" t="s">
        <v>194</v>
      </c>
      <c r="J251" s="12" t="s">
        <v>194</v>
      </c>
      <c r="K251" s="13" t="s">
        <v>201</v>
      </c>
      <c r="L251" s="13" t="s">
        <v>202</v>
      </c>
      <c r="M251" s="12" t="s">
        <v>194</v>
      </c>
      <c r="N251" s="12" t="s">
        <v>203</v>
      </c>
      <c r="O251" s="13" t="s">
        <v>187</v>
      </c>
      <c r="P251" s="12" t="s">
        <v>203</v>
      </c>
      <c r="Q251" s="13" t="s">
        <v>201</v>
      </c>
      <c r="R251" s="12" t="s">
        <v>194</v>
      </c>
      <c r="S251" s="13" t="s">
        <v>202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25.2" customHeight="1" x14ac:dyDescent="0.4">
      <c r="A252" s="12" t="s">
        <v>179</v>
      </c>
      <c r="B252" s="12" t="s">
        <v>194</v>
      </c>
      <c r="C252" s="12" t="s">
        <v>188</v>
      </c>
      <c r="D252" s="14" t="s">
        <v>199</v>
      </c>
      <c r="E252" s="12" t="s">
        <v>203</v>
      </c>
      <c r="F252" s="14" t="s">
        <v>200</v>
      </c>
      <c r="G252" s="14" t="s">
        <v>192</v>
      </c>
      <c r="H252" s="14" t="s">
        <v>193</v>
      </c>
      <c r="I252" s="14" t="s">
        <v>199</v>
      </c>
      <c r="J252" s="13" t="s">
        <v>201</v>
      </c>
      <c r="K252" s="12" t="s">
        <v>194</v>
      </c>
      <c r="L252" s="12" t="s">
        <v>203</v>
      </c>
      <c r="M252" s="12" t="s">
        <v>203</v>
      </c>
      <c r="N252" s="12" t="s">
        <v>194</v>
      </c>
      <c r="O252" s="12" t="s">
        <v>188</v>
      </c>
      <c r="P252" s="12" t="s">
        <v>203</v>
      </c>
      <c r="Q252" s="14" t="s">
        <v>200</v>
      </c>
      <c r="R252" s="12" t="s">
        <v>203</v>
      </c>
      <c r="S252" s="14" t="s">
        <v>200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25.2" customHeight="1" x14ac:dyDescent="0.4">
      <c r="A253" s="12" t="s">
        <v>180</v>
      </c>
      <c r="B253" s="14" t="s">
        <v>196</v>
      </c>
      <c r="C253" s="13" t="s">
        <v>189</v>
      </c>
      <c r="D253" s="13" t="s">
        <v>201</v>
      </c>
      <c r="E253" s="14" t="s">
        <v>196</v>
      </c>
      <c r="F253" s="12" t="s">
        <v>194</v>
      </c>
      <c r="G253" s="13" t="s">
        <v>202</v>
      </c>
      <c r="H253" s="14" t="s">
        <v>200</v>
      </c>
      <c r="I253" s="12" t="s">
        <v>194</v>
      </c>
      <c r="J253" s="12" t="s">
        <v>188</v>
      </c>
      <c r="K253" s="14" t="s">
        <v>199</v>
      </c>
      <c r="L253" s="12" t="s">
        <v>188</v>
      </c>
      <c r="M253" s="13" t="s">
        <v>187</v>
      </c>
      <c r="N253" s="14" t="s">
        <v>241</v>
      </c>
      <c r="O253" s="12" t="s">
        <v>188</v>
      </c>
      <c r="P253" s="14" t="s">
        <v>245</v>
      </c>
      <c r="Q253" s="23" t="s">
        <v>199</v>
      </c>
      <c r="R253" s="23" t="s">
        <v>199</v>
      </c>
      <c r="S253" s="14" t="s">
        <v>197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25.2" customHeight="1" thickBot="1" x14ac:dyDescent="0.45">
      <c r="A254" s="12" t="s">
        <v>185</v>
      </c>
      <c r="B254" s="14" t="s">
        <v>197</v>
      </c>
      <c r="C254" s="14" t="s">
        <v>200</v>
      </c>
      <c r="D254" s="13" t="s">
        <v>206</v>
      </c>
      <c r="E254" s="13" t="s">
        <v>187</v>
      </c>
      <c r="F254" s="14" t="s">
        <v>196</v>
      </c>
      <c r="G254" s="13" t="s">
        <v>190</v>
      </c>
      <c r="H254" s="13" t="s">
        <v>195</v>
      </c>
      <c r="I254" s="12" t="s">
        <v>194</v>
      </c>
      <c r="J254" s="12" t="s">
        <v>188</v>
      </c>
      <c r="K254" s="13" t="s">
        <v>202</v>
      </c>
      <c r="L254" s="12" t="s">
        <v>203</v>
      </c>
      <c r="M254" s="12" t="s">
        <v>194</v>
      </c>
      <c r="N254" s="12" t="s">
        <v>194</v>
      </c>
      <c r="O254" s="14" t="s">
        <v>241</v>
      </c>
      <c r="P254" s="12" t="s">
        <v>203</v>
      </c>
      <c r="Q254" s="24" t="s">
        <v>201</v>
      </c>
      <c r="R254" s="14" t="s">
        <v>197</v>
      </c>
      <c r="S254" s="23" t="s">
        <v>196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25.2" customHeight="1" thickTop="1" thickBot="1" x14ac:dyDescent="0.45">
      <c r="A255" s="12" t="s">
        <v>186</v>
      </c>
      <c r="B255" s="14" t="s">
        <v>197</v>
      </c>
      <c r="C255" s="12" t="s">
        <v>188</v>
      </c>
      <c r="D255" s="14" t="s">
        <v>197</v>
      </c>
      <c r="E255" s="12" t="s">
        <v>194</v>
      </c>
      <c r="F255" s="12" t="s">
        <v>194</v>
      </c>
      <c r="G255" s="14" t="s">
        <v>209</v>
      </c>
      <c r="H255" s="13" t="s">
        <v>202</v>
      </c>
      <c r="I255" s="14" t="s">
        <v>241</v>
      </c>
      <c r="J255" s="13" t="s">
        <v>189</v>
      </c>
      <c r="K255" s="13" t="s">
        <v>201</v>
      </c>
      <c r="L255" s="12" t="s">
        <v>194</v>
      </c>
      <c r="M255" s="13" t="s">
        <v>195</v>
      </c>
      <c r="N255" s="12" t="s">
        <v>194</v>
      </c>
      <c r="O255" s="12" t="s">
        <v>240</v>
      </c>
      <c r="P255" s="13" t="s">
        <v>202</v>
      </c>
      <c r="Q255" s="20" t="s">
        <v>202</v>
      </c>
      <c r="R255" s="12" t="s">
        <v>203</v>
      </c>
      <c r="S255" s="13" t="s">
        <v>195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25.2" customHeight="1" thickTop="1" thickBot="1" x14ac:dyDescent="0.45">
      <c r="A256" s="12" t="s">
        <v>181</v>
      </c>
      <c r="B256" s="13" t="s">
        <v>198</v>
      </c>
      <c r="C256" s="13" t="s">
        <v>202</v>
      </c>
      <c r="D256" s="13" t="s">
        <v>201</v>
      </c>
      <c r="E256" s="13" t="s">
        <v>190</v>
      </c>
      <c r="F256" s="13" t="s">
        <v>187</v>
      </c>
      <c r="G256" s="13" t="s">
        <v>201</v>
      </c>
      <c r="H256" s="13" t="s">
        <v>198</v>
      </c>
      <c r="I256" s="13" t="s">
        <v>202</v>
      </c>
      <c r="J256" s="13" t="s">
        <v>195</v>
      </c>
      <c r="K256" s="12" t="s">
        <v>194</v>
      </c>
      <c r="L256" s="12" t="s">
        <v>188</v>
      </c>
      <c r="M256" s="14" t="s">
        <v>199</v>
      </c>
      <c r="N256" s="13" t="s">
        <v>189</v>
      </c>
      <c r="O256" s="12" t="s">
        <v>240</v>
      </c>
      <c r="P256" s="13" t="s">
        <v>244</v>
      </c>
      <c r="Q256" s="20" t="s">
        <v>208</v>
      </c>
      <c r="R256" s="13" t="s">
        <v>187</v>
      </c>
      <c r="S256" s="13" t="s">
        <v>202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25.2" customHeight="1" thickTop="1" x14ac:dyDescent="0.4">
      <c r="A257" s="12" t="s">
        <v>182</v>
      </c>
      <c r="B257" s="12" t="s">
        <v>188</v>
      </c>
      <c r="C257" s="12" t="s">
        <v>188</v>
      </c>
      <c r="D257" s="14" t="s">
        <v>197</v>
      </c>
      <c r="E257" s="13" t="s">
        <v>201</v>
      </c>
      <c r="F257" s="13" t="s">
        <v>187</v>
      </c>
      <c r="G257" s="13" t="s">
        <v>189</v>
      </c>
      <c r="H257" s="13" t="s">
        <v>189</v>
      </c>
      <c r="I257" s="12" t="s">
        <v>194</v>
      </c>
      <c r="J257" s="13" t="s">
        <v>189</v>
      </c>
      <c r="K257" s="13" t="s">
        <v>187</v>
      </c>
      <c r="L257" s="12" t="s">
        <v>188</v>
      </c>
      <c r="M257" s="14" t="s">
        <v>196</v>
      </c>
      <c r="N257" s="12" t="s">
        <v>194</v>
      </c>
      <c r="O257" s="14" t="s">
        <v>199</v>
      </c>
      <c r="P257" s="13" t="s">
        <v>187</v>
      </c>
      <c r="Q257" s="13" t="s">
        <v>195</v>
      </c>
      <c r="R257" s="14" t="s">
        <v>197</v>
      </c>
      <c r="S257" s="13" t="s">
        <v>202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25.2" customHeight="1" thickBot="1" x14ac:dyDescent="0.45">
      <c r="A258" s="12" t="s">
        <v>183</v>
      </c>
      <c r="B258" s="13" t="s">
        <v>195</v>
      </c>
      <c r="C258" s="13" t="s">
        <v>202</v>
      </c>
      <c r="D258" s="14" t="s">
        <v>197</v>
      </c>
      <c r="E258" s="14" t="s">
        <v>191</v>
      </c>
      <c r="F258" s="13" t="s">
        <v>187</v>
      </c>
      <c r="G258" s="12" t="s">
        <v>194</v>
      </c>
      <c r="H258" s="14" t="s">
        <v>196</v>
      </c>
      <c r="I258" s="14" t="s">
        <v>192</v>
      </c>
      <c r="J258" s="14" t="s">
        <v>199</v>
      </c>
      <c r="K258" s="14" t="s">
        <v>200</v>
      </c>
      <c r="L258" s="14" t="s">
        <v>199</v>
      </c>
      <c r="M258" s="14" t="s">
        <v>197</v>
      </c>
      <c r="N258" s="13" t="s">
        <v>242</v>
      </c>
      <c r="O258" s="12" t="s">
        <v>188</v>
      </c>
      <c r="P258" s="12" t="s">
        <v>240</v>
      </c>
      <c r="Q258" s="14" t="s">
        <v>197</v>
      </c>
      <c r="R258" s="12" t="s">
        <v>188</v>
      </c>
      <c r="S258" s="14" t="s">
        <v>196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25.2" customHeight="1" thickTop="1" thickBot="1" x14ac:dyDescent="0.45">
      <c r="A259" s="12" t="s">
        <v>184</v>
      </c>
      <c r="B259" s="12" t="s">
        <v>194</v>
      </c>
      <c r="C259" s="13" t="s">
        <v>187</v>
      </c>
      <c r="D259" s="14" t="s">
        <v>199</v>
      </c>
      <c r="E259" s="12" t="s">
        <v>194</v>
      </c>
      <c r="F259" s="14" t="s">
        <v>196</v>
      </c>
      <c r="G259" s="14" t="s">
        <v>200</v>
      </c>
      <c r="H259" s="12" t="s">
        <v>203</v>
      </c>
      <c r="I259" s="12" t="s">
        <v>194</v>
      </c>
      <c r="J259" s="12" t="s">
        <v>194</v>
      </c>
      <c r="K259" s="14" t="s">
        <v>196</v>
      </c>
      <c r="L259" s="12" t="s">
        <v>188</v>
      </c>
      <c r="M259" s="13" t="s">
        <v>195</v>
      </c>
      <c r="N259" s="13" t="s">
        <v>195</v>
      </c>
      <c r="O259" s="14" t="s">
        <v>209</v>
      </c>
      <c r="P259" s="13" t="s">
        <v>202</v>
      </c>
      <c r="Q259" s="14" t="s">
        <v>200</v>
      </c>
      <c r="R259" s="26" t="s">
        <v>189</v>
      </c>
      <c r="S259" s="23" t="s">
        <v>191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25.2" customHeight="1" thickTop="1" x14ac:dyDescent="0.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25.2" customHeight="1" x14ac:dyDescent="0.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25.2" customHeight="1" x14ac:dyDescent="0.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25.2" customHeight="1" x14ac:dyDescent="0.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25.2" customHeight="1" x14ac:dyDescent="0.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7" spans="1:82" ht="25.2" customHeight="1" x14ac:dyDescent="0.4">
      <c r="A267" s="15" t="s">
        <v>210</v>
      </c>
      <c r="B267" s="1">
        <v>0</v>
      </c>
      <c r="C267" s="1">
        <v>1</v>
      </c>
      <c r="D267" s="16">
        <v>1</v>
      </c>
      <c r="E267" s="1">
        <v>0</v>
      </c>
    </row>
    <row r="268" spans="1:82" ht="25.2" customHeight="1" x14ac:dyDescent="0.4">
      <c r="A268" s="15"/>
      <c r="B268" s="1">
        <v>1</v>
      </c>
      <c r="C268" s="1">
        <v>0</v>
      </c>
      <c r="D268" s="1">
        <v>0</v>
      </c>
      <c r="E268" s="1">
        <v>0</v>
      </c>
    </row>
    <row r="269" spans="1:82" ht="25.2" customHeight="1" x14ac:dyDescent="0.4">
      <c r="A269" s="15"/>
    </row>
    <row r="270" spans="1:82" ht="25.2" customHeight="1" x14ac:dyDescent="0.4">
      <c r="A270" s="15" t="s">
        <v>211</v>
      </c>
      <c r="B270" s="1">
        <v>1</v>
      </c>
      <c r="C270" s="1">
        <v>3</v>
      </c>
      <c r="D270" s="1">
        <v>0</v>
      </c>
      <c r="E270" s="1">
        <v>1</v>
      </c>
    </row>
    <row r="271" spans="1:82" ht="25.2" customHeight="1" x14ac:dyDescent="0.4">
      <c r="A271" s="15"/>
      <c r="B271" s="1">
        <v>0</v>
      </c>
      <c r="C271" s="1">
        <v>1</v>
      </c>
      <c r="D271" s="1">
        <v>2</v>
      </c>
      <c r="E271" s="1">
        <v>3</v>
      </c>
    </row>
    <row r="272" spans="1:82" ht="25.2" customHeight="1" x14ac:dyDescent="0.4">
      <c r="A272" s="15"/>
    </row>
    <row r="273" spans="1:5" ht="25.2" customHeight="1" x14ac:dyDescent="0.4">
      <c r="A273" s="15" t="s">
        <v>212</v>
      </c>
      <c r="B273" s="1">
        <v>0</v>
      </c>
      <c r="C273" s="1">
        <v>0</v>
      </c>
      <c r="D273" s="16">
        <v>1</v>
      </c>
      <c r="E273" s="1">
        <v>0</v>
      </c>
    </row>
    <row r="274" spans="1:5" ht="25.2" customHeight="1" x14ac:dyDescent="0.4">
      <c r="A274" s="15"/>
      <c r="B274" s="1">
        <v>2</v>
      </c>
      <c r="C274" s="1">
        <v>0</v>
      </c>
      <c r="D274" s="1">
        <v>3</v>
      </c>
      <c r="E274" s="1">
        <v>0</v>
      </c>
    </row>
    <row r="275" spans="1:5" ht="25.2" customHeight="1" x14ac:dyDescent="0.4">
      <c r="A275" s="15"/>
    </row>
    <row r="276" spans="1:5" ht="25.2" customHeight="1" x14ac:dyDescent="0.4">
      <c r="A276" s="15" t="s">
        <v>213</v>
      </c>
      <c r="B276" s="1">
        <v>0</v>
      </c>
      <c r="C276" s="1">
        <v>1</v>
      </c>
      <c r="D276" s="1">
        <v>1</v>
      </c>
      <c r="E276" s="1">
        <v>2</v>
      </c>
    </row>
    <row r="277" spans="1:5" ht="25.2" customHeight="1" x14ac:dyDescent="0.4">
      <c r="A277" s="15"/>
      <c r="B277" s="1">
        <v>1</v>
      </c>
      <c r="C277" s="1">
        <v>3</v>
      </c>
      <c r="D277" s="1">
        <v>1</v>
      </c>
      <c r="E277" s="1">
        <v>2</v>
      </c>
    </row>
    <row r="278" spans="1:5" ht="25.2" customHeight="1" x14ac:dyDescent="0.4">
      <c r="A278" s="15"/>
    </row>
    <row r="279" spans="1:5" ht="25.2" customHeight="1" x14ac:dyDescent="0.4">
      <c r="A279" s="15" t="s">
        <v>214</v>
      </c>
      <c r="B279" s="1">
        <v>0</v>
      </c>
      <c r="C279" s="1">
        <v>3</v>
      </c>
      <c r="D279" s="1">
        <v>1</v>
      </c>
      <c r="E279" s="1">
        <v>4</v>
      </c>
    </row>
    <row r="280" spans="1:5" ht="25.2" customHeight="1" x14ac:dyDescent="0.4">
      <c r="A280" s="15"/>
      <c r="B280" s="1">
        <v>1</v>
      </c>
      <c r="C280" s="1">
        <v>0</v>
      </c>
      <c r="D280" s="1">
        <v>1</v>
      </c>
      <c r="E280" s="1">
        <v>1</v>
      </c>
    </row>
    <row r="281" spans="1:5" ht="25.2" customHeight="1" x14ac:dyDescent="0.4">
      <c r="A281" s="15"/>
    </row>
    <row r="282" spans="1:5" ht="25.2" customHeight="1" x14ac:dyDescent="0.4">
      <c r="A282" s="15" t="s">
        <v>215</v>
      </c>
      <c r="B282" s="1">
        <v>1</v>
      </c>
      <c r="C282" s="1">
        <v>0</v>
      </c>
      <c r="D282" s="16">
        <v>3</v>
      </c>
      <c r="E282" s="1">
        <v>0</v>
      </c>
    </row>
    <row r="283" spans="1:5" ht="25.2" customHeight="1" x14ac:dyDescent="0.4">
      <c r="A283" s="15"/>
      <c r="B283" s="1">
        <v>4</v>
      </c>
      <c r="C283" s="1">
        <v>0</v>
      </c>
      <c r="D283" s="1">
        <v>1</v>
      </c>
      <c r="E283" s="1">
        <v>0</v>
      </c>
    </row>
    <row r="284" spans="1:5" ht="25.2" customHeight="1" x14ac:dyDescent="0.4">
      <c r="A284" s="15"/>
    </row>
    <row r="285" spans="1:5" ht="25.2" customHeight="1" x14ac:dyDescent="0.4">
      <c r="A285" s="15" t="s">
        <v>216</v>
      </c>
      <c r="B285" s="1">
        <v>0</v>
      </c>
      <c r="C285" s="1">
        <v>0</v>
      </c>
      <c r="D285" s="1">
        <v>0</v>
      </c>
      <c r="E285" s="1">
        <v>2</v>
      </c>
    </row>
    <row r="286" spans="1:5" ht="25.2" customHeight="1" x14ac:dyDescent="0.4">
      <c r="A286" s="15"/>
      <c r="B286" s="1">
        <v>1</v>
      </c>
      <c r="C286" s="1">
        <v>3</v>
      </c>
      <c r="D286" s="1">
        <v>0</v>
      </c>
      <c r="E286" s="1">
        <v>0</v>
      </c>
    </row>
    <row r="287" spans="1:5" ht="25.2" customHeight="1" x14ac:dyDescent="0.4">
      <c r="A287" s="15"/>
    </row>
    <row r="288" spans="1:5" ht="25.2" customHeight="1" x14ac:dyDescent="0.4">
      <c r="A288" s="15" t="s">
        <v>217</v>
      </c>
      <c r="B288" s="1">
        <v>0</v>
      </c>
      <c r="C288" s="1">
        <v>2</v>
      </c>
      <c r="D288" s="1">
        <v>1</v>
      </c>
      <c r="E288" s="1">
        <v>0</v>
      </c>
    </row>
    <row r="289" spans="1:5" ht="25.2" customHeight="1" x14ac:dyDescent="0.4">
      <c r="A289" s="15"/>
      <c r="B289" s="1">
        <v>2</v>
      </c>
      <c r="C289" s="1">
        <v>0</v>
      </c>
      <c r="D289" s="1">
        <v>2</v>
      </c>
      <c r="E289" s="1">
        <v>3</v>
      </c>
    </row>
    <row r="290" spans="1:5" ht="25.2" customHeight="1" x14ac:dyDescent="0.4">
      <c r="A290" s="15"/>
    </row>
    <row r="291" spans="1:5" ht="25.2" customHeight="1" x14ac:dyDescent="0.4">
      <c r="A291" s="15" t="s">
        <v>218</v>
      </c>
      <c r="B291" s="1">
        <v>1</v>
      </c>
      <c r="C291" s="1">
        <v>0</v>
      </c>
      <c r="D291" s="1">
        <v>1</v>
      </c>
      <c r="E291" s="1">
        <v>0</v>
      </c>
    </row>
    <row r="292" spans="1:5" ht="25.2" customHeight="1" x14ac:dyDescent="0.4">
      <c r="A292" s="15"/>
      <c r="B292" s="1">
        <v>0</v>
      </c>
      <c r="C292" s="1">
        <v>2</v>
      </c>
      <c r="D292" s="1">
        <v>1</v>
      </c>
      <c r="E292" s="1">
        <v>3</v>
      </c>
    </row>
    <row r="293" spans="1:5" ht="25.2" customHeight="1" x14ac:dyDescent="0.4">
      <c r="A293" s="15"/>
    </row>
    <row r="294" spans="1:5" ht="25.2" customHeight="1" x14ac:dyDescent="0.4">
      <c r="A294" s="15" t="s">
        <v>219</v>
      </c>
      <c r="B294" s="1">
        <v>2</v>
      </c>
      <c r="C294" s="1">
        <v>1</v>
      </c>
      <c r="D294" s="1">
        <v>0</v>
      </c>
      <c r="E294" s="1">
        <v>2</v>
      </c>
    </row>
    <row r="295" spans="1:5" ht="25.2" customHeight="1" x14ac:dyDescent="0.4">
      <c r="A295" s="15"/>
      <c r="B295" s="1">
        <v>0</v>
      </c>
      <c r="C295" s="1">
        <v>0</v>
      </c>
      <c r="D295" s="1">
        <v>1</v>
      </c>
      <c r="E295" s="1">
        <v>2</v>
      </c>
    </row>
    <row r="296" spans="1:5" ht="25.2" customHeight="1" x14ac:dyDescent="0.4">
      <c r="A296" s="15"/>
    </row>
    <row r="297" spans="1:5" ht="25.2" customHeight="1" x14ac:dyDescent="0.4">
      <c r="A297" s="15" t="s">
        <v>220</v>
      </c>
      <c r="B297" s="1">
        <v>0</v>
      </c>
      <c r="C297" s="1">
        <v>0</v>
      </c>
      <c r="D297" s="1">
        <v>1</v>
      </c>
      <c r="E297" s="1">
        <v>3</v>
      </c>
    </row>
    <row r="298" spans="1:5" ht="25.2" customHeight="1" x14ac:dyDescent="0.4">
      <c r="A298" s="15"/>
      <c r="B298" s="1">
        <v>0</v>
      </c>
      <c r="C298" s="1">
        <v>2</v>
      </c>
      <c r="D298" s="1">
        <v>1</v>
      </c>
      <c r="E298" s="1">
        <v>3</v>
      </c>
    </row>
    <row r="299" spans="1:5" ht="25.2" customHeight="1" x14ac:dyDescent="0.4">
      <c r="A299" s="15"/>
    </row>
    <row r="300" spans="1:5" ht="25.2" customHeight="1" x14ac:dyDescent="0.4">
      <c r="A300" s="15" t="s">
        <v>221</v>
      </c>
      <c r="B300" s="1">
        <v>1</v>
      </c>
      <c r="C300" s="1">
        <v>2</v>
      </c>
      <c r="D300" s="16">
        <v>1</v>
      </c>
      <c r="E300" s="1">
        <v>1</v>
      </c>
    </row>
    <row r="301" spans="1:5" ht="25.2" customHeight="1" x14ac:dyDescent="0.4">
      <c r="A301" s="15"/>
      <c r="B301" s="1">
        <v>0</v>
      </c>
      <c r="C301" s="1">
        <v>0</v>
      </c>
      <c r="D301" s="1">
        <v>1</v>
      </c>
      <c r="E301" s="1">
        <v>1</v>
      </c>
    </row>
    <row r="302" spans="1:5" ht="25.2" customHeight="1" x14ac:dyDescent="0.4">
      <c r="A302" s="15"/>
    </row>
    <row r="303" spans="1:5" ht="25.2" customHeight="1" x14ac:dyDescent="0.4">
      <c r="A303" s="15" t="s">
        <v>222</v>
      </c>
      <c r="B303" s="1">
        <v>2</v>
      </c>
      <c r="C303" s="1">
        <v>0</v>
      </c>
      <c r="D303" s="1">
        <v>1</v>
      </c>
      <c r="E303" s="1">
        <v>0</v>
      </c>
    </row>
    <row r="304" spans="1:5" ht="25.2" customHeight="1" x14ac:dyDescent="0.4">
      <c r="A304" s="15"/>
      <c r="B304" s="1">
        <v>0</v>
      </c>
      <c r="C304" s="1">
        <v>0</v>
      </c>
      <c r="D304" s="1">
        <v>0</v>
      </c>
      <c r="E304" s="1">
        <v>0</v>
      </c>
    </row>
    <row r="305" spans="1:5" ht="25.2" customHeight="1" x14ac:dyDescent="0.4">
      <c r="A305" s="15"/>
    </row>
    <row r="306" spans="1:5" ht="25.2" customHeight="1" x14ac:dyDescent="0.4">
      <c r="A306" s="15" t="s">
        <v>223</v>
      </c>
      <c r="B306" s="1">
        <v>0</v>
      </c>
      <c r="C306" s="1">
        <v>1</v>
      </c>
      <c r="D306" s="1">
        <v>1</v>
      </c>
      <c r="E306" s="1">
        <v>1</v>
      </c>
    </row>
    <row r="307" spans="1:5" ht="25.2" customHeight="1" x14ac:dyDescent="0.4">
      <c r="A307" s="15"/>
      <c r="B307" s="1">
        <v>1</v>
      </c>
      <c r="C307" s="1">
        <v>1</v>
      </c>
      <c r="D307" s="1">
        <v>1</v>
      </c>
      <c r="E307" s="1">
        <v>4</v>
      </c>
    </row>
    <row r="308" spans="1:5" ht="25.2" customHeight="1" x14ac:dyDescent="0.4">
      <c r="A308" s="15"/>
    </row>
    <row r="309" spans="1:5" ht="25.2" customHeight="1" x14ac:dyDescent="0.4">
      <c r="A309" s="15" t="s">
        <v>224</v>
      </c>
      <c r="B309" s="1">
        <v>1</v>
      </c>
      <c r="C309" s="1">
        <v>0</v>
      </c>
      <c r="D309" s="1">
        <v>0</v>
      </c>
      <c r="E309" s="1">
        <v>0</v>
      </c>
    </row>
    <row r="310" spans="1:5" ht="25.2" customHeight="1" x14ac:dyDescent="0.4">
      <c r="A310" s="15"/>
      <c r="B310" s="1">
        <v>0</v>
      </c>
      <c r="C310" s="1">
        <v>0</v>
      </c>
      <c r="D310" s="1">
        <v>1</v>
      </c>
      <c r="E310" s="1">
        <v>0</v>
      </c>
    </row>
    <row r="311" spans="1:5" ht="25.2" customHeight="1" x14ac:dyDescent="0.4">
      <c r="A311" s="15"/>
    </row>
    <row r="312" spans="1:5" ht="25.2" customHeight="1" x14ac:dyDescent="0.4">
      <c r="A312" s="15" t="s">
        <v>225</v>
      </c>
      <c r="B312" s="1">
        <v>1</v>
      </c>
      <c r="C312" s="1">
        <v>1</v>
      </c>
      <c r="D312" s="1">
        <v>1</v>
      </c>
      <c r="E312" s="1">
        <v>3</v>
      </c>
    </row>
    <row r="313" spans="1:5" ht="25.2" customHeight="1" x14ac:dyDescent="0.4">
      <c r="A313" s="15"/>
      <c r="B313" s="1">
        <v>0</v>
      </c>
      <c r="C313" s="1">
        <v>0</v>
      </c>
      <c r="D313" s="1">
        <v>1</v>
      </c>
      <c r="E313" s="1">
        <v>1</v>
      </c>
    </row>
    <row r="314" spans="1:5" ht="25.2" customHeight="1" x14ac:dyDescent="0.4">
      <c r="A314" s="15"/>
    </row>
    <row r="315" spans="1:5" ht="25.2" customHeight="1" x14ac:dyDescent="0.4">
      <c r="A315" s="15" t="s">
        <v>226</v>
      </c>
      <c r="B315" s="1">
        <v>0</v>
      </c>
      <c r="C315" s="1">
        <v>0</v>
      </c>
      <c r="D315" s="1">
        <v>0</v>
      </c>
      <c r="E315" s="1">
        <v>3</v>
      </c>
    </row>
    <row r="316" spans="1:5" ht="25.2" customHeight="1" x14ac:dyDescent="0.4">
      <c r="A316" s="15"/>
      <c r="B316" s="1">
        <v>1</v>
      </c>
      <c r="C316" s="1">
        <v>0</v>
      </c>
      <c r="D316" s="1">
        <v>0</v>
      </c>
      <c r="E316" s="1">
        <v>0</v>
      </c>
    </row>
    <row r="317" spans="1:5" ht="25.2" customHeight="1" x14ac:dyDescent="0.4">
      <c r="A317" s="15"/>
    </row>
    <row r="318" spans="1:5" ht="25.2" customHeight="1" x14ac:dyDescent="0.4">
      <c r="A318" s="15" t="s">
        <v>227</v>
      </c>
      <c r="B318" s="1">
        <v>0</v>
      </c>
      <c r="C318" s="1">
        <v>0</v>
      </c>
      <c r="D318" s="1">
        <v>1</v>
      </c>
      <c r="E318" s="1">
        <v>1</v>
      </c>
    </row>
    <row r="319" spans="1:5" ht="25.2" customHeight="1" x14ac:dyDescent="0.4">
      <c r="A319" s="15"/>
      <c r="B319" s="1">
        <v>1</v>
      </c>
      <c r="C319" s="1">
        <v>1</v>
      </c>
      <c r="D319" s="1">
        <v>2</v>
      </c>
      <c r="E319" s="1">
        <v>1</v>
      </c>
    </row>
    <row r="320" spans="1:5" ht="25.2" customHeight="1" x14ac:dyDescent="0.4">
      <c r="A320" s="15"/>
    </row>
    <row r="321" spans="1:5" ht="25.2" customHeight="1" x14ac:dyDescent="0.4">
      <c r="A321" s="15" t="s">
        <v>228</v>
      </c>
      <c r="B321" s="1">
        <v>4</v>
      </c>
      <c r="C321" s="1">
        <v>1</v>
      </c>
      <c r="D321" s="1">
        <v>1</v>
      </c>
      <c r="E321" s="1">
        <v>3</v>
      </c>
    </row>
    <row r="322" spans="1:5" ht="25.2" customHeight="1" x14ac:dyDescent="0.4">
      <c r="A322" s="15"/>
      <c r="B322" s="1">
        <v>1</v>
      </c>
      <c r="C322" s="1">
        <v>0</v>
      </c>
      <c r="D322" s="1">
        <v>1</v>
      </c>
      <c r="E322" s="1">
        <v>3</v>
      </c>
    </row>
    <row r="323" spans="1:5" ht="25.2" customHeight="1" x14ac:dyDescent="0.4">
      <c r="A323" s="15"/>
    </row>
    <row r="324" spans="1:5" ht="25.2" customHeight="1" x14ac:dyDescent="0.4">
      <c r="A324" s="15" t="s">
        <v>229</v>
      </c>
      <c r="B324" s="1">
        <v>1</v>
      </c>
      <c r="C324" s="1">
        <v>2</v>
      </c>
      <c r="D324" s="1">
        <v>1</v>
      </c>
      <c r="E324" s="1">
        <v>3</v>
      </c>
    </row>
    <row r="325" spans="1:5" ht="25.2" customHeight="1" x14ac:dyDescent="0.4">
      <c r="A325" s="15"/>
      <c r="B325" s="1">
        <v>1</v>
      </c>
      <c r="C325" s="1">
        <v>0</v>
      </c>
      <c r="D325" s="1">
        <v>1</v>
      </c>
      <c r="E325" s="1">
        <v>0</v>
      </c>
    </row>
    <row r="326" spans="1:5" ht="25.2" customHeight="1" x14ac:dyDescent="0.4">
      <c r="A326" s="15"/>
    </row>
    <row r="327" spans="1:5" ht="25.2" customHeight="1" x14ac:dyDescent="0.4">
      <c r="A327" s="15" t="s">
        <v>230</v>
      </c>
      <c r="B327" s="1">
        <v>0</v>
      </c>
      <c r="C327" s="1">
        <v>0</v>
      </c>
      <c r="D327" s="1">
        <v>2</v>
      </c>
      <c r="E327" s="1">
        <v>0</v>
      </c>
    </row>
    <row r="328" spans="1:5" ht="25.2" customHeight="1" x14ac:dyDescent="0.4">
      <c r="A328" s="15"/>
      <c r="B328" s="1">
        <v>0</v>
      </c>
      <c r="C328" s="1">
        <v>2</v>
      </c>
      <c r="D328" s="1">
        <v>1</v>
      </c>
      <c r="E328" s="1">
        <v>0</v>
      </c>
    </row>
    <row r="329" spans="1:5" ht="25.2" customHeight="1" x14ac:dyDescent="0.4">
      <c r="A329" s="15"/>
    </row>
    <row r="330" spans="1:5" ht="25.2" customHeight="1" x14ac:dyDescent="0.4">
      <c r="A330" s="15" t="s">
        <v>231</v>
      </c>
      <c r="B330" s="1">
        <v>2</v>
      </c>
      <c r="C330" s="1">
        <v>2</v>
      </c>
      <c r="D330" s="1">
        <v>2</v>
      </c>
      <c r="E330" s="1">
        <v>1</v>
      </c>
    </row>
    <row r="331" spans="1:5" ht="25.2" customHeight="1" x14ac:dyDescent="0.4">
      <c r="A331" s="15"/>
      <c r="B331" s="1">
        <v>2</v>
      </c>
      <c r="C331" s="1">
        <v>0</v>
      </c>
      <c r="D331" s="1">
        <v>1</v>
      </c>
      <c r="E331" s="1">
        <v>1</v>
      </c>
    </row>
    <row r="332" spans="1:5" ht="25.2" customHeight="1" x14ac:dyDescent="0.4">
      <c r="A332" s="15"/>
    </row>
    <row r="333" spans="1:5" ht="25.2" customHeight="1" x14ac:dyDescent="0.4">
      <c r="A333" s="15" t="s">
        <v>232</v>
      </c>
      <c r="B333" s="1">
        <v>1</v>
      </c>
      <c r="C333" s="1">
        <v>0</v>
      </c>
      <c r="D333" s="1">
        <v>1</v>
      </c>
      <c r="E333" s="1">
        <v>0</v>
      </c>
    </row>
    <row r="334" spans="1:5" ht="25.2" customHeight="1" x14ac:dyDescent="0.4">
      <c r="A334" s="15"/>
      <c r="B334" s="1">
        <v>0</v>
      </c>
      <c r="C334" s="1">
        <v>0</v>
      </c>
      <c r="D334" s="1">
        <v>0</v>
      </c>
      <c r="E334" s="1">
        <v>2</v>
      </c>
    </row>
    <row r="335" spans="1:5" ht="25.2" customHeight="1" x14ac:dyDescent="0.4">
      <c r="A335" s="15"/>
    </row>
    <row r="336" spans="1:5" ht="25.2" customHeight="1" x14ac:dyDescent="0.4">
      <c r="A336" s="15" t="s">
        <v>233</v>
      </c>
      <c r="B336" s="1">
        <v>2</v>
      </c>
      <c r="C336" s="1">
        <v>0</v>
      </c>
      <c r="D336" s="1">
        <v>1</v>
      </c>
      <c r="E336" s="1">
        <v>0</v>
      </c>
    </row>
    <row r="337" spans="1:5" ht="25.2" customHeight="1" x14ac:dyDescent="0.4">
      <c r="A337" s="15"/>
      <c r="B337" s="1">
        <v>2</v>
      </c>
      <c r="C337" s="1">
        <v>2</v>
      </c>
      <c r="D337" s="1">
        <v>1</v>
      </c>
      <c r="E337" s="1">
        <v>0</v>
      </c>
    </row>
    <row r="338" spans="1:5" ht="25.2" customHeight="1" x14ac:dyDescent="0.4">
      <c r="A338" s="15"/>
    </row>
    <row r="339" spans="1:5" ht="25.2" customHeight="1" x14ac:dyDescent="0.4">
      <c r="A339" s="15" t="s">
        <v>234</v>
      </c>
      <c r="B339" s="1">
        <v>1</v>
      </c>
      <c r="C339" s="1">
        <v>0</v>
      </c>
      <c r="D339" s="1">
        <v>1</v>
      </c>
      <c r="E339" s="1">
        <v>0</v>
      </c>
    </row>
    <row r="340" spans="1:5" ht="25.2" customHeight="1" x14ac:dyDescent="0.4">
      <c r="A340" s="15"/>
      <c r="B340" s="1">
        <v>0</v>
      </c>
      <c r="C340" s="1">
        <v>1</v>
      </c>
      <c r="D340" s="1">
        <v>1</v>
      </c>
      <c r="E340" s="1">
        <v>0</v>
      </c>
    </row>
    <row r="341" spans="1:5" ht="25.2" customHeight="1" x14ac:dyDescent="0.4">
      <c r="A341" s="15"/>
    </row>
    <row r="342" spans="1:5" ht="25.2" customHeight="1" x14ac:dyDescent="0.4">
      <c r="A342" s="15" t="s">
        <v>235</v>
      </c>
      <c r="B342" s="1">
        <v>1</v>
      </c>
      <c r="C342" s="1">
        <v>0</v>
      </c>
      <c r="D342" s="1">
        <v>0</v>
      </c>
      <c r="E342" s="1">
        <v>0</v>
      </c>
    </row>
    <row r="343" spans="1:5" ht="25.2" customHeight="1" x14ac:dyDescent="0.4">
      <c r="A343" s="15"/>
      <c r="B343" s="1">
        <v>1</v>
      </c>
      <c r="C343" s="1">
        <v>1</v>
      </c>
      <c r="D343" s="1">
        <v>1</v>
      </c>
      <c r="E343" s="1">
        <v>0</v>
      </c>
    </row>
    <row r="344" spans="1:5" ht="25.2" customHeight="1" x14ac:dyDescent="0.4">
      <c r="A344" s="15"/>
    </row>
    <row r="345" spans="1:5" ht="25.2" customHeight="1" x14ac:dyDescent="0.4">
      <c r="A345" s="15" t="s">
        <v>236</v>
      </c>
      <c r="B345" s="1">
        <v>0</v>
      </c>
      <c r="C345" s="1">
        <v>0</v>
      </c>
      <c r="D345" s="1">
        <v>1</v>
      </c>
      <c r="E345" s="1">
        <v>1</v>
      </c>
    </row>
    <row r="346" spans="1:5" ht="25.2" customHeight="1" x14ac:dyDescent="0.4">
      <c r="A346" s="15"/>
      <c r="B346" s="1">
        <v>3</v>
      </c>
      <c r="C346" s="1">
        <v>1</v>
      </c>
      <c r="D346" s="1">
        <v>1</v>
      </c>
      <c r="E346" s="1">
        <v>1</v>
      </c>
    </row>
    <row r="347" spans="1:5" ht="25.2" customHeight="1" x14ac:dyDescent="0.4">
      <c r="A347" s="15"/>
    </row>
    <row r="348" spans="1:5" ht="25.2" customHeight="1" x14ac:dyDescent="0.4">
      <c r="A348" s="15" t="s">
        <v>237</v>
      </c>
      <c r="B348" s="1">
        <v>1</v>
      </c>
      <c r="C348" s="1">
        <v>0</v>
      </c>
      <c r="D348" s="1">
        <v>1</v>
      </c>
      <c r="E348" s="1">
        <v>0</v>
      </c>
    </row>
    <row r="349" spans="1:5" ht="25.2" customHeight="1" x14ac:dyDescent="0.4">
      <c r="A349" s="15"/>
      <c r="B349" s="1">
        <v>0</v>
      </c>
      <c r="C349" s="1">
        <v>1</v>
      </c>
      <c r="D349" s="1">
        <v>1</v>
      </c>
      <c r="E349" s="1">
        <v>3</v>
      </c>
    </row>
    <row r="350" spans="1:5" ht="25.2" customHeight="1" x14ac:dyDescent="0.4">
      <c r="A350" s="15"/>
    </row>
    <row r="351" spans="1:5" ht="25.2" customHeight="1" x14ac:dyDescent="0.4">
      <c r="A351" s="15" t="s">
        <v>238</v>
      </c>
      <c r="B351" s="1">
        <v>0</v>
      </c>
      <c r="C351" s="1">
        <v>1</v>
      </c>
      <c r="D351" s="1">
        <v>1</v>
      </c>
      <c r="E351" s="1">
        <v>0</v>
      </c>
    </row>
    <row r="352" spans="1:5" ht="25.2" customHeight="1" x14ac:dyDescent="0.4">
      <c r="A352" s="15"/>
      <c r="B352" s="1">
        <v>1</v>
      </c>
      <c r="C352" s="1">
        <v>1</v>
      </c>
      <c r="D352" s="1">
        <v>1</v>
      </c>
      <c r="E352" s="1">
        <v>0</v>
      </c>
    </row>
    <row r="353" spans="1:5" ht="25.2" customHeight="1" x14ac:dyDescent="0.4">
      <c r="A353" s="15"/>
    </row>
    <row r="354" spans="1:5" ht="25.2" customHeight="1" x14ac:dyDescent="0.4">
      <c r="A354" s="15" t="s">
        <v>239</v>
      </c>
      <c r="B354" s="1">
        <v>3</v>
      </c>
      <c r="C354" s="1">
        <v>0</v>
      </c>
      <c r="D354" s="1">
        <v>2</v>
      </c>
      <c r="E354" s="1">
        <v>3</v>
      </c>
    </row>
    <row r="355" spans="1:5" ht="25.2" customHeight="1" x14ac:dyDescent="0.4">
      <c r="B355" s="1">
        <v>0</v>
      </c>
      <c r="C355" s="1">
        <v>1</v>
      </c>
      <c r="D355" s="1">
        <v>0</v>
      </c>
      <c r="E355" s="1">
        <v>0</v>
      </c>
    </row>
  </sheetData>
  <conditionalFormatting sqref="B215:G236">
    <cfRule type="cellIs" dxfId="5" priority="8" operator="equal">
      <formula>$E$216</formula>
    </cfRule>
    <cfRule type="cellIs" dxfId="4" priority="9" operator="equal">
      <formula>$D$217</formula>
    </cfRule>
  </conditionalFormatting>
  <conditionalFormatting sqref="Q215:V236">
    <cfRule type="cellIs" dxfId="3" priority="7" operator="equal">
      <formula>$T$220</formula>
    </cfRule>
  </conditionalFormatting>
  <conditionalFormatting sqref="A215:O236">
    <cfRule type="cellIs" dxfId="2" priority="5" operator="equal">
      <formula>$F$223</formula>
    </cfRule>
    <cfRule type="cellIs" dxfId="1" priority="6" operator="equal">
      <formula>2</formula>
    </cfRule>
  </conditionalFormatting>
  <conditionalFormatting sqref="P215:AE236">
    <cfRule type="cellIs" dxfId="0" priority="4" operator="equal">
      <formula>$Q$221</formula>
    </cfRule>
  </conditionalFormatting>
  <conditionalFormatting sqref="O2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{0E3DA592-B330-4DB0-9637-68377A35B325}</x14:id>
        </ext>
      </extLst>
    </cfRule>
  </conditionalFormatting>
  <conditionalFormatting sqref="S24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DA592-B330-4DB0-9637-68377A35B3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96B-20B9-4644-AD36-45F866198C1C}">
  <dimension ref="D6:P25"/>
  <sheetViews>
    <sheetView workbookViewId="0">
      <selection activeCell="N23" sqref="N23:P24"/>
    </sheetView>
  </sheetViews>
  <sheetFormatPr defaultRowHeight="14.4" x14ac:dyDescent="0.3"/>
  <cols>
    <col min="1" max="16384" width="8.88671875" style="31"/>
  </cols>
  <sheetData>
    <row r="6" spans="4:13" ht="18" x14ac:dyDescent="0.35">
      <c r="D6" s="31">
        <v>4</v>
      </c>
      <c r="E6" s="31">
        <v>4</v>
      </c>
      <c r="F6" s="31">
        <f>SUM(D6:E6)</f>
        <v>8</v>
      </c>
      <c r="G6" s="30"/>
      <c r="H6" s="30"/>
    </row>
    <row r="7" spans="4:13" ht="18" x14ac:dyDescent="0.35">
      <c r="D7" s="31">
        <f>SUM(D6)</f>
        <v>4</v>
      </c>
      <c r="E7" s="31">
        <f>SUM(E6)</f>
        <v>4</v>
      </c>
      <c r="F7" s="31">
        <f>SUM(D7:E7)</f>
        <v>8</v>
      </c>
      <c r="G7" s="30"/>
      <c r="H7" s="30"/>
    </row>
    <row r="10" spans="4:13" x14ac:dyDescent="0.3">
      <c r="G10" s="31">
        <v>33</v>
      </c>
      <c r="H10" s="31">
        <v>3</v>
      </c>
      <c r="I10" s="31">
        <v>4</v>
      </c>
      <c r="J10" s="31">
        <v>4</v>
      </c>
      <c r="K10" s="31">
        <v>4</v>
      </c>
      <c r="L10" s="31">
        <v>4</v>
      </c>
      <c r="M10" s="31">
        <f>SUM(G10:L10)</f>
        <v>52</v>
      </c>
    </row>
    <row r="13" spans="4:13" x14ac:dyDescent="0.3">
      <c r="G13" s="31">
        <f t="shared" ref="G13:L13" si="0">SUM(G10:G12)</f>
        <v>33</v>
      </c>
      <c r="H13" s="31">
        <f t="shared" si="0"/>
        <v>3</v>
      </c>
      <c r="I13" s="31">
        <f t="shared" si="0"/>
        <v>4</v>
      </c>
      <c r="J13" s="31">
        <f t="shared" si="0"/>
        <v>4</v>
      </c>
      <c r="K13" s="31">
        <f t="shared" si="0"/>
        <v>4</v>
      </c>
      <c r="L13" s="31">
        <f t="shared" si="0"/>
        <v>4</v>
      </c>
      <c r="M13" s="31">
        <f>SUM(G13:L13)</f>
        <v>52</v>
      </c>
    </row>
    <row r="18" spans="5:16" x14ac:dyDescent="0.3">
      <c r="N18" s="31">
        <v>42736</v>
      </c>
      <c r="P18" s="31">
        <v>42736</v>
      </c>
    </row>
    <row r="19" spans="5:16" ht="18" x14ac:dyDescent="0.35">
      <c r="H19" s="30">
        <f>SUM(H13)</f>
        <v>3</v>
      </c>
      <c r="I19" s="30" t="s">
        <v>292</v>
      </c>
    </row>
    <row r="22" spans="5:16" x14ac:dyDescent="0.3">
      <c r="N22" s="29">
        <v>42737</v>
      </c>
    </row>
    <row r="23" spans="5:16" x14ac:dyDescent="0.3">
      <c r="N23" s="31">
        <v>2.2000000000000002</v>
      </c>
      <c r="O23" s="31">
        <v>2.1</v>
      </c>
      <c r="P23" s="31">
        <f>SUM(N23:O23)</f>
        <v>4.3000000000000007</v>
      </c>
    </row>
    <row r="25" spans="5:16" x14ac:dyDescent="0.3">
      <c r="E25" s="31">
        <v>4</v>
      </c>
      <c r="G25" s="31">
        <v>4</v>
      </c>
      <c r="H25" s="31">
        <f>SUM(E25:G25)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</vt:lpstr>
      <vt:lpstr>Лист2</vt:lpstr>
      <vt:lpstr>Лист4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2017-09-30T11:13:10Z</dcterms:modified>
</cp:coreProperties>
</file>